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65" yWindow="45" windowWidth="14310" windowHeight="12600" tabRatio="598" firstSheet="23" activeTab="24"/>
  </bookViews>
  <sheets>
    <sheet name="POAI2010" sheetId="14" state="hidden" r:id="rId1"/>
    <sheet name="NECES.PD" sheetId="3" state="hidden" r:id="rId2"/>
    <sheet name="ACT.FUN" sheetId="6" state="hidden" r:id="rId3"/>
    <sheet name="PROYECTOS ESTRATÉGICOS" sheetId="31" state="hidden" r:id="rId4"/>
    <sheet name="PLAN INDICATIVO" sheetId="26" state="hidden" r:id="rId5"/>
    <sheet name="POAI 2011 INIC" sheetId="33" state="hidden" r:id="rId6"/>
    <sheet name="POAI 2011 AC.073 DE 2010" sheetId="36" state="hidden" r:id="rId7"/>
    <sheet name="PLANINDICATIVO PD" sheetId="29" state="hidden" r:id="rId8"/>
    <sheet name="PLAN DE ACCIÓN 2011 MARZO" sheetId="40" state="hidden" r:id="rId9"/>
    <sheet name="PLANINDICATIVO PD MAYO" sheetId="43" state="hidden" r:id="rId10"/>
    <sheet name="POAI 2011 AC.017 MAYO" sheetId="44" state="hidden" r:id="rId11"/>
    <sheet name="MATRIZ DE SEGUIMIENTO PD" sheetId="28" state="hidden" r:id="rId12"/>
    <sheet name="RES.096 DE 2011" sheetId="45" state="hidden" r:id="rId13"/>
    <sheet name="PLANINDICATIVO PD JUNIO" sheetId="48" state="hidden" r:id="rId14"/>
    <sheet name="CONTRUCC." sheetId="8" state="hidden" r:id="rId15"/>
    <sheet name="EQUIPOS" sheetId="9" state="hidden" r:id="rId16"/>
    <sheet name="BIENESTAR" sheetId="10" state="hidden" r:id="rId17"/>
    <sheet name="CAPACITAC" sheetId="11" state="hidden" r:id="rId18"/>
    <sheet name="INVESTIG" sheetId="12" state="hidden" r:id="rId19"/>
    <sheet name="PLANEACION" sheetId="13" state="hidden" r:id="rId20"/>
    <sheet name="Hoja1" sheetId="15" state="hidden" r:id="rId21"/>
    <sheet name="EXCEDUC" sheetId="21" state="hidden" r:id="rId22"/>
    <sheet name="P.ACION A SEPTIEMBRE 2015" sheetId="172" r:id="rId23"/>
    <sheet name="P.ACION A SEPTIEMBRE 2015 (2)" sheetId="173" r:id="rId24"/>
    <sheet name="P.ACION POR SUBSISTEMA" sheetId="174" r:id="rId25"/>
  </sheets>
  <externalReferences>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s>
  <definedNames>
    <definedName name="_xlnm._FilterDatabase" localSheetId="20" hidden="1">Hoja1!$A$3:$Q$113</definedName>
    <definedName name="_xlnm.Print_Area" localSheetId="0">POAI2010!$A$4:$C$66</definedName>
    <definedName name="_xlnm.Print_Titles" localSheetId="11">'MATRIZ DE SEGUIMIENTO PD'!$A:$AH,'MATRIZ DE SEGUIMIENTO PD'!$1:$3</definedName>
    <definedName name="_xlnm.Print_Titles" localSheetId="22">'P.ACION A SEPTIEMBRE 2015'!$C:$F,'P.ACION A SEPTIEMBRE 2015'!$1:$3</definedName>
    <definedName name="_xlnm.Print_Titles" localSheetId="23">'P.ACION A SEPTIEMBRE 2015 (2)'!$C:$F,'P.ACION A SEPTIEMBRE 2015 (2)'!$1:$3</definedName>
    <definedName name="_xlnm.Print_Titles" localSheetId="24">'P.ACION POR SUBSISTEMA'!$C:$F,'P.ACION POR SUBSISTEMA'!$1:$3</definedName>
    <definedName name="_xlnm.Print_Titles" localSheetId="8">'PLAN DE ACCIÓN 2011 MARZO'!$A:$T,'PLAN DE ACCIÓN 2011 MARZO'!$1:$3</definedName>
    <definedName name="_xlnm.Print_Titles" localSheetId="4">'PLAN INDICATIVO'!$A:$AC,'PLAN INDICATIVO'!$1:$3</definedName>
    <definedName name="_xlnm.Print_Titles" localSheetId="10">'POAI 2011 AC.017 MAYO'!$A:$B,'POAI 2011 AC.017 MAYO'!$1:$2</definedName>
    <definedName name="_xlnm.Print_Titles" localSheetId="6">'POAI 2011 AC.073 DE 2010'!$A:$B,'POAI 2011 AC.073 DE 2010'!$1:$2</definedName>
    <definedName name="_xlnm.Print_Titles" localSheetId="5">'POAI 2011 INIC'!$A:$B,'POAI 2011 INIC'!$1:$2</definedName>
    <definedName name="_xlnm.Print_Titles" localSheetId="0">POAI2010!$A$1:$HZ$3</definedName>
    <definedName name="_xlnm.Print_Titles" localSheetId="12">'RES.096 DE 2011'!$G:$H,'RES.096 DE 2011'!$1:$4</definedName>
  </definedNames>
  <calcPr calcId="144525"/>
</workbook>
</file>

<file path=xl/calcChain.xml><?xml version="1.0" encoding="utf-8"?>
<calcChain xmlns="http://schemas.openxmlformats.org/spreadsheetml/2006/main">
  <c r="Y278" i="174" l="1"/>
  <c r="Y279" i="174"/>
  <c r="Y280" i="174"/>
  <c r="Y281" i="174"/>
  <c r="Y282" i="174"/>
  <c r="Y277" i="174"/>
  <c r="CM34" i="174"/>
  <c r="M282" i="174"/>
  <c r="M281" i="174"/>
  <c r="M280" i="174"/>
  <c r="M279" i="174"/>
  <c r="M278" i="174"/>
  <c r="M277" i="174"/>
  <c r="EL205" i="174" l="1"/>
  <c r="EK205" i="174"/>
  <c r="DI100" i="174"/>
  <c r="EC206" i="174"/>
  <c r="DU206" i="174"/>
  <c r="DR206" i="174"/>
  <c r="DO206" i="174"/>
  <c r="DG206" i="174"/>
  <c r="DF206" i="174"/>
  <c r="DA206" i="174"/>
  <c r="CZ206" i="174"/>
  <c r="CY206" i="174"/>
  <c r="CX206" i="174"/>
  <c r="CW206" i="174"/>
  <c r="CV206" i="174"/>
  <c r="CU206" i="174"/>
  <c r="CT206" i="174"/>
  <c r="CS206" i="174"/>
  <c r="CR206" i="174"/>
  <c r="CQ206" i="174"/>
  <c r="CP206" i="174"/>
  <c r="CJ206" i="174"/>
  <c r="BZ206" i="174"/>
  <c r="BW206" i="174"/>
  <c r="BU206" i="174"/>
  <c r="BO206" i="174"/>
  <c r="BN206" i="174"/>
  <c r="BI206" i="174"/>
  <c r="BH206" i="174"/>
  <c r="BG206" i="174"/>
  <c r="BF206" i="174"/>
  <c r="BE206" i="174"/>
  <c r="BD206" i="174"/>
  <c r="BC206" i="174"/>
  <c r="BB206" i="174"/>
  <c r="BA206" i="174"/>
  <c r="AZ206" i="174"/>
  <c r="AY206" i="174"/>
  <c r="AX206" i="174"/>
  <c r="AR206" i="174"/>
  <c r="AQ206" i="174"/>
  <c r="AP206" i="174"/>
  <c r="AN206" i="174"/>
  <c r="AL206" i="174"/>
  <c r="AK206" i="174"/>
  <c r="AJ206" i="174"/>
  <c r="AI206" i="174"/>
  <c r="AH206" i="174"/>
  <c r="AG206" i="174"/>
  <c r="AF206" i="174"/>
  <c r="AE206" i="174"/>
  <c r="AD206" i="174"/>
  <c r="AC206" i="174"/>
  <c r="AB206" i="174"/>
  <c r="Z206" i="174"/>
  <c r="G206" i="174"/>
  <c r="AT205" i="174"/>
  <c r="AT207" i="174" s="1"/>
  <c r="EC204" i="174"/>
  <c r="DU204" i="174"/>
  <c r="DR204" i="174"/>
  <c r="DK204" i="174"/>
  <c r="DG204" i="174"/>
  <c r="DF204" i="174"/>
  <c r="DE204" i="174"/>
  <c r="DD204" i="174"/>
  <c r="DB204" i="174"/>
  <c r="CZ204" i="174"/>
  <c r="CY204" i="174"/>
  <c r="CX204" i="174"/>
  <c r="CW204" i="174"/>
  <c r="CV204" i="174"/>
  <c r="CS204" i="174"/>
  <c r="CQ204" i="174"/>
  <c r="CP204" i="174"/>
  <c r="CO204" i="174"/>
  <c r="CK204" i="174"/>
  <c r="BZ204" i="174"/>
  <c r="BU204" i="174"/>
  <c r="BO204" i="174"/>
  <c r="BN204" i="174"/>
  <c r="BM204" i="174"/>
  <c r="BL204" i="174"/>
  <c r="BJ204" i="174"/>
  <c r="BH204" i="174"/>
  <c r="BG204" i="174"/>
  <c r="BF204" i="174"/>
  <c r="BE204" i="174"/>
  <c r="BD204" i="174"/>
  <c r="BA204" i="174"/>
  <c r="AY204" i="174"/>
  <c r="AX204" i="174"/>
  <c r="AW204" i="174"/>
  <c r="AR204" i="174"/>
  <c r="AQ204" i="174"/>
  <c r="AP204" i="174"/>
  <c r="AO204" i="174"/>
  <c r="AM204" i="174"/>
  <c r="AK204" i="174"/>
  <c r="AJ204" i="174"/>
  <c r="AI204" i="174"/>
  <c r="AH204" i="174"/>
  <c r="AG204" i="174"/>
  <c r="AD204" i="174"/>
  <c r="AB204" i="174"/>
  <c r="Z204" i="174"/>
  <c r="G204" i="174"/>
  <c r="DU203" i="174"/>
  <c r="DR203" i="174"/>
  <c r="DM203" i="174"/>
  <c r="DG203" i="174"/>
  <c r="DF203" i="174"/>
  <c r="DE203" i="174"/>
  <c r="DA203" i="174"/>
  <c r="CZ203" i="174"/>
  <c r="CY203" i="174"/>
  <c r="CX203" i="174"/>
  <c r="CW203" i="174"/>
  <c r="CV203" i="174"/>
  <c r="CU203" i="174"/>
  <c r="CS203" i="174"/>
  <c r="CR203" i="174"/>
  <c r="CQ203" i="174"/>
  <c r="CP203" i="174"/>
  <c r="CO203" i="174"/>
  <c r="BZ203" i="174"/>
  <c r="BU203" i="174"/>
  <c r="BO203" i="174"/>
  <c r="BN203" i="174"/>
  <c r="BM203" i="174"/>
  <c r="BI203" i="174"/>
  <c r="BH203" i="174"/>
  <c r="BG203" i="174"/>
  <c r="BF203" i="174"/>
  <c r="BE203" i="174"/>
  <c r="BD203" i="174"/>
  <c r="BC203" i="174"/>
  <c r="BA203" i="174"/>
  <c r="AZ203" i="174"/>
  <c r="AY203" i="174"/>
  <c r="AX203" i="174"/>
  <c r="AW203" i="174"/>
  <c r="AR203" i="174"/>
  <c r="AQ203" i="174"/>
  <c r="AP203" i="174"/>
  <c r="AO203" i="174"/>
  <c r="AL203" i="174"/>
  <c r="AK203" i="174"/>
  <c r="AJ203" i="174"/>
  <c r="AI203" i="174"/>
  <c r="AH203" i="174"/>
  <c r="AG203" i="174"/>
  <c r="AF203" i="174"/>
  <c r="AD203" i="174"/>
  <c r="AB203" i="174"/>
  <c r="AA203" i="174"/>
  <c r="Z203" i="174"/>
  <c r="G203" i="174"/>
  <c r="EC202" i="174"/>
  <c r="DU202" i="174"/>
  <c r="DO202" i="174"/>
  <c r="DK202" i="174"/>
  <c r="DG202" i="174"/>
  <c r="DE202" i="174"/>
  <c r="CZ202" i="174"/>
  <c r="CY202" i="174"/>
  <c r="CX202" i="174"/>
  <c r="CS202" i="174"/>
  <c r="CO202" i="174"/>
  <c r="BW202" i="174"/>
  <c r="BO202" i="174"/>
  <c r="BM202" i="174"/>
  <c r="BH202" i="174"/>
  <c r="BG202" i="174"/>
  <c r="BF202" i="174"/>
  <c r="BA202" i="174"/>
  <c r="AY202" i="174"/>
  <c r="AW202" i="174"/>
  <c r="AR202" i="174"/>
  <c r="AQ202" i="174"/>
  <c r="AP202" i="174"/>
  <c r="AK202" i="174"/>
  <c r="AJ202" i="174"/>
  <c r="AI202" i="174"/>
  <c r="AH202" i="174"/>
  <c r="AG202" i="174"/>
  <c r="AD202" i="174"/>
  <c r="AB202" i="174"/>
  <c r="Z202" i="174"/>
  <c r="G202" i="174"/>
  <c r="DU201" i="174"/>
  <c r="DR201" i="174"/>
  <c r="DM201" i="174"/>
  <c r="DG201" i="174"/>
  <c r="DF201" i="174"/>
  <c r="DE201" i="174"/>
  <c r="DC201" i="174"/>
  <c r="DB201" i="174"/>
  <c r="DA201" i="174"/>
  <c r="CZ201" i="174"/>
  <c r="CY201" i="174"/>
  <c r="CX201" i="174"/>
  <c r="CW201" i="174"/>
  <c r="CV201" i="174"/>
  <c r="CS201" i="174"/>
  <c r="CR201" i="174"/>
  <c r="CQ201" i="174"/>
  <c r="CP201" i="174"/>
  <c r="CO201" i="174"/>
  <c r="CK201" i="174"/>
  <c r="CJ201" i="174"/>
  <c r="BZ201" i="174"/>
  <c r="BU201" i="174"/>
  <c r="BO201" i="174"/>
  <c r="BN201" i="174"/>
  <c r="BM201" i="174"/>
  <c r="BK201" i="174"/>
  <c r="BJ201" i="174"/>
  <c r="BI201" i="174"/>
  <c r="BH201" i="174"/>
  <c r="BG201" i="174"/>
  <c r="BF201" i="174"/>
  <c r="BE201" i="174"/>
  <c r="BD201" i="174"/>
  <c r="BA201" i="174"/>
  <c r="AZ201" i="174"/>
  <c r="AY201" i="174"/>
  <c r="AX201" i="174"/>
  <c r="AW201" i="174"/>
  <c r="AR201" i="174"/>
  <c r="AQ201" i="174"/>
  <c r="AP201" i="174"/>
  <c r="AM201" i="174"/>
  <c r="AL201" i="174"/>
  <c r="AK201" i="174"/>
  <c r="AJ201" i="174"/>
  <c r="AI201" i="174"/>
  <c r="AH201" i="174"/>
  <c r="AG201" i="174"/>
  <c r="AE201" i="174"/>
  <c r="AD201" i="174"/>
  <c r="AC201" i="174"/>
  <c r="AB201" i="174"/>
  <c r="Z201" i="174"/>
  <c r="G201" i="174"/>
  <c r="DU200" i="174"/>
  <c r="DR200" i="174"/>
  <c r="DK200" i="174"/>
  <c r="DG200" i="174"/>
  <c r="DF200" i="174"/>
  <c r="DE200" i="174"/>
  <c r="DC200" i="174"/>
  <c r="DB200" i="174"/>
  <c r="DA200" i="174"/>
  <c r="CY200" i="174"/>
  <c r="CX200" i="174"/>
  <c r="CW200" i="174"/>
  <c r="CV200" i="174"/>
  <c r="CU200" i="174"/>
  <c r="CS200" i="174"/>
  <c r="CQ200" i="174"/>
  <c r="CP200" i="174"/>
  <c r="CO200" i="174"/>
  <c r="BZ200" i="174"/>
  <c r="BU200" i="174"/>
  <c r="BN200" i="174"/>
  <c r="BM200" i="174"/>
  <c r="BK200" i="174"/>
  <c r="BJ200" i="174"/>
  <c r="BI200" i="174"/>
  <c r="BG200" i="174"/>
  <c r="BF200" i="174"/>
  <c r="BE200" i="174"/>
  <c r="BD200" i="174"/>
  <c r="BC200" i="174"/>
  <c r="BA200" i="174"/>
  <c r="AY200" i="174"/>
  <c r="AX200" i="174"/>
  <c r="AW200" i="174"/>
  <c r="AR200" i="174"/>
  <c r="AQ200" i="174"/>
  <c r="AP200" i="174"/>
  <c r="AO200" i="174"/>
  <c r="AM200" i="174"/>
  <c r="AL200" i="174"/>
  <c r="AK200" i="174"/>
  <c r="AJ200" i="174"/>
  <c r="AI200" i="174"/>
  <c r="AH200" i="174"/>
  <c r="AG200" i="174"/>
  <c r="AE200" i="174"/>
  <c r="AB200" i="174"/>
  <c r="Z200" i="174"/>
  <c r="G200" i="174"/>
  <c r="EC199" i="174"/>
  <c r="DR199" i="174"/>
  <c r="DM199" i="174"/>
  <c r="DL199" i="174"/>
  <c r="DK199" i="174"/>
  <c r="DG199" i="174"/>
  <c r="DF199" i="174"/>
  <c r="DE199" i="174"/>
  <c r="DC199" i="174"/>
  <c r="DB199" i="174"/>
  <c r="DA199" i="174"/>
  <c r="CZ199" i="174"/>
  <c r="CY199" i="174"/>
  <c r="CX199" i="174"/>
  <c r="CW199" i="174"/>
  <c r="CV199" i="174"/>
  <c r="CU199" i="174"/>
  <c r="CT199" i="174"/>
  <c r="CQ199" i="174"/>
  <c r="CP199" i="174"/>
  <c r="CO199" i="174"/>
  <c r="BZ199" i="174"/>
  <c r="BU199" i="174"/>
  <c r="BS199" i="174"/>
  <c r="BO199" i="174"/>
  <c r="BN199" i="174"/>
  <c r="BM199" i="174"/>
  <c r="BK199" i="174"/>
  <c r="BJ199" i="174"/>
  <c r="BI199" i="174"/>
  <c r="BH199" i="174"/>
  <c r="BG199" i="174"/>
  <c r="BF199" i="174"/>
  <c r="BE199" i="174"/>
  <c r="BD199" i="174"/>
  <c r="BC199" i="174"/>
  <c r="BB199" i="174"/>
  <c r="AY199" i="174"/>
  <c r="AX199" i="174"/>
  <c r="AW199" i="174"/>
  <c r="AR199" i="174"/>
  <c r="AQ199" i="174"/>
  <c r="AP199" i="174"/>
  <c r="AM199" i="174"/>
  <c r="AL199" i="174"/>
  <c r="AK199" i="174"/>
  <c r="AJ199" i="174"/>
  <c r="AI199" i="174"/>
  <c r="AH199" i="174"/>
  <c r="AG199" i="174"/>
  <c r="AF199" i="174"/>
  <c r="AB199" i="174"/>
  <c r="AA199" i="174"/>
  <c r="Z199" i="174"/>
  <c r="G199" i="174"/>
  <c r="DR195" i="174"/>
  <c r="DK195" i="174"/>
  <c r="DG195" i="174"/>
  <c r="DF195" i="174"/>
  <c r="DE195" i="174"/>
  <c r="DB195" i="174"/>
  <c r="DA195" i="174"/>
  <c r="CY195" i="174"/>
  <c r="CX195" i="174"/>
  <c r="CW195" i="174"/>
  <c r="CV195" i="174"/>
  <c r="CU195" i="174"/>
  <c r="CP195" i="174"/>
  <c r="CO195" i="174"/>
  <c r="BZ195" i="174"/>
  <c r="BN195" i="174"/>
  <c r="BM195" i="174"/>
  <c r="BJ195" i="174"/>
  <c r="BI195" i="174"/>
  <c r="BG195" i="174"/>
  <c r="BF195" i="174"/>
  <c r="BE195" i="174"/>
  <c r="BD195" i="174"/>
  <c r="BC195" i="174"/>
  <c r="AX195" i="174"/>
  <c r="AW195" i="174"/>
  <c r="AR195" i="174"/>
  <c r="AQ195" i="174"/>
  <c r="AP195" i="174"/>
  <c r="AM195" i="174"/>
  <c r="AL195" i="174"/>
  <c r="AK195" i="174"/>
  <c r="AJ195" i="174"/>
  <c r="AI195" i="174"/>
  <c r="AH195" i="174"/>
  <c r="AG195" i="174"/>
  <c r="AB195" i="174"/>
  <c r="Z195" i="174"/>
  <c r="G195" i="174"/>
  <c r="ED194" i="174"/>
  <c r="EC194" i="174"/>
  <c r="EB194" i="174"/>
  <c r="EA194" i="174"/>
  <c r="DZ194" i="174"/>
  <c r="DY194" i="174"/>
  <c r="DX194" i="174"/>
  <c r="DW194" i="174"/>
  <c r="DV194" i="174"/>
  <c r="DT194" i="174"/>
  <c r="DS194" i="174"/>
  <c r="DQ194" i="174"/>
  <c r="DP194" i="174"/>
  <c r="DO194" i="174"/>
  <c r="CN194" i="174"/>
  <c r="CL194" i="174"/>
  <c r="CI194" i="174"/>
  <c r="CH194" i="174"/>
  <c r="CG194" i="174"/>
  <c r="CF194" i="174"/>
  <c r="CE194" i="174"/>
  <c r="CD194" i="174"/>
  <c r="CC194" i="174"/>
  <c r="CB194" i="174"/>
  <c r="CA194" i="174"/>
  <c r="BY194" i="174"/>
  <c r="BX194" i="174"/>
  <c r="BW194" i="174"/>
  <c r="BT194" i="174"/>
  <c r="BS194" i="174"/>
  <c r="AV194" i="174"/>
  <c r="AC194" i="174"/>
  <c r="H194" i="174"/>
  <c r="EC193" i="174"/>
  <c r="EB193" i="174"/>
  <c r="EA193" i="174"/>
  <c r="DZ193" i="174"/>
  <c r="DY193" i="174"/>
  <c r="DX193" i="174"/>
  <c r="DW193" i="174"/>
  <c r="DV193" i="174"/>
  <c r="DT193" i="174"/>
  <c r="DS193" i="174"/>
  <c r="DQ193" i="174"/>
  <c r="DP193" i="174"/>
  <c r="DO193" i="174"/>
  <c r="DN193" i="174"/>
  <c r="DH193" i="174"/>
  <c r="CN193" i="174"/>
  <c r="H193" i="174" s="1"/>
  <c r="CI193" i="174"/>
  <c r="CH193" i="174"/>
  <c r="CG193" i="174"/>
  <c r="CF193" i="174"/>
  <c r="CE193" i="174"/>
  <c r="CD193" i="174"/>
  <c r="CC193" i="174"/>
  <c r="CB193" i="174"/>
  <c r="CA193" i="174"/>
  <c r="BY193" i="174"/>
  <c r="BX193" i="174"/>
  <c r="BW193" i="174"/>
  <c r="BV193" i="174"/>
  <c r="BT193" i="174"/>
  <c r="BS193" i="174"/>
  <c r="BP193" i="174"/>
  <c r="AV193" i="174" s="1"/>
  <c r="AS193" i="174"/>
  <c r="Y193" i="174" s="1"/>
  <c r="ED192" i="174"/>
  <c r="EC192" i="174"/>
  <c r="EC201" i="174" s="1"/>
  <c r="EB192" i="174"/>
  <c r="EA192" i="174"/>
  <c r="DY192" i="174"/>
  <c r="DX192" i="174"/>
  <c r="DW192" i="174"/>
  <c r="DV192" i="174"/>
  <c r="DT192" i="174"/>
  <c r="DS192" i="174"/>
  <c r="DQ192" i="174"/>
  <c r="DP192" i="174"/>
  <c r="DO192" i="174"/>
  <c r="DN192" i="174"/>
  <c r="DD192" i="174"/>
  <c r="DD201" i="174" s="1"/>
  <c r="CL192" i="174"/>
  <c r="CI192" i="174"/>
  <c r="CG192" i="174"/>
  <c r="CF192" i="174"/>
  <c r="CE192" i="174"/>
  <c r="CD192" i="174"/>
  <c r="CC192" i="174"/>
  <c r="CB192" i="174"/>
  <c r="CA192" i="174"/>
  <c r="BY192" i="174"/>
  <c r="BX192" i="174"/>
  <c r="BW192" i="174"/>
  <c r="BV192" i="174"/>
  <c r="BT192" i="174"/>
  <c r="BS192" i="174"/>
  <c r="BL192" i="174"/>
  <c r="AO192" i="174"/>
  <c r="AO201" i="174" s="1"/>
  <c r="Y192" i="174"/>
  <c r="ED191" i="174"/>
  <c r="EC191" i="174"/>
  <c r="EB191" i="174"/>
  <c r="EA191" i="174"/>
  <c r="DZ191" i="174"/>
  <c r="DY191" i="174"/>
  <c r="DX191" i="174"/>
  <c r="DW191" i="174"/>
  <c r="DV191" i="174"/>
  <c r="DT191" i="174"/>
  <c r="DS191" i="174"/>
  <c r="DQ191" i="174"/>
  <c r="DO191" i="174"/>
  <c r="DN191" i="174"/>
  <c r="CN191" i="174"/>
  <c r="CL191" i="174"/>
  <c r="CI191" i="174"/>
  <c r="CH191" i="174"/>
  <c r="CG191" i="174"/>
  <c r="CF191" i="174"/>
  <c r="CE191" i="174"/>
  <c r="CD191" i="174"/>
  <c r="CC191" i="174"/>
  <c r="CB191" i="174"/>
  <c r="CA191" i="174"/>
  <c r="BY191" i="174"/>
  <c r="BW191" i="174"/>
  <c r="BV191" i="174"/>
  <c r="BT191" i="174"/>
  <c r="BS191" i="174"/>
  <c r="AV191" i="174"/>
  <c r="AE191" i="174"/>
  <c r="Y191" i="174"/>
  <c r="ED190" i="174"/>
  <c r="EC190" i="174"/>
  <c r="EB190" i="174"/>
  <c r="EA190" i="174"/>
  <c r="DZ190" i="174"/>
  <c r="DX190" i="174"/>
  <c r="DW190" i="174"/>
  <c r="DV190" i="174"/>
  <c r="DT190" i="174"/>
  <c r="DS190" i="174"/>
  <c r="DQ190" i="174"/>
  <c r="DP190" i="174"/>
  <c r="DO190" i="174"/>
  <c r="DN190" i="174"/>
  <c r="DC190" i="174"/>
  <c r="CN190" i="174" s="1"/>
  <c r="CL190" i="174"/>
  <c r="CI190" i="174"/>
  <c r="CH190" i="174"/>
  <c r="CF190" i="174"/>
  <c r="CE190" i="174"/>
  <c r="CD190" i="174"/>
  <c r="CC190" i="174"/>
  <c r="CB190" i="174"/>
  <c r="CA190" i="174"/>
  <c r="BY190" i="174"/>
  <c r="BX190" i="174"/>
  <c r="BW190" i="174"/>
  <c r="BV190" i="174"/>
  <c r="BT190" i="174"/>
  <c r="BS190" i="174"/>
  <c r="BK190" i="174"/>
  <c r="Y190" i="174"/>
  <c r="ED189" i="174"/>
  <c r="EC189" i="174"/>
  <c r="EB189" i="174"/>
  <c r="EA189" i="174"/>
  <c r="DZ189" i="174"/>
  <c r="DY189" i="174"/>
  <c r="DX189" i="174"/>
  <c r="DW189" i="174"/>
  <c r="DV189" i="174"/>
  <c r="DT189" i="174"/>
  <c r="DS189" i="174"/>
  <c r="DQ189" i="174"/>
  <c r="DP189" i="174"/>
  <c r="DO189" i="174"/>
  <c r="DN189" i="174"/>
  <c r="CN189" i="174"/>
  <c r="CL189" i="174"/>
  <c r="CI189" i="174"/>
  <c r="CH189" i="174"/>
  <c r="CG189" i="174"/>
  <c r="CF189" i="174"/>
  <c r="CE189" i="174"/>
  <c r="CD189" i="174"/>
  <c r="CC189" i="174"/>
  <c r="CB189" i="174"/>
  <c r="CA189" i="174"/>
  <c r="BY189" i="174"/>
  <c r="BX189" i="174"/>
  <c r="BW189" i="174"/>
  <c r="BV189" i="174"/>
  <c r="BT189" i="174"/>
  <c r="BS189" i="174"/>
  <c r="AV189" i="174"/>
  <c r="Y189" i="174"/>
  <c r="ED188" i="174"/>
  <c r="EC188" i="174"/>
  <c r="EB188" i="174"/>
  <c r="EA188" i="174"/>
  <c r="DZ188" i="174"/>
  <c r="DY188" i="174"/>
  <c r="DX188" i="174"/>
  <c r="DW188" i="174"/>
  <c r="DV188" i="174"/>
  <c r="DT188" i="174"/>
  <c r="DS188" i="174"/>
  <c r="DQ188" i="174"/>
  <c r="DO188" i="174"/>
  <c r="DN188" i="174"/>
  <c r="CT188" i="174"/>
  <c r="CN188" i="174" s="1"/>
  <c r="CL188" i="174"/>
  <c r="CI188" i="174"/>
  <c r="CH188" i="174"/>
  <c r="CG188" i="174"/>
  <c r="CF188" i="174"/>
  <c r="CE188" i="174"/>
  <c r="CD188" i="174"/>
  <c r="CC188" i="174"/>
  <c r="CB188" i="174"/>
  <c r="CA188" i="174"/>
  <c r="BY188" i="174"/>
  <c r="BW188" i="174"/>
  <c r="BV188" i="174"/>
  <c r="BT188" i="174"/>
  <c r="BS188" i="174"/>
  <c r="BB188" i="174"/>
  <c r="BX188" i="174" s="1"/>
  <c r="Y188" i="174"/>
  <c r="ED187" i="174"/>
  <c r="EC187" i="174"/>
  <c r="EB187" i="174"/>
  <c r="EA187" i="174"/>
  <c r="DZ187" i="174"/>
  <c r="DY187" i="174"/>
  <c r="DX187" i="174"/>
  <c r="DW187" i="174"/>
  <c r="DV187" i="174"/>
  <c r="DT187" i="174"/>
  <c r="DS187" i="174"/>
  <c r="DQ187" i="174"/>
  <c r="DP187" i="174"/>
  <c r="DO187" i="174"/>
  <c r="DN187" i="174"/>
  <c r="CN187" i="174"/>
  <c r="CL187" i="174"/>
  <c r="CI187" i="174"/>
  <c r="CH187" i="174"/>
  <c r="CG187" i="174"/>
  <c r="CF187" i="174"/>
  <c r="CE187" i="174"/>
  <c r="CD187" i="174"/>
  <c r="CC187" i="174"/>
  <c r="CB187" i="174"/>
  <c r="CA187" i="174"/>
  <c r="BY187" i="174"/>
  <c r="BX187" i="174"/>
  <c r="BW187" i="174"/>
  <c r="BV187" i="174"/>
  <c r="BT187" i="174"/>
  <c r="BS187" i="174"/>
  <c r="AV187" i="174"/>
  <c r="Y187" i="174"/>
  <c r="H187" i="174"/>
  <c r="ED186" i="174"/>
  <c r="EC186" i="174"/>
  <c r="EB186" i="174"/>
  <c r="EA186" i="174"/>
  <c r="DZ186" i="174"/>
  <c r="DY186" i="174"/>
  <c r="DX186" i="174"/>
  <c r="DW186" i="174"/>
  <c r="DV186" i="174"/>
  <c r="DT186" i="174"/>
  <c r="DS186" i="174"/>
  <c r="DQ186" i="174"/>
  <c r="DP186" i="174"/>
  <c r="DO186" i="174"/>
  <c r="DN186" i="174"/>
  <c r="CN186" i="174"/>
  <c r="H186" i="174" s="1"/>
  <c r="CL186" i="174"/>
  <c r="CI186" i="174"/>
  <c r="CH186" i="174"/>
  <c r="CG186" i="174"/>
  <c r="CF186" i="174"/>
  <c r="CE186" i="174"/>
  <c r="CD186" i="174"/>
  <c r="CC186" i="174"/>
  <c r="CB186" i="174"/>
  <c r="CA186" i="174"/>
  <c r="BY186" i="174"/>
  <c r="BX186" i="174"/>
  <c r="BW186" i="174"/>
  <c r="BV186" i="174"/>
  <c r="BT186" i="174"/>
  <c r="BS186" i="174"/>
  <c r="AV186" i="174"/>
  <c r="Y186" i="174"/>
  <c r="ED185" i="174"/>
  <c r="EC185" i="174"/>
  <c r="EB185" i="174"/>
  <c r="EA185" i="174"/>
  <c r="DZ185" i="174"/>
  <c r="DY185" i="174"/>
  <c r="DX185" i="174"/>
  <c r="DW185" i="174"/>
  <c r="DV185" i="174"/>
  <c r="DT185" i="174"/>
  <c r="DS185" i="174"/>
  <c r="DQ185" i="174"/>
  <c r="DO185" i="174"/>
  <c r="DN185" i="174"/>
  <c r="CT185" i="174"/>
  <c r="DP185" i="174" s="1"/>
  <c r="CN185" i="174"/>
  <c r="H185" i="174" s="1"/>
  <c r="I185" i="174" s="1"/>
  <c r="CL185" i="174"/>
  <c r="CI185" i="174"/>
  <c r="CH185" i="174"/>
  <c r="CG185" i="174"/>
  <c r="CF185" i="174"/>
  <c r="CE185" i="174"/>
  <c r="CD185" i="174"/>
  <c r="CC185" i="174"/>
  <c r="CB185" i="174"/>
  <c r="CA185" i="174"/>
  <c r="BY185" i="174"/>
  <c r="BW185" i="174"/>
  <c r="BV185" i="174"/>
  <c r="BT185" i="174"/>
  <c r="BS185" i="174"/>
  <c r="BB185" i="174"/>
  <c r="Y185" i="174"/>
  <c r="ED184" i="174"/>
  <c r="EC184" i="174"/>
  <c r="EB184" i="174"/>
  <c r="EA184" i="174"/>
  <c r="DZ184" i="174"/>
  <c r="DY184" i="174"/>
  <c r="DX184" i="174"/>
  <c r="DW184" i="174"/>
  <c r="DV184" i="174"/>
  <c r="DT184" i="174"/>
  <c r="DS184" i="174"/>
  <c r="DQ184" i="174"/>
  <c r="DP184" i="174"/>
  <c r="DO184" i="174"/>
  <c r="DN184" i="174"/>
  <c r="CN184" i="174"/>
  <c r="H184" i="174" s="1"/>
  <c r="CL184" i="174"/>
  <c r="CI184" i="174"/>
  <c r="CH184" i="174"/>
  <c r="CG184" i="174"/>
  <c r="CF184" i="174"/>
  <c r="CE184" i="174"/>
  <c r="CD184" i="174"/>
  <c r="CC184" i="174"/>
  <c r="CB184" i="174"/>
  <c r="CA184" i="174"/>
  <c r="BY184" i="174"/>
  <c r="BX184" i="174"/>
  <c r="BW184" i="174"/>
  <c r="BT184" i="174"/>
  <c r="BS184" i="174"/>
  <c r="AV184" i="174"/>
  <c r="AC184" i="174"/>
  <c r="ED183" i="174"/>
  <c r="EC183" i="174"/>
  <c r="EB183" i="174"/>
  <c r="EA183" i="174"/>
  <c r="DZ183" i="174"/>
  <c r="DY183" i="174"/>
  <c r="DX183" i="174"/>
  <c r="DW183" i="174"/>
  <c r="DV183" i="174"/>
  <c r="DT183" i="174"/>
  <c r="DS183" i="174"/>
  <c r="DQ183" i="174"/>
  <c r="DO183" i="174"/>
  <c r="DN183" i="174"/>
  <c r="CT183" i="174"/>
  <c r="CL183" i="174"/>
  <c r="CI183" i="174"/>
  <c r="CH183" i="174"/>
  <c r="CG183" i="174"/>
  <c r="CF183" i="174"/>
  <c r="CE183" i="174"/>
  <c r="CD183" i="174"/>
  <c r="CC183" i="174"/>
  <c r="CB183" i="174"/>
  <c r="CA183" i="174"/>
  <c r="BY183" i="174"/>
  <c r="BX183" i="174"/>
  <c r="BW183" i="174"/>
  <c r="BV183" i="174"/>
  <c r="BT183" i="174"/>
  <c r="BS183" i="174"/>
  <c r="BB183" i="174"/>
  <c r="AV183" i="174" s="1"/>
  <c r="Y183" i="174"/>
  <c r="ED182" i="174"/>
  <c r="EC182" i="174"/>
  <c r="EB182" i="174"/>
  <c r="EA182" i="174"/>
  <c r="DZ182" i="174"/>
  <c r="DY182" i="174"/>
  <c r="DX182" i="174"/>
  <c r="DW182" i="174"/>
  <c r="DV182" i="174"/>
  <c r="DT182" i="174"/>
  <c r="DS182" i="174"/>
  <c r="DQ182" i="174"/>
  <c r="DP182" i="174"/>
  <c r="DO182" i="174"/>
  <c r="CN182" i="174"/>
  <c r="CL182" i="174"/>
  <c r="CK182" i="174"/>
  <c r="CI182" i="174"/>
  <c r="CH182" i="174"/>
  <c r="CG182" i="174"/>
  <c r="CF182" i="174"/>
  <c r="CE182" i="174"/>
  <c r="CD182" i="174"/>
  <c r="CC182" i="174"/>
  <c r="CB182" i="174"/>
  <c r="CA182" i="174"/>
  <c r="BY182" i="174"/>
  <c r="BX182" i="174"/>
  <c r="BW182" i="174"/>
  <c r="BT182" i="174"/>
  <c r="BS182" i="174"/>
  <c r="AV182" i="174"/>
  <c r="AC182" i="174"/>
  <c r="H182" i="174"/>
  <c r="ED181" i="174"/>
  <c r="EC181" i="174"/>
  <c r="EB181" i="174"/>
  <c r="EA181" i="174"/>
  <c r="DZ181" i="174"/>
  <c r="DY181" i="174"/>
  <c r="DX181" i="174"/>
  <c r="DW181" i="174"/>
  <c r="DV181" i="174"/>
  <c r="DT181" i="174"/>
  <c r="DS181" i="174"/>
  <c r="DQ181" i="174"/>
  <c r="DP181" i="174"/>
  <c r="DO181" i="174"/>
  <c r="CN181" i="174"/>
  <c r="H181" i="174" s="1"/>
  <c r="CL181" i="174"/>
  <c r="CK181" i="174"/>
  <c r="CI181" i="174"/>
  <c r="CH181" i="174"/>
  <c r="CG181" i="174"/>
  <c r="CF181" i="174"/>
  <c r="CE181" i="174"/>
  <c r="CD181" i="174"/>
  <c r="CC181" i="174"/>
  <c r="CB181" i="174"/>
  <c r="CA181" i="174"/>
  <c r="BY181" i="174"/>
  <c r="BX181" i="174"/>
  <c r="BW181" i="174"/>
  <c r="BT181" i="174"/>
  <c r="BS181" i="174"/>
  <c r="AV181" i="174"/>
  <c r="AC181" i="174"/>
  <c r="DN181" i="174" s="1"/>
  <c r="ED180" i="174"/>
  <c r="EC180" i="174"/>
  <c r="EB180" i="174"/>
  <c r="EA180" i="174"/>
  <c r="DZ180" i="174"/>
  <c r="DY180" i="174"/>
  <c r="DX180" i="174"/>
  <c r="DW180" i="174"/>
  <c r="DV180" i="174"/>
  <c r="DT180" i="174"/>
  <c r="DS180" i="174"/>
  <c r="DQ180" i="174"/>
  <c r="DP180" i="174"/>
  <c r="DO180" i="174"/>
  <c r="CN180" i="174"/>
  <c r="H180" i="174" s="1"/>
  <c r="CL180" i="174"/>
  <c r="CK180" i="174"/>
  <c r="CI180" i="174"/>
  <c r="CH180" i="174"/>
  <c r="CG180" i="174"/>
  <c r="CF180" i="174"/>
  <c r="CE180" i="174"/>
  <c r="CD180" i="174"/>
  <c r="CC180" i="174"/>
  <c r="CB180" i="174"/>
  <c r="CA180" i="174"/>
  <c r="BY180" i="174"/>
  <c r="BX180" i="174"/>
  <c r="BW180" i="174"/>
  <c r="BT180" i="174"/>
  <c r="BS180" i="174"/>
  <c r="AV180" i="174"/>
  <c r="AC180" i="174"/>
  <c r="ED179" i="174"/>
  <c r="EC179" i="174"/>
  <c r="EB179" i="174"/>
  <c r="EA179" i="174"/>
  <c r="DZ179" i="174"/>
  <c r="DY179" i="174"/>
  <c r="DX179" i="174"/>
  <c r="DW179" i="174"/>
  <c r="DV179" i="174"/>
  <c r="DT179" i="174"/>
  <c r="DS179" i="174"/>
  <c r="DQ179" i="174"/>
  <c r="DP179" i="174"/>
  <c r="DO179" i="174"/>
  <c r="DN179" i="174"/>
  <c r="CN179" i="174"/>
  <c r="CL179" i="174"/>
  <c r="CK179" i="174"/>
  <c r="CI179" i="174"/>
  <c r="CH179" i="174"/>
  <c r="CG179" i="174"/>
  <c r="CF179" i="174"/>
  <c r="CE179" i="174"/>
  <c r="CD179" i="174"/>
  <c r="CC179" i="174"/>
  <c r="CB179" i="174"/>
  <c r="CA179" i="174"/>
  <c r="BY179" i="174"/>
  <c r="BX179" i="174"/>
  <c r="BW179" i="174"/>
  <c r="BV179" i="174"/>
  <c r="BT179" i="174"/>
  <c r="BS179" i="174"/>
  <c r="AV179" i="174"/>
  <c r="Y179" i="174"/>
  <c r="AU179" i="174" s="1"/>
  <c r="BQ179" i="174" s="1"/>
  <c r="ED178" i="174"/>
  <c r="EC178" i="174"/>
  <c r="EB178" i="174"/>
  <c r="EA178" i="174"/>
  <c r="DY178" i="174"/>
  <c r="DX178" i="174"/>
  <c r="DW178" i="174"/>
  <c r="DV178" i="174"/>
  <c r="DT178" i="174"/>
  <c r="DS178" i="174"/>
  <c r="DQ178" i="174"/>
  <c r="DP178" i="174"/>
  <c r="DO178" i="174"/>
  <c r="DD178" i="174"/>
  <c r="CL178" i="174"/>
  <c r="CK178" i="174"/>
  <c r="CI178" i="174"/>
  <c r="CG178" i="174"/>
  <c r="CF178" i="174"/>
  <c r="CE178" i="174"/>
  <c r="CD178" i="174"/>
  <c r="CC178" i="174"/>
  <c r="CB178" i="174"/>
  <c r="CA178" i="174"/>
  <c r="BY178" i="174"/>
  <c r="BX178" i="174"/>
  <c r="BW178" i="174"/>
  <c r="BT178" i="174"/>
  <c r="BS178" i="174"/>
  <c r="BL178" i="174"/>
  <c r="CH178" i="174" s="1"/>
  <c r="AE178" i="174"/>
  <c r="AC178" i="174"/>
  <c r="Y178" i="174"/>
  <c r="ED177" i="174"/>
  <c r="EC177" i="174"/>
  <c r="EB177" i="174"/>
  <c r="EA177" i="174"/>
  <c r="DZ177" i="174"/>
  <c r="DY177" i="174"/>
  <c r="DX177" i="174"/>
  <c r="DW177" i="174"/>
  <c r="DV177" i="174"/>
  <c r="DT177" i="174"/>
  <c r="DS177" i="174"/>
  <c r="DQ177" i="174"/>
  <c r="DO177" i="174"/>
  <c r="DN177" i="174"/>
  <c r="DL177" i="174"/>
  <c r="CT177" i="174"/>
  <c r="CN177" i="174" s="1"/>
  <c r="CL177" i="174"/>
  <c r="CK177" i="174"/>
  <c r="CI177" i="174"/>
  <c r="CG177" i="174"/>
  <c r="CF177" i="174"/>
  <c r="CE177" i="174"/>
  <c r="CD177" i="174"/>
  <c r="CC177" i="174"/>
  <c r="CB177" i="174"/>
  <c r="CA177" i="174"/>
  <c r="BY177" i="174"/>
  <c r="BW177" i="174"/>
  <c r="BV177" i="174"/>
  <c r="BT177" i="174"/>
  <c r="BS177" i="174"/>
  <c r="BL177" i="174"/>
  <c r="CH177" i="174" s="1"/>
  <c r="BB177" i="174"/>
  <c r="AE177" i="174"/>
  <c r="Y177" i="174"/>
  <c r="CN176" i="174"/>
  <c r="H176" i="174" s="1"/>
  <c r="AV176" i="174"/>
  <c r="AC176" i="174"/>
  <c r="CN175" i="174"/>
  <c r="H175" i="174" s="1"/>
  <c r="AV175" i="174"/>
  <c r="AC175" i="174"/>
  <c r="Y175" i="174" s="1"/>
  <c r="I175" i="174" s="1"/>
  <c r="CN174" i="174"/>
  <c r="H174" i="174" s="1"/>
  <c r="AV174" i="174"/>
  <c r="AC174" i="174"/>
  <c r="Y174" i="174" s="1"/>
  <c r="AU174" i="174" s="1"/>
  <c r="BQ174" i="174" s="1"/>
  <c r="ED173" i="174"/>
  <c r="EC173" i="174"/>
  <c r="EB173" i="174"/>
  <c r="EA173" i="174"/>
  <c r="DZ173" i="174"/>
  <c r="DY173" i="174"/>
  <c r="DX173" i="174"/>
  <c r="DW173" i="174"/>
  <c r="DV173" i="174"/>
  <c r="DT173" i="174"/>
  <c r="DS173" i="174"/>
  <c r="DQ173" i="174"/>
  <c r="DP173" i="174"/>
  <c r="DO173" i="174"/>
  <c r="DN173" i="174"/>
  <c r="CN173" i="174"/>
  <c r="H173" i="174" s="1"/>
  <c r="I173" i="174" s="1"/>
  <c r="CL173" i="174"/>
  <c r="CI173" i="174"/>
  <c r="CH173" i="174"/>
  <c r="CG173" i="174"/>
  <c r="CF173" i="174"/>
  <c r="CE173" i="174"/>
  <c r="CD173" i="174"/>
  <c r="CC173" i="174"/>
  <c r="CB173" i="174"/>
  <c r="CA173" i="174"/>
  <c r="BY173" i="174"/>
  <c r="BX173" i="174"/>
  <c r="BW173" i="174"/>
  <c r="BV173" i="174"/>
  <c r="BT173" i="174"/>
  <c r="BS173" i="174"/>
  <c r="BO173" i="174"/>
  <c r="BO195" i="174" s="1"/>
  <c r="Y173" i="174"/>
  <c r="EC172" i="174"/>
  <c r="EB172" i="174"/>
  <c r="EA172" i="174"/>
  <c r="DZ172" i="174"/>
  <c r="DY172" i="174"/>
  <c r="DX172" i="174"/>
  <c r="DW172" i="174"/>
  <c r="DV172" i="174"/>
  <c r="DT172" i="174"/>
  <c r="DS172" i="174"/>
  <c r="DQ172" i="174"/>
  <c r="DP172" i="174"/>
  <c r="DO172" i="174"/>
  <c r="DN172" i="174"/>
  <c r="DH172" i="174"/>
  <c r="CN172" i="174" s="1"/>
  <c r="CK172" i="174"/>
  <c r="CI172" i="174"/>
  <c r="CH172" i="174"/>
  <c r="CG172" i="174"/>
  <c r="CF172" i="174"/>
  <c r="CE172" i="174"/>
  <c r="CD172" i="174"/>
  <c r="CC172" i="174"/>
  <c r="CB172" i="174"/>
  <c r="CA172" i="174"/>
  <c r="BY172" i="174"/>
  <c r="BX172" i="174"/>
  <c r="BW172" i="174"/>
  <c r="BV172" i="174"/>
  <c r="BT172" i="174"/>
  <c r="BS172" i="174"/>
  <c r="BP172" i="174"/>
  <c r="AV172" i="174"/>
  <c r="AS172" i="174"/>
  <c r="ED171" i="174"/>
  <c r="EC171" i="174"/>
  <c r="EB171" i="174"/>
  <c r="EA171" i="174"/>
  <c r="DZ171" i="174"/>
  <c r="DY171" i="174"/>
  <c r="DX171" i="174"/>
  <c r="DW171" i="174"/>
  <c r="DV171" i="174"/>
  <c r="DT171" i="174"/>
  <c r="DS171" i="174"/>
  <c r="DP171" i="174"/>
  <c r="DO171" i="174"/>
  <c r="CN171" i="174"/>
  <c r="CK171" i="174"/>
  <c r="CI171" i="174"/>
  <c r="CH171" i="174"/>
  <c r="CG171" i="174"/>
  <c r="CF171" i="174"/>
  <c r="CE171" i="174"/>
  <c r="CD171" i="174"/>
  <c r="CC171" i="174"/>
  <c r="CB171" i="174"/>
  <c r="CA171" i="174"/>
  <c r="BX171" i="174"/>
  <c r="BW171" i="174"/>
  <c r="BT171" i="174"/>
  <c r="BS171" i="174"/>
  <c r="BP171" i="174"/>
  <c r="AV171" i="174" s="1"/>
  <c r="AS171" i="174"/>
  <c r="AF171" i="174"/>
  <c r="AC171" i="174"/>
  <c r="DN171" i="174" s="1"/>
  <c r="ED170" i="174"/>
  <c r="EC170" i="174"/>
  <c r="EB170" i="174"/>
  <c r="EA170" i="174"/>
  <c r="DY170" i="174"/>
  <c r="DX170" i="174"/>
  <c r="DW170" i="174"/>
  <c r="DV170" i="174"/>
  <c r="DT170" i="174"/>
  <c r="DS170" i="174"/>
  <c r="DQ170" i="174"/>
  <c r="DO170" i="174"/>
  <c r="DD170" i="174"/>
  <c r="CT170" i="174"/>
  <c r="CR170" i="174"/>
  <c r="CL170" i="174"/>
  <c r="CK170" i="174"/>
  <c r="CI170" i="174"/>
  <c r="CG170" i="174"/>
  <c r="CF170" i="174"/>
  <c r="CE170" i="174"/>
  <c r="CD170" i="174"/>
  <c r="CC170" i="174"/>
  <c r="CB170" i="174"/>
  <c r="CA170" i="174"/>
  <c r="BY170" i="174"/>
  <c r="BW170" i="174"/>
  <c r="BT170" i="174"/>
  <c r="BS170" i="174"/>
  <c r="BL170" i="174"/>
  <c r="BB170" i="174"/>
  <c r="AZ170" i="174"/>
  <c r="Y170" i="174"/>
  <c r="EC169" i="174"/>
  <c r="EB169" i="174"/>
  <c r="EA169" i="174"/>
  <c r="DZ169" i="174"/>
  <c r="DY169" i="174"/>
  <c r="DX169" i="174"/>
  <c r="DW169" i="174"/>
  <c r="DV169" i="174"/>
  <c r="DT169" i="174"/>
  <c r="DS169" i="174"/>
  <c r="DQ169" i="174"/>
  <c r="DP169" i="174"/>
  <c r="DO169" i="174"/>
  <c r="DN169" i="174"/>
  <c r="DH169" i="174"/>
  <c r="CN169" i="174" s="1"/>
  <c r="CK169" i="174"/>
  <c r="CI169" i="174"/>
  <c r="CH169" i="174"/>
  <c r="CG169" i="174"/>
  <c r="CF169" i="174"/>
  <c r="CE169" i="174"/>
  <c r="CD169" i="174"/>
  <c r="CC169" i="174"/>
  <c r="CB169" i="174"/>
  <c r="CA169" i="174"/>
  <c r="BY169" i="174"/>
  <c r="BX169" i="174"/>
  <c r="BW169" i="174"/>
  <c r="BV169" i="174"/>
  <c r="BT169" i="174"/>
  <c r="BS169" i="174"/>
  <c r="BP169" i="174"/>
  <c r="AV169" i="174" s="1"/>
  <c r="AS169" i="174"/>
  <c r="Y169" i="174" s="1"/>
  <c r="EC168" i="174"/>
  <c r="EB168" i="174"/>
  <c r="EA168" i="174"/>
  <c r="DZ168" i="174"/>
  <c r="DY168" i="174"/>
  <c r="DX168" i="174"/>
  <c r="DW168" i="174"/>
  <c r="DV168" i="174"/>
  <c r="DT168" i="174"/>
  <c r="DS168" i="174"/>
  <c r="DP168" i="174"/>
  <c r="DO168" i="174"/>
  <c r="DH168" i="174"/>
  <c r="CR168" i="174"/>
  <c r="CK168" i="174"/>
  <c r="CI168" i="174"/>
  <c r="CH168" i="174"/>
  <c r="CG168" i="174"/>
  <c r="CF168" i="174"/>
  <c r="CE168" i="174"/>
  <c r="CD168" i="174"/>
  <c r="CC168" i="174"/>
  <c r="CB168" i="174"/>
  <c r="CA168" i="174"/>
  <c r="BX168" i="174"/>
  <c r="BW168" i="174"/>
  <c r="BT168" i="174"/>
  <c r="BS168" i="174"/>
  <c r="BP168" i="174"/>
  <c r="AZ168" i="174"/>
  <c r="AS168" i="174"/>
  <c r="ED168" i="174" s="1"/>
  <c r="AF168" i="174"/>
  <c r="BY168" i="174" s="1"/>
  <c r="AC168" i="174"/>
  <c r="ED167" i="174"/>
  <c r="EC167" i="174"/>
  <c r="EB167" i="174"/>
  <c r="EA167" i="174"/>
  <c r="DZ167" i="174"/>
  <c r="DY167" i="174"/>
  <c r="DX167" i="174"/>
  <c r="DW167" i="174"/>
  <c r="DV167" i="174"/>
  <c r="DT167" i="174"/>
  <c r="DS167" i="174"/>
  <c r="DP167" i="174"/>
  <c r="DO167" i="174"/>
  <c r="CR167" i="174"/>
  <c r="CN167" i="174" s="1"/>
  <c r="H167" i="174" s="1"/>
  <c r="CL167" i="174"/>
  <c r="CK167" i="174"/>
  <c r="CI167" i="174"/>
  <c r="CH167" i="174"/>
  <c r="CG167" i="174"/>
  <c r="CF167" i="174"/>
  <c r="CE167" i="174"/>
  <c r="CD167" i="174"/>
  <c r="CC167" i="174"/>
  <c r="CB167" i="174"/>
  <c r="CA167" i="174"/>
  <c r="BX167" i="174"/>
  <c r="BW167" i="174"/>
  <c r="BT167" i="174"/>
  <c r="BS167" i="174"/>
  <c r="AZ167" i="174"/>
  <c r="AV167" i="174" s="1"/>
  <c r="AF167" i="174"/>
  <c r="AC167" i="174"/>
  <c r="ED166" i="174"/>
  <c r="EC166" i="174"/>
  <c r="EB166" i="174"/>
  <c r="EA166" i="174"/>
  <c r="DZ166" i="174"/>
  <c r="DY166" i="174"/>
  <c r="DX166" i="174"/>
  <c r="DW166" i="174"/>
  <c r="DV166" i="174"/>
  <c r="DT166" i="174"/>
  <c r="DS166" i="174"/>
  <c r="DP166" i="174"/>
  <c r="DO166" i="174"/>
  <c r="DM166" i="174"/>
  <c r="CN166" i="174"/>
  <c r="CL166" i="174"/>
  <c r="CK166" i="174"/>
  <c r="CI166" i="174"/>
  <c r="CH166" i="174"/>
  <c r="CG166" i="174"/>
  <c r="CF166" i="174"/>
  <c r="CE166" i="174"/>
  <c r="CD166" i="174"/>
  <c r="CC166" i="174"/>
  <c r="CB166" i="174"/>
  <c r="CA166" i="174"/>
  <c r="BX166" i="174"/>
  <c r="BW166" i="174"/>
  <c r="BS166" i="174"/>
  <c r="AV166" i="174"/>
  <c r="AF166" i="174"/>
  <c r="DQ166" i="174" s="1"/>
  <c r="AC166" i="174"/>
  <c r="DN166" i="174" s="1"/>
  <c r="AA166" i="174"/>
  <c r="BT166" i="174" s="1"/>
  <c r="EC165" i="174"/>
  <c r="EB165" i="174"/>
  <c r="EA165" i="174"/>
  <c r="DZ165" i="174"/>
  <c r="DY165" i="174"/>
  <c r="DX165" i="174"/>
  <c r="DW165" i="174"/>
  <c r="DV165" i="174"/>
  <c r="DT165" i="174"/>
  <c r="DS165" i="174"/>
  <c r="DQ165" i="174"/>
  <c r="DP165" i="174"/>
  <c r="DO165" i="174"/>
  <c r="DN165" i="174"/>
  <c r="DH165" i="174"/>
  <c r="CN165" i="174" s="1"/>
  <c r="CK165" i="174"/>
  <c r="CI165" i="174"/>
  <c r="CH165" i="174"/>
  <c r="CG165" i="174"/>
  <c r="CF165" i="174"/>
  <c r="CE165" i="174"/>
  <c r="CD165" i="174"/>
  <c r="CC165" i="174"/>
  <c r="CB165" i="174"/>
  <c r="CA165" i="174"/>
  <c r="BY165" i="174"/>
  <c r="BX165" i="174"/>
  <c r="BW165" i="174"/>
  <c r="BV165" i="174"/>
  <c r="BT165" i="174"/>
  <c r="BS165" i="174"/>
  <c r="BP165" i="174"/>
  <c r="AV165" i="174" s="1"/>
  <c r="AS165" i="174"/>
  <c r="EC164" i="174"/>
  <c r="EB164" i="174"/>
  <c r="EA164" i="174"/>
  <c r="DZ164" i="174"/>
  <c r="DY164" i="174"/>
  <c r="DX164" i="174"/>
  <c r="DW164" i="174"/>
  <c r="DV164" i="174"/>
  <c r="DT164" i="174"/>
  <c r="DS164" i="174"/>
  <c r="DQ164" i="174"/>
  <c r="DP164" i="174"/>
  <c r="DO164" i="174"/>
  <c r="DN164" i="174"/>
  <c r="DH164" i="174"/>
  <c r="CK164" i="174"/>
  <c r="CI164" i="174"/>
  <c r="CH164" i="174"/>
  <c r="CG164" i="174"/>
  <c r="CF164" i="174"/>
  <c r="CE164" i="174"/>
  <c r="CD164" i="174"/>
  <c r="CC164" i="174"/>
  <c r="CB164" i="174"/>
  <c r="CA164" i="174"/>
  <c r="BY164" i="174"/>
  <c r="BX164" i="174"/>
  <c r="BW164" i="174"/>
  <c r="BT164" i="174"/>
  <c r="BS164" i="174"/>
  <c r="BP164" i="174"/>
  <c r="AZ164" i="174"/>
  <c r="BV164" i="174" s="1"/>
  <c r="AS164" i="174"/>
  <c r="Y164" i="174"/>
  <c r="ED163" i="174"/>
  <c r="EC163" i="174"/>
  <c r="EB163" i="174"/>
  <c r="EA163" i="174"/>
  <c r="DZ163" i="174"/>
  <c r="DY163" i="174"/>
  <c r="DX163" i="174"/>
  <c r="DW163" i="174"/>
  <c r="DV163" i="174"/>
  <c r="DT163" i="174"/>
  <c r="DS163" i="174"/>
  <c r="DP163" i="174"/>
  <c r="DO163" i="174"/>
  <c r="DM163" i="174"/>
  <c r="CN163" i="174"/>
  <c r="CL163" i="174"/>
  <c r="CK163" i="174"/>
  <c r="CJ163" i="174"/>
  <c r="CJ200" i="174" s="1"/>
  <c r="CI163" i="174"/>
  <c r="CH163" i="174"/>
  <c r="CG163" i="174"/>
  <c r="CF163" i="174"/>
  <c r="CE163" i="174"/>
  <c r="CD163" i="174"/>
  <c r="CC163" i="174"/>
  <c r="CB163" i="174"/>
  <c r="CA163" i="174"/>
  <c r="BX163" i="174"/>
  <c r="BW163" i="174"/>
  <c r="BS163" i="174"/>
  <c r="AV163" i="174"/>
  <c r="AF163" i="174"/>
  <c r="AC163" i="174"/>
  <c r="DN163" i="174" s="1"/>
  <c r="AA163" i="174"/>
  <c r="DL163" i="174" s="1"/>
  <c r="ED162" i="174"/>
  <c r="EC162" i="174"/>
  <c r="EB162" i="174"/>
  <c r="EA162" i="174"/>
  <c r="DZ162" i="174"/>
  <c r="DY162" i="174"/>
  <c r="DX162" i="174"/>
  <c r="DW162" i="174"/>
  <c r="DV162" i="174"/>
  <c r="DT162" i="174"/>
  <c r="DS162" i="174"/>
  <c r="DP162" i="174"/>
  <c r="DO162" i="174"/>
  <c r="CR162" i="174"/>
  <c r="CN162" i="174" s="1"/>
  <c r="CL162" i="174"/>
  <c r="CK162" i="174"/>
  <c r="CI162" i="174"/>
  <c r="CH162" i="174"/>
  <c r="CG162" i="174"/>
  <c r="CF162" i="174"/>
  <c r="CE162" i="174"/>
  <c r="CD162" i="174"/>
  <c r="CC162" i="174"/>
  <c r="CB162" i="174"/>
  <c r="CA162" i="174"/>
  <c r="BX162" i="174"/>
  <c r="BW162" i="174"/>
  <c r="BT162" i="174"/>
  <c r="BS162" i="174"/>
  <c r="AZ162" i="174"/>
  <c r="AV162" i="174" s="1"/>
  <c r="AF162" i="174"/>
  <c r="DQ162" i="174" s="1"/>
  <c r="AC162" i="174"/>
  <c r="ED161" i="174"/>
  <c r="EC161" i="174"/>
  <c r="EB161" i="174"/>
  <c r="EA161" i="174"/>
  <c r="DZ161" i="174"/>
  <c r="DY161" i="174"/>
  <c r="DX161" i="174"/>
  <c r="DW161" i="174"/>
  <c r="DV161" i="174"/>
  <c r="DT161" i="174"/>
  <c r="DS161" i="174"/>
  <c r="DQ161" i="174"/>
  <c r="DP161" i="174"/>
  <c r="DO161" i="174"/>
  <c r="CN161" i="174"/>
  <c r="CL161" i="174"/>
  <c r="CK161" i="174"/>
  <c r="CI161" i="174"/>
  <c r="CH161" i="174"/>
  <c r="CG161" i="174"/>
  <c r="CF161" i="174"/>
  <c r="CE161" i="174"/>
  <c r="CC161" i="174"/>
  <c r="CB161" i="174"/>
  <c r="CA161" i="174"/>
  <c r="BY161" i="174"/>
  <c r="BX161" i="174"/>
  <c r="BW161" i="174"/>
  <c r="BT161" i="174"/>
  <c r="BS161" i="174"/>
  <c r="BH161" i="174"/>
  <c r="CD161" i="174" s="1"/>
  <c r="AC161" i="174"/>
  <c r="Y161" i="174" s="1"/>
  <c r="H161" i="174"/>
  <c r="I161" i="174" s="1"/>
  <c r="EC160" i="174"/>
  <c r="EB160" i="174"/>
  <c r="EA160" i="174"/>
  <c r="DZ160" i="174"/>
  <c r="DY160" i="174"/>
  <c r="DX160" i="174"/>
  <c r="DW160" i="174"/>
  <c r="DV160" i="174"/>
  <c r="DT160" i="174"/>
  <c r="DS160" i="174"/>
  <c r="DQ160" i="174"/>
  <c r="DP160" i="174"/>
  <c r="DO160" i="174"/>
  <c r="DN160" i="174"/>
  <c r="CN160" i="174"/>
  <c r="CK160" i="174"/>
  <c r="CI160" i="174"/>
  <c r="CH160" i="174"/>
  <c r="CG160" i="174"/>
  <c r="CF160" i="174"/>
  <c r="CE160" i="174"/>
  <c r="CD160" i="174"/>
  <c r="CC160" i="174"/>
  <c r="CB160" i="174"/>
  <c r="CA160" i="174"/>
  <c r="BY160" i="174"/>
  <c r="BX160" i="174"/>
  <c r="BW160" i="174"/>
  <c r="BV160" i="174"/>
  <c r="BT160" i="174"/>
  <c r="BS160" i="174"/>
  <c r="BP160" i="174"/>
  <c r="AV160" i="174" s="1"/>
  <c r="AS160" i="174"/>
  <c r="ED159" i="174"/>
  <c r="EC159" i="174"/>
  <c r="EB159" i="174"/>
  <c r="EA159" i="174"/>
  <c r="DZ159" i="174"/>
  <c r="DY159" i="174"/>
  <c r="DX159" i="174"/>
  <c r="DW159" i="174"/>
  <c r="DV159" i="174"/>
  <c r="DT159" i="174"/>
  <c r="DS159" i="174"/>
  <c r="DQ159" i="174"/>
  <c r="DP159" i="174"/>
  <c r="DO159" i="174"/>
  <c r="CN159" i="174"/>
  <c r="H159" i="174" s="1"/>
  <c r="CL159" i="174"/>
  <c r="CK159" i="174"/>
  <c r="CI159" i="174"/>
  <c r="CH159" i="174"/>
  <c r="CG159" i="174"/>
  <c r="CF159" i="174"/>
  <c r="CE159" i="174"/>
  <c r="CD159" i="174"/>
  <c r="CC159" i="174"/>
  <c r="CB159" i="174"/>
  <c r="CA159" i="174"/>
  <c r="BY159" i="174"/>
  <c r="BX159" i="174"/>
  <c r="BW159" i="174"/>
  <c r="BT159" i="174"/>
  <c r="BS159" i="174"/>
  <c r="AZ159" i="174"/>
  <c r="AV159" i="174" s="1"/>
  <c r="AC159" i="174"/>
  <c r="ED158" i="174"/>
  <c r="EC158" i="174"/>
  <c r="EB158" i="174"/>
  <c r="EA158" i="174"/>
  <c r="DZ158" i="174"/>
  <c r="DX158" i="174"/>
  <c r="DW158" i="174"/>
  <c r="DV158" i="174"/>
  <c r="DT158" i="174"/>
  <c r="DS158" i="174"/>
  <c r="DQ158" i="174"/>
  <c r="DP158" i="174"/>
  <c r="DO158" i="174"/>
  <c r="CR158" i="174"/>
  <c r="DN158" i="174" s="1"/>
  <c r="CL158" i="174"/>
  <c r="CK158" i="174"/>
  <c r="CI158" i="174"/>
  <c r="CH158" i="174"/>
  <c r="CF158" i="174"/>
  <c r="CE158" i="174"/>
  <c r="CD158" i="174"/>
  <c r="CC158" i="174"/>
  <c r="CB158" i="174"/>
  <c r="CA158" i="174"/>
  <c r="BY158" i="174"/>
  <c r="BX158" i="174"/>
  <c r="BW158" i="174"/>
  <c r="BT158" i="174"/>
  <c r="BS158" i="174"/>
  <c r="AZ158" i="174"/>
  <c r="BV158" i="174" s="1"/>
  <c r="AV158" i="174"/>
  <c r="AN158" i="174"/>
  <c r="AC158" i="174"/>
  <c r="ED157" i="174"/>
  <c r="EC157" i="174"/>
  <c r="EB157" i="174"/>
  <c r="EA157" i="174"/>
  <c r="DZ157" i="174"/>
  <c r="DY157" i="174"/>
  <c r="DX157" i="174"/>
  <c r="DW157" i="174"/>
  <c r="DV157" i="174"/>
  <c r="DT157" i="174"/>
  <c r="DS157" i="174"/>
  <c r="DQ157" i="174"/>
  <c r="DP157" i="174"/>
  <c r="CR157" i="174"/>
  <c r="CN157" i="174" s="1"/>
  <c r="CL157" i="174"/>
  <c r="CK157" i="174"/>
  <c r="CI157" i="174"/>
  <c r="CH157" i="174"/>
  <c r="CG157" i="174"/>
  <c r="CF157" i="174"/>
  <c r="CE157" i="174"/>
  <c r="CD157" i="174"/>
  <c r="CC157" i="174"/>
  <c r="CB157" i="174"/>
  <c r="CA157" i="174"/>
  <c r="BY157" i="174"/>
  <c r="BX157" i="174"/>
  <c r="BT157" i="174"/>
  <c r="BS157" i="174"/>
  <c r="AZ157" i="174"/>
  <c r="AV157" i="174" s="1"/>
  <c r="AD157" i="174"/>
  <c r="AC157" i="174"/>
  <c r="ED156" i="174"/>
  <c r="EC156" i="174"/>
  <c r="EB156" i="174"/>
  <c r="EA156" i="174"/>
  <c r="DZ156" i="174"/>
  <c r="DY156" i="174"/>
  <c r="DX156" i="174"/>
  <c r="DW156" i="174"/>
  <c r="DV156" i="174"/>
  <c r="DT156" i="174"/>
  <c r="DS156" i="174"/>
  <c r="DQ156" i="174"/>
  <c r="DP156" i="174"/>
  <c r="DO156" i="174"/>
  <c r="CN156" i="174"/>
  <c r="CL156" i="174"/>
  <c r="CK156" i="174"/>
  <c r="CI156" i="174"/>
  <c r="CH156" i="174"/>
  <c r="CG156" i="174"/>
  <c r="CF156" i="174"/>
  <c r="CE156" i="174"/>
  <c r="CD156" i="174"/>
  <c r="CC156" i="174"/>
  <c r="CB156" i="174"/>
  <c r="CA156" i="174"/>
  <c r="BY156" i="174"/>
  <c r="BX156" i="174"/>
  <c r="BW156" i="174"/>
  <c r="BT156" i="174"/>
  <c r="BS156" i="174"/>
  <c r="AZ156" i="174"/>
  <c r="AV156" i="174" s="1"/>
  <c r="AC156" i="174"/>
  <c r="BV156" i="174" s="1"/>
  <c r="H156" i="174"/>
  <c r="ED155" i="174"/>
  <c r="EC155" i="174"/>
  <c r="EB155" i="174"/>
  <c r="EA155" i="174"/>
  <c r="DZ155" i="174"/>
  <c r="DY155" i="174"/>
  <c r="DX155" i="174"/>
  <c r="DW155" i="174"/>
  <c r="DV155" i="174"/>
  <c r="DT155" i="174"/>
  <c r="DS155" i="174"/>
  <c r="DQ155" i="174"/>
  <c r="DP155" i="174"/>
  <c r="DO155" i="174"/>
  <c r="CR155" i="174"/>
  <c r="CN155" i="174"/>
  <c r="CL155" i="174"/>
  <c r="CK155" i="174"/>
  <c r="CI155" i="174"/>
  <c r="CH155" i="174"/>
  <c r="CG155" i="174"/>
  <c r="CF155" i="174"/>
  <c r="CE155" i="174"/>
  <c r="CD155" i="174"/>
  <c r="CC155" i="174"/>
  <c r="CB155" i="174"/>
  <c r="CA155" i="174"/>
  <c r="BY155" i="174"/>
  <c r="BX155" i="174"/>
  <c r="BW155" i="174"/>
  <c r="BT155" i="174"/>
  <c r="BS155" i="174"/>
  <c r="AZ155" i="174"/>
  <c r="AV155" i="174" s="1"/>
  <c r="AC155" i="174"/>
  <c r="Y155" i="174"/>
  <c r="ED154" i="174"/>
  <c r="EC154" i="174"/>
  <c r="EB154" i="174"/>
  <c r="EA154" i="174"/>
  <c r="DZ154" i="174"/>
  <c r="DY154" i="174"/>
  <c r="DX154" i="174"/>
  <c r="DW154" i="174"/>
  <c r="DV154" i="174"/>
  <c r="DT154" i="174"/>
  <c r="DS154" i="174"/>
  <c r="DQ154" i="174"/>
  <c r="DP154" i="174"/>
  <c r="DO154" i="174"/>
  <c r="DN154" i="174"/>
  <c r="CN154" i="174"/>
  <c r="H154" i="174" s="1"/>
  <c r="CL154" i="174"/>
  <c r="CK154" i="174"/>
  <c r="CI154" i="174"/>
  <c r="CH154" i="174"/>
  <c r="CG154" i="174"/>
  <c r="CF154" i="174"/>
  <c r="CE154" i="174"/>
  <c r="CD154" i="174"/>
  <c r="CC154" i="174"/>
  <c r="CB154" i="174"/>
  <c r="CA154" i="174"/>
  <c r="BY154" i="174"/>
  <c r="BX154" i="174"/>
  <c r="BW154" i="174"/>
  <c r="BV154" i="174"/>
  <c r="BT154" i="174"/>
  <c r="BS154" i="174"/>
  <c r="AV154" i="174"/>
  <c r="AC154" i="174"/>
  <c r="Y154" i="174"/>
  <c r="ED153" i="174"/>
  <c r="EB153" i="174"/>
  <c r="EA153" i="174"/>
  <c r="DZ153" i="174"/>
  <c r="DY153" i="174"/>
  <c r="DX153" i="174"/>
  <c r="DW153" i="174"/>
  <c r="DT153" i="174"/>
  <c r="DS153" i="174"/>
  <c r="DQ153" i="174"/>
  <c r="DP153" i="174"/>
  <c r="DO153" i="174"/>
  <c r="CZ153" i="174"/>
  <c r="CR153" i="174"/>
  <c r="CN153" i="174" s="1"/>
  <c r="H153" i="174" s="1"/>
  <c r="CL153" i="174"/>
  <c r="CK153" i="174"/>
  <c r="CI153" i="174"/>
  <c r="CH153" i="174"/>
  <c r="CG153" i="174"/>
  <c r="CF153" i="174"/>
  <c r="CE153" i="174"/>
  <c r="CC153" i="174"/>
  <c r="CB153" i="174"/>
  <c r="CA153" i="174"/>
  <c r="BY153" i="174"/>
  <c r="BX153" i="174"/>
  <c r="BW153" i="174"/>
  <c r="BT153" i="174"/>
  <c r="BS153" i="174"/>
  <c r="BH153" i="174"/>
  <c r="AZ153" i="174"/>
  <c r="AC153" i="174"/>
  <c r="Y153" i="174" s="1"/>
  <c r="ED152" i="174"/>
  <c r="EB152" i="174"/>
  <c r="EA152" i="174"/>
  <c r="DZ152" i="174"/>
  <c r="DY152" i="174"/>
  <c r="DX152" i="174"/>
  <c r="DW152" i="174"/>
  <c r="DV152" i="174"/>
  <c r="DT152" i="174"/>
  <c r="DS152" i="174"/>
  <c r="DQ152" i="174"/>
  <c r="DP152" i="174"/>
  <c r="DO152" i="174"/>
  <c r="CR152" i="174"/>
  <c r="CL152" i="174"/>
  <c r="CK152" i="174"/>
  <c r="CI152" i="174"/>
  <c r="CH152" i="174"/>
  <c r="CG152" i="174"/>
  <c r="CF152" i="174"/>
  <c r="CE152" i="174"/>
  <c r="CD152" i="174"/>
  <c r="CC152" i="174"/>
  <c r="CB152" i="174"/>
  <c r="CA152" i="174"/>
  <c r="BY152" i="174"/>
  <c r="BX152" i="174"/>
  <c r="BW152" i="174"/>
  <c r="BT152" i="174"/>
  <c r="BS152" i="174"/>
  <c r="AV152" i="174"/>
  <c r="AC152" i="174"/>
  <c r="BV152" i="174" s="1"/>
  <c r="DN151" i="174"/>
  <c r="DJ151" i="174" s="1"/>
  <c r="CN151" i="174"/>
  <c r="AV151" i="174"/>
  <c r="AC151" i="174"/>
  <c r="Y151" i="174" s="1"/>
  <c r="CM151" i="174" s="1"/>
  <c r="DI151" i="174" s="1"/>
  <c r="H151" i="174"/>
  <c r="I151" i="174" s="1"/>
  <c r="EB150" i="174"/>
  <c r="EA150" i="174"/>
  <c r="DZ150" i="174"/>
  <c r="DY150" i="174"/>
  <c r="DX150" i="174"/>
  <c r="DW150" i="174"/>
  <c r="DV150" i="174"/>
  <c r="DT150" i="174"/>
  <c r="DS150" i="174"/>
  <c r="DQ150" i="174"/>
  <c r="DP150" i="174"/>
  <c r="DO150" i="174"/>
  <c r="DN150" i="174"/>
  <c r="DH150" i="174"/>
  <c r="CK150" i="174"/>
  <c r="CI150" i="174"/>
  <c r="CH150" i="174"/>
  <c r="CG150" i="174"/>
  <c r="CF150" i="174"/>
  <c r="CE150" i="174"/>
  <c r="CD150" i="174"/>
  <c r="CC150" i="174"/>
  <c r="CB150" i="174"/>
  <c r="CA150" i="174"/>
  <c r="BY150" i="174"/>
  <c r="BX150" i="174"/>
  <c r="BW150" i="174"/>
  <c r="BV150" i="174"/>
  <c r="BT150" i="174"/>
  <c r="BS150" i="174"/>
  <c r="BP150" i="174"/>
  <c r="BP199" i="174" s="1"/>
  <c r="AS150" i="174"/>
  <c r="AS199" i="174" s="1"/>
  <c r="ED149" i="174"/>
  <c r="EB149" i="174"/>
  <c r="EA149" i="174"/>
  <c r="DZ149" i="174"/>
  <c r="DY149" i="174"/>
  <c r="DX149" i="174"/>
  <c r="DW149" i="174"/>
  <c r="DV149" i="174"/>
  <c r="DT149" i="174"/>
  <c r="DS149" i="174"/>
  <c r="DQ149" i="174"/>
  <c r="DP149" i="174"/>
  <c r="DO149" i="174"/>
  <c r="CN149" i="174"/>
  <c r="H149" i="174" s="1"/>
  <c r="CL149" i="174"/>
  <c r="CK149" i="174"/>
  <c r="CI149" i="174"/>
  <c r="CH149" i="174"/>
  <c r="CG149" i="174"/>
  <c r="CF149" i="174"/>
  <c r="CE149" i="174"/>
  <c r="CD149" i="174"/>
  <c r="CC149" i="174"/>
  <c r="CB149" i="174"/>
  <c r="CA149" i="174"/>
  <c r="BY149" i="174"/>
  <c r="BX149" i="174"/>
  <c r="BW149" i="174"/>
  <c r="BT149" i="174"/>
  <c r="BS149" i="174"/>
  <c r="AV149" i="174"/>
  <c r="AC149" i="174"/>
  <c r="DN149" i="174" s="1"/>
  <c r="ED148" i="174"/>
  <c r="EB148" i="174"/>
  <c r="EA148" i="174"/>
  <c r="DZ148" i="174"/>
  <c r="DY148" i="174"/>
  <c r="DX148" i="174"/>
  <c r="DW148" i="174"/>
  <c r="DV148" i="174"/>
  <c r="DT148" i="174"/>
  <c r="DS148" i="174"/>
  <c r="DQ148" i="174"/>
  <c r="DP148" i="174"/>
  <c r="DO148" i="174"/>
  <c r="CR148" i="174"/>
  <c r="CN148" i="174" s="1"/>
  <c r="H148" i="174" s="1"/>
  <c r="CL148" i="174"/>
  <c r="CK148" i="174"/>
  <c r="CI148" i="174"/>
  <c r="CH148" i="174"/>
  <c r="CG148" i="174"/>
  <c r="CF148" i="174"/>
  <c r="CE148" i="174"/>
  <c r="CD148" i="174"/>
  <c r="CC148" i="174"/>
  <c r="CB148" i="174"/>
  <c r="CA148" i="174"/>
  <c r="BY148" i="174"/>
  <c r="BX148" i="174"/>
  <c r="BW148" i="174"/>
  <c r="BT148" i="174"/>
  <c r="BS148" i="174"/>
  <c r="AZ148" i="174"/>
  <c r="AC148" i="174"/>
  <c r="Y148" i="174" s="1"/>
  <c r="ED147" i="174"/>
  <c r="EB147" i="174"/>
  <c r="EA147" i="174"/>
  <c r="DZ147" i="174"/>
  <c r="DX147" i="174"/>
  <c r="DW147" i="174"/>
  <c r="DV147" i="174"/>
  <c r="DT147" i="174"/>
  <c r="DS147" i="174"/>
  <c r="DQ147" i="174"/>
  <c r="DP147" i="174"/>
  <c r="DO147" i="174"/>
  <c r="CR147" i="174"/>
  <c r="CL147" i="174"/>
  <c r="CK147" i="174"/>
  <c r="CI147" i="174"/>
  <c r="CH147" i="174"/>
  <c r="CF147" i="174"/>
  <c r="CE147" i="174"/>
  <c r="CD147" i="174"/>
  <c r="CC147" i="174"/>
  <c r="CB147" i="174"/>
  <c r="CA147" i="174"/>
  <c r="BY147" i="174"/>
  <c r="BX147" i="174"/>
  <c r="BW147" i="174"/>
  <c r="BT147" i="174"/>
  <c r="BS147" i="174"/>
  <c r="AZ147" i="174"/>
  <c r="AV147" i="174" s="1"/>
  <c r="AN147" i="174"/>
  <c r="AC147" i="174"/>
  <c r="ED146" i="174"/>
  <c r="EB146" i="174"/>
  <c r="EA146" i="174"/>
  <c r="DZ146" i="174"/>
  <c r="DY146" i="174"/>
  <c r="DX146" i="174"/>
  <c r="DW146" i="174"/>
  <c r="DV146" i="174"/>
  <c r="DT146" i="174"/>
  <c r="DS146" i="174"/>
  <c r="DQ146" i="174"/>
  <c r="DP146" i="174"/>
  <c r="DO146" i="174"/>
  <c r="CN146" i="174"/>
  <c r="H146" i="174" s="1"/>
  <c r="CL146" i="174"/>
  <c r="CK146" i="174"/>
  <c r="CI146" i="174"/>
  <c r="CH146" i="174"/>
  <c r="CG146" i="174"/>
  <c r="CF146" i="174"/>
  <c r="CE146" i="174"/>
  <c r="CD146" i="174"/>
  <c r="CC146" i="174"/>
  <c r="CB146" i="174"/>
  <c r="CA146" i="174"/>
  <c r="BY146" i="174"/>
  <c r="BX146" i="174"/>
  <c r="BW146" i="174"/>
  <c r="BT146" i="174"/>
  <c r="BS146" i="174"/>
  <c r="AV146" i="174"/>
  <c r="AC146" i="174"/>
  <c r="DN146" i="174" s="1"/>
  <c r="ED145" i="174"/>
  <c r="EB145" i="174"/>
  <c r="EA145" i="174"/>
  <c r="DZ145" i="174"/>
  <c r="DY145" i="174"/>
  <c r="DX145" i="174"/>
  <c r="DW145" i="174"/>
  <c r="DV145" i="174"/>
  <c r="DT145" i="174"/>
  <c r="DS145" i="174"/>
  <c r="DQ145" i="174"/>
  <c r="DP145" i="174"/>
  <c r="DO145" i="174"/>
  <c r="DN145" i="174"/>
  <c r="CN145" i="174"/>
  <c r="CL145" i="174"/>
  <c r="CK145" i="174"/>
  <c r="CI145" i="174"/>
  <c r="CH145" i="174"/>
  <c r="CG145" i="174"/>
  <c r="CF145" i="174"/>
  <c r="CE145" i="174"/>
  <c r="CD145" i="174"/>
  <c r="CC145" i="174"/>
  <c r="CB145" i="174"/>
  <c r="CA145" i="174"/>
  <c r="BY145" i="174"/>
  <c r="BX145" i="174"/>
  <c r="BW145" i="174"/>
  <c r="BV145" i="174"/>
  <c r="BT145" i="174"/>
  <c r="BS145" i="174"/>
  <c r="AV145" i="174"/>
  <c r="AC145" i="174"/>
  <c r="Y145" i="174" s="1"/>
  <c r="ED144" i="174"/>
  <c r="EB144" i="174"/>
  <c r="EA144" i="174"/>
  <c r="DZ144" i="174"/>
  <c r="DY144" i="174"/>
  <c r="DX144" i="174"/>
  <c r="DW144" i="174"/>
  <c r="DV144" i="174"/>
  <c r="DT144" i="174"/>
  <c r="DS144" i="174"/>
  <c r="DQ144" i="174"/>
  <c r="DP144" i="174"/>
  <c r="DO144" i="174"/>
  <c r="CN144" i="174"/>
  <c r="H144" i="174" s="1"/>
  <c r="CL144" i="174"/>
  <c r="CK144" i="174"/>
  <c r="CI144" i="174"/>
  <c r="CH144" i="174"/>
  <c r="CG144" i="174"/>
  <c r="CF144" i="174"/>
  <c r="CE144" i="174"/>
  <c r="CD144" i="174"/>
  <c r="CC144" i="174"/>
  <c r="CB144" i="174"/>
  <c r="CA144" i="174"/>
  <c r="BY144" i="174"/>
  <c r="BX144" i="174"/>
  <c r="BW144" i="174"/>
  <c r="BT144" i="174"/>
  <c r="BS144" i="174"/>
  <c r="AV144" i="174"/>
  <c r="AC144" i="174"/>
  <c r="BV144" i="174" s="1"/>
  <c r="ED143" i="174"/>
  <c r="EB143" i="174"/>
  <c r="EA143" i="174"/>
  <c r="DZ143" i="174"/>
  <c r="DY143" i="174"/>
  <c r="DX143" i="174"/>
  <c r="DW143" i="174"/>
  <c r="DV143" i="174"/>
  <c r="DT143" i="174"/>
  <c r="DS143" i="174"/>
  <c r="DQ143" i="174"/>
  <c r="DP143" i="174"/>
  <c r="DO143" i="174"/>
  <c r="CN143" i="174"/>
  <c r="H143" i="174" s="1"/>
  <c r="CL143" i="174"/>
  <c r="CK143" i="174"/>
  <c r="CI143" i="174"/>
  <c r="CH143" i="174"/>
  <c r="CG143" i="174"/>
  <c r="CF143" i="174"/>
  <c r="CE143" i="174"/>
  <c r="CD143" i="174"/>
  <c r="CC143" i="174"/>
  <c r="CB143" i="174"/>
  <c r="CA143" i="174"/>
  <c r="BY143" i="174"/>
  <c r="BX143" i="174"/>
  <c r="BW143" i="174"/>
  <c r="BT143" i="174"/>
  <c r="BS143" i="174"/>
  <c r="AV143" i="174"/>
  <c r="AC143" i="174"/>
  <c r="DN143" i="174" s="1"/>
  <c r="ED142" i="174"/>
  <c r="EB142" i="174"/>
  <c r="EA142" i="174"/>
  <c r="DZ142" i="174"/>
  <c r="DY142" i="174"/>
  <c r="DX142" i="174"/>
  <c r="DW142" i="174"/>
  <c r="DV142" i="174"/>
  <c r="DT142" i="174"/>
  <c r="DS142" i="174"/>
  <c r="DQ142" i="174"/>
  <c r="DP142" i="174"/>
  <c r="DO142" i="174"/>
  <c r="CN142" i="174"/>
  <c r="H142" i="174" s="1"/>
  <c r="CL142" i="174"/>
  <c r="CK142" i="174"/>
  <c r="CI142" i="174"/>
  <c r="CH142" i="174"/>
  <c r="CG142" i="174"/>
  <c r="CF142" i="174"/>
  <c r="CE142" i="174"/>
  <c r="CD142" i="174"/>
  <c r="CC142" i="174"/>
  <c r="CB142" i="174"/>
  <c r="CA142" i="174"/>
  <c r="BY142" i="174"/>
  <c r="BX142" i="174"/>
  <c r="BW142" i="174"/>
  <c r="BT142" i="174"/>
  <c r="BS142" i="174"/>
  <c r="AZ142" i="174"/>
  <c r="AV142" i="174" s="1"/>
  <c r="AC142" i="174"/>
  <c r="DN142" i="174" s="1"/>
  <c r="Y142" i="174"/>
  <c r="ED141" i="174"/>
  <c r="EB141" i="174"/>
  <c r="EA141" i="174"/>
  <c r="DZ141" i="174"/>
  <c r="DY141" i="174"/>
  <c r="DX141" i="174"/>
  <c r="DW141" i="174"/>
  <c r="DV141" i="174"/>
  <c r="DT141" i="174"/>
  <c r="DS141" i="174"/>
  <c r="DQ141" i="174"/>
  <c r="DP141" i="174"/>
  <c r="DO141" i="174"/>
  <c r="DN141" i="174"/>
  <c r="CN141" i="174"/>
  <c r="CL141" i="174"/>
  <c r="CK141" i="174"/>
  <c r="CI141" i="174"/>
  <c r="CH141" i="174"/>
  <c r="CG141" i="174"/>
  <c r="CF141" i="174"/>
  <c r="CE141" i="174"/>
  <c r="CD141" i="174"/>
  <c r="CC141" i="174"/>
  <c r="CB141" i="174"/>
  <c r="CA141" i="174"/>
  <c r="BY141" i="174"/>
  <c r="BX141" i="174"/>
  <c r="BW141" i="174"/>
  <c r="BV141" i="174"/>
  <c r="BT141" i="174"/>
  <c r="BS141" i="174"/>
  <c r="AV141" i="174"/>
  <c r="AC141" i="174"/>
  <c r="Y141" i="174" s="1"/>
  <c r="ED140" i="174"/>
  <c r="EB140" i="174"/>
  <c r="EA140" i="174"/>
  <c r="DZ140" i="174"/>
  <c r="DY140" i="174"/>
  <c r="DX140" i="174"/>
  <c r="DW140" i="174"/>
  <c r="DV140" i="174"/>
  <c r="DT140" i="174"/>
  <c r="DS140" i="174"/>
  <c r="DQ140" i="174"/>
  <c r="DP140" i="174"/>
  <c r="DO140" i="174"/>
  <c r="CN140" i="174"/>
  <c r="CL140" i="174"/>
  <c r="CK140" i="174"/>
  <c r="CI140" i="174"/>
  <c r="CH140" i="174"/>
  <c r="CG140" i="174"/>
  <c r="CF140" i="174"/>
  <c r="CE140" i="174"/>
  <c r="CD140" i="174"/>
  <c r="CC140" i="174"/>
  <c r="CB140" i="174"/>
  <c r="CA140" i="174"/>
  <c r="BY140" i="174"/>
  <c r="BX140" i="174"/>
  <c r="BW140" i="174"/>
  <c r="BT140" i="174"/>
  <c r="BS140" i="174"/>
  <c r="AV140" i="174"/>
  <c r="AC140" i="174"/>
  <c r="ED139" i="174"/>
  <c r="EB139" i="174"/>
  <c r="EA139" i="174"/>
  <c r="DZ139" i="174"/>
  <c r="DY139" i="174"/>
  <c r="DX139" i="174"/>
  <c r="DW139" i="174"/>
  <c r="DV139" i="174"/>
  <c r="DT139" i="174"/>
  <c r="DS139" i="174"/>
  <c r="DQ139" i="174"/>
  <c r="DP139" i="174"/>
  <c r="DO139" i="174"/>
  <c r="CN139" i="174"/>
  <c r="H139" i="174" s="1"/>
  <c r="CL139" i="174"/>
  <c r="CK139" i="174"/>
  <c r="CI139" i="174"/>
  <c r="CH139" i="174"/>
  <c r="CG139" i="174"/>
  <c r="CF139" i="174"/>
  <c r="CE139" i="174"/>
  <c r="CD139" i="174"/>
  <c r="CC139" i="174"/>
  <c r="CB139" i="174"/>
  <c r="CA139" i="174"/>
  <c r="BY139" i="174"/>
  <c r="BX139" i="174"/>
  <c r="BW139" i="174"/>
  <c r="BT139" i="174"/>
  <c r="BS139" i="174"/>
  <c r="AV139" i="174"/>
  <c r="AC139" i="174"/>
  <c r="BV139" i="174" s="1"/>
  <c r="ED138" i="174"/>
  <c r="EB138" i="174"/>
  <c r="EA138" i="174"/>
  <c r="DZ138" i="174"/>
  <c r="DY138" i="174"/>
  <c r="DX138" i="174"/>
  <c r="DW138" i="174"/>
  <c r="DV138" i="174"/>
  <c r="DU138" i="174"/>
  <c r="DT138" i="174"/>
  <c r="DS138" i="174"/>
  <c r="DQ138" i="174"/>
  <c r="DP138" i="174"/>
  <c r="DO138" i="174"/>
  <c r="DN138" i="174"/>
  <c r="CN138" i="174"/>
  <c r="H138" i="174" s="1"/>
  <c r="CL138" i="174"/>
  <c r="CK138" i="174"/>
  <c r="CI138" i="174"/>
  <c r="CH138" i="174"/>
  <c r="CG138" i="174"/>
  <c r="CF138" i="174"/>
  <c r="CE138" i="174"/>
  <c r="CD138" i="174"/>
  <c r="CC138" i="174"/>
  <c r="CB138" i="174"/>
  <c r="CA138" i="174"/>
  <c r="BY138" i="174"/>
  <c r="BX138" i="174"/>
  <c r="BW138" i="174"/>
  <c r="BV138" i="174"/>
  <c r="BT138" i="174"/>
  <c r="BS138" i="174"/>
  <c r="AV138" i="174"/>
  <c r="Y138" i="174"/>
  <c r="ED137" i="174"/>
  <c r="EB137" i="174"/>
  <c r="EA137" i="174"/>
  <c r="DZ137" i="174"/>
  <c r="DY137" i="174"/>
  <c r="DX137" i="174"/>
  <c r="DW137" i="174"/>
  <c r="DV137" i="174"/>
  <c r="DU137" i="174"/>
  <c r="DT137" i="174"/>
  <c r="DS137" i="174"/>
  <c r="DQ137" i="174"/>
  <c r="DP137" i="174"/>
  <c r="DO137" i="174"/>
  <c r="DN137" i="174"/>
  <c r="CN137" i="174"/>
  <c r="H137" i="174" s="1"/>
  <c r="CL137" i="174"/>
  <c r="CK137" i="174"/>
  <c r="CJ137" i="174"/>
  <c r="CJ199" i="174" s="1"/>
  <c r="CI137" i="174"/>
  <c r="CH137" i="174"/>
  <c r="CG137" i="174"/>
  <c r="CF137" i="174"/>
  <c r="CE137" i="174"/>
  <c r="CD137" i="174"/>
  <c r="CC137" i="174"/>
  <c r="CB137" i="174"/>
  <c r="CA137" i="174"/>
  <c r="BY137" i="174"/>
  <c r="BX137" i="174"/>
  <c r="BW137" i="174"/>
  <c r="BT137" i="174"/>
  <c r="BS137" i="174"/>
  <c r="AV137" i="174"/>
  <c r="AC137" i="174"/>
  <c r="BV137" i="174" s="1"/>
  <c r="ED136" i="174"/>
  <c r="EB136" i="174"/>
  <c r="EA136" i="174"/>
  <c r="DZ136" i="174"/>
  <c r="DY136" i="174"/>
  <c r="DX136" i="174"/>
  <c r="DW136" i="174"/>
  <c r="DV136" i="174"/>
  <c r="DT136" i="174"/>
  <c r="DS136" i="174"/>
  <c r="DQ136" i="174"/>
  <c r="DP136" i="174"/>
  <c r="DO136" i="174"/>
  <c r="CN136" i="174"/>
  <c r="H136" i="174" s="1"/>
  <c r="CL136" i="174"/>
  <c r="CI136" i="174"/>
  <c r="CH136" i="174"/>
  <c r="CG136" i="174"/>
  <c r="CF136" i="174"/>
  <c r="CE136" i="174"/>
  <c r="CD136" i="174"/>
  <c r="CC136" i="174"/>
  <c r="CB136" i="174"/>
  <c r="CA136" i="174"/>
  <c r="BY136" i="174"/>
  <c r="BX136" i="174"/>
  <c r="BW136" i="174"/>
  <c r="BV136" i="174"/>
  <c r="BT136" i="174"/>
  <c r="BS136" i="174"/>
  <c r="AV136" i="174"/>
  <c r="AC136" i="174"/>
  <c r="DN136" i="174" s="1"/>
  <c r="Y136" i="174"/>
  <c r="ED135" i="174"/>
  <c r="EB135" i="174"/>
  <c r="EA135" i="174"/>
  <c r="DZ135" i="174"/>
  <c r="DY135" i="174"/>
  <c r="DX135" i="174"/>
  <c r="DW135" i="174"/>
  <c r="DV135" i="174"/>
  <c r="DT135" i="174"/>
  <c r="DS135" i="174"/>
  <c r="DQ135" i="174"/>
  <c r="DP135" i="174"/>
  <c r="CS135" i="174"/>
  <c r="CR135" i="174"/>
  <c r="CL135" i="174"/>
  <c r="CI135" i="174"/>
  <c r="CH135" i="174"/>
  <c r="CG135" i="174"/>
  <c r="CF135" i="174"/>
  <c r="CE135" i="174"/>
  <c r="CD135" i="174"/>
  <c r="CC135" i="174"/>
  <c r="CB135" i="174"/>
  <c r="CA135" i="174"/>
  <c r="BY135" i="174"/>
  <c r="BX135" i="174"/>
  <c r="BT135" i="174"/>
  <c r="BS135" i="174"/>
  <c r="BA135" i="174"/>
  <c r="AZ135" i="174"/>
  <c r="AV135" i="174" s="1"/>
  <c r="AD135" i="174"/>
  <c r="AD199" i="174" s="1"/>
  <c r="AC135" i="174"/>
  <c r="ED134" i="174"/>
  <c r="EB134" i="174"/>
  <c r="EA134" i="174"/>
  <c r="DY134" i="174"/>
  <c r="DX134" i="174"/>
  <c r="DW134" i="174"/>
  <c r="DV134" i="174"/>
  <c r="DT134" i="174"/>
  <c r="DS134" i="174"/>
  <c r="DQ134" i="174"/>
  <c r="DP134" i="174"/>
  <c r="DO134" i="174"/>
  <c r="DD134" i="174"/>
  <c r="CR134" i="174"/>
  <c r="CL134" i="174"/>
  <c r="CI134" i="174"/>
  <c r="CG134" i="174"/>
  <c r="CF134" i="174"/>
  <c r="CE134" i="174"/>
  <c r="CD134" i="174"/>
  <c r="CC134" i="174"/>
  <c r="CB134" i="174"/>
  <c r="CA134" i="174"/>
  <c r="BY134" i="174"/>
  <c r="BX134" i="174"/>
  <c r="BW134" i="174"/>
  <c r="BT134" i="174"/>
  <c r="BS134" i="174"/>
  <c r="BL134" i="174"/>
  <c r="CH134" i="174" s="1"/>
  <c r="AZ134" i="174"/>
  <c r="AC134" i="174"/>
  <c r="Y134" i="174"/>
  <c r="ED133" i="174"/>
  <c r="EB133" i="174"/>
  <c r="EA133" i="174"/>
  <c r="DZ133" i="174"/>
  <c r="DY133" i="174"/>
  <c r="DX133" i="174"/>
  <c r="DW133" i="174"/>
  <c r="DV133" i="174"/>
  <c r="DT133" i="174"/>
  <c r="DS133" i="174"/>
  <c r="DQ133" i="174"/>
  <c r="DP133" i="174"/>
  <c r="DO133" i="174"/>
  <c r="DN133" i="174"/>
  <c r="CN133" i="174"/>
  <c r="CL133" i="174"/>
  <c r="CI133" i="174"/>
  <c r="CH133" i="174"/>
  <c r="CG133" i="174"/>
  <c r="CF133" i="174"/>
  <c r="CE133" i="174"/>
  <c r="CD133" i="174"/>
  <c r="CC133" i="174"/>
  <c r="CB133" i="174"/>
  <c r="CA133" i="174"/>
  <c r="BY133" i="174"/>
  <c r="BX133" i="174"/>
  <c r="BW133" i="174"/>
  <c r="BV133" i="174"/>
  <c r="BT133" i="174"/>
  <c r="BS133" i="174"/>
  <c r="AV133" i="174"/>
  <c r="Y133" i="174"/>
  <c r="ED132" i="174"/>
  <c r="EB132" i="174"/>
  <c r="EA132" i="174"/>
  <c r="DY132" i="174"/>
  <c r="DX132" i="174"/>
  <c r="DW132" i="174"/>
  <c r="DV132" i="174"/>
  <c r="DT132" i="174"/>
  <c r="DS132" i="174"/>
  <c r="DQ132" i="174"/>
  <c r="DO132" i="174"/>
  <c r="CN132" i="174"/>
  <c r="H132" i="174" s="1"/>
  <c r="CL132" i="174"/>
  <c r="CI132" i="174"/>
  <c r="CH132" i="174"/>
  <c r="CG132" i="174"/>
  <c r="CF132" i="174"/>
  <c r="CE132" i="174"/>
  <c r="CD132" i="174"/>
  <c r="CC132" i="174"/>
  <c r="CB132" i="174"/>
  <c r="CA132" i="174"/>
  <c r="BY132" i="174"/>
  <c r="BW132" i="174"/>
  <c r="BT132" i="174"/>
  <c r="BS132" i="174"/>
  <c r="AV132" i="174"/>
  <c r="AO132" i="174"/>
  <c r="DZ132" i="174" s="1"/>
  <c r="AE132" i="174"/>
  <c r="AC132" i="174"/>
  <c r="BV132" i="174" s="1"/>
  <c r="ED131" i="174"/>
  <c r="EB131" i="174"/>
  <c r="EA131" i="174"/>
  <c r="DZ131" i="174"/>
  <c r="DY131" i="174"/>
  <c r="DX131" i="174"/>
  <c r="DW131" i="174"/>
  <c r="DV131" i="174"/>
  <c r="DT131" i="174"/>
  <c r="DS131" i="174"/>
  <c r="DQ131" i="174"/>
  <c r="DP131" i="174"/>
  <c r="DO131" i="174"/>
  <c r="DN131" i="174"/>
  <c r="CT131" i="174"/>
  <c r="CN131" i="174" s="1"/>
  <c r="CL131" i="174"/>
  <c r="CI131" i="174"/>
  <c r="CH131" i="174"/>
  <c r="CG131" i="174"/>
  <c r="CF131" i="174"/>
  <c r="CE131" i="174"/>
  <c r="CD131" i="174"/>
  <c r="CC131" i="174"/>
  <c r="CB131" i="174"/>
  <c r="CA131" i="174"/>
  <c r="BY131" i="174"/>
  <c r="BW131" i="174"/>
  <c r="BV131" i="174"/>
  <c r="BT131" i="174"/>
  <c r="BS131" i="174"/>
  <c r="BB131" i="174"/>
  <c r="BX131" i="174" s="1"/>
  <c r="Y131" i="174"/>
  <c r="ED130" i="174"/>
  <c r="EB130" i="174"/>
  <c r="EA130" i="174"/>
  <c r="DZ130" i="174"/>
  <c r="DY130" i="174"/>
  <c r="DX130" i="174"/>
  <c r="DW130" i="174"/>
  <c r="DV130" i="174"/>
  <c r="DT130" i="174"/>
  <c r="DS130" i="174"/>
  <c r="DQ130" i="174"/>
  <c r="DO130" i="174"/>
  <c r="DN130" i="174"/>
  <c r="CT130" i="174"/>
  <c r="CN130" i="174" s="1"/>
  <c r="CL130" i="174"/>
  <c r="CI130" i="174"/>
  <c r="CH130" i="174"/>
  <c r="CG130" i="174"/>
  <c r="CF130" i="174"/>
  <c r="CE130" i="174"/>
  <c r="CD130" i="174"/>
  <c r="CC130" i="174"/>
  <c r="CB130" i="174"/>
  <c r="CA130" i="174"/>
  <c r="BY130" i="174"/>
  <c r="BW130" i="174"/>
  <c r="BV130" i="174"/>
  <c r="BT130" i="174"/>
  <c r="BS130" i="174"/>
  <c r="BB130" i="174"/>
  <c r="Y130" i="174"/>
  <c r="EC129" i="174"/>
  <c r="DU129" i="174"/>
  <c r="DR129" i="174"/>
  <c r="DO129" i="174"/>
  <c r="DG129" i="174"/>
  <c r="DF129" i="174"/>
  <c r="DA129" i="174"/>
  <c r="CZ129" i="174"/>
  <c r="CY129" i="174"/>
  <c r="CX129" i="174"/>
  <c r="CW129" i="174"/>
  <c r="CU129" i="174"/>
  <c r="CT129" i="174"/>
  <c r="CR129" i="174"/>
  <c r="CP129" i="174"/>
  <c r="CK129" i="174"/>
  <c r="CJ129" i="174"/>
  <c r="BZ129" i="174"/>
  <c r="BW129" i="174"/>
  <c r="BO129" i="174"/>
  <c r="BN129" i="174"/>
  <c r="BI129" i="174"/>
  <c r="BH129" i="174"/>
  <c r="BG129" i="174"/>
  <c r="BF129" i="174"/>
  <c r="BE129" i="174"/>
  <c r="BD129" i="174"/>
  <c r="BC129" i="174"/>
  <c r="BB129" i="174"/>
  <c r="AZ129" i="174"/>
  <c r="AX129" i="174"/>
  <c r="AR129" i="174"/>
  <c r="AQ129" i="174"/>
  <c r="AP129" i="174"/>
  <c r="AN129" i="174"/>
  <c r="AL129" i="174"/>
  <c r="AK129" i="174"/>
  <c r="AJ129" i="174"/>
  <c r="AI129" i="174"/>
  <c r="AH129" i="174"/>
  <c r="AG129" i="174"/>
  <c r="AF129" i="174"/>
  <c r="AE129" i="174"/>
  <c r="AD129" i="174"/>
  <c r="AC129" i="174"/>
  <c r="AB129" i="174"/>
  <c r="Z129" i="174"/>
  <c r="G129" i="174"/>
  <c r="ED128" i="174"/>
  <c r="EB128" i="174"/>
  <c r="EA128" i="174"/>
  <c r="DZ128" i="174"/>
  <c r="DY128" i="174"/>
  <c r="DW128" i="174"/>
  <c r="DV128" i="174"/>
  <c r="DT128" i="174"/>
  <c r="DS128" i="174"/>
  <c r="DQ128" i="174"/>
  <c r="DP128" i="174"/>
  <c r="DN128" i="174"/>
  <c r="DK128" i="174"/>
  <c r="DB128" i="174"/>
  <c r="DX128" i="174" s="1"/>
  <c r="CN128" i="174"/>
  <c r="CL128" i="174"/>
  <c r="CI128" i="174"/>
  <c r="CH128" i="174"/>
  <c r="CG128" i="174"/>
  <c r="CE128" i="174"/>
  <c r="CD128" i="174"/>
  <c r="BY128" i="174"/>
  <c r="BX128" i="174"/>
  <c r="BV128" i="174"/>
  <c r="BT128" i="174"/>
  <c r="BS128" i="174"/>
  <c r="BJ128" i="174"/>
  <c r="AV128" i="174" s="1"/>
  <c r="Y128" i="174"/>
  <c r="ED127" i="174"/>
  <c r="EB127" i="174"/>
  <c r="DZ127" i="174"/>
  <c r="DX127" i="174"/>
  <c r="DW127" i="174"/>
  <c r="DV127" i="174"/>
  <c r="DT127" i="174"/>
  <c r="DS127" i="174"/>
  <c r="DQ127" i="174"/>
  <c r="DP127" i="174"/>
  <c r="DN127" i="174"/>
  <c r="DK127" i="174"/>
  <c r="DE127" i="174"/>
  <c r="EA127" i="174" s="1"/>
  <c r="DC127" i="174"/>
  <c r="DY127" i="174" s="1"/>
  <c r="CL127" i="174"/>
  <c r="CH127" i="174"/>
  <c r="CF127" i="174"/>
  <c r="CE127" i="174"/>
  <c r="CD127" i="174"/>
  <c r="BY127" i="174"/>
  <c r="BX127" i="174"/>
  <c r="BV127" i="174"/>
  <c r="BT127" i="174"/>
  <c r="BS127" i="174"/>
  <c r="BM127" i="174"/>
  <c r="BK127" i="174"/>
  <c r="CG127" i="174" s="1"/>
  <c r="Y127" i="174"/>
  <c r="ED126" i="174"/>
  <c r="EB126" i="174"/>
  <c r="DZ126" i="174"/>
  <c r="DY126" i="174"/>
  <c r="DX126" i="174"/>
  <c r="DW126" i="174"/>
  <c r="DV126" i="174"/>
  <c r="DT126" i="174"/>
  <c r="DS126" i="174"/>
  <c r="DQ126" i="174"/>
  <c r="DP126" i="174"/>
  <c r="DN126" i="174"/>
  <c r="DK126" i="174"/>
  <c r="DE126" i="174"/>
  <c r="EA126" i="174" s="1"/>
  <c r="CL126" i="174"/>
  <c r="CH126" i="174"/>
  <c r="CG126" i="174"/>
  <c r="CF126" i="174"/>
  <c r="CE126" i="174"/>
  <c r="CD126" i="174"/>
  <c r="BY126" i="174"/>
  <c r="BX126" i="174"/>
  <c r="BV126" i="174"/>
  <c r="BT126" i="174"/>
  <c r="BS126" i="174"/>
  <c r="BM126" i="174"/>
  <c r="AV126" i="174" s="1"/>
  <c r="Y126" i="174"/>
  <c r="ED124" i="174"/>
  <c r="EB124" i="174"/>
  <c r="DW124" i="174"/>
  <c r="DV124" i="174"/>
  <c r="DT124" i="174"/>
  <c r="DS124" i="174"/>
  <c r="DQ124" i="174"/>
  <c r="DP124" i="174"/>
  <c r="DN124" i="174"/>
  <c r="DE124" i="174"/>
  <c r="EA124" i="174" s="1"/>
  <c r="DD124" i="174"/>
  <c r="DD206" i="174" s="1"/>
  <c r="DC124" i="174"/>
  <c r="DB124" i="174"/>
  <c r="DX124" i="174" s="1"/>
  <c r="CO124" i="174"/>
  <c r="DK124" i="174" s="1"/>
  <c r="CL124" i="174"/>
  <c r="CE124" i="174"/>
  <c r="CD124" i="174"/>
  <c r="BY124" i="174"/>
  <c r="BX124" i="174"/>
  <c r="BV124" i="174"/>
  <c r="BT124" i="174"/>
  <c r="BS124" i="174"/>
  <c r="BM124" i="174"/>
  <c r="CI124" i="174" s="1"/>
  <c r="BL124" i="174"/>
  <c r="BK124" i="174"/>
  <c r="CG124" i="174" s="1"/>
  <c r="BJ124" i="174"/>
  <c r="CF124" i="174" s="1"/>
  <c r="AW124" i="174"/>
  <c r="AO124" i="174"/>
  <c r="AO206" i="174" s="1"/>
  <c r="EB122" i="174"/>
  <c r="EA122" i="174"/>
  <c r="DZ122" i="174"/>
  <c r="DY122" i="174"/>
  <c r="DX122" i="174"/>
  <c r="DW122" i="174"/>
  <c r="DV122" i="174"/>
  <c r="DT122" i="174"/>
  <c r="DS122" i="174"/>
  <c r="DQ122" i="174"/>
  <c r="DP122" i="174"/>
  <c r="DN122" i="174"/>
  <c r="DK122" i="174"/>
  <c r="DH122" i="174"/>
  <c r="CN122" i="174" s="1"/>
  <c r="CI122" i="174"/>
  <c r="CH122" i="174"/>
  <c r="CG122" i="174"/>
  <c r="CE122" i="174"/>
  <c r="CD122" i="174"/>
  <c r="BY122" i="174"/>
  <c r="BX122" i="174"/>
  <c r="BV122" i="174"/>
  <c r="BT122" i="174"/>
  <c r="BS122" i="174"/>
  <c r="BP122" i="174"/>
  <c r="BJ122" i="174"/>
  <c r="AS122" i="174"/>
  <c r="AM122" i="174"/>
  <c r="AM206" i="174" s="1"/>
  <c r="ED118" i="174"/>
  <c r="EB118" i="174"/>
  <c r="EA118" i="174"/>
  <c r="DZ118" i="174"/>
  <c r="DY118" i="174"/>
  <c r="DW118" i="174"/>
  <c r="DV118" i="174"/>
  <c r="DT118" i="174"/>
  <c r="DS118" i="174"/>
  <c r="DQ118" i="174"/>
  <c r="DP118" i="174"/>
  <c r="DN118" i="174"/>
  <c r="DK118" i="174"/>
  <c r="DH118" i="174"/>
  <c r="DB118" i="174" s="1"/>
  <c r="CN118" i="174" s="1"/>
  <c r="CI118" i="174"/>
  <c r="CH118" i="174"/>
  <c r="CG118" i="174"/>
  <c r="CE118" i="174"/>
  <c r="CD118" i="174"/>
  <c r="CC118" i="174"/>
  <c r="CB118" i="174"/>
  <c r="CA118" i="174"/>
  <c r="BY118" i="174"/>
  <c r="BX118" i="174"/>
  <c r="BV118" i="174"/>
  <c r="BT118" i="174"/>
  <c r="BS118" i="174"/>
  <c r="BP118" i="174"/>
  <c r="BJ118" i="174"/>
  <c r="AS118" i="174"/>
  <c r="Y118" i="174"/>
  <c r="EB115" i="174"/>
  <c r="EA115" i="174"/>
  <c r="DZ115" i="174"/>
  <c r="DY115" i="174"/>
  <c r="DW115" i="174"/>
  <c r="DV115" i="174"/>
  <c r="DT115" i="174"/>
  <c r="DS115" i="174"/>
  <c r="DQ115" i="174"/>
  <c r="DP115" i="174"/>
  <c r="DN115" i="174"/>
  <c r="DK115" i="174"/>
  <c r="DH115" i="174"/>
  <c r="DB115" i="174" s="1"/>
  <c r="CI115" i="174"/>
  <c r="CH115" i="174"/>
  <c r="CG115" i="174"/>
  <c r="CE115" i="174"/>
  <c r="CD115" i="174"/>
  <c r="CC115" i="174"/>
  <c r="CB115" i="174"/>
  <c r="CA115" i="174"/>
  <c r="BY115" i="174"/>
  <c r="BX115" i="174"/>
  <c r="BV115" i="174"/>
  <c r="BT115" i="174"/>
  <c r="BS115" i="174"/>
  <c r="BP115" i="174"/>
  <c r="BJ115" i="174"/>
  <c r="AS115" i="174"/>
  <c r="DZ114" i="174"/>
  <c r="DJ114" i="174" s="1"/>
  <c r="CN114" i="174"/>
  <c r="H114" i="174" s="1"/>
  <c r="CH114" i="174"/>
  <c r="BR114" i="174" s="1"/>
  <c r="AV114" i="174"/>
  <c r="Y114" i="174"/>
  <c r="ED113" i="174"/>
  <c r="DP113" i="174"/>
  <c r="DK113" i="174"/>
  <c r="DC113" i="174"/>
  <c r="CL113" i="174"/>
  <c r="CH113" i="174"/>
  <c r="CF113" i="174"/>
  <c r="CE113" i="174"/>
  <c r="BV113" i="174"/>
  <c r="BT113" i="174"/>
  <c r="BS113" i="174"/>
  <c r="BK113" i="174"/>
  <c r="AV113" i="174" s="1"/>
  <c r="Y113" i="174"/>
  <c r="ED112" i="174"/>
  <c r="DY112" i="174"/>
  <c r="DP112" i="174"/>
  <c r="CO112" i="174"/>
  <c r="DK112" i="174" s="1"/>
  <c r="CL112" i="174"/>
  <c r="CH112" i="174"/>
  <c r="CG112" i="174"/>
  <c r="CF112" i="174"/>
  <c r="CE112" i="174"/>
  <c r="BV112" i="174"/>
  <c r="BT112" i="174"/>
  <c r="AW112" i="174"/>
  <c r="AV112" i="174" s="1"/>
  <c r="Y112" i="174"/>
  <c r="ED111" i="174"/>
  <c r="EB111" i="174"/>
  <c r="DZ111" i="174"/>
  <c r="DY111" i="174"/>
  <c r="DX111" i="174"/>
  <c r="DW111" i="174"/>
  <c r="DV111" i="174"/>
  <c r="DT111" i="174"/>
  <c r="DS111" i="174"/>
  <c r="DQ111" i="174"/>
  <c r="DP111" i="174"/>
  <c r="DN111" i="174"/>
  <c r="DK111" i="174"/>
  <c r="DE111" i="174"/>
  <c r="EA111" i="174" s="1"/>
  <c r="CL111" i="174"/>
  <c r="CH111" i="174"/>
  <c r="CG111" i="174"/>
  <c r="CE111" i="174"/>
  <c r="CD111" i="174"/>
  <c r="CC111" i="174"/>
  <c r="CB111" i="174"/>
  <c r="CA111" i="174"/>
  <c r="BY111" i="174"/>
  <c r="BX111" i="174"/>
  <c r="BV111" i="174"/>
  <c r="BT111" i="174"/>
  <c r="BS111" i="174"/>
  <c r="BM111" i="174"/>
  <c r="CI111" i="174" s="1"/>
  <c r="BJ111" i="174"/>
  <c r="Y111" i="174"/>
  <c r="ED110" i="174"/>
  <c r="EB110" i="174"/>
  <c r="EA110" i="174"/>
  <c r="DZ110" i="174"/>
  <c r="DY110" i="174"/>
  <c r="DX110" i="174"/>
  <c r="DW110" i="174"/>
  <c r="DV110" i="174"/>
  <c r="DT110" i="174"/>
  <c r="DS110" i="174"/>
  <c r="DQ110" i="174"/>
  <c r="DP110" i="174"/>
  <c r="DN110" i="174"/>
  <c r="DK110" i="174"/>
  <c r="CN110" i="174"/>
  <c r="CL110" i="174"/>
  <c r="CI110" i="174"/>
  <c r="CH110" i="174"/>
  <c r="CG110" i="174"/>
  <c r="CF110" i="174"/>
  <c r="CE110" i="174"/>
  <c r="CD110" i="174"/>
  <c r="CC110" i="174"/>
  <c r="CB110" i="174"/>
  <c r="CA110" i="174"/>
  <c r="BY110" i="174"/>
  <c r="BX110" i="174"/>
  <c r="BV110" i="174"/>
  <c r="BT110" i="174"/>
  <c r="BS110" i="174"/>
  <c r="AV110" i="174"/>
  <c r="Y110" i="174"/>
  <c r="EB109" i="174"/>
  <c r="EA109" i="174"/>
  <c r="DZ109" i="174"/>
  <c r="DY109" i="174"/>
  <c r="DX109" i="174"/>
  <c r="DW109" i="174"/>
  <c r="DV109" i="174"/>
  <c r="DT109" i="174"/>
  <c r="DS109" i="174"/>
  <c r="DQ109" i="174"/>
  <c r="DP109" i="174"/>
  <c r="DN109" i="174"/>
  <c r="DK109" i="174"/>
  <c r="DH109" i="174"/>
  <c r="CI109" i="174"/>
  <c r="CH109" i="174"/>
  <c r="CG109" i="174"/>
  <c r="CF109" i="174"/>
  <c r="CE109" i="174"/>
  <c r="CD109" i="174"/>
  <c r="CC109" i="174"/>
  <c r="CB109" i="174"/>
  <c r="CA109" i="174"/>
  <c r="BY109" i="174"/>
  <c r="BX109" i="174"/>
  <c r="BV109" i="174"/>
  <c r="BT109" i="174"/>
  <c r="BS109" i="174"/>
  <c r="BP109" i="174"/>
  <c r="AS109" i="174"/>
  <c r="ED109" i="174" s="1"/>
  <c r="Y109" i="174"/>
  <c r="ED108" i="174"/>
  <c r="EB108" i="174"/>
  <c r="DZ108" i="174"/>
  <c r="DY108" i="174"/>
  <c r="DX108" i="174"/>
  <c r="DW108" i="174"/>
  <c r="DV108" i="174"/>
  <c r="DT108" i="174"/>
  <c r="DS108" i="174"/>
  <c r="DQ108" i="174"/>
  <c r="DP108" i="174"/>
  <c r="DN108" i="174"/>
  <c r="DK108" i="174"/>
  <c r="DE108" i="174"/>
  <c r="EA108" i="174" s="1"/>
  <c r="CL108" i="174"/>
  <c r="CH108" i="174"/>
  <c r="CG108" i="174"/>
  <c r="CF108" i="174"/>
  <c r="CE108" i="174"/>
  <c r="CD108" i="174"/>
  <c r="BY108" i="174"/>
  <c r="BX108" i="174"/>
  <c r="BV108" i="174"/>
  <c r="BT108" i="174"/>
  <c r="BS108" i="174"/>
  <c r="BM108" i="174"/>
  <c r="Y108" i="174"/>
  <c r="ED107" i="174"/>
  <c r="EB107" i="174"/>
  <c r="DZ107" i="174"/>
  <c r="DY107" i="174"/>
  <c r="DX107" i="174"/>
  <c r="DW107" i="174"/>
  <c r="DV107" i="174"/>
  <c r="DT107" i="174"/>
  <c r="DS107" i="174"/>
  <c r="DQ107" i="174"/>
  <c r="DP107" i="174"/>
  <c r="DN107" i="174"/>
  <c r="DK107" i="174"/>
  <c r="DE107" i="174"/>
  <c r="CN107" i="174" s="1"/>
  <c r="H107" i="174" s="1"/>
  <c r="CL107" i="174"/>
  <c r="CH107" i="174"/>
  <c r="CG107" i="174"/>
  <c r="CF107" i="174"/>
  <c r="CE107" i="174"/>
  <c r="CD107" i="174"/>
  <c r="BY107" i="174"/>
  <c r="BX107" i="174"/>
  <c r="BV107" i="174"/>
  <c r="BT107" i="174"/>
  <c r="BS107" i="174"/>
  <c r="BM107" i="174"/>
  <c r="CI107" i="174" s="1"/>
  <c r="Y107" i="174"/>
  <c r="ED106" i="174"/>
  <c r="EB106" i="174"/>
  <c r="DZ106" i="174"/>
  <c r="DY106" i="174"/>
  <c r="DX106" i="174"/>
  <c r="DW106" i="174"/>
  <c r="DV106" i="174"/>
  <c r="DT106" i="174"/>
  <c r="DS106" i="174"/>
  <c r="DQ106" i="174"/>
  <c r="DP106" i="174"/>
  <c r="DN106" i="174"/>
  <c r="DM106" i="174"/>
  <c r="DM206" i="174" s="1"/>
  <c r="DK106" i="174"/>
  <c r="DE106" i="174"/>
  <c r="CN106" i="174"/>
  <c r="CL106" i="174"/>
  <c r="CH106" i="174"/>
  <c r="CG106" i="174"/>
  <c r="CF106" i="174"/>
  <c r="CE106" i="174"/>
  <c r="CD106" i="174"/>
  <c r="BY106" i="174"/>
  <c r="BX106" i="174"/>
  <c r="BV106" i="174"/>
  <c r="BS106" i="174"/>
  <c r="BM106" i="174"/>
  <c r="AA106" i="174"/>
  <c r="EC104" i="174"/>
  <c r="DU104" i="174"/>
  <c r="DR104" i="174"/>
  <c r="DO104" i="174"/>
  <c r="DK104" i="174"/>
  <c r="DG104" i="174"/>
  <c r="DF104" i="174"/>
  <c r="DE104" i="174"/>
  <c r="DD104" i="174"/>
  <c r="DB104" i="174"/>
  <c r="CZ104" i="174"/>
  <c r="CY104" i="174"/>
  <c r="CX104" i="174"/>
  <c r="CW104" i="174"/>
  <c r="CP104" i="174"/>
  <c r="CO104" i="174"/>
  <c r="CK104" i="174"/>
  <c r="BZ104" i="174"/>
  <c r="BU104" i="174"/>
  <c r="BO104" i="174"/>
  <c r="BN104" i="174"/>
  <c r="BM104" i="174"/>
  <c r="BL104" i="174"/>
  <c r="BJ104" i="174"/>
  <c r="BH104" i="174"/>
  <c r="BG104" i="174"/>
  <c r="BF104" i="174"/>
  <c r="BE104" i="174"/>
  <c r="BD104" i="174"/>
  <c r="AX104" i="174"/>
  <c r="AW104" i="174"/>
  <c r="AR104" i="174"/>
  <c r="AQ104" i="174"/>
  <c r="AP104" i="174"/>
  <c r="AO104" i="174"/>
  <c r="AM104" i="174"/>
  <c r="AK104" i="174"/>
  <c r="AJ104" i="174"/>
  <c r="AI104" i="174"/>
  <c r="AH104" i="174"/>
  <c r="AG104" i="174"/>
  <c r="AD104" i="174"/>
  <c r="AB104" i="174"/>
  <c r="Z104" i="174"/>
  <c r="G104" i="174"/>
  <c r="EB103" i="174"/>
  <c r="EA103" i="174"/>
  <c r="DZ103" i="174"/>
  <c r="DY103" i="174"/>
  <c r="DX103" i="174"/>
  <c r="DW103" i="174"/>
  <c r="DV103" i="174"/>
  <c r="DT103" i="174"/>
  <c r="DS103" i="174"/>
  <c r="DQ103" i="174"/>
  <c r="DP103" i="174"/>
  <c r="DN103" i="174"/>
  <c r="DH103" i="174"/>
  <c r="CN103" i="174" s="1"/>
  <c r="H103" i="174" s="1"/>
  <c r="CI103" i="174"/>
  <c r="CH103" i="174"/>
  <c r="CG103" i="174"/>
  <c r="CF103" i="174"/>
  <c r="CE103" i="174"/>
  <c r="CD103" i="174"/>
  <c r="CB103" i="174"/>
  <c r="CA103" i="174"/>
  <c r="BY103" i="174"/>
  <c r="BX103" i="174"/>
  <c r="BV103" i="174"/>
  <c r="BT103" i="174"/>
  <c r="BS103" i="174"/>
  <c r="BP103" i="174"/>
  <c r="AV103" i="174" s="1"/>
  <c r="AS103" i="174"/>
  <c r="ED102" i="174"/>
  <c r="EB102" i="174"/>
  <c r="EA102" i="174"/>
  <c r="DZ102" i="174"/>
  <c r="DY102" i="174"/>
  <c r="DX102" i="174"/>
  <c r="DW102" i="174"/>
  <c r="DV102" i="174"/>
  <c r="DT102" i="174"/>
  <c r="DS102" i="174"/>
  <c r="DQ102" i="174"/>
  <c r="DN102" i="174"/>
  <c r="CT102" i="174"/>
  <c r="CN102" i="174" s="1"/>
  <c r="H102" i="174" s="1"/>
  <c r="CL102" i="174"/>
  <c r="CI102" i="174"/>
  <c r="CH102" i="174"/>
  <c r="CG102" i="174"/>
  <c r="CF102" i="174"/>
  <c r="CE102" i="174"/>
  <c r="CD102" i="174"/>
  <c r="CB102" i="174"/>
  <c r="CA102" i="174"/>
  <c r="BY102" i="174"/>
  <c r="BT102" i="174"/>
  <c r="BS102" i="174"/>
  <c r="BB102" i="174"/>
  <c r="AZ102" i="174"/>
  <c r="AE102" i="174"/>
  <c r="Y102" i="174" s="1"/>
  <c r="AC102" i="174"/>
  <c r="ED101" i="174"/>
  <c r="EB101" i="174"/>
  <c r="EA101" i="174"/>
  <c r="DZ101" i="174"/>
  <c r="DX101" i="174"/>
  <c r="DW101" i="174"/>
  <c r="DV101" i="174"/>
  <c r="DT101" i="174"/>
  <c r="DS101" i="174"/>
  <c r="DQ101" i="174"/>
  <c r="DO101" i="174"/>
  <c r="DO204" i="174" s="1"/>
  <c r="DC101" i="174"/>
  <c r="DY101" i="174" s="1"/>
  <c r="CT101" i="174"/>
  <c r="CL101" i="174"/>
  <c r="CI101" i="174"/>
  <c r="CH101" i="174"/>
  <c r="CF101" i="174"/>
  <c r="CE101" i="174"/>
  <c r="CD101" i="174"/>
  <c r="CB101" i="174"/>
  <c r="CA101" i="174"/>
  <c r="BY101" i="174"/>
  <c r="BW101" i="174"/>
  <c r="BW204" i="174" s="1"/>
  <c r="BT101" i="174"/>
  <c r="BS101" i="174"/>
  <c r="BK101" i="174"/>
  <c r="CG101" i="174" s="1"/>
  <c r="BB101" i="174"/>
  <c r="AV101" i="174"/>
  <c r="AE101" i="174"/>
  <c r="AC101" i="174"/>
  <c r="DN101" i="174" s="1"/>
  <c r="ED99" i="174"/>
  <c r="EB99" i="174"/>
  <c r="EA99" i="174"/>
  <c r="DZ99" i="174"/>
  <c r="DX99" i="174"/>
  <c r="DW99" i="174"/>
  <c r="DV99" i="174"/>
  <c r="DT99" i="174"/>
  <c r="DS99" i="174"/>
  <c r="DQ99" i="174"/>
  <c r="DN99" i="174"/>
  <c r="CN99" i="174"/>
  <c r="CL99" i="174"/>
  <c r="CI99" i="174"/>
  <c r="CH99" i="174"/>
  <c r="CF99" i="174"/>
  <c r="CE99" i="174"/>
  <c r="CD99" i="174"/>
  <c r="CB99" i="174"/>
  <c r="CA99" i="174"/>
  <c r="BY99" i="174"/>
  <c r="BV99" i="174"/>
  <c r="BT99" i="174"/>
  <c r="BS99" i="174"/>
  <c r="BK99" i="174"/>
  <c r="BB99" i="174"/>
  <c r="AV99" i="174" s="1"/>
  <c r="AN99" i="174"/>
  <c r="AE99" i="174"/>
  <c r="H99" i="174"/>
  <c r="ED98" i="174"/>
  <c r="EB98" i="174"/>
  <c r="EA98" i="174"/>
  <c r="DZ98" i="174"/>
  <c r="DY98" i="174"/>
  <c r="DX98" i="174"/>
  <c r="DW98" i="174"/>
  <c r="DV98" i="174"/>
  <c r="DT98" i="174"/>
  <c r="DS98" i="174"/>
  <c r="DQ98" i="174"/>
  <c r="DN98" i="174"/>
  <c r="DM98" i="174"/>
  <c r="CT98" i="174"/>
  <c r="CN98" i="174" s="1"/>
  <c r="H98" i="174" s="1"/>
  <c r="CL98" i="174"/>
  <c r="CI98" i="174"/>
  <c r="CH98" i="174"/>
  <c r="CG98" i="174"/>
  <c r="CF98" i="174"/>
  <c r="CE98" i="174"/>
  <c r="CD98" i="174"/>
  <c r="CB98" i="174"/>
  <c r="CA98" i="174"/>
  <c r="BY98" i="174"/>
  <c r="BV98" i="174"/>
  <c r="BS98" i="174"/>
  <c r="BB98" i="174"/>
  <c r="AV98" i="174" s="1"/>
  <c r="AE98" i="174"/>
  <c r="AA98" i="174"/>
  <c r="ED97" i="174"/>
  <c r="EB97" i="174"/>
  <c r="EA97" i="174"/>
  <c r="DZ97" i="174"/>
  <c r="DY97" i="174"/>
  <c r="DX97" i="174"/>
  <c r="DW97" i="174"/>
  <c r="DV97" i="174"/>
  <c r="DT97" i="174"/>
  <c r="DS97" i="174"/>
  <c r="DQ97" i="174"/>
  <c r="DN97" i="174"/>
  <c r="CN97" i="174"/>
  <c r="CL97" i="174"/>
  <c r="CI97" i="174"/>
  <c r="CH97" i="174"/>
  <c r="CG97" i="174"/>
  <c r="CF97" i="174"/>
  <c r="CE97" i="174"/>
  <c r="CD97" i="174"/>
  <c r="CB97" i="174"/>
  <c r="CA97" i="174"/>
  <c r="BY97" i="174"/>
  <c r="BV97" i="174"/>
  <c r="BT97" i="174"/>
  <c r="BS97" i="174"/>
  <c r="BB97" i="174"/>
  <c r="AV97" i="174" s="1"/>
  <c r="AE97" i="174"/>
  <c r="Y97" i="174" s="1"/>
  <c r="H97" i="174"/>
  <c r="ED96" i="174"/>
  <c r="EB96" i="174"/>
  <c r="EA96" i="174"/>
  <c r="DZ96" i="174"/>
  <c r="DY96" i="174"/>
  <c r="DX96" i="174"/>
  <c r="DW96" i="174"/>
  <c r="DV96" i="174"/>
  <c r="DT96" i="174"/>
  <c r="DS96" i="174"/>
  <c r="DQ96" i="174"/>
  <c r="DP96" i="174"/>
  <c r="DN96" i="174"/>
  <c r="DM96" i="174"/>
  <c r="CT96" i="174"/>
  <c r="CN96" i="174" s="1"/>
  <c r="H96" i="174" s="1"/>
  <c r="CL96" i="174"/>
  <c r="CI96" i="174"/>
  <c r="CH96" i="174"/>
  <c r="CG96" i="174"/>
  <c r="CF96" i="174"/>
  <c r="CE96" i="174"/>
  <c r="CD96" i="174"/>
  <c r="CB96" i="174"/>
  <c r="CA96" i="174"/>
  <c r="BY96" i="174"/>
  <c r="BV96" i="174"/>
  <c r="BS96" i="174"/>
  <c r="BB96" i="174"/>
  <c r="BX96" i="174" s="1"/>
  <c r="AA96" i="174"/>
  <c r="Y96" i="174" s="1"/>
  <c r="ED95" i="174"/>
  <c r="EB95" i="174"/>
  <c r="EA95" i="174"/>
  <c r="DZ95" i="174"/>
  <c r="DY95" i="174"/>
  <c r="DX95" i="174"/>
  <c r="DW95" i="174"/>
  <c r="DV95" i="174"/>
  <c r="DT95" i="174"/>
  <c r="DS95" i="174"/>
  <c r="DQ95" i="174"/>
  <c r="DN95" i="174"/>
  <c r="DM95" i="174"/>
  <c r="CT95" i="174"/>
  <c r="CN95" i="174" s="1"/>
  <c r="CL95" i="174"/>
  <c r="CI95" i="174"/>
  <c r="CH95" i="174"/>
  <c r="CG95" i="174"/>
  <c r="CF95" i="174"/>
  <c r="CE95" i="174"/>
  <c r="CD95" i="174"/>
  <c r="CB95" i="174"/>
  <c r="CA95" i="174"/>
  <c r="BY95" i="174"/>
  <c r="BV95" i="174"/>
  <c r="BT95" i="174"/>
  <c r="BS95" i="174"/>
  <c r="BB95" i="174"/>
  <c r="AV95" i="174" s="1"/>
  <c r="AE95" i="174"/>
  <c r="AA95" i="174"/>
  <c r="Y95" i="174" s="1"/>
  <c r="ED94" i="174"/>
  <c r="EB94" i="174"/>
  <c r="EA94" i="174"/>
  <c r="DZ94" i="174"/>
  <c r="DY94" i="174"/>
  <c r="DX94" i="174"/>
  <c r="DW94" i="174"/>
  <c r="DV94" i="174"/>
  <c r="DT94" i="174"/>
  <c r="DS94" i="174"/>
  <c r="DQ94" i="174"/>
  <c r="DP94" i="174"/>
  <c r="DN94" i="174"/>
  <c r="CN94" i="174"/>
  <c r="H94" i="174" s="1"/>
  <c r="CL94" i="174"/>
  <c r="CI94" i="174"/>
  <c r="CH94" i="174"/>
  <c r="CG94" i="174"/>
  <c r="CF94" i="174"/>
  <c r="CE94" i="174"/>
  <c r="CD94" i="174"/>
  <c r="CB94" i="174"/>
  <c r="CA94" i="174"/>
  <c r="BY94" i="174"/>
  <c r="BV94" i="174"/>
  <c r="BT94" i="174"/>
  <c r="BS94" i="174"/>
  <c r="BB94" i="174"/>
  <c r="AV94" i="174" s="1"/>
  <c r="AU94" i="174" s="1"/>
  <c r="BQ94" i="174" s="1"/>
  <c r="Y94" i="174"/>
  <c r="ED93" i="174"/>
  <c r="EB93" i="174"/>
  <c r="EA93" i="174"/>
  <c r="DZ93" i="174"/>
  <c r="DY93" i="174"/>
  <c r="DX93" i="174"/>
  <c r="DW93" i="174"/>
  <c r="DV93" i="174"/>
  <c r="DT93" i="174"/>
  <c r="DS93" i="174"/>
  <c r="DQ93" i="174"/>
  <c r="DN93" i="174"/>
  <c r="CT93" i="174"/>
  <c r="CL93" i="174"/>
  <c r="CI93" i="174"/>
  <c r="CH93" i="174"/>
  <c r="CG93" i="174"/>
  <c r="CF93" i="174"/>
  <c r="CE93" i="174"/>
  <c r="CD93" i="174"/>
  <c r="CB93" i="174"/>
  <c r="CA93" i="174"/>
  <c r="BY93" i="174"/>
  <c r="BV93" i="174"/>
  <c r="BT93" i="174"/>
  <c r="BS93" i="174"/>
  <c r="BB93" i="174"/>
  <c r="BX93" i="174" s="1"/>
  <c r="Y93" i="174"/>
  <c r="ED92" i="174"/>
  <c r="EB92" i="174"/>
  <c r="EA92" i="174"/>
  <c r="DZ92" i="174"/>
  <c r="DY92" i="174"/>
  <c r="DX92" i="174"/>
  <c r="DW92" i="174"/>
  <c r="DV92" i="174"/>
  <c r="DT92" i="174"/>
  <c r="DS92" i="174"/>
  <c r="DN92" i="174"/>
  <c r="CT92" i="174"/>
  <c r="CN92" i="174" s="1"/>
  <c r="H92" i="174" s="1"/>
  <c r="CL92" i="174"/>
  <c r="CI92" i="174"/>
  <c r="CH92" i="174"/>
  <c r="CG92" i="174"/>
  <c r="CF92" i="174"/>
  <c r="CE92" i="174"/>
  <c r="CD92" i="174"/>
  <c r="CB92" i="174"/>
  <c r="CA92" i="174"/>
  <c r="BT92" i="174"/>
  <c r="BS92" i="174"/>
  <c r="BB92" i="174"/>
  <c r="BX92" i="174" s="1"/>
  <c r="AZ92" i="174"/>
  <c r="BV92" i="174" s="1"/>
  <c r="AF92" i="174"/>
  <c r="DQ92" i="174" s="1"/>
  <c r="ED91" i="174"/>
  <c r="EB91" i="174"/>
  <c r="EA91" i="174"/>
  <c r="DZ91" i="174"/>
  <c r="DY91" i="174"/>
  <c r="DX91" i="174"/>
  <c r="DW91" i="174"/>
  <c r="DV91" i="174"/>
  <c r="DT91" i="174"/>
  <c r="DS91" i="174"/>
  <c r="DP91" i="174"/>
  <c r="DN91" i="174"/>
  <c r="CU91" i="174"/>
  <c r="CN91" i="174" s="1"/>
  <c r="CL91" i="174"/>
  <c r="CI91" i="174"/>
  <c r="CH91" i="174"/>
  <c r="CG91" i="174"/>
  <c r="CF91" i="174"/>
  <c r="CE91" i="174"/>
  <c r="CD91" i="174"/>
  <c r="CB91" i="174"/>
  <c r="CA91" i="174"/>
  <c r="BX91" i="174"/>
  <c r="BV91" i="174"/>
  <c r="BT91" i="174"/>
  <c r="BS91" i="174"/>
  <c r="BC91" i="174"/>
  <c r="AV91" i="174" s="1"/>
  <c r="AF91" i="174"/>
  <c r="Y91" i="174" s="1"/>
  <c r="ED90" i="174"/>
  <c r="EB90" i="174"/>
  <c r="EA90" i="174"/>
  <c r="DZ90" i="174"/>
  <c r="DX90" i="174"/>
  <c r="DW90" i="174"/>
  <c r="DV90" i="174"/>
  <c r="DT90" i="174"/>
  <c r="DS90" i="174"/>
  <c r="DQ90" i="174"/>
  <c r="DP90" i="174"/>
  <c r="DC90" i="174"/>
  <c r="DY90" i="174" s="1"/>
  <c r="CR90" i="174"/>
  <c r="CR204" i="174" s="1"/>
  <c r="CL90" i="174"/>
  <c r="CI90" i="174"/>
  <c r="CH90" i="174"/>
  <c r="CF90" i="174"/>
  <c r="CE90" i="174"/>
  <c r="CD90" i="174"/>
  <c r="CB90" i="174"/>
  <c r="CA90" i="174"/>
  <c r="BY90" i="174"/>
  <c r="BX90" i="174"/>
  <c r="BT90" i="174"/>
  <c r="BS90" i="174"/>
  <c r="BK90" i="174"/>
  <c r="CG90" i="174" s="1"/>
  <c r="AZ90" i="174"/>
  <c r="BV90" i="174" s="1"/>
  <c r="Y90" i="174"/>
  <c r="ED89" i="174"/>
  <c r="EB89" i="174"/>
  <c r="EA89" i="174"/>
  <c r="DZ89" i="174"/>
  <c r="DY89" i="174"/>
  <c r="DX89" i="174"/>
  <c r="DW89" i="174"/>
  <c r="DV89" i="174"/>
  <c r="DT89" i="174"/>
  <c r="DS89" i="174"/>
  <c r="DQ89" i="174"/>
  <c r="DP89" i="174"/>
  <c r="CN89" i="174"/>
  <c r="CL89" i="174"/>
  <c r="CI89" i="174"/>
  <c r="CH89" i="174"/>
  <c r="CF89" i="174"/>
  <c r="CE89" i="174"/>
  <c r="CD89" i="174"/>
  <c r="CB89" i="174"/>
  <c r="CA89" i="174"/>
  <c r="BY89" i="174"/>
  <c r="BV89" i="174"/>
  <c r="BT89" i="174"/>
  <c r="BS89" i="174"/>
  <c r="BK89" i="174"/>
  <c r="CG89" i="174" s="1"/>
  <c r="BB89" i="174"/>
  <c r="AC89" i="174"/>
  <c r="Y89" i="174" s="1"/>
  <c r="ED88" i="174"/>
  <c r="EB88" i="174"/>
  <c r="EA88" i="174"/>
  <c r="DZ88" i="174"/>
  <c r="DY88" i="174"/>
  <c r="DX88" i="174"/>
  <c r="DW88" i="174"/>
  <c r="DV88" i="174"/>
  <c r="DT88" i="174"/>
  <c r="DS88" i="174"/>
  <c r="DQ88" i="174"/>
  <c r="DP88" i="174"/>
  <c r="DN88" i="174"/>
  <c r="DM88" i="174"/>
  <c r="CN88" i="174"/>
  <c r="H88" i="174" s="1"/>
  <c r="CL88" i="174"/>
  <c r="CI88" i="174"/>
  <c r="CH88" i="174"/>
  <c r="CG88" i="174"/>
  <c r="CF88" i="174"/>
  <c r="CE88" i="174"/>
  <c r="CD88" i="174"/>
  <c r="CB88" i="174"/>
  <c r="CA88" i="174"/>
  <c r="BX88" i="174"/>
  <c r="BV88" i="174"/>
  <c r="BS88" i="174"/>
  <c r="BC88" i="174"/>
  <c r="AV88" i="174" s="1"/>
  <c r="AA88" i="174"/>
  <c r="Y88" i="174" s="1"/>
  <c r="ED87" i="174"/>
  <c r="EB87" i="174"/>
  <c r="EA87" i="174"/>
  <c r="DZ87" i="174"/>
  <c r="DY87" i="174"/>
  <c r="DX87" i="174"/>
  <c r="DV87" i="174"/>
  <c r="DT87" i="174"/>
  <c r="DS87" i="174"/>
  <c r="DQ87" i="174"/>
  <c r="DP87" i="174"/>
  <c r="DN87" i="174"/>
  <c r="DA87" i="174"/>
  <c r="DA104" i="174" s="1"/>
  <c r="CL87" i="174"/>
  <c r="CI87" i="174"/>
  <c r="CH87" i="174"/>
  <c r="CG87" i="174"/>
  <c r="CF87" i="174"/>
  <c r="CD87" i="174"/>
  <c r="CB87" i="174"/>
  <c r="CA87" i="174"/>
  <c r="BY87" i="174"/>
  <c r="BX87" i="174"/>
  <c r="BV87" i="174"/>
  <c r="BT87" i="174"/>
  <c r="BS87" i="174"/>
  <c r="BI87" i="174"/>
  <c r="AL87" i="174"/>
  <c r="Y87" i="174" s="1"/>
  <c r="ED86" i="174"/>
  <c r="EB86" i="174"/>
  <c r="EA86" i="174"/>
  <c r="DZ86" i="174"/>
  <c r="DY86" i="174"/>
  <c r="DX86" i="174"/>
  <c r="DW86" i="174"/>
  <c r="DV86" i="174"/>
  <c r="DT86" i="174"/>
  <c r="DS86" i="174"/>
  <c r="DQ86" i="174"/>
  <c r="DP86" i="174"/>
  <c r="DN86" i="174"/>
  <c r="DH86" i="174"/>
  <c r="CN86" i="174" s="1"/>
  <c r="CI86" i="174"/>
  <c r="CH86" i="174"/>
  <c r="CG86" i="174"/>
  <c r="CF86" i="174"/>
  <c r="CE86" i="174"/>
  <c r="CD86" i="174"/>
  <c r="CB86" i="174"/>
  <c r="CA86" i="174"/>
  <c r="BY86" i="174"/>
  <c r="BX86" i="174"/>
  <c r="BV86" i="174"/>
  <c r="BT86" i="174"/>
  <c r="BS86" i="174"/>
  <c r="BP86" i="174"/>
  <c r="AV86" i="174" s="1"/>
  <c r="AS86" i="174"/>
  <c r="CL86" i="174" s="1"/>
  <c r="EB85" i="174"/>
  <c r="EA85" i="174"/>
  <c r="DZ85" i="174"/>
  <c r="DY85" i="174"/>
  <c r="DX85" i="174"/>
  <c r="DW85" i="174"/>
  <c r="DV85" i="174"/>
  <c r="DT85" i="174"/>
  <c r="DS85" i="174"/>
  <c r="DQ85" i="174"/>
  <c r="DP85" i="174"/>
  <c r="DN85" i="174"/>
  <c r="DH85" i="174"/>
  <c r="CN85" i="174" s="1"/>
  <c r="H85" i="174" s="1"/>
  <c r="CL85" i="174"/>
  <c r="CI85" i="174"/>
  <c r="CH85" i="174"/>
  <c r="CG85" i="174"/>
  <c r="CF85" i="174"/>
  <c r="CE85" i="174"/>
  <c r="CD85" i="174"/>
  <c r="CB85" i="174"/>
  <c r="CA85" i="174"/>
  <c r="BY85" i="174"/>
  <c r="BX85" i="174"/>
  <c r="BV85" i="174"/>
  <c r="BT85" i="174"/>
  <c r="BS85" i="174"/>
  <c r="BP85" i="174"/>
  <c r="AV85" i="174" s="1"/>
  <c r="AS85" i="174"/>
  <c r="ED85" i="174" s="1"/>
  <c r="Y85" i="174"/>
  <c r="ED84" i="174"/>
  <c r="EB84" i="174"/>
  <c r="EA84" i="174"/>
  <c r="DZ84" i="174"/>
  <c r="DY84" i="174"/>
  <c r="DX84" i="174"/>
  <c r="DW84" i="174"/>
  <c r="DV84" i="174"/>
  <c r="DT84" i="174"/>
  <c r="DS84" i="174"/>
  <c r="DP84" i="174"/>
  <c r="DN84" i="174"/>
  <c r="DM84" i="174"/>
  <c r="CU84" i="174"/>
  <c r="CL84" i="174"/>
  <c r="CI84" i="174"/>
  <c r="CH84" i="174"/>
  <c r="CG84" i="174"/>
  <c r="CF84" i="174"/>
  <c r="CE84" i="174"/>
  <c r="CD84" i="174"/>
  <c r="CC84" i="174"/>
  <c r="CB84" i="174"/>
  <c r="CA84" i="174"/>
  <c r="BY84" i="174"/>
  <c r="BX84" i="174"/>
  <c r="BV84" i="174"/>
  <c r="BT84" i="174"/>
  <c r="BS84" i="174"/>
  <c r="BC84" i="174"/>
  <c r="AV84" i="174" s="1"/>
  <c r="AF84" i="174"/>
  <c r="AA84" i="174"/>
  <c r="Y84" i="174" s="1"/>
  <c r="ED83" i="174"/>
  <c r="EB83" i="174"/>
  <c r="EA83" i="174"/>
  <c r="DZ83" i="174"/>
  <c r="DY83" i="174"/>
  <c r="DX83" i="174"/>
  <c r="DW83" i="174"/>
  <c r="DV83" i="174"/>
  <c r="DT83" i="174"/>
  <c r="DS83" i="174"/>
  <c r="DP83" i="174"/>
  <c r="DN83" i="174"/>
  <c r="DM83" i="174"/>
  <c r="CU83" i="174"/>
  <c r="CN83" i="174"/>
  <c r="CL83" i="174"/>
  <c r="CI83" i="174"/>
  <c r="CH83" i="174"/>
  <c r="CG83" i="174"/>
  <c r="CF83" i="174"/>
  <c r="CE83" i="174"/>
  <c r="CD83" i="174"/>
  <c r="CC83" i="174"/>
  <c r="CB83" i="174"/>
  <c r="CA83" i="174"/>
  <c r="BY83" i="174"/>
  <c r="BX83" i="174"/>
  <c r="BV83" i="174"/>
  <c r="BT83" i="174"/>
  <c r="BS83" i="174"/>
  <c r="BC83" i="174"/>
  <c r="AV83" i="174"/>
  <c r="AA83" i="174"/>
  <c r="DL83" i="174" s="1"/>
  <c r="Y83" i="174"/>
  <c r="EB82" i="174"/>
  <c r="EA82" i="174"/>
  <c r="DZ82" i="174"/>
  <c r="DY82" i="174"/>
  <c r="DX82" i="174"/>
  <c r="DW82" i="174"/>
  <c r="DV82" i="174"/>
  <c r="DT82" i="174"/>
  <c r="DS82" i="174"/>
  <c r="DQ82" i="174"/>
  <c r="DP82" i="174"/>
  <c r="DN82" i="174"/>
  <c r="DH82" i="174"/>
  <c r="ED82" i="174" s="1"/>
  <c r="CN82" i="174"/>
  <c r="CI82" i="174"/>
  <c r="CH82" i="174"/>
  <c r="CG82" i="174"/>
  <c r="CF82" i="174"/>
  <c r="CE82" i="174"/>
  <c r="CD82" i="174"/>
  <c r="CC82" i="174"/>
  <c r="CB82" i="174"/>
  <c r="CA82" i="174"/>
  <c r="BY82" i="174"/>
  <c r="BX82" i="174"/>
  <c r="BV82" i="174"/>
  <c r="BT82" i="174"/>
  <c r="BS82" i="174"/>
  <c r="BP82" i="174"/>
  <c r="AV82" i="174"/>
  <c r="AS82" i="174"/>
  <c r="ED81" i="174"/>
  <c r="EB81" i="174"/>
  <c r="EA81" i="174"/>
  <c r="DZ81" i="174"/>
  <c r="DY81" i="174"/>
  <c r="DX81" i="174"/>
  <c r="DW81" i="174"/>
  <c r="DV81" i="174"/>
  <c r="DT81" i="174"/>
  <c r="DS81" i="174"/>
  <c r="DP81" i="174"/>
  <c r="DN81" i="174"/>
  <c r="CU81" i="174"/>
  <c r="CN81" i="174"/>
  <c r="CL81" i="174"/>
  <c r="CJ81" i="174"/>
  <c r="CI81" i="174"/>
  <c r="CH81" i="174"/>
  <c r="CG81" i="174"/>
  <c r="CF81" i="174"/>
  <c r="CE81" i="174"/>
  <c r="CD81" i="174"/>
  <c r="CC81" i="174"/>
  <c r="CB81" i="174"/>
  <c r="CA81" i="174"/>
  <c r="BX81" i="174"/>
  <c r="BV81" i="174"/>
  <c r="BT81" i="174"/>
  <c r="BS81" i="174"/>
  <c r="BC81" i="174"/>
  <c r="AV81" i="174" s="1"/>
  <c r="AF81" i="174"/>
  <c r="BY81" i="174" s="1"/>
  <c r="EB80" i="174"/>
  <c r="EA80" i="174"/>
  <c r="DZ80" i="174"/>
  <c r="DY80" i="174"/>
  <c r="DX80" i="174"/>
  <c r="DW80" i="174"/>
  <c r="DV80" i="174"/>
  <c r="DT80" i="174"/>
  <c r="DS80" i="174"/>
  <c r="DQ80" i="174"/>
  <c r="DP80" i="174"/>
  <c r="DN80" i="174"/>
  <c r="DH80" i="174"/>
  <c r="CN80" i="174" s="1"/>
  <c r="H80" i="174" s="1"/>
  <c r="CI80" i="174"/>
  <c r="CH80" i="174"/>
  <c r="CG80" i="174"/>
  <c r="CF80" i="174"/>
  <c r="CE80" i="174"/>
  <c r="CD80" i="174"/>
  <c r="CB80" i="174"/>
  <c r="CA80" i="174"/>
  <c r="BY80" i="174"/>
  <c r="BX80" i="174"/>
  <c r="BV80" i="174"/>
  <c r="BT80" i="174"/>
  <c r="BS80" i="174"/>
  <c r="BP80" i="174"/>
  <c r="AV80" i="174" s="1"/>
  <c r="AS80" i="174"/>
  <c r="Y80" i="174" s="1"/>
  <c r="EB79" i="174"/>
  <c r="EA79" i="174"/>
  <c r="DZ79" i="174"/>
  <c r="DY79" i="174"/>
  <c r="DX79" i="174"/>
  <c r="DW79" i="174"/>
  <c r="DV79" i="174"/>
  <c r="DT79" i="174"/>
  <c r="DS79" i="174"/>
  <c r="DQ79" i="174"/>
  <c r="DP79" i="174"/>
  <c r="DN79" i="174"/>
  <c r="DH79" i="174"/>
  <c r="CN79" i="174" s="1"/>
  <c r="CI79" i="174"/>
  <c r="CH79" i="174"/>
  <c r="CG79" i="174"/>
  <c r="CF79" i="174"/>
  <c r="CE79" i="174"/>
  <c r="CD79" i="174"/>
  <c r="CC79" i="174"/>
  <c r="CB79" i="174"/>
  <c r="CA79" i="174"/>
  <c r="BY79" i="174"/>
  <c r="BX79" i="174"/>
  <c r="BV79" i="174"/>
  <c r="BT79" i="174"/>
  <c r="BS79" i="174"/>
  <c r="BP79" i="174"/>
  <c r="AV79" i="174" s="1"/>
  <c r="AS79" i="174"/>
  <c r="Y79" i="174" s="1"/>
  <c r="ED78" i="174"/>
  <c r="EB78" i="174"/>
  <c r="EA78" i="174"/>
  <c r="DZ78" i="174"/>
  <c r="DY78" i="174"/>
  <c r="DX78" i="174"/>
  <c r="DW78" i="174"/>
  <c r="DV78" i="174"/>
  <c r="DT78" i="174"/>
  <c r="DS78" i="174"/>
  <c r="DP78" i="174"/>
  <c r="DN78" i="174"/>
  <c r="DM78" i="174"/>
  <c r="CU78" i="174"/>
  <c r="CN78" i="174" s="1"/>
  <c r="H78" i="174" s="1"/>
  <c r="CL78" i="174"/>
  <c r="CI78" i="174"/>
  <c r="CH78" i="174"/>
  <c r="CG78" i="174"/>
  <c r="CF78" i="174"/>
  <c r="CE78" i="174"/>
  <c r="CD78" i="174"/>
  <c r="CC78" i="174"/>
  <c r="CB78" i="174"/>
  <c r="CA78" i="174"/>
  <c r="BX78" i="174"/>
  <c r="BV78" i="174"/>
  <c r="BS78" i="174"/>
  <c r="BC78" i="174"/>
  <c r="AF78" i="174"/>
  <c r="AA78" i="174"/>
  <c r="DL78" i="174" s="1"/>
  <c r="ED77" i="174"/>
  <c r="EB77" i="174"/>
  <c r="EA77" i="174"/>
  <c r="DZ77" i="174"/>
  <c r="DY77" i="174"/>
  <c r="DX77" i="174"/>
  <c r="DW77" i="174"/>
  <c r="DV77" i="174"/>
  <c r="DT77" i="174"/>
  <c r="DS77" i="174"/>
  <c r="DQ77" i="174"/>
  <c r="DP77" i="174"/>
  <c r="DN77" i="174"/>
  <c r="CN77" i="174"/>
  <c r="H77" i="174" s="1"/>
  <c r="CI77" i="174"/>
  <c r="CH77" i="174"/>
  <c r="CG77" i="174"/>
  <c r="CF77" i="174"/>
  <c r="CE77" i="174"/>
  <c r="CD77" i="174"/>
  <c r="CC77" i="174"/>
  <c r="CB77" i="174"/>
  <c r="CA77" i="174"/>
  <c r="BY77" i="174"/>
  <c r="BX77" i="174"/>
  <c r="BV77" i="174"/>
  <c r="BT77" i="174"/>
  <c r="BS77" i="174"/>
  <c r="BP77" i="174"/>
  <c r="AV77" i="174" s="1"/>
  <c r="AS77" i="174"/>
  <c r="Y77" i="174" s="1"/>
  <c r="ED76" i="174"/>
  <c r="EB76" i="174"/>
  <c r="EA76" i="174"/>
  <c r="DZ76" i="174"/>
  <c r="DY76" i="174"/>
  <c r="DX76" i="174"/>
  <c r="DW76" i="174"/>
  <c r="DV76" i="174"/>
  <c r="DT76" i="174"/>
  <c r="DS76" i="174"/>
  <c r="DQ76" i="174"/>
  <c r="DN76" i="174"/>
  <c r="CT76" i="174"/>
  <c r="DP76" i="174" s="1"/>
  <c r="CL76" i="174"/>
  <c r="CJ76" i="174"/>
  <c r="CI76" i="174"/>
  <c r="CH76" i="174"/>
  <c r="CG76" i="174"/>
  <c r="CF76" i="174"/>
  <c r="CE76" i="174"/>
  <c r="CD76" i="174"/>
  <c r="CC76" i="174"/>
  <c r="CB76" i="174"/>
  <c r="CA76" i="174"/>
  <c r="BY76" i="174"/>
  <c r="BV76" i="174"/>
  <c r="BT76" i="174"/>
  <c r="BS76" i="174"/>
  <c r="BB76" i="174"/>
  <c r="Y76" i="174"/>
  <c r="ED75" i="174"/>
  <c r="EB75" i="174"/>
  <c r="EA75" i="174"/>
  <c r="DZ75" i="174"/>
  <c r="DX75" i="174"/>
  <c r="DW75" i="174"/>
  <c r="DV75" i="174"/>
  <c r="DT75" i="174"/>
  <c r="DS75" i="174"/>
  <c r="DQ75" i="174"/>
  <c r="DN75" i="174"/>
  <c r="DC75" i="174"/>
  <c r="DY75" i="174" s="1"/>
  <c r="CT75" i="174"/>
  <c r="CL75" i="174"/>
  <c r="CJ75" i="174"/>
  <c r="CI75" i="174"/>
  <c r="CH75" i="174"/>
  <c r="CF75" i="174"/>
  <c r="CE75" i="174"/>
  <c r="CD75" i="174"/>
  <c r="CC75" i="174"/>
  <c r="CB75" i="174"/>
  <c r="CA75" i="174"/>
  <c r="BY75" i="174"/>
  <c r="BV75" i="174"/>
  <c r="BT75" i="174"/>
  <c r="BS75" i="174"/>
  <c r="BK75" i="174"/>
  <c r="CG75" i="174" s="1"/>
  <c r="BB75" i="174"/>
  <c r="Y75" i="174"/>
  <c r="ED74" i="174"/>
  <c r="EB74" i="174"/>
  <c r="EA74" i="174"/>
  <c r="DZ74" i="174"/>
  <c r="DY74" i="174"/>
  <c r="DX74" i="174"/>
  <c r="DW74" i="174"/>
  <c r="DV74" i="174"/>
  <c r="DT74" i="174"/>
  <c r="DS74" i="174"/>
  <c r="DP74" i="174"/>
  <c r="DN74" i="174"/>
  <c r="CN74" i="174"/>
  <c r="CL74" i="174"/>
  <c r="CJ74" i="174"/>
  <c r="CI74" i="174"/>
  <c r="CH74" i="174"/>
  <c r="CG74" i="174"/>
  <c r="CF74" i="174"/>
  <c r="CE74" i="174"/>
  <c r="CD74" i="174"/>
  <c r="CC74" i="174"/>
  <c r="CB74" i="174"/>
  <c r="CA74" i="174"/>
  <c r="BX74" i="174"/>
  <c r="BV74" i="174"/>
  <c r="BT74" i="174"/>
  <c r="BS74" i="174"/>
  <c r="AV74" i="174"/>
  <c r="AF74" i="174"/>
  <c r="BY74" i="174" s="1"/>
  <c r="EB73" i="174"/>
  <c r="EA73" i="174"/>
  <c r="DZ73" i="174"/>
  <c r="DY73" i="174"/>
  <c r="DX73" i="174"/>
  <c r="DW73" i="174"/>
  <c r="DV73" i="174"/>
  <c r="DT73" i="174"/>
  <c r="DS73" i="174"/>
  <c r="DQ73" i="174"/>
  <c r="DP73" i="174"/>
  <c r="DN73" i="174"/>
  <c r="DH73" i="174"/>
  <c r="CN73" i="174" s="1"/>
  <c r="H73" i="174" s="1"/>
  <c r="CI73" i="174"/>
  <c r="CH73" i="174"/>
  <c r="CG73" i="174"/>
  <c r="CF73" i="174"/>
  <c r="CE73" i="174"/>
  <c r="CD73" i="174"/>
  <c r="CC73" i="174"/>
  <c r="CB73" i="174"/>
  <c r="BY73" i="174"/>
  <c r="BX73" i="174"/>
  <c r="BV73" i="174"/>
  <c r="BT73" i="174"/>
  <c r="BS73" i="174"/>
  <c r="BP73" i="174"/>
  <c r="AV73" i="174"/>
  <c r="AS73" i="174"/>
  <c r="EB72" i="174"/>
  <c r="EA72" i="174"/>
  <c r="DZ72" i="174"/>
  <c r="DY72" i="174"/>
  <c r="DX72" i="174"/>
  <c r="DW72" i="174"/>
  <c r="DV72" i="174"/>
  <c r="DT72" i="174"/>
  <c r="DS72" i="174"/>
  <c r="DQ72" i="174"/>
  <c r="DP72" i="174"/>
  <c r="DN72" i="174"/>
  <c r="DH72" i="174"/>
  <c r="CJ72" i="174"/>
  <c r="CI72" i="174"/>
  <c r="CH72" i="174"/>
  <c r="CG72" i="174"/>
  <c r="CF72" i="174"/>
  <c r="CE72" i="174"/>
  <c r="CD72" i="174"/>
  <c r="CC72" i="174"/>
  <c r="CB72" i="174"/>
  <c r="CA72" i="174"/>
  <c r="BY72" i="174"/>
  <c r="BX72" i="174"/>
  <c r="BV72" i="174"/>
  <c r="BT72" i="174"/>
  <c r="BS72" i="174"/>
  <c r="BP72" i="174"/>
  <c r="AS72" i="174"/>
  <c r="Y72" i="174"/>
  <c r="EB71" i="174"/>
  <c r="EA71" i="174"/>
  <c r="DZ71" i="174"/>
  <c r="DX71" i="174"/>
  <c r="DW71" i="174"/>
  <c r="DV71" i="174"/>
  <c r="DT71" i="174"/>
  <c r="DS71" i="174"/>
  <c r="DQ71" i="174"/>
  <c r="DP71" i="174"/>
  <c r="DN71" i="174"/>
  <c r="DH71" i="174"/>
  <c r="DC71" i="174"/>
  <c r="CT71" i="174"/>
  <c r="CI71" i="174"/>
  <c r="CH71" i="174"/>
  <c r="CF71" i="174"/>
  <c r="CE71" i="174"/>
  <c r="CD71" i="174"/>
  <c r="CC71" i="174"/>
  <c r="CB71" i="174"/>
  <c r="CA71" i="174"/>
  <c r="BY71" i="174"/>
  <c r="BV71" i="174"/>
  <c r="BT71" i="174"/>
  <c r="BS71" i="174"/>
  <c r="BP71" i="174"/>
  <c r="BK71" i="174"/>
  <c r="BB71" i="174"/>
  <c r="AS71" i="174"/>
  <c r="AN71" i="174"/>
  <c r="CG71" i="174" s="1"/>
  <c r="ED70" i="174"/>
  <c r="EB70" i="174"/>
  <c r="EA70" i="174"/>
  <c r="DZ70" i="174"/>
  <c r="DX70" i="174"/>
  <c r="DW70" i="174"/>
  <c r="DV70" i="174"/>
  <c r="DT70" i="174"/>
  <c r="DS70" i="174"/>
  <c r="DQ70" i="174"/>
  <c r="DN70" i="174"/>
  <c r="DC70" i="174"/>
  <c r="DY70" i="174" s="1"/>
  <c r="CT70" i="174"/>
  <c r="CL70" i="174"/>
  <c r="CI70" i="174"/>
  <c r="CH70" i="174"/>
  <c r="CF70" i="174"/>
  <c r="CE70" i="174"/>
  <c r="CD70" i="174"/>
  <c r="CB70" i="174"/>
  <c r="BY70" i="174"/>
  <c r="BV70" i="174"/>
  <c r="BT70" i="174"/>
  <c r="BS70" i="174"/>
  <c r="BK70" i="174"/>
  <c r="BB70" i="174"/>
  <c r="AE70" i="174"/>
  <c r="Y70" i="174" s="1"/>
  <c r="ED69" i="174"/>
  <c r="EB69" i="174"/>
  <c r="EA69" i="174"/>
  <c r="DZ69" i="174"/>
  <c r="DY69" i="174"/>
  <c r="DX69" i="174"/>
  <c r="DW69" i="174"/>
  <c r="DV69" i="174"/>
  <c r="DT69" i="174"/>
  <c r="DS69" i="174"/>
  <c r="DQ69" i="174"/>
  <c r="DN69" i="174"/>
  <c r="CT69" i="174"/>
  <c r="CN69" i="174" s="1"/>
  <c r="H69" i="174" s="1"/>
  <c r="CL69" i="174"/>
  <c r="CI69" i="174"/>
  <c r="CH69" i="174"/>
  <c r="CG69" i="174"/>
  <c r="CF69" i="174"/>
  <c r="CE69" i="174"/>
  <c r="CD69" i="174"/>
  <c r="CB69" i="174"/>
  <c r="BY69" i="174"/>
  <c r="BV69" i="174"/>
  <c r="BT69" i="174"/>
  <c r="BS69" i="174"/>
  <c r="BB69" i="174"/>
  <c r="AV69" i="174" s="1"/>
  <c r="AE69" i="174"/>
  <c r="DP69" i="174" s="1"/>
  <c r="EB68" i="174"/>
  <c r="EA68" i="174"/>
  <c r="DZ68" i="174"/>
  <c r="DY68" i="174"/>
  <c r="DX68" i="174"/>
  <c r="DW68" i="174"/>
  <c r="DV68" i="174"/>
  <c r="DT68" i="174"/>
  <c r="DS68" i="174"/>
  <c r="DQ68" i="174"/>
  <c r="DP68" i="174"/>
  <c r="DN68" i="174"/>
  <c r="DH68" i="174"/>
  <c r="CN68" i="174"/>
  <c r="H68" i="174" s="1"/>
  <c r="CI68" i="174"/>
  <c r="CH68" i="174"/>
  <c r="CG68" i="174"/>
  <c r="CF68" i="174"/>
  <c r="CE68" i="174"/>
  <c r="CD68" i="174"/>
  <c r="CC68" i="174"/>
  <c r="CB68" i="174"/>
  <c r="CA68" i="174"/>
  <c r="BY68" i="174"/>
  <c r="BX68" i="174"/>
  <c r="BV68" i="174"/>
  <c r="BT68" i="174"/>
  <c r="BS68" i="174"/>
  <c r="BP68" i="174"/>
  <c r="AV68" i="174" s="1"/>
  <c r="AS68" i="174"/>
  <c r="Y68" i="174" s="1"/>
  <c r="EC67" i="174"/>
  <c r="DU67" i="174"/>
  <c r="DO67" i="174"/>
  <c r="DK67" i="174"/>
  <c r="DG67" i="174"/>
  <c r="DE67" i="174"/>
  <c r="CZ67" i="174"/>
  <c r="CY67" i="174"/>
  <c r="CX67" i="174"/>
  <c r="CS67" i="174"/>
  <c r="CO67" i="174"/>
  <c r="BW67" i="174"/>
  <c r="BO67" i="174"/>
  <c r="BM67" i="174"/>
  <c r="BH67" i="174"/>
  <c r="BG67" i="174"/>
  <c r="BF67" i="174"/>
  <c r="BE67" i="174"/>
  <c r="BA67" i="174"/>
  <c r="AY67" i="174"/>
  <c r="AY197" i="174" s="1"/>
  <c r="AW67" i="174"/>
  <c r="AR67" i="174"/>
  <c r="AQ67" i="174"/>
  <c r="AP67" i="174"/>
  <c r="AK67" i="174"/>
  <c r="AJ67" i="174"/>
  <c r="AI67" i="174"/>
  <c r="AH67" i="174"/>
  <c r="AG67" i="174"/>
  <c r="AD67" i="174"/>
  <c r="AB67" i="174"/>
  <c r="Z67" i="174"/>
  <c r="G67" i="174"/>
  <c r="EB66" i="174"/>
  <c r="EA66" i="174"/>
  <c r="DZ66" i="174"/>
  <c r="DY66" i="174"/>
  <c r="DX66" i="174"/>
  <c r="DW66" i="174"/>
  <c r="DV66" i="174"/>
  <c r="DT66" i="174"/>
  <c r="DS66" i="174"/>
  <c r="DQ66" i="174"/>
  <c r="DP66" i="174"/>
  <c r="DN66" i="174"/>
  <c r="DL66" i="174"/>
  <c r="DH66" i="174"/>
  <c r="CK66" i="174"/>
  <c r="CJ66" i="174"/>
  <c r="CI66" i="174"/>
  <c r="CH66" i="174"/>
  <c r="CG66" i="174"/>
  <c r="CF66" i="174"/>
  <c r="CE66" i="174"/>
  <c r="CD66" i="174"/>
  <c r="CC66" i="174"/>
  <c r="CB66" i="174"/>
  <c r="CA66" i="174"/>
  <c r="BY66" i="174"/>
  <c r="BX66" i="174"/>
  <c r="BV66" i="174"/>
  <c r="BU66" i="174"/>
  <c r="BS66" i="174"/>
  <c r="AV66" i="174"/>
  <c r="AS66" i="174"/>
  <c r="CL66" i="174" s="1"/>
  <c r="Y66" i="174"/>
  <c r="ED65" i="174"/>
  <c r="EB65" i="174"/>
  <c r="EA65" i="174"/>
  <c r="DW65" i="174"/>
  <c r="DV65" i="174"/>
  <c r="DT65" i="174"/>
  <c r="DS65" i="174"/>
  <c r="DQ65" i="174"/>
  <c r="DP65" i="174"/>
  <c r="DN65" i="174"/>
  <c r="DC65" i="174"/>
  <c r="DY65" i="174" s="1"/>
  <c r="DB65" i="174"/>
  <c r="DX65" i="174" s="1"/>
  <c r="CL65" i="174"/>
  <c r="CI65" i="174"/>
  <c r="CE65" i="174"/>
  <c r="CD65" i="174"/>
  <c r="CB65" i="174"/>
  <c r="BY65" i="174"/>
  <c r="BX65" i="174"/>
  <c r="BV65" i="174"/>
  <c r="BU65" i="174"/>
  <c r="BS65" i="174"/>
  <c r="BK65" i="174"/>
  <c r="CG65" i="174" s="1"/>
  <c r="BJ65" i="174"/>
  <c r="CF65" i="174" s="1"/>
  <c r="AO65" i="174"/>
  <c r="Y65" i="174" s="1"/>
  <c r="ED64" i="174"/>
  <c r="EB64" i="174"/>
  <c r="EA64" i="174"/>
  <c r="DX64" i="174"/>
  <c r="DW64" i="174"/>
  <c r="DV64" i="174"/>
  <c r="DT64" i="174"/>
  <c r="DS64" i="174"/>
  <c r="DQ64" i="174"/>
  <c r="DP64" i="174"/>
  <c r="DN64" i="174"/>
  <c r="DD64" i="174"/>
  <c r="DC64" i="174"/>
  <c r="DY64" i="174" s="1"/>
  <c r="CI64" i="174"/>
  <c r="CF64" i="174"/>
  <c r="CE64" i="174"/>
  <c r="CD64" i="174"/>
  <c r="CB64" i="174"/>
  <c r="BY64" i="174"/>
  <c r="BX64" i="174"/>
  <c r="BV64" i="174"/>
  <c r="BU64" i="174"/>
  <c r="BS64" i="174"/>
  <c r="BP64" i="174"/>
  <c r="BL64" i="174"/>
  <c r="BK64" i="174"/>
  <c r="AS64" i="174"/>
  <c r="AO64" i="174"/>
  <c r="Y64" i="174"/>
  <c r="ED63" i="174"/>
  <c r="EB63" i="174"/>
  <c r="EA63" i="174"/>
  <c r="DY63" i="174"/>
  <c r="DX63" i="174"/>
  <c r="DW63" i="174"/>
  <c r="DV63" i="174"/>
  <c r="DT63" i="174"/>
  <c r="DS63" i="174"/>
  <c r="DQ63" i="174"/>
  <c r="DP63" i="174"/>
  <c r="DN63" i="174"/>
  <c r="DD63" i="174"/>
  <c r="DZ63" i="174" s="1"/>
  <c r="CL63" i="174"/>
  <c r="CI63" i="174"/>
  <c r="CG63" i="174"/>
  <c r="CF63" i="174"/>
  <c r="CE63" i="174"/>
  <c r="CD63" i="174"/>
  <c r="CB63" i="174"/>
  <c r="BY63" i="174"/>
  <c r="BX63" i="174"/>
  <c r="BV63" i="174"/>
  <c r="BU63" i="174"/>
  <c r="BS63" i="174"/>
  <c r="BL63" i="174"/>
  <c r="CH63" i="174" s="1"/>
  <c r="Y63" i="174"/>
  <c r="ED62" i="174"/>
  <c r="EB62" i="174"/>
  <c r="EA62" i="174"/>
  <c r="DX62" i="174"/>
  <c r="DW62" i="174"/>
  <c r="DV62" i="174"/>
  <c r="DT62" i="174"/>
  <c r="DS62" i="174"/>
  <c r="DQ62" i="174"/>
  <c r="DP62" i="174"/>
  <c r="DN62" i="174"/>
  <c r="DD62" i="174"/>
  <c r="DC62" i="174"/>
  <c r="CN62" i="174" s="1"/>
  <c r="CL62" i="174"/>
  <c r="CI62" i="174"/>
  <c r="CF62" i="174"/>
  <c r="CE62" i="174"/>
  <c r="CD62" i="174"/>
  <c r="CB62" i="174"/>
  <c r="BY62" i="174"/>
  <c r="BX62" i="174"/>
  <c r="BV62" i="174"/>
  <c r="BU62" i="174"/>
  <c r="BS62" i="174"/>
  <c r="BL62" i="174"/>
  <c r="CH62" i="174" s="1"/>
  <c r="BK62" i="174"/>
  <c r="CG62" i="174" s="1"/>
  <c r="AO62" i="174"/>
  <c r="Y62" i="174" s="1"/>
  <c r="EB61" i="174"/>
  <c r="EA61" i="174"/>
  <c r="DZ61" i="174"/>
  <c r="DY61" i="174"/>
  <c r="DX61" i="174"/>
  <c r="DW61" i="174"/>
  <c r="DV61" i="174"/>
  <c r="DT61" i="174"/>
  <c r="DS61" i="174"/>
  <c r="DQ61" i="174"/>
  <c r="DP61" i="174"/>
  <c r="DN61" i="174"/>
  <c r="CN61" i="174"/>
  <c r="H61" i="174" s="1"/>
  <c r="CI61" i="174"/>
  <c r="CH61" i="174"/>
  <c r="CG61" i="174"/>
  <c r="CF61" i="174"/>
  <c r="CE61" i="174"/>
  <c r="CD61" i="174"/>
  <c r="CB61" i="174"/>
  <c r="BY61" i="174"/>
  <c r="BX61" i="174"/>
  <c r="BV61" i="174"/>
  <c r="BU61" i="174"/>
  <c r="BS61" i="174"/>
  <c r="BP61" i="174"/>
  <c r="AV61" i="174" s="1"/>
  <c r="AS61" i="174"/>
  <c r="Y61" i="174"/>
  <c r="ED60" i="174"/>
  <c r="EB60" i="174"/>
  <c r="EA60" i="174"/>
  <c r="DZ60" i="174"/>
  <c r="DY60" i="174"/>
  <c r="DX60" i="174"/>
  <c r="DW60" i="174"/>
  <c r="DV60" i="174"/>
  <c r="DT60" i="174"/>
  <c r="DS60" i="174"/>
  <c r="DQ60" i="174"/>
  <c r="DM60" i="174"/>
  <c r="CT60" i="174"/>
  <c r="DP60" i="174" s="1"/>
  <c r="CR60" i="174"/>
  <c r="CN60" i="174" s="1"/>
  <c r="CL60" i="174"/>
  <c r="CI60" i="174"/>
  <c r="CH60" i="174"/>
  <c r="CG60" i="174"/>
  <c r="CF60" i="174"/>
  <c r="CE60" i="174"/>
  <c r="CD60" i="174"/>
  <c r="CB60" i="174"/>
  <c r="BY60" i="174"/>
  <c r="BU60" i="174"/>
  <c r="BS60" i="174"/>
  <c r="BB60" i="174"/>
  <c r="BX60" i="174" s="1"/>
  <c r="AZ60" i="174"/>
  <c r="AV60" i="174" s="1"/>
  <c r="AE60" i="174"/>
  <c r="AC60" i="174"/>
  <c r="AA60" i="174"/>
  <c r="BT60" i="174" s="1"/>
  <c r="CN59" i="174"/>
  <c r="H59" i="174" s="1"/>
  <c r="BU59" i="174"/>
  <c r="BP59" i="174"/>
  <c r="AV59" i="174" s="1"/>
  <c r="AS59" i="174"/>
  <c r="Y59" i="174" s="1"/>
  <c r="CM59" i="174" s="1"/>
  <c r="DI59" i="174" s="1"/>
  <c r="EB58" i="174"/>
  <c r="EA58" i="174"/>
  <c r="DZ58" i="174"/>
  <c r="DY58" i="174"/>
  <c r="DX58" i="174"/>
  <c r="DW58" i="174"/>
  <c r="DV58" i="174"/>
  <c r="DT58" i="174"/>
  <c r="DS58" i="174"/>
  <c r="DQ58" i="174"/>
  <c r="CR58" i="174"/>
  <c r="CN58" i="174"/>
  <c r="H58" i="174" s="1"/>
  <c r="CI58" i="174"/>
  <c r="CH58" i="174"/>
  <c r="CG58" i="174"/>
  <c r="CF58" i="174"/>
  <c r="CE58" i="174"/>
  <c r="CD58" i="174"/>
  <c r="CB58" i="174"/>
  <c r="BY58" i="174"/>
  <c r="BX58" i="174"/>
  <c r="BU58" i="174"/>
  <c r="BS58" i="174"/>
  <c r="AZ58" i="174"/>
  <c r="AV58" i="174" s="1"/>
  <c r="AS58" i="174"/>
  <c r="ED58" i="174" s="1"/>
  <c r="AE58" i="174"/>
  <c r="DP58" i="174" s="1"/>
  <c r="AC58" i="174"/>
  <c r="ED57" i="174"/>
  <c r="EB57" i="174"/>
  <c r="EA57" i="174"/>
  <c r="DZ57" i="174"/>
  <c r="DY57" i="174"/>
  <c r="DX57" i="174"/>
  <c r="DW57" i="174"/>
  <c r="DV57" i="174"/>
  <c r="DT57" i="174"/>
  <c r="DS57" i="174"/>
  <c r="DQ57" i="174"/>
  <c r="DN57" i="174"/>
  <c r="CT57" i="174"/>
  <c r="CL57" i="174"/>
  <c r="CI57" i="174"/>
  <c r="CH57" i="174"/>
  <c r="CG57" i="174"/>
  <c r="CF57" i="174"/>
  <c r="CE57" i="174"/>
  <c r="CD57" i="174"/>
  <c r="CB57" i="174"/>
  <c r="BY57" i="174"/>
  <c r="BV57" i="174"/>
  <c r="BU57" i="174"/>
  <c r="BS57" i="174"/>
  <c r="BB57" i="174"/>
  <c r="BX57" i="174" s="1"/>
  <c r="Y57" i="174"/>
  <c r="ED56" i="174"/>
  <c r="EB56" i="174"/>
  <c r="EA56" i="174"/>
  <c r="DZ56" i="174"/>
  <c r="DY56" i="174"/>
  <c r="DX56" i="174"/>
  <c r="DW56" i="174"/>
  <c r="DV56" i="174"/>
  <c r="DT56" i="174"/>
  <c r="DS56" i="174"/>
  <c r="DQ56" i="174"/>
  <c r="DN56" i="174"/>
  <c r="CT56" i="174"/>
  <c r="DP56" i="174" s="1"/>
  <c r="CN56" i="174"/>
  <c r="CL56" i="174"/>
  <c r="CK56" i="174"/>
  <c r="CJ56" i="174"/>
  <c r="CI56" i="174"/>
  <c r="CH56" i="174"/>
  <c r="CG56" i="174"/>
  <c r="CF56" i="174"/>
  <c r="CE56" i="174"/>
  <c r="CD56" i="174"/>
  <c r="CC56" i="174"/>
  <c r="CB56" i="174"/>
  <c r="CA56" i="174"/>
  <c r="BY56" i="174"/>
  <c r="BV56" i="174"/>
  <c r="BU56" i="174"/>
  <c r="BT56" i="174"/>
  <c r="BS56" i="174"/>
  <c r="BB56" i="174"/>
  <c r="Y56" i="174"/>
  <c r="ED55" i="174"/>
  <c r="EB55" i="174"/>
  <c r="EA55" i="174"/>
  <c r="DZ55" i="174"/>
  <c r="DY55" i="174"/>
  <c r="DX55" i="174"/>
  <c r="DV55" i="174"/>
  <c r="DT55" i="174"/>
  <c r="DS55" i="174"/>
  <c r="DQ55" i="174"/>
  <c r="DP55" i="174"/>
  <c r="DN55" i="174"/>
  <c r="DA55" i="174"/>
  <c r="DW55" i="174" s="1"/>
  <c r="CL55" i="174"/>
  <c r="CI55" i="174"/>
  <c r="CH55" i="174"/>
  <c r="CF55" i="174"/>
  <c r="CD55" i="174"/>
  <c r="CB55" i="174"/>
  <c r="BY55" i="174"/>
  <c r="BX55" i="174"/>
  <c r="BV55" i="174"/>
  <c r="BU55" i="174"/>
  <c r="BT55" i="174"/>
  <c r="BS55" i="174"/>
  <c r="BI55" i="174"/>
  <c r="AV55" i="174" s="1"/>
  <c r="AL55" i="174"/>
  <c r="AL67" i="174" s="1"/>
  <c r="ED54" i="174"/>
  <c r="EB54" i="174"/>
  <c r="EA54" i="174"/>
  <c r="DY54" i="174"/>
  <c r="DX54" i="174"/>
  <c r="DW54" i="174"/>
  <c r="DV54" i="174"/>
  <c r="DT54" i="174"/>
  <c r="DS54" i="174"/>
  <c r="DQ54" i="174"/>
  <c r="DN54" i="174"/>
  <c r="DM54" i="174"/>
  <c r="DD54" i="174"/>
  <c r="DZ54" i="174" s="1"/>
  <c r="CT54" i="174"/>
  <c r="DP54" i="174" s="1"/>
  <c r="CP54" i="174"/>
  <c r="CL54" i="174"/>
  <c r="CK54" i="174"/>
  <c r="CJ54" i="174"/>
  <c r="CI54" i="174"/>
  <c r="CG54" i="174"/>
  <c r="CF54" i="174"/>
  <c r="CE54" i="174"/>
  <c r="CD54" i="174"/>
  <c r="CC54" i="174"/>
  <c r="CB54" i="174"/>
  <c r="CA54" i="174"/>
  <c r="BY54" i="174"/>
  <c r="BV54" i="174"/>
  <c r="BU54" i="174"/>
  <c r="BS54" i="174"/>
  <c r="BL54" i="174"/>
  <c r="CH54" i="174" s="1"/>
  <c r="BB54" i="174"/>
  <c r="BX54" i="174" s="1"/>
  <c r="AX54" i="174"/>
  <c r="AA54" i="174"/>
  <c r="BT54" i="174" s="1"/>
  <c r="EB53" i="174"/>
  <c r="EA53" i="174"/>
  <c r="DZ53" i="174"/>
  <c r="DY53" i="174"/>
  <c r="DX53" i="174"/>
  <c r="DW53" i="174"/>
  <c r="DV53" i="174"/>
  <c r="DT53" i="174"/>
  <c r="DS53" i="174"/>
  <c r="DQ53" i="174"/>
  <c r="DP53" i="174"/>
  <c r="DN53" i="174"/>
  <c r="DH53" i="174"/>
  <c r="CN53" i="174" s="1"/>
  <c r="H53" i="174" s="1"/>
  <c r="CK53" i="174"/>
  <c r="CJ53" i="174"/>
  <c r="CI53" i="174"/>
  <c r="CH53" i="174"/>
  <c r="CG53" i="174"/>
  <c r="CF53" i="174"/>
  <c r="CE53" i="174"/>
  <c r="CD53" i="174"/>
  <c r="CC53" i="174"/>
  <c r="CB53" i="174"/>
  <c r="CA53" i="174"/>
  <c r="BY53" i="174"/>
  <c r="BX53" i="174"/>
  <c r="BV53" i="174"/>
  <c r="BU53" i="174"/>
  <c r="BT53" i="174"/>
  <c r="BS53" i="174"/>
  <c r="BP53" i="174"/>
  <c r="AV53" i="174"/>
  <c r="AS53" i="174"/>
  <c r="ED52" i="174"/>
  <c r="EB52" i="174"/>
  <c r="EA52" i="174"/>
  <c r="DZ52" i="174"/>
  <c r="DY52" i="174"/>
  <c r="DX52" i="174"/>
  <c r="DV52" i="174"/>
  <c r="DT52" i="174"/>
  <c r="DS52" i="174"/>
  <c r="DQ52" i="174"/>
  <c r="DP52" i="174"/>
  <c r="DN52" i="174"/>
  <c r="DA52" i="174"/>
  <c r="CN52" i="174" s="1"/>
  <c r="H52" i="174" s="1"/>
  <c r="CL52" i="174"/>
  <c r="CI52" i="174"/>
  <c r="CH52" i="174"/>
  <c r="CG52" i="174"/>
  <c r="CF52" i="174"/>
  <c r="CE52" i="174"/>
  <c r="CD52" i="174"/>
  <c r="CC52" i="174"/>
  <c r="CB52" i="174"/>
  <c r="CA52" i="174"/>
  <c r="BY52" i="174"/>
  <c r="BX52" i="174"/>
  <c r="BV52" i="174"/>
  <c r="BU52" i="174"/>
  <c r="BT52" i="174"/>
  <c r="BS52" i="174"/>
  <c r="AV52" i="174"/>
  <c r="Y52" i="174"/>
  <c r="EB51" i="174"/>
  <c r="EA51" i="174"/>
  <c r="DZ51" i="174"/>
  <c r="DY51" i="174"/>
  <c r="DX51" i="174"/>
  <c r="DW51" i="174"/>
  <c r="DV51" i="174"/>
  <c r="DT51" i="174"/>
  <c r="DS51" i="174"/>
  <c r="DQ51" i="174"/>
  <c r="DP51" i="174"/>
  <c r="DN51" i="174"/>
  <c r="CN51" i="174"/>
  <c r="CI51" i="174"/>
  <c r="CH51" i="174"/>
  <c r="CG51" i="174"/>
  <c r="CF51" i="174"/>
  <c r="CE51" i="174"/>
  <c r="CD51" i="174"/>
  <c r="CB51" i="174"/>
  <c r="BY51" i="174"/>
  <c r="BX51" i="174"/>
  <c r="BV51" i="174"/>
  <c r="BU51" i="174"/>
  <c r="BT51" i="174"/>
  <c r="BS51" i="174"/>
  <c r="BP51" i="174"/>
  <c r="AV51" i="174" s="1"/>
  <c r="AS51" i="174"/>
  <c r="Y51" i="174" s="1"/>
  <c r="CM51" i="174" s="1"/>
  <c r="DI51" i="174" s="1"/>
  <c r="H51" i="174"/>
  <c r="EB50" i="174"/>
  <c r="EA50" i="174"/>
  <c r="DZ50" i="174"/>
  <c r="DX50" i="174"/>
  <c r="DW50" i="174"/>
  <c r="DV50" i="174"/>
  <c r="DT50" i="174"/>
  <c r="DS50" i="174"/>
  <c r="DQ50" i="174"/>
  <c r="DP50" i="174"/>
  <c r="DN50" i="174"/>
  <c r="DH50" i="174"/>
  <c r="DC50" i="174"/>
  <c r="CN50" i="174"/>
  <c r="H50" i="174" s="1"/>
  <c r="CI50" i="174"/>
  <c r="CH50" i="174"/>
  <c r="CF50" i="174"/>
  <c r="CE50" i="174"/>
  <c r="CD50" i="174"/>
  <c r="CB50" i="174"/>
  <c r="BY50" i="174"/>
  <c r="BX50" i="174"/>
  <c r="BV50" i="174"/>
  <c r="BU50" i="174"/>
  <c r="BT50" i="174"/>
  <c r="BS50" i="174"/>
  <c r="BP50" i="174"/>
  <c r="AV50" i="174" s="1"/>
  <c r="AS50" i="174"/>
  <c r="AN50" i="174"/>
  <c r="Y50" i="174"/>
  <c r="AU50" i="174" s="1"/>
  <c r="BQ50" i="174" s="1"/>
  <c r="ED49" i="174"/>
  <c r="EB49" i="174"/>
  <c r="EA49" i="174"/>
  <c r="DZ49" i="174"/>
  <c r="DY49" i="174"/>
  <c r="DX49" i="174"/>
  <c r="DW49" i="174"/>
  <c r="DV49" i="174"/>
  <c r="DT49" i="174"/>
  <c r="DS49" i="174"/>
  <c r="DQ49" i="174"/>
  <c r="DP49" i="174"/>
  <c r="DN49" i="174"/>
  <c r="DM49" i="174"/>
  <c r="CP49" i="174"/>
  <c r="CN49" i="174"/>
  <c r="H49" i="174" s="1"/>
  <c r="CL49" i="174"/>
  <c r="CI49" i="174"/>
  <c r="CG49" i="174"/>
  <c r="CF49" i="174"/>
  <c r="CE49" i="174"/>
  <c r="CD49" i="174"/>
  <c r="CB49" i="174"/>
  <c r="BY49" i="174"/>
  <c r="BX49" i="174"/>
  <c r="BV49" i="174"/>
  <c r="BU49" i="174"/>
  <c r="BS49" i="174"/>
  <c r="BL49" i="174"/>
  <c r="CH49" i="174" s="1"/>
  <c r="AA49" i="174"/>
  <c r="BT49" i="174" s="1"/>
  <c r="ED48" i="174"/>
  <c r="EB48" i="174"/>
  <c r="EA48" i="174"/>
  <c r="DW48" i="174"/>
  <c r="DV48" i="174"/>
  <c r="DT48" i="174"/>
  <c r="DN48" i="174"/>
  <c r="DM48" i="174"/>
  <c r="DD48" i="174"/>
  <c r="DC48" i="174"/>
  <c r="CW48" i="174"/>
  <c r="CV48" i="174"/>
  <c r="CU48" i="174"/>
  <c r="DQ48" i="174" s="1"/>
  <c r="CT48" i="174"/>
  <c r="CP48" i="174"/>
  <c r="CL48" i="174"/>
  <c r="CI48" i="174"/>
  <c r="CE48" i="174"/>
  <c r="CD48" i="174"/>
  <c r="CC48" i="174"/>
  <c r="CB48" i="174"/>
  <c r="BV48" i="174"/>
  <c r="BU48" i="174"/>
  <c r="BS48" i="174"/>
  <c r="BL48" i="174"/>
  <c r="BK48" i="174"/>
  <c r="BJ48" i="174"/>
  <c r="BE48" i="174"/>
  <c r="BE202" i="174" s="1"/>
  <c r="BD48" i="174"/>
  <c r="BD202" i="174" s="1"/>
  <c r="BC48" i="174"/>
  <c r="BB48" i="174"/>
  <c r="AX48" i="174"/>
  <c r="AO48" i="174"/>
  <c r="DZ48" i="174" s="1"/>
  <c r="AN48" i="174"/>
  <c r="CG48" i="174" s="1"/>
  <c r="AM48" i="174"/>
  <c r="DX48" i="174" s="1"/>
  <c r="AF48" i="174"/>
  <c r="AE48" i="174"/>
  <c r="AA48" i="174"/>
  <c r="ED47" i="174"/>
  <c r="EB47" i="174"/>
  <c r="EA47" i="174"/>
  <c r="DZ47" i="174"/>
  <c r="DY47" i="174"/>
  <c r="DW47" i="174"/>
  <c r="DV47" i="174"/>
  <c r="DT47" i="174"/>
  <c r="DS47" i="174"/>
  <c r="DQ47" i="174"/>
  <c r="DP47" i="174"/>
  <c r="DN47" i="174"/>
  <c r="DM47" i="174"/>
  <c r="DB47" i="174"/>
  <c r="CN47" i="174"/>
  <c r="CL47" i="174"/>
  <c r="CI47" i="174"/>
  <c r="CH47" i="174"/>
  <c r="CG47" i="174"/>
  <c r="CE47" i="174"/>
  <c r="CD47" i="174"/>
  <c r="CC47" i="174"/>
  <c r="CB47" i="174"/>
  <c r="CA47" i="174"/>
  <c r="BY47" i="174"/>
  <c r="BX47" i="174"/>
  <c r="BV47" i="174"/>
  <c r="BU47" i="174"/>
  <c r="BS47" i="174"/>
  <c r="BJ47" i="174"/>
  <c r="AV47" i="174" s="1"/>
  <c r="AM47" i="174"/>
  <c r="AA47" i="174"/>
  <c r="DL47" i="174" s="1"/>
  <c r="Y47" i="174"/>
  <c r="EB46" i="174"/>
  <c r="EA46" i="174"/>
  <c r="DZ46" i="174"/>
  <c r="DY46" i="174"/>
  <c r="DX46" i="174"/>
  <c r="DW46" i="174"/>
  <c r="DV46" i="174"/>
  <c r="DT46" i="174"/>
  <c r="DS46" i="174"/>
  <c r="DQ46" i="174"/>
  <c r="DP46" i="174"/>
  <c r="DN46" i="174"/>
  <c r="DH46" i="174"/>
  <c r="CN46" i="174"/>
  <c r="H46" i="174" s="1"/>
  <c r="CI46" i="174"/>
  <c r="CH46" i="174"/>
  <c r="CG46" i="174"/>
  <c r="CF46" i="174"/>
  <c r="CE46" i="174"/>
  <c r="CD46" i="174"/>
  <c r="CC46" i="174"/>
  <c r="CB46" i="174"/>
  <c r="CA46" i="174"/>
  <c r="BY46" i="174"/>
  <c r="BX46" i="174"/>
  <c r="BV46" i="174"/>
  <c r="BU46" i="174"/>
  <c r="BS46" i="174"/>
  <c r="BP46" i="174"/>
  <c r="AV46" i="174"/>
  <c r="AS46" i="174"/>
  <c r="ED45" i="174"/>
  <c r="EB45" i="174"/>
  <c r="EA45" i="174"/>
  <c r="DY45" i="174"/>
  <c r="DX45" i="174"/>
  <c r="DW45" i="174"/>
  <c r="DV45" i="174"/>
  <c r="DT45" i="174"/>
  <c r="DS45" i="174"/>
  <c r="DP45" i="174"/>
  <c r="DN45" i="174"/>
  <c r="DM45" i="174"/>
  <c r="DD45" i="174"/>
  <c r="DZ45" i="174" s="1"/>
  <c r="CU45" i="174"/>
  <c r="CP45" i="174"/>
  <c r="CL45" i="174"/>
  <c r="CI45" i="174"/>
  <c r="CG45" i="174"/>
  <c r="CF45" i="174"/>
  <c r="CE45" i="174"/>
  <c r="CD45" i="174"/>
  <c r="CC45" i="174"/>
  <c r="CB45" i="174"/>
  <c r="CA45" i="174"/>
  <c r="BX45" i="174"/>
  <c r="BV45" i="174"/>
  <c r="BU45" i="174"/>
  <c r="BS45" i="174"/>
  <c r="BL45" i="174"/>
  <c r="CH45" i="174" s="1"/>
  <c r="BC45" i="174"/>
  <c r="AX45" i="174"/>
  <c r="AF45" i="174"/>
  <c r="AA45" i="174"/>
  <c r="ED44" i="174"/>
  <c r="EB44" i="174"/>
  <c r="EA44" i="174"/>
  <c r="DY44" i="174"/>
  <c r="DX44" i="174"/>
  <c r="DW44" i="174"/>
  <c r="DV44" i="174"/>
  <c r="DT44" i="174"/>
  <c r="DS44" i="174"/>
  <c r="DP44" i="174"/>
  <c r="DN44" i="174"/>
  <c r="DM44" i="174"/>
  <c r="DD44" i="174"/>
  <c r="DZ44" i="174" s="1"/>
  <c r="CU44" i="174"/>
  <c r="CP44" i="174"/>
  <c r="CL44" i="174"/>
  <c r="CI44" i="174"/>
  <c r="CG44" i="174"/>
  <c r="CF44" i="174"/>
  <c r="CE44" i="174"/>
  <c r="CD44" i="174"/>
  <c r="CC44" i="174"/>
  <c r="CB44" i="174"/>
  <c r="CA44" i="174"/>
  <c r="BX44" i="174"/>
  <c r="BV44" i="174"/>
  <c r="BU44" i="174"/>
  <c r="BS44" i="174"/>
  <c r="BL44" i="174"/>
  <c r="CH44" i="174" s="1"/>
  <c r="BC44" i="174"/>
  <c r="AX44" i="174"/>
  <c r="AF44" i="174"/>
  <c r="BY44" i="174" s="1"/>
  <c r="AA44" i="174"/>
  <c r="ED43" i="174"/>
  <c r="EB43" i="174"/>
  <c r="EA43" i="174"/>
  <c r="DZ43" i="174"/>
  <c r="DY43" i="174"/>
  <c r="DX43" i="174"/>
  <c r="DW43" i="174"/>
  <c r="DV43" i="174"/>
  <c r="DT43" i="174"/>
  <c r="DS43" i="174"/>
  <c r="DQ43" i="174"/>
  <c r="CT43" i="174"/>
  <c r="CN43" i="174"/>
  <c r="H43" i="174" s="1"/>
  <c r="CL43" i="174"/>
  <c r="CI43" i="174"/>
  <c r="CH43" i="174"/>
  <c r="CG43" i="174"/>
  <c r="CF43" i="174"/>
  <c r="CE43" i="174"/>
  <c r="CD43" i="174"/>
  <c r="BY43" i="174"/>
  <c r="BV43" i="174"/>
  <c r="BU43" i="174"/>
  <c r="BS43" i="174"/>
  <c r="BB43" i="174"/>
  <c r="AV43" i="174"/>
  <c r="AE43" i="174"/>
  <c r="Y43" i="174" s="1"/>
  <c r="ED42" i="174"/>
  <c r="EB42" i="174"/>
  <c r="EA42" i="174"/>
  <c r="DZ42" i="174"/>
  <c r="DY42" i="174"/>
  <c r="DX42" i="174"/>
  <c r="DW42" i="174"/>
  <c r="DV42" i="174"/>
  <c r="DT42" i="174"/>
  <c r="DS42" i="174"/>
  <c r="DQ42" i="174"/>
  <c r="CT42" i="174"/>
  <c r="DP42" i="174" s="1"/>
  <c r="CL42" i="174"/>
  <c r="CI42" i="174"/>
  <c r="CH42" i="174"/>
  <c r="CG42" i="174"/>
  <c r="CF42" i="174"/>
  <c r="CE42" i="174"/>
  <c r="CD42" i="174"/>
  <c r="CC42" i="174"/>
  <c r="CB42" i="174"/>
  <c r="CA42" i="174"/>
  <c r="BY42" i="174"/>
  <c r="BV42" i="174"/>
  <c r="BU42" i="174"/>
  <c r="BS42" i="174"/>
  <c r="BB42" i="174"/>
  <c r="AV42" i="174" s="1"/>
  <c r="Y42" i="174"/>
  <c r="ED41" i="174"/>
  <c r="EB41" i="174"/>
  <c r="EA41" i="174"/>
  <c r="DZ41" i="174"/>
  <c r="DY41" i="174"/>
  <c r="DX41" i="174"/>
  <c r="DW41" i="174"/>
  <c r="DV41" i="174"/>
  <c r="DT41" i="174"/>
  <c r="DS41" i="174"/>
  <c r="DQ41" i="174"/>
  <c r="CT41" i="174"/>
  <c r="CN41" i="174" s="1"/>
  <c r="H41" i="174" s="1"/>
  <c r="CL41" i="174"/>
  <c r="CI41" i="174"/>
  <c r="CH41" i="174"/>
  <c r="CG41" i="174"/>
  <c r="CF41" i="174"/>
  <c r="CE41" i="174"/>
  <c r="CD41" i="174"/>
  <c r="CC41" i="174"/>
  <c r="CB41" i="174"/>
  <c r="CA41" i="174"/>
  <c r="BY41" i="174"/>
  <c r="BV41" i="174"/>
  <c r="BU41" i="174"/>
  <c r="BS41" i="174"/>
  <c r="BB41" i="174"/>
  <c r="AV41" i="174" s="1"/>
  <c r="AE41" i="174"/>
  <c r="Y41" i="174" s="1"/>
  <c r="AU41" i="174" s="1"/>
  <c r="BQ41" i="174" s="1"/>
  <c r="ED40" i="174"/>
  <c r="EB40" i="174"/>
  <c r="EA40" i="174"/>
  <c r="DZ40" i="174"/>
  <c r="DY40" i="174"/>
  <c r="DX40" i="174"/>
  <c r="DW40" i="174"/>
  <c r="DV40" i="174"/>
  <c r="DT40" i="174"/>
  <c r="DS40" i="174"/>
  <c r="DQ40" i="174"/>
  <c r="CT40" i="174"/>
  <c r="CN40" i="174" s="1"/>
  <c r="H40" i="174" s="1"/>
  <c r="CL40" i="174"/>
  <c r="CI40" i="174"/>
  <c r="CH40" i="174"/>
  <c r="CG40" i="174"/>
  <c r="CF40" i="174"/>
  <c r="CE40" i="174"/>
  <c r="CD40" i="174"/>
  <c r="CC40" i="174"/>
  <c r="CB40" i="174"/>
  <c r="CA40" i="174"/>
  <c r="BY40" i="174"/>
  <c r="BV40" i="174"/>
  <c r="BU40" i="174"/>
  <c r="BS40" i="174"/>
  <c r="BB40" i="174"/>
  <c r="BX40" i="174" s="1"/>
  <c r="Y40" i="174"/>
  <c r="ED39" i="174"/>
  <c r="EA39" i="174"/>
  <c r="DZ39" i="174"/>
  <c r="DX39" i="174"/>
  <c r="DW39" i="174"/>
  <c r="DV39" i="174"/>
  <c r="DT39" i="174"/>
  <c r="DS39" i="174"/>
  <c r="DQ39" i="174"/>
  <c r="DF39" i="174"/>
  <c r="DF202" i="174" s="1"/>
  <c r="DC39" i="174"/>
  <c r="CT39" i="174"/>
  <c r="DP39" i="174" s="1"/>
  <c r="CL39" i="174"/>
  <c r="CI39" i="174"/>
  <c r="CH39" i="174"/>
  <c r="CF39" i="174"/>
  <c r="CE39" i="174"/>
  <c r="CD39" i="174"/>
  <c r="CC39" i="174"/>
  <c r="CB39" i="174"/>
  <c r="CA39" i="174"/>
  <c r="BY39" i="174"/>
  <c r="BV39" i="174"/>
  <c r="BU39" i="174"/>
  <c r="BS39" i="174"/>
  <c r="BN39" i="174"/>
  <c r="BN202" i="174" s="1"/>
  <c r="BK39" i="174"/>
  <c r="BB39" i="174"/>
  <c r="BX39" i="174" s="1"/>
  <c r="AN39" i="174"/>
  <c r="ED38" i="174"/>
  <c r="EB38" i="174"/>
  <c r="EA38" i="174"/>
  <c r="DZ38" i="174"/>
  <c r="DY38" i="174"/>
  <c r="DX38" i="174"/>
  <c r="DW38" i="174"/>
  <c r="DV38" i="174"/>
  <c r="DT38" i="174"/>
  <c r="DS38" i="174"/>
  <c r="DQ38" i="174"/>
  <c r="DP38" i="174"/>
  <c r="CN38" i="174"/>
  <c r="CM38" i="174" s="1"/>
  <c r="DI38" i="174" s="1"/>
  <c r="CL38" i="174"/>
  <c r="CI38" i="174"/>
  <c r="CH38" i="174"/>
  <c r="CG38" i="174"/>
  <c r="CF38" i="174"/>
  <c r="CE38" i="174"/>
  <c r="CD38" i="174"/>
  <c r="CC38" i="174"/>
  <c r="CB38" i="174"/>
  <c r="CA38" i="174"/>
  <c r="BY38" i="174"/>
  <c r="BV38" i="174"/>
  <c r="BU38" i="174"/>
  <c r="BS38" i="174"/>
  <c r="BB38" i="174"/>
  <c r="BX38" i="174" s="1"/>
  <c r="Y38" i="174"/>
  <c r="H38" i="174"/>
  <c r="ED37" i="174"/>
  <c r="EB37" i="174"/>
  <c r="EA37" i="174"/>
  <c r="DY37" i="174"/>
  <c r="DX37" i="174"/>
  <c r="DW37" i="174"/>
  <c r="DV37" i="174"/>
  <c r="DT37" i="174"/>
  <c r="DS37" i="174"/>
  <c r="DQ37" i="174"/>
  <c r="DN37" i="174"/>
  <c r="DM37" i="174"/>
  <c r="DD37" i="174"/>
  <c r="CT37" i="174"/>
  <c r="DP37" i="174" s="1"/>
  <c r="CP37" i="174"/>
  <c r="CL37" i="174"/>
  <c r="CI37" i="174"/>
  <c r="CG37" i="174"/>
  <c r="CF37" i="174"/>
  <c r="CE37" i="174"/>
  <c r="CD37" i="174"/>
  <c r="CB37" i="174"/>
  <c r="BY37" i="174"/>
  <c r="BV37" i="174"/>
  <c r="BU37" i="174"/>
  <c r="BS37" i="174"/>
  <c r="BL37" i="174"/>
  <c r="BB37" i="174"/>
  <c r="AX37" i="174"/>
  <c r="AO37" i="174"/>
  <c r="AA37" i="174"/>
  <c r="Y37" i="174"/>
  <c r="ED36" i="174"/>
  <c r="EB36" i="174"/>
  <c r="EA36" i="174"/>
  <c r="DZ36" i="174"/>
  <c r="DY36" i="174"/>
  <c r="DX36" i="174"/>
  <c r="DW36" i="174"/>
  <c r="DV36" i="174"/>
  <c r="DT36" i="174"/>
  <c r="DS36" i="174"/>
  <c r="DQ36" i="174"/>
  <c r="DP36" i="174"/>
  <c r="DN36" i="174"/>
  <c r="DM36" i="174"/>
  <c r="CP36" i="174"/>
  <c r="CN36" i="174"/>
  <c r="CL36" i="174"/>
  <c r="CI36" i="174"/>
  <c r="CH36" i="174"/>
  <c r="CG36" i="174"/>
  <c r="CF36" i="174"/>
  <c r="CE36" i="174"/>
  <c r="CD36" i="174"/>
  <c r="CB36" i="174"/>
  <c r="BY36" i="174"/>
  <c r="BX36" i="174"/>
  <c r="BV36" i="174"/>
  <c r="BU36" i="174"/>
  <c r="BS36" i="174"/>
  <c r="AV36" i="174"/>
  <c r="AA36" i="174"/>
  <c r="Y36" i="174"/>
  <c r="ED35" i="174"/>
  <c r="EB35" i="174"/>
  <c r="EA35" i="174"/>
  <c r="DZ35" i="174"/>
  <c r="DY35" i="174"/>
  <c r="DX35" i="174"/>
  <c r="DW35" i="174"/>
  <c r="DV35" i="174"/>
  <c r="DT35" i="174"/>
  <c r="DS35" i="174"/>
  <c r="DQ35" i="174"/>
  <c r="CT35" i="174"/>
  <c r="DP35" i="174" s="1"/>
  <c r="CR35" i="174"/>
  <c r="CQ35" i="174"/>
  <c r="CN35" i="174" s="1"/>
  <c r="CL35" i="174"/>
  <c r="CI35" i="174"/>
  <c r="CH35" i="174"/>
  <c r="CG35" i="174"/>
  <c r="CF35" i="174"/>
  <c r="CE35" i="174"/>
  <c r="CD35" i="174"/>
  <c r="CB35" i="174"/>
  <c r="BU35" i="174"/>
  <c r="BS35" i="174"/>
  <c r="BB35" i="174"/>
  <c r="AZ35" i="174"/>
  <c r="AV35" i="174" s="1"/>
  <c r="AF35" i="174"/>
  <c r="AE35" i="174"/>
  <c r="AC35" i="174"/>
  <c r="AA35" i="174"/>
  <c r="BT35" i="174" s="1"/>
  <c r="EC34" i="174"/>
  <c r="DU34" i="174"/>
  <c r="DR34" i="174"/>
  <c r="DG34" i="174"/>
  <c r="DF34" i="174"/>
  <c r="DE34" i="174"/>
  <c r="DA34" i="174"/>
  <c r="CZ34" i="174"/>
  <c r="CY34" i="174"/>
  <c r="CX34" i="174"/>
  <c r="CW34" i="174"/>
  <c r="CV34" i="174"/>
  <c r="CS34" i="174"/>
  <c r="CR34" i="174"/>
  <c r="CP34" i="174"/>
  <c r="CO34" i="174"/>
  <c r="BZ34" i="174"/>
  <c r="BW34" i="174"/>
  <c r="BU34" i="174"/>
  <c r="BO34" i="174"/>
  <c r="BN34" i="174"/>
  <c r="BM34" i="174"/>
  <c r="BI34" i="174"/>
  <c r="BH34" i="174"/>
  <c r="BG34" i="174"/>
  <c r="BF34" i="174"/>
  <c r="BE34" i="174"/>
  <c r="BD34" i="174"/>
  <c r="BA34" i="174"/>
  <c r="AZ34" i="174"/>
  <c r="AX34" i="174"/>
  <c r="AW34" i="174"/>
  <c r="AR34" i="174"/>
  <c r="AQ34" i="174"/>
  <c r="AP34" i="174"/>
  <c r="AO34" i="174"/>
  <c r="AL34" i="174"/>
  <c r="AK34" i="174"/>
  <c r="AJ34" i="174"/>
  <c r="AI34" i="174"/>
  <c r="AH34" i="174"/>
  <c r="AG34" i="174"/>
  <c r="AD34" i="174"/>
  <c r="AC34" i="174"/>
  <c r="AB34" i="174"/>
  <c r="Z34" i="174"/>
  <c r="G34" i="174"/>
  <c r="ED33" i="174"/>
  <c r="EB33" i="174"/>
  <c r="EA33" i="174"/>
  <c r="DZ33" i="174"/>
  <c r="DY33" i="174"/>
  <c r="DW33" i="174"/>
  <c r="DV33" i="174"/>
  <c r="DT33" i="174"/>
  <c r="DS33" i="174"/>
  <c r="DQ33" i="174"/>
  <c r="DP33" i="174"/>
  <c r="DN33" i="174"/>
  <c r="DL33" i="174"/>
  <c r="DK33" i="174"/>
  <c r="DB33" i="174"/>
  <c r="CN33" i="174" s="1"/>
  <c r="CI33" i="174"/>
  <c r="CH33" i="174"/>
  <c r="CG33" i="174"/>
  <c r="CE33" i="174"/>
  <c r="CD33" i="174"/>
  <c r="BY33" i="174"/>
  <c r="BX33" i="174"/>
  <c r="BV33" i="174"/>
  <c r="BT33" i="174"/>
  <c r="BS33" i="174"/>
  <c r="BP33" i="174"/>
  <c r="BJ33" i="174"/>
  <c r="CF33" i="174" s="1"/>
  <c r="Y33" i="174"/>
  <c r="ED32" i="174"/>
  <c r="EB32" i="174"/>
  <c r="EA32" i="174"/>
  <c r="DZ32" i="174"/>
  <c r="DW32" i="174"/>
  <c r="DV32" i="174"/>
  <c r="DT32" i="174"/>
  <c r="DS32" i="174"/>
  <c r="DQ32" i="174"/>
  <c r="DP32" i="174"/>
  <c r="DO32" i="174"/>
  <c r="DN32" i="174"/>
  <c r="DL32" i="174"/>
  <c r="DK32" i="174"/>
  <c r="DB32" i="174"/>
  <c r="DC32" i="174" s="1"/>
  <c r="DY32" i="174" s="1"/>
  <c r="CL32" i="174"/>
  <c r="CI32" i="174"/>
  <c r="CH32" i="174"/>
  <c r="CE32" i="174"/>
  <c r="CD32" i="174"/>
  <c r="BY32" i="174"/>
  <c r="BX32" i="174"/>
  <c r="BV32" i="174"/>
  <c r="BT32" i="174"/>
  <c r="BS32" i="174"/>
  <c r="BK32" i="174"/>
  <c r="CG32" i="174" s="1"/>
  <c r="BJ32" i="174"/>
  <c r="CF32" i="174" s="1"/>
  <c r="Y32" i="174"/>
  <c r="ED31" i="174"/>
  <c r="EB31" i="174"/>
  <c r="EA31" i="174"/>
  <c r="DZ31" i="174"/>
  <c r="DY31" i="174"/>
  <c r="DW31" i="174"/>
  <c r="DV31" i="174"/>
  <c r="DT31" i="174"/>
  <c r="DS31" i="174"/>
  <c r="DQ31" i="174"/>
  <c r="DP31" i="174"/>
  <c r="DO31" i="174"/>
  <c r="DN31" i="174"/>
  <c r="DL31" i="174"/>
  <c r="DK31" i="174"/>
  <c r="DB31" i="174"/>
  <c r="DX31" i="174" s="1"/>
  <c r="CN31" i="174"/>
  <c r="H31" i="174" s="1"/>
  <c r="CL31" i="174"/>
  <c r="CI31" i="174"/>
  <c r="CH31" i="174"/>
  <c r="CG31" i="174"/>
  <c r="CE31" i="174"/>
  <c r="CD31" i="174"/>
  <c r="BY31" i="174"/>
  <c r="BX31" i="174"/>
  <c r="BV31" i="174"/>
  <c r="BT31" i="174"/>
  <c r="BS31" i="174"/>
  <c r="BJ31" i="174"/>
  <c r="AV31" i="174" s="1"/>
  <c r="Y31" i="174"/>
  <c r="ED30" i="174"/>
  <c r="EB30" i="174"/>
  <c r="EA30" i="174"/>
  <c r="DZ30" i="174"/>
  <c r="DY30" i="174"/>
  <c r="DW30" i="174"/>
  <c r="DV30" i="174"/>
  <c r="DT30" i="174"/>
  <c r="DS30" i="174"/>
  <c r="DQ30" i="174"/>
  <c r="DP30" i="174"/>
  <c r="DO30" i="174"/>
  <c r="DN30" i="174"/>
  <c r="DL30" i="174"/>
  <c r="DK30" i="174"/>
  <c r="DB30" i="174"/>
  <c r="CN30" i="174" s="1"/>
  <c r="CL30" i="174"/>
  <c r="CI30" i="174"/>
  <c r="CH30" i="174"/>
  <c r="CG30" i="174"/>
  <c r="CE30" i="174"/>
  <c r="CD30" i="174"/>
  <c r="BY30" i="174"/>
  <c r="BX30" i="174"/>
  <c r="BV30" i="174"/>
  <c r="BT30" i="174"/>
  <c r="BS30" i="174"/>
  <c r="BJ30" i="174"/>
  <c r="CF30" i="174" s="1"/>
  <c r="AV30" i="174"/>
  <c r="Y30" i="174"/>
  <c r="ED29" i="174"/>
  <c r="EB29" i="174"/>
  <c r="EA29" i="174"/>
  <c r="DZ29" i="174"/>
  <c r="DY29" i="174"/>
  <c r="DX29" i="174"/>
  <c r="DW29" i="174"/>
  <c r="DV29" i="174"/>
  <c r="DT29" i="174"/>
  <c r="DS29" i="174"/>
  <c r="DQ29" i="174"/>
  <c r="DP29" i="174"/>
  <c r="DO29" i="174"/>
  <c r="DN29" i="174"/>
  <c r="DL29" i="174"/>
  <c r="DK29" i="174"/>
  <c r="DJ29" i="174" s="1"/>
  <c r="CN29" i="174"/>
  <c r="H29" i="174" s="1"/>
  <c r="CL29" i="174"/>
  <c r="CI29" i="174"/>
  <c r="CH29" i="174"/>
  <c r="CG29" i="174"/>
  <c r="CF29" i="174"/>
  <c r="CE29" i="174"/>
  <c r="CD29" i="174"/>
  <c r="BY29" i="174"/>
  <c r="BX29" i="174"/>
  <c r="BV29" i="174"/>
  <c r="BT29" i="174"/>
  <c r="BS29" i="174"/>
  <c r="AV29" i="174"/>
  <c r="Y29" i="174"/>
  <c r="ED28" i="174"/>
  <c r="EB28" i="174"/>
  <c r="EA28" i="174"/>
  <c r="DZ28" i="174"/>
  <c r="DY28" i="174"/>
  <c r="DX28" i="174"/>
  <c r="DW28" i="174"/>
  <c r="DV28" i="174"/>
  <c r="DT28" i="174"/>
  <c r="DS28" i="174"/>
  <c r="DQ28" i="174"/>
  <c r="DP28" i="174"/>
  <c r="DO28" i="174"/>
  <c r="DN28" i="174"/>
  <c r="DL28" i="174"/>
  <c r="DK28" i="174"/>
  <c r="CN28" i="174"/>
  <c r="CL28" i="174"/>
  <c r="CI28" i="174"/>
  <c r="CH28" i="174"/>
  <c r="CG28" i="174"/>
  <c r="CF28" i="174"/>
  <c r="CE28" i="174"/>
  <c r="CD28" i="174"/>
  <c r="BY28" i="174"/>
  <c r="BX28" i="174"/>
  <c r="BV28" i="174"/>
  <c r="BT28" i="174"/>
  <c r="BS28" i="174"/>
  <c r="AV28" i="174"/>
  <c r="AM28" i="174"/>
  <c r="Y28" i="174"/>
  <c r="H28" i="174"/>
  <c r="ED27" i="174"/>
  <c r="EB27" i="174"/>
  <c r="EA27" i="174"/>
  <c r="DZ27" i="174"/>
  <c r="DY27" i="174"/>
  <c r="DW27" i="174"/>
  <c r="DV27" i="174"/>
  <c r="DT27" i="174"/>
  <c r="DS27" i="174"/>
  <c r="DQ27" i="174"/>
  <c r="DP27" i="174"/>
  <c r="DO27" i="174"/>
  <c r="DN27" i="174"/>
  <c r="DL27" i="174"/>
  <c r="DK27" i="174"/>
  <c r="CN27" i="174"/>
  <c r="H27" i="174" s="1"/>
  <c r="CL27" i="174"/>
  <c r="CI27" i="174"/>
  <c r="CH27" i="174"/>
  <c r="CG27" i="174"/>
  <c r="CE27" i="174"/>
  <c r="CD27" i="174"/>
  <c r="BY27" i="174"/>
  <c r="BX27" i="174"/>
  <c r="BV27" i="174"/>
  <c r="BT27" i="174"/>
  <c r="BS27" i="174"/>
  <c r="AV27" i="174"/>
  <c r="AM27" i="174"/>
  <c r="DX27" i="174" s="1"/>
  <c r="ED26" i="174"/>
  <c r="EB26" i="174"/>
  <c r="EA26" i="174"/>
  <c r="DZ26" i="174"/>
  <c r="DY26" i="174"/>
  <c r="DX26" i="174"/>
  <c r="DW26" i="174"/>
  <c r="DV26" i="174"/>
  <c r="DT26" i="174"/>
  <c r="DS26" i="174"/>
  <c r="DQ26" i="174"/>
  <c r="DP26" i="174"/>
  <c r="DO26" i="174"/>
  <c r="DN26" i="174"/>
  <c r="DL26" i="174"/>
  <c r="DK26" i="174"/>
  <c r="CN26" i="174"/>
  <c r="CL26" i="174"/>
  <c r="CI26" i="174"/>
  <c r="CH26" i="174"/>
  <c r="CG26" i="174"/>
  <c r="CF26" i="174"/>
  <c r="CE26" i="174"/>
  <c r="CD26" i="174"/>
  <c r="BY26" i="174"/>
  <c r="BX26" i="174"/>
  <c r="BV26" i="174"/>
  <c r="BT26" i="174"/>
  <c r="BS26" i="174"/>
  <c r="AV26" i="174"/>
  <c r="Y26" i="174"/>
  <c r="ED25" i="174"/>
  <c r="EB25" i="174"/>
  <c r="EA25" i="174"/>
  <c r="DZ25" i="174"/>
  <c r="DX25" i="174"/>
  <c r="DW25" i="174"/>
  <c r="DV25" i="174"/>
  <c r="DT25" i="174"/>
  <c r="DS25" i="174"/>
  <c r="DQ25" i="174"/>
  <c r="DO25" i="174"/>
  <c r="DN25" i="174"/>
  <c r="DL25" i="174"/>
  <c r="DK25" i="174"/>
  <c r="DC25" i="174"/>
  <c r="CT25" i="174" s="1"/>
  <c r="CL25" i="174"/>
  <c r="CI25" i="174"/>
  <c r="CH25" i="174"/>
  <c r="CF25" i="174"/>
  <c r="CE25" i="174"/>
  <c r="CD25" i="174"/>
  <c r="BY25" i="174"/>
  <c r="BV25" i="174"/>
  <c r="BT25" i="174"/>
  <c r="BS25" i="174"/>
  <c r="BK25" i="174"/>
  <c r="CG25" i="174" s="1"/>
  <c r="BB25" i="174"/>
  <c r="Y25" i="174"/>
  <c r="ED24" i="174"/>
  <c r="EB24" i="174"/>
  <c r="EA24" i="174"/>
  <c r="DZ24" i="174"/>
  <c r="DY24" i="174"/>
  <c r="DX24" i="174"/>
  <c r="DW24" i="174"/>
  <c r="DV24" i="174"/>
  <c r="DT24" i="174"/>
  <c r="DS24" i="174"/>
  <c r="DQ24" i="174"/>
  <c r="DP24" i="174"/>
  <c r="DO24" i="174"/>
  <c r="DN24" i="174"/>
  <c r="DL24" i="174"/>
  <c r="DK24" i="174"/>
  <c r="CT24" i="174"/>
  <c r="CN24" i="174" s="1"/>
  <c r="H24" i="174" s="1"/>
  <c r="CL24" i="174"/>
  <c r="CK24" i="174"/>
  <c r="CJ24" i="174"/>
  <c r="CI24" i="174"/>
  <c r="CH24" i="174"/>
  <c r="CG24" i="174"/>
  <c r="CF24" i="174"/>
  <c r="CE24" i="174"/>
  <c r="CD24" i="174"/>
  <c r="CC24" i="174"/>
  <c r="CB24" i="174"/>
  <c r="CA24" i="174"/>
  <c r="BY24" i="174"/>
  <c r="BV24" i="174"/>
  <c r="BT24" i="174"/>
  <c r="BS24" i="174"/>
  <c r="BB24" i="174"/>
  <c r="Y24" i="174"/>
  <c r="ED23" i="174"/>
  <c r="EB23" i="174"/>
  <c r="EA23" i="174"/>
  <c r="DY23" i="174"/>
  <c r="DX23" i="174"/>
  <c r="DW23" i="174"/>
  <c r="DV23" i="174"/>
  <c r="DT23" i="174"/>
  <c r="DS23" i="174"/>
  <c r="DQ23" i="174"/>
  <c r="DP23" i="174"/>
  <c r="DO23" i="174"/>
  <c r="DN23" i="174"/>
  <c r="DL23" i="174"/>
  <c r="DK23" i="174"/>
  <c r="DD23" i="174"/>
  <c r="CL23" i="174"/>
  <c r="CI23" i="174"/>
  <c r="CG23" i="174"/>
  <c r="CF23" i="174"/>
  <c r="CE23" i="174"/>
  <c r="CD23" i="174"/>
  <c r="BY23" i="174"/>
  <c r="BX23" i="174"/>
  <c r="BV23" i="174"/>
  <c r="BT23" i="174"/>
  <c r="BS23" i="174"/>
  <c r="BL23" i="174"/>
  <c r="CH23" i="174" s="1"/>
  <c r="AV23" i="174"/>
  <c r="AN23" i="174"/>
  <c r="Y23" i="174"/>
  <c r="AU23" i="174" s="1"/>
  <c r="EB22" i="174"/>
  <c r="EA22" i="174"/>
  <c r="DY22" i="174"/>
  <c r="DX22" i="174"/>
  <c r="DW22" i="174"/>
  <c r="DV22" i="174"/>
  <c r="DT22" i="174"/>
  <c r="DS22" i="174"/>
  <c r="DQ22" i="174"/>
  <c r="DP22" i="174"/>
  <c r="DO22" i="174"/>
  <c r="DN22" i="174"/>
  <c r="DL22" i="174"/>
  <c r="DK22" i="174"/>
  <c r="DH22" i="174"/>
  <c r="DD22" i="174"/>
  <c r="DZ22" i="174" s="1"/>
  <c r="CI22" i="174"/>
  <c r="CG22" i="174"/>
  <c r="CF22" i="174"/>
  <c r="CE22" i="174"/>
  <c r="CD22" i="174"/>
  <c r="BY22" i="174"/>
  <c r="BX22" i="174"/>
  <c r="BV22" i="174"/>
  <c r="BT22" i="174"/>
  <c r="BS22" i="174"/>
  <c r="BP22" i="174"/>
  <c r="BL22" i="174"/>
  <c r="CH22" i="174" s="1"/>
  <c r="AS22" i="174"/>
  <c r="Y22" i="174"/>
  <c r="ED21" i="174"/>
  <c r="EB21" i="174"/>
  <c r="EA21" i="174"/>
  <c r="DZ21" i="174"/>
  <c r="DY21" i="174"/>
  <c r="DX21" i="174"/>
  <c r="DW21" i="174"/>
  <c r="DV21" i="174"/>
  <c r="DT21" i="174"/>
  <c r="DS21" i="174"/>
  <c r="DP21" i="174"/>
  <c r="DO21" i="174"/>
  <c r="DN21" i="174"/>
  <c r="DK21" i="174"/>
  <c r="CN21" i="174"/>
  <c r="H21" i="174" s="1"/>
  <c r="CL21" i="174"/>
  <c r="CI21" i="174"/>
  <c r="CH21" i="174"/>
  <c r="CG21" i="174"/>
  <c r="CF21" i="174"/>
  <c r="CE21" i="174"/>
  <c r="CD21" i="174"/>
  <c r="BX21" i="174"/>
  <c r="BV21" i="174"/>
  <c r="BS21" i="174"/>
  <c r="AV21" i="174"/>
  <c r="AF21" i="174"/>
  <c r="BY21" i="174" s="1"/>
  <c r="AA21" i="174"/>
  <c r="Y21" i="174" s="1"/>
  <c r="ED20" i="174"/>
  <c r="EB20" i="174"/>
  <c r="EA20" i="174"/>
  <c r="DZ20" i="174"/>
  <c r="DX20" i="174"/>
  <c r="DW20" i="174"/>
  <c r="DV20" i="174"/>
  <c r="DT20" i="174"/>
  <c r="DS20" i="174"/>
  <c r="DP20" i="174"/>
  <c r="DO20" i="174"/>
  <c r="DN20" i="174"/>
  <c r="DL20" i="174"/>
  <c r="DK20" i="174"/>
  <c r="CN20" i="174"/>
  <c r="H20" i="174" s="1"/>
  <c r="CL20" i="174"/>
  <c r="CI20" i="174"/>
  <c r="CH20" i="174"/>
  <c r="CF20" i="174"/>
  <c r="CE20" i="174"/>
  <c r="CD20" i="174"/>
  <c r="BX20" i="174"/>
  <c r="BV20" i="174"/>
  <c r="BT20" i="174"/>
  <c r="BS20" i="174"/>
  <c r="AV20" i="174"/>
  <c r="AN20" i="174"/>
  <c r="CG20" i="174" s="1"/>
  <c r="AF20" i="174"/>
  <c r="ED19" i="174"/>
  <c r="EB19" i="174"/>
  <c r="EA19" i="174"/>
  <c r="DZ19" i="174"/>
  <c r="DX19" i="174"/>
  <c r="DW19" i="174"/>
  <c r="DV19" i="174"/>
  <c r="DT19" i="174"/>
  <c r="DS19" i="174"/>
  <c r="DP19" i="174"/>
  <c r="DO19" i="174"/>
  <c r="DN19" i="174"/>
  <c r="DK19" i="174"/>
  <c r="CU19" i="174"/>
  <c r="CN19" i="174"/>
  <c r="H19" i="174" s="1"/>
  <c r="CL19" i="174"/>
  <c r="CI19" i="174"/>
  <c r="CH19" i="174"/>
  <c r="CF19" i="174"/>
  <c r="CE19" i="174"/>
  <c r="CD19" i="174"/>
  <c r="BX19" i="174"/>
  <c r="BV19" i="174"/>
  <c r="BS19" i="174"/>
  <c r="BC19" i="174"/>
  <c r="AV19" i="174" s="1"/>
  <c r="AN19" i="174"/>
  <c r="DY19" i="174" s="1"/>
  <c r="AF19" i="174"/>
  <c r="DQ19" i="174" s="1"/>
  <c r="AA19" i="174"/>
  <c r="EB18" i="174"/>
  <c r="EA18" i="174"/>
  <c r="DZ18" i="174"/>
  <c r="DY18" i="174"/>
  <c r="DX18" i="174"/>
  <c r="DW18" i="174"/>
  <c r="DV18" i="174"/>
  <c r="DT18" i="174"/>
  <c r="DS18" i="174"/>
  <c r="DO18" i="174"/>
  <c r="DN18" i="174"/>
  <c r="DL18" i="174"/>
  <c r="DK18" i="174"/>
  <c r="CT18" i="174"/>
  <c r="CU18" i="174" s="1"/>
  <c r="CU201" i="174" s="1"/>
  <c r="CI18" i="174"/>
  <c r="CH18" i="174"/>
  <c r="CG18" i="174"/>
  <c r="CF18" i="174"/>
  <c r="CE18" i="174"/>
  <c r="CD18" i="174"/>
  <c r="CC18" i="174"/>
  <c r="CB18" i="174"/>
  <c r="CB201" i="174" s="1"/>
  <c r="CA18" i="174"/>
  <c r="BV18" i="174"/>
  <c r="BT18" i="174"/>
  <c r="BS18" i="174"/>
  <c r="BC18" i="174"/>
  <c r="BB18" i="174"/>
  <c r="AS18" i="174"/>
  <c r="CL18" i="174" s="1"/>
  <c r="AF18" i="174"/>
  <c r="Y18" i="174"/>
  <c r="EB17" i="174"/>
  <c r="EA17" i="174"/>
  <c r="DZ17" i="174"/>
  <c r="DY17" i="174"/>
  <c r="DX17" i="174"/>
  <c r="DW17" i="174"/>
  <c r="DV17" i="174"/>
  <c r="DT17" i="174"/>
  <c r="DS17" i="174"/>
  <c r="DQ17" i="174"/>
  <c r="DO17" i="174"/>
  <c r="DN17" i="174"/>
  <c r="DL17" i="174"/>
  <c r="DK17" i="174"/>
  <c r="DH17" i="174"/>
  <c r="DH201" i="174" s="1"/>
  <c r="CL17" i="174"/>
  <c r="CI17" i="174"/>
  <c r="CH17" i="174"/>
  <c r="CF17" i="174"/>
  <c r="CE17" i="174"/>
  <c r="CD17" i="174"/>
  <c r="BY17" i="174"/>
  <c r="BV17" i="174"/>
  <c r="BT17" i="174"/>
  <c r="BS17" i="174"/>
  <c r="BP17" i="174"/>
  <c r="BB17" i="174"/>
  <c r="AV17" i="174"/>
  <c r="AS17" i="174"/>
  <c r="AN17" i="174"/>
  <c r="Y17" i="174"/>
  <c r="ED16" i="174"/>
  <c r="EB16" i="174"/>
  <c r="EA16" i="174"/>
  <c r="DZ16" i="174"/>
  <c r="DX16" i="174"/>
  <c r="DW16" i="174"/>
  <c r="DV16" i="174"/>
  <c r="DT16" i="174"/>
  <c r="DS16" i="174"/>
  <c r="DQ16" i="174"/>
  <c r="DP16" i="174"/>
  <c r="DO16" i="174"/>
  <c r="DN16" i="174"/>
  <c r="DL16" i="174"/>
  <c r="DK16" i="174"/>
  <c r="CN16" i="174"/>
  <c r="H16" i="174" s="1"/>
  <c r="CL16" i="174"/>
  <c r="CI16" i="174"/>
  <c r="CH16" i="174"/>
  <c r="CF16" i="174"/>
  <c r="CE16" i="174"/>
  <c r="CD16" i="174"/>
  <c r="BY16" i="174"/>
  <c r="BX16" i="174"/>
  <c r="BV16" i="174"/>
  <c r="BT16" i="174"/>
  <c r="BS16" i="174"/>
  <c r="AV16" i="174"/>
  <c r="AN16" i="174"/>
  <c r="CG16" i="174" s="1"/>
  <c r="ED15" i="174"/>
  <c r="EB15" i="174"/>
  <c r="EA15" i="174"/>
  <c r="DZ15" i="174"/>
  <c r="DY15" i="174"/>
  <c r="DX15" i="174"/>
  <c r="DW15" i="174"/>
  <c r="DV15" i="174"/>
  <c r="DT15" i="174"/>
  <c r="DS15" i="174"/>
  <c r="DQ15" i="174"/>
  <c r="DP15" i="174"/>
  <c r="DO15" i="174"/>
  <c r="DN15" i="174"/>
  <c r="DL15" i="174"/>
  <c r="DK15" i="174"/>
  <c r="CN15" i="174"/>
  <c r="H15" i="174" s="1"/>
  <c r="CM15" i="174"/>
  <c r="DI15" i="174" s="1"/>
  <c r="CL15" i="174"/>
  <c r="CI15" i="174"/>
  <c r="CH15" i="174"/>
  <c r="CG15" i="174"/>
  <c r="CF15" i="174"/>
  <c r="CE15" i="174"/>
  <c r="CD15" i="174"/>
  <c r="BY15" i="174"/>
  <c r="BX15" i="174"/>
  <c r="BV15" i="174"/>
  <c r="BT15" i="174"/>
  <c r="BS15" i="174"/>
  <c r="AV15" i="174"/>
  <c r="Y15" i="174"/>
  <c r="ED14" i="174"/>
  <c r="EB14" i="174"/>
  <c r="EA14" i="174"/>
  <c r="DZ14" i="174"/>
  <c r="DY14" i="174"/>
  <c r="DX14" i="174"/>
  <c r="DW14" i="174"/>
  <c r="DV14" i="174"/>
  <c r="DT14" i="174"/>
  <c r="DS14" i="174"/>
  <c r="DQ14" i="174"/>
  <c r="DP14" i="174"/>
  <c r="DO14" i="174"/>
  <c r="DN14" i="174"/>
  <c r="DL14" i="174"/>
  <c r="DK14" i="174"/>
  <c r="CN14" i="174"/>
  <c r="H14" i="174" s="1"/>
  <c r="CL14" i="174"/>
  <c r="CI14" i="174"/>
  <c r="CH14" i="174"/>
  <c r="CG14" i="174"/>
  <c r="CF14" i="174"/>
  <c r="CE14" i="174"/>
  <c r="CD14" i="174"/>
  <c r="BY14" i="174"/>
  <c r="BX14" i="174"/>
  <c r="BV14" i="174"/>
  <c r="BT14" i="174"/>
  <c r="BS14" i="174"/>
  <c r="AV14" i="174"/>
  <c r="Y14" i="174"/>
  <c r="ED13" i="174"/>
  <c r="EB13" i="174"/>
  <c r="EA13" i="174"/>
  <c r="DZ13" i="174"/>
  <c r="DY13" i="174"/>
  <c r="DX13" i="174"/>
  <c r="DW13" i="174"/>
  <c r="DV13" i="174"/>
  <c r="DT13" i="174"/>
  <c r="DS13" i="174"/>
  <c r="DQ13" i="174"/>
  <c r="DO13" i="174"/>
  <c r="DN13" i="174"/>
  <c r="DL13" i="174"/>
  <c r="DK13" i="174"/>
  <c r="CT13" i="174"/>
  <c r="CN13" i="174" s="1"/>
  <c r="H13" i="174" s="1"/>
  <c r="I13" i="174" s="1"/>
  <c r="CL13" i="174"/>
  <c r="CI13" i="174"/>
  <c r="CH13" i="174"/>
  <c r="CG13" i="174"/>
  <c r="CF13" i="174"/>
  <c r="CE13" i="174"/>
  <c r="CD13" i="174"/>
  <c r="BY13" i="174"/>
  <c r="BV13" i="174"/>
  <c r="BT13" i="174"/>
  <c r="BS13" i="174"/>
  <c r="BB13" i="174"/>
  <c r="BX13" i="174" s="1"/>
  <c r="AV13" i="174"/>
  <c r="AU13" i="174" s="1"/>
  <c r="BQ13" i="174" s="1"/>
  <c r="Y13" i="174"/>
  <c r="ED12" i="174"/>
  <c r="EB12" i="174"/>
  <c r="EA12" i="174"/>
  <c r="DZ12" i="174"/>
  <c r="DY12" i="174"/>
  <c r="DX12" i="174"/>
  <c r="DW12" i="174"/>
  <c r="DV12" i="174"/>
  <c r="DT12" i="174"/>
  <c r="DS12" i="174"/>
  <c r="DQ12" i="174"/>
  <c r="DP12" i="174"/>
  <c r="DO12" i="174"/>
  <c r="DN12" i="174"/>
  <c r="DL12" i="174"/>
  <c r="DK12" i="174"/>
  <c r="CT12" i="174"/>
  <c r="CN12" i="174" s="1"/>
  <c r="H12" i="174" s="1"/>
  <c r="I12" i="174" s="1"/>
  <c r="CL12" i="174"/>
  <c r="CI12" i="174"/>
  <c r="CH12" i="174"/>
  <c r="CG12" i="174"/>
  <c r="CF12" i="174"/>
  <c r="CE12" i="174"/>
  <c r="CD12" i="174"/>
  <c r="BY12" i="174"/>
  <c r="BV12" i="174"/>
  <c r="BT12" i="174"/>
  <c r="BS12" i="174"/>
  <c r="BB12" i="174"/>
  <c r="BX12" i="174" s="1"/>
  <c r="Y12" i="174"/>
  <c r="ED11" i="174"/>
  <c r="EB11" i="174"/>
  <c r="EA11" i="174"/>
  <c r="DZ11" i="174"/>
  <c r="DY11" i="174"/>
  <c r="DX11" i="174"/>
  <c r="DW11" i="174"/>
  <c r="DV11" i="174"/>
  <c r="DT11" i="174"/>
  <c r="DS11" i="174"/>
  <c r="DQ11" i="174"/>
  <c r="DO11" i="174"/>
  <c r="DN11" i="174"/>
  <c r="DL11" i="174"/>
  <c r="DK11" i="174"/>
  <c r="CT11" i="174"/>
  <c r="CN11" i="174"/>
  <c r="CL11" i="174"/>
  <c r="CI11" i="174"/>
  <c r="CH11" i="174"/>
  <c r="CG11" i="174"/>
  <c r="CF11" i="174"/>
  <c r="CE11" i="174"/>
  <c r="CD11" i="174"/>
  <c r="BY11" i="174"/>
  <c r="BV11" i="174"/>
  <c r="BT11" i="174"/>
  <c r="BS11" i="174"/>
  <c r="BB11" i="174"/>
  <c r="AE11" i="174"/>
  <c r="Y11" i="174" s="1"/>
  <c r="EB10" i="174"/>
  <c r="EA10" i="174"/>
  <c r="DZ10" i="174"/>
  <c r="DY10" i="174"/>
  <c r="DX10" i="174"/>
  <c r="DW10" i="174"/>
  <c r="DV10" i="174"/>
  <c r="DT10" i="174"/>
  <c r="DS10" i="174"/>
  <c r="DQ10" i="174"/>
  <c r="DP10" i="174"/>
  <c r="DO10" i="174"/>
  <c r="DN10" i="174"/>
  <c r="DL10" i="174"/>
  <c r="DK10" i="174"/>
  <c r="DH10" i="174"/>
  <c r="CN10" i="174" s="1"/>
  <c r="H10" i="174" s="1"/>
  <c r="CI10" i="174"/>
  <c r="CH10" i="174"/>
  <c r="CG10" i="174"/>
  <c r="CF10" i="174"/>
  <c r="CE10" i="174"/>
  <c r="CD10" i="174"/>
  <c r="CC10" i="174"/>
  <c r="CB10" i="174"/>
  <c r="CA10" i="174"/>
  <c r="BY10" i="174"/>
  <c r="BX10" i="174"/>
  <c r="BV10" i="174"/>
  <c r="BT10" i="174"/>
  <c r="BS10" i="174"/>
  <c r="BP10" i="174"/>
  <c r="AS10" i="174"/>
  <c r="ED9" i="174"/>
  <c r="EB9" i="174"/>
  <c r="EA9" i="174"/>
  <c r="DZ9" i="174"/>
  <c r="DY9" i="174"/>
  <c r="DW9" i="174"/>
  <c r="DV9" i="174"/>
  <c r="DT9" i="174"/>
  <c r="DS9" i="174"/>
  <c r="DQ9" i="174"/>
  <c r="DP9" i="174"/>
  <c r="DO9" i="174"/>
  <c r="DN9" i="174"/>
  <c r="DL9" i="174"/>
  <c r="DK9" i="174"/>
  <c r="DB9" i="174"/>
  <c r="CN9" i="174" s="1"/>
  <c r="H9" i="174" s="1"/>
  <c r="CL9" i="174"/>
  <c r="CI9" i="174"/>
  <c r="CH9" i="174"/>
  <c r="CG9" i="174"/>
  <c r="CE9" i="174"/>
  <c r="CD9" i="174"/>
  <c r="BY9" i="174"/>
  <c r="BX9" i="174"/>
  <c r="BV9" i="174"/>
  <c r="BT9" i="174"/>
  <c r="BS9" i="174"/>
  <c r="BJ9" i="174"/>
  <c r="AM9" i="174"/>
  <c r="Y9" i="174" s="1"/>
  <c r="ED8" i="174"/>
  <c r="EB8" i="174"/>
  <c r="EA8" i="174"/>
  <c r="DZ8" i="174"/>
  <c r="DY8" i="174"/>
  <c r="DW8" i="174"/>
  <c r="DV8" i="174"/>
  <c r="DT8" i="174"/>
  <c r="DS8" i="174"/>
  <c r="DQ8" i="174"/>
  <c r="DP8" i="174"/>
  <c r="DO8" i="174"/>
  <c r="DN8" i="174"/>
  <c r="DL8" i="174"/>
  <c r="DK8" i="174"/>
  <c r="CN8" i="174"/>
  <c r="CL8" i="174"/>
  <c r="CI8" i="174"/>
  <c r="CH8" i="174"/>
  <c r="CG8" i="174"/>
  <c r="CE8" i="174"/>
  <c r="CD8" i="174"/>
  <c r="BY8" i="174"/>
  <c r="BX8" i="174"/>
  <c r="BV8" i="174"/>
  <c r="BT8" i="174"/>
  <c r="BS8" i="174"/>
  <c r="AV8" i="174"/>
  <c r="AM8" i="174"/>
  <c r="DX8" i="174" s="1"/>
  <c r="ED7" i="174"/>
  <c r="EB7" i="174"/>
  <c r="EA7" i="174"/>
  <c r="DZ7" i="174"/>
  <c r="DY7" i="174"/>
  <c r="DW7" i="174"/>
  <c r="DV7" i="174"/>
  <c r="DT7" i="174"/>
  <c r="DS7" i="174"/>
  <c r="DQ7" i="174"/>
  <c r="DP7" i="174"/>
  <c r="DO7" i="174"/>
  <c r="DN7" i="174"/>
  <c r="DL7" i="174"/>
  <c r="DK7" i="174"/>
  <c r="DB7" i="174"/>
  <c r="CN7" i="174" s="1"/>
  <c r="H7" i="174" s="1"/>
  <c r="CL7" i="174"/>
  <c r="CI7" i="174"/>
  <c r="CH7" i="174"/>
  <c r="CG7" i="174"/>
  <c r="CE7" i="174"/>
  <c r="CD7" i="174"/>
  <c r="BY7" i="174"/>
  <c r="BX7" i="174"/>
  <c r="BV7" i="174"/>
  <c r="BT7" i="174"/>
  <c r="BS7" i="174"/>
  <c r="BJ7" i="174"/>
  <c r="AV7" i="174" s="1"/>
  <c r="AM7" i="174"/>
  <c r="CF7" i="174" s="1"/>
  <c r="Y7" i="174"/>
  <c r="ED6" i="174"/>
  <c r="EB6" i="174"/>
  <c r="EA6" i="174"/>
  <c r="DZ6" i="174"/>
  <c r="DY6" i="174"/>
  <c r="DX6" i="174"/>
  <c r="DW6" i="174"/>
  <c r="DV6" i="174"/>
  <c r="DT6" i="174"/>
  <c r="DS6" i="174"/>
  <c r="DQ6" i="174"/>
  <c r="DP6" i="174"/>
  <c r="DO6" i="174"/>
  <c r="DN6" i="174"/>
  <c r="DL6" i="174"/>
  <c r="DK6" i="174"/>
  <c r="CN6" i="174"/>
  <c r="H6" i="174" s="1"/>
  <c r="CL6" i="174"/>
  <c r="CI6" i="174"/>
  <c r="CH6" i="174"/>
  <c r="CG6" i="174"/>
  <c r="CF6" i="174"/>
  <c r="CE6" i="174"/>
  <c r="CD6" i="174"/>
  <c r="BY6" i="174"/>
  <c r="BX6" i="174"/>
  <c r="BV6" i="174"/>
  <c r="BT6" i="174"/>
  <c r="BS6" i="174"/>
  <c r="AV6" i="174"/>
  <c r="Y6" i="174"/>
  <c r="AU6" i="174" s="1"/>
  <c r="BQ6" i="174" s="1"/>
  <c r="ED5" i="174"/>
  <c r="EB5" i="174"/>
  <c r="EA5" i="174"/>
  <c r="DZ5" i="174"/>
  <c r="DY5" i="174"/>
  <c r="DX5" i="174"/>
  <c r="DW5" i="174"/>
  <c r="DV5" i="174"/>
  <c r="DT5" i="174"/>
  <c r="DS5" i="174"/>
  <c r="DQ5" i="174"/>
  <c r="DP5" i="174"/>
  <c r="DO5" i="174"/>
  <c r="DN5" i="174"/>
  <c r="DL5" i="174"/>
  <c r="DK5" i="174"/>
  <c r="CN5" i="174"/>
  <c r="H5" i="174" s="1"/>
  <c r="I5" i="174" s="1"/>
  <c r="CL5" i="174"/>
  <c r="CI5" i="174"/>
  <c r="CH5" i="174"/>
  <c r="CG5" i="174"/>
  <c r="CF5" i="174"/>
  <c r="CE5" i="174"/>
  <c r="CD5" i="174"/>
  <c r="BY5" i="174"/>
  <c r="BX5" i="174"/>
  <c r="BV5" i="174"/>
  <c r="BT5" i="174"/>
  <c r="BS5" i="174"/>
  <c r="AV5" i="174"/>
  <c r="Y5" i="174"/>
  <c r="ED4" i="174"/>
  <c r="EB4" i="174"/>
  <c r="EA4" i="174"/>
  <c r="DZ4" i="174"/>
  <c r="DY4" i="174"/>
  <c r="DW4" i="174"/>
  <c r="DV4" i="174"/>
  <c r="DT4" i="174"/>
  <c r="DS4" i="174"/>
  <c r="DQ4" i="174"/>
  <c r="DP4" i="174"/>
  <c r="DO4" i="174"/>
  <c r="DN4" i="174"/>
  <c r="DL4" i="174"/>
  <c r="DK4" i="174"/>
  <c r="DB4" i="174"/>
  <c r="DX4" i="174" s="1"/>
  <c r="CL4" i="174"/>
  <c r="CJ4" i="174"/>
  <c r="CJ203" i="174" s="1"/>
  <c r="CI4" i="174"/>
  <c r="CH4" i="174"/>
  <c r="CG4" i="174"/>
  <c r="CE4" i="174"/>
  <c r="CD4" i="174"/>
  <c r="CC4" i="174"/>
  <c r="CB4" i="174"/>
  <c r="CA4" i="174"/>
  <c r="BY4" i="174"/>
  <c r="BX4" i="174"/>
  <c r="BV4" i="174"/>
  <c r="BT4" i="174"/>
  <c r="BS4" i="174"/>
  <c r="BJ4" i="174"/>
  <c r="CF4" i="174" s="1"/>
  <c r="AV4" i="174"/>
  <c r="Y4" i="174"/>
  <c r="CH3" i="174"/>
  <c r="DD3" i="174" s="1"/>
  <c r="DZ3" i="174" s="1"/>
  <c r="BR74" i="174" l="1"/>
  <c r="Y16" i="174"/>
  <c r="Y27" i="174"/>
  <c r="I27" i="174" s="1"/>
  <c r="AV40" i="174"/>
  <c r="AU40" i="174" s="1"/>
  <c r="BQ40" i="174" s="1"/>
  <c r="ED59" i="174"/>
  <c r="DJ59" i="174" s="1"/>
  <c r="Y86" i="174"/>
  <c r="BX95" i="174"/>
  <c r="Y150" i="174"/>
  <c r="CL172" i="174"/>
  <c r="I174" i="174"/>
  <c r="I186" i="174"/>
  <c r="CF9" i="174"/>
  <c r="AF201" i="174"/>
  <c r="ED53" i="174"/>
  <c r="AU16" i="174"/>
  <c r="BQ16" i="174" s="1"/>
  <c r="DL36" i="174"/>
  <c r="DJ36" i="174" s="1"/>
  <c r="AV12" i="174"/>
  <c r="BB201" i="174"/>
  <c r="DN35" i="174"/>
  <c r="DZ37" i="174"/>
  <c r="AV38" i="174"/>
  <c r="AU38" i="174" s="1"/>
  <c r="BQ38" i="174" s="1"/>
  <c r="CN44" i="174"/>
  <c r="H44" i="174" s="1"/>
  <c r="DL48" i="174"/>
  <c r="DP48" i="174"/>
  <c r="Y54" i="174"/>
  <c r="DZ62" i="174"/>
  <c r="ED71" i="174"/>
  <c r="CN71" i="174"/>
  <c r="H71" i="174" s="1"/>
  <c r="CN76" i="174"/>
  <c r="CM76" i="174" s="1"/>
  <c r="DI76" i="174" s="1"/>
  <c r="BY92" i="174"/>
  <c r="DP95" i="174"/>
  <c r="DJ95" i="174" s="1"/>
  <c r="BV101" i="174"/>
  <c r="I107" i="174"/>
  <c r="CN111" i="174"/>
  <c r="H111" i="174" s="1"/>
  <c r="I111" i="174" s="1"/>
  <c r="ED150" i="174"/>
  <c r="BH200" i="174"/>
  <c r="BH205" i="174" s="1"/>
  <c r="BH207" i="174" s="1"/>
  <c r="BK129" i="174"/>
  <c r="BV35" i="174"/>
  <c r="DL37" i="174"/>
  <c r="DJ37" i="174" s="1"/>
  <c r="I193" i="174"/>
  <c r="AV45" i="174"/>
  <c r="ED66" i="174"/>
  <c r="DJ66" i="174" s="1"/>
  <c r="BX98" i="174"/>
  <c r="CL118" i="174"/>
  <c r="BV151" i="174"/>
  <c r="BR151" i="174" s="1"/>
  <c r="AU154" i="174"/>
  <c r="BQ154" i="174" s="1"/>
  <c r="BV171" i="174"/>
  <c r="AV188" i="174"/>
  <c r="AU188" i="174" s="1"/>
  <c r="BQ188" i="174" s="1"/>
  <c r="DQ21" i="174"/>
  <c r="AE203" i="174"/>
  <c r="AV37" i="174"/>
  <c r="Y19" i="174"/>
  <c r="I19" i="174" s="1"/>
  <c r="CL22" i="174"/>
  <c r="AV25" i="174"/>
  <c r="AU25" i="174" s="1"/>
  <c r="BQ25" i="174" s="1"/>
  <c r="BX42" i="174"/>
  <c r="DP43" i="174"/>
  <c r="AU47" i="174"/>
  <c r="BQ47" i="174" s="1"/>
  <c r="DZ65" i="174"/>
  <c r="DJ65" i="174" s="1"/>
  <c r="Y74" i="174"/>
  <c r="AU74" i="174" s="1"/>
  <c r="BQ74" i="174" s="1"/>
  <c r="Y92" i="174"/>
  <c r="CM92" i="174" s="1"/>
  <c r="DI92" i="174" s="1"/>
  <c r="DL95" i="174"/>
  <c r="AV96" i="174"/>
  <c r="AU96" i="174" s="1"/>
  <c r="BQ96" i="174" s="1"/>
  <c r="AV102" i="174"/>
  <c r="AU102" i="174" s="1"/>
  <c r="BQ102" i="174" s="1"/>
  <c r="CN126" i="174"/>
  <c r="H126" i="174" s="1"/>
  <c r="AU138" i="174"/>
  <c r="BQ138" i="174" s="1"/>
  <c r="Y146" i="174"/>
  <c r="CM146" i="174" s="1"/>
  <c r="DI146" i="174" s="1"/>
  <c r="DN156" i="174"/>
  <c r="AD195" i="174"/>
  <c r="AD197" i="174" s="1"/>
  <c r="BV159" i="174"/>
  <c r="AV178" i="174"/>
  <c r="AU178" i="174" s="1"/>
  <c r="BQ178" i="174" s="1"/>
  <c r="I148" i="174"/>
  <c r="AU145" i="174"/>
  <c r="BQ145" i="174" s="1"/>
  <c r="AU20" i="174"/>
  <c r="BQ20" i="174" s="1"/>
  <c r="AU30" i="174"/>
  <c r="BQ30" i="174" s="1"/>
  <c r="I41" i="174"/>
  <c r="DQ44" i="174"/>
  <c r="AU91" i="174"/>
  <c r="BQ91" i="174" s="1"/>
  <c r="DP97" i="174"/>
  <c r="DJ97" i="174" s="1"/>
  <c r="ED122" i="174"/>
  <c r="CM141" i="174"/>
  <c r="DI141" i="174" s="1"/>
  <c r="AU169" i="174"/>
  <c r="BQ169" i="174" s="1"/>
  <c r="AC203" i="174"/>
  <c r="BR187" i="174"/>
  <c r="CG19" i="174"/>
  <c r="ED22" i="174"/>
  <c r="DJ22" i="174" s="1"/>
  <c r="CF27" i="174"/>
  <c r="BR27" i="174" s="1"/>
  <c r="CM40" i="174"/>
  <c r="DI40" i="174" s="1"/>
  <c r="AV44" i="174"/>
  <c r="BT47" i="174"/>
  <c r="BR47" i="174" s="1"/>
  <c r="AV49" i="174"/>
  <c r="CL50" i="174"/>
  <c r="AV54" i="174"/>
  <c r="AU54" i="174" s="1"/>
  <c r="BQ54" i="174" s="1"/>
  <c r="AV57" i="174"/>
  <c r="CL59" i="174"/>
  <c r="BR59" i="174" s="1"/>
  <c r="DL60" i="174"/>
  <c r="AV63" i="174"/>
  <c r="AU63" i="174" s="1"/>
  <c r="BQ63" i="174" s="1"/>
  <c r="CL64" i="174"/>
  <c r="AO67" i="174"/>
  <c r="Y71" i="174"/>
  <c r="CM71" i="174" s="1"/>
  <c r="DI71" i="174" s="1"/>
  <c r="CN75" i="174"/>
  <c r="H75" i="174" s="1"/>
  <c r="I75" i="174" s="1"/>
  <c r="Y81" i="174"/>
  <c r="CM81" i="174" s="1"/>
  <c r="DI81" i="174" s="1"/>
  <c r="CM102" i="174"/>
  <c r="DI102" i="174" s="1"/>
  <c r="Y124" i="174"/>
  <c r="AO129" i="174"/>
  <c r="AU142" i="174"/>
  <c r="BQ142" i="174" s="1"/>
  <c r="Y143" i="174"/>
  <c r="AU143" i="174" s="1"/>
  <c r="BQ143" i="174" s="1"/>
  <c r="BV153" i="174"/>
  <c r="BV174" i="174"/>
  <c r="BR174" i="174" s="1"/>
  <c r="BW201" i="174"/>
  <c r="BV34" i="174"/>
  <c r="CL10" i="174"/>
  <c r="CM56" i="174"/>
  <c r="DI56" i="174" s="1"/>
  <c r="EA200" i="174"/>
  <c r="ED172" i="174"/>
  <c r="CL71" i="174"/>
  <c r="H141" i="174"/>
  <c r="I141" i="174" s="1"/>
  <c r="BV163" i="174"/>
  <c r="CL169" i="174"/>
  <c r="BR169" i="174" s="1"/>
  <c r="BV181" i="174"/>
  <c r="Z197" i="174"/>
  <c r="BL34" i="174"/>
  <c r="CN45" i="174"/>
  <c r="H45" i="174" s="1"/>
  <c r="CH48" i="174"/>
  <c r="DL54" i="174"/>
  <c r="CL72" i="174"/>
  <c r="BR72" i="174" s="1"/>
  <c r="ED72" i="174"/>
  <c r="DJ72" i="174" s="1"/>
  <c r="DQ81" i="174"/>
  <c r="DJ81" i="174" s="1"/>
  <c r="ED115" i="174"/>
  <c r="ED206" i="174" s="1"/>
  <c r="CM128" i="174"/>
  <c r="DI128" i="174" s="1"/>
  <c r="CM133" i="174"/>
  <c r="DI133" i="174" s="1"/>
  <c r="AV161" i="174"/>
  <c r="AU161" i="174" s="1"/>
  <c r="BQ161" i="174" s="1"/>
  <c r="BV166" i="174"/>
  <c r="DQ168" i="174"/>
  <c r="DP177" i="174"/>
  <c r="DJ177" i="174" s="1"/>
  <c r="BT36" i="174"/>
  <c r="DN174" i="174"/>
  <c r="DJ174" i="174" s="1"/>
  <c r="DC195" i="174"/>
  <c r="BV201" i="174"/>
  <c r="AK197" i="174"/>
  <c r="AU15" i="174"/>
  <c r="BQ15" i="174" s="1"/>
  <c r="BX17" i="174"/>
  <c r="CM30" i="174"/>
  <c r="DI30" i="174" s="1"/>
  <c r="BY45" i="174"/>
  <c r="I51" i="174"/>
  <c r="CN64" i="174"/>
  <c r="H64" i="174" s="1"/>
  <c r="DY71" i="174"/>
  <c r="DJ71" i="174" s="1"/>
  <c r="DQ74" i="174"/>
  <c r="DJ74" i="174" s="1"/>
  <c r="CM77" i="174"/>
  <c r="DI77" i="174" s="1"/>
  <c r="I85" i="174"/>
  <c r="DL88" i="174"/>
  <c r="DJ88" i="174" s="1"/>
  <c r="AV92" i="174"/>
  <c r="BX129" i="174"/>
  <c r="AU110" i="174"/>
  <c r="BQ110" i="174" s="1"/>
  <c r="CM110" i="174"/>
  <c r="DI110" i="174" s="1"/>
  <c r="AU112" i="174"/>
  <c r="BQ112" i="174" s="1"/>
  <c r="CL122" i="174"/>
  <c r="DN135" i="174"/>
  <c r="DN139" i="174"/>
  <c r="BV146" i="174"/>
  <c r="BR146" i="174" s="1"/>
  <c r="DN148" i="174"/>
  <c r="DJ148" i="174" s="1"/>
  <c r="CM161" i="174"/>
  <c r="DI161" i="174" s="1"/>
  <c r="DN162" i="174"/>
  <c r="CN170" i="174"/>
  <c r="H170" i="174" s="1"/>
  <c r="I170" i="174" s="1"/>
  <c r="CM175" i="174"/>
  <c r="DI175" i="174" s="1"/>
  <c r="AV177" i="174"/>
  <c r="AU177" i="174" s="1"/>
  <c r="BQ177" i="174" s="1"/>
  <c r="DN178" i="174"/>
  <c r="AU61" i="174"/>
  <c r="BQ61" i="174" s="1"/>
  <c r="CM148" i="174"/>
  <c r="DI148" i="174" s="1"/>
  <c r="CF48" i="174"/>
  <c r="AF67" i="174"/>
  <c r="CF47" i="174"/>
  <c r="ED51" i="174"/>
  <c r="DJ51" i="174" s="1"/>
  <c r="BX94" i="174"/>
  <c r="BR94" i="174" s="1"/>
  <c r="AU133" i="174"/>
  <c r="BQ133" i="174" s="1"/>
  <c r="DL166" i="174"/>
  <c r="DJ166" i="174" s="1"/>
  <c r="DJ189" i="174"/>
  <c r="I16" i="174"/>
  <c r="AU7" i="174"/>
  <c r="BQ7" i="174" s="1"/>
  <c r="BR6" i="174"/>
  <c r="CT17" i="174"/>
  <c r="ED18" i="174"/>
  <c r="Y20" i="174"/>
  <c r="DY20" i="174"/>
  <c r="DY201" i="174" s="1"/>
  <c r="BR26" i="174"/>
  <c r="CN42" i="174"/>
  <c r="DQ45" i="174"/>
  <c r="BP67" i="174"/>
  <c r="BX48" i="174"/>
  <c r="Y60" i="174"/>
  <c r="CM60" i="174" s="1"/>
  <c r="DI60" i="174" s="1"/>
  <c r="I61" i="174"/>
  <c r="CN65" i="174"/>
  <c r="H65" i="174" s="1"/>
  <c r="I65" i="174" s="1"/>
  <c r="AU66" i="174"/>
  <c r="BQ66" i="174" s="1"/>
  <c r="CL77" i="174"/>
  <c r="BR77" i="174" s="1"/>
  <c r="DL84" i="174"/>
  <c r="I94" i="174"/>
  <c r="DP98" i="174"/>
  <c r="AV107" i="174"/>
  <c r="AU107" i="174" s="1"/>
  <c r="BQ107" i="174" s="1"/>
  <c r="CN108" i="174"/>
  <c r="CM108" i="174" s="1"/>
  <c r="DI108" i="174" s="1"/>
  <c r="CM118" i="174"/>
  <c r="DI118" i="174" s="1"/>
  <c r="BR136" i="174"/>
  <c r="I136" i="174"/>
  <c r="BV143" i="174"/>
  <c r="BR143" i="174" s="1"/>
  <c r="DN144" i="174"/>
  <c r="DJ144" i="174" s="1"/>
  <c r="BV147" i="174"/>
  <c r="DN161" i="174"/>
  <c r="DJ161" i="174" s="1"/>
  <c r="BV167" i="174"/>
  <c r="Y172" i="174"/>
  <c r="AU172" i="174" s="1"/>
  <c r="BQ172" i="174" s="1"/>
  <c r="CM173" i="174"/>
  <c r="DI173" i="174" s="1"/>
  <c r="BX177" i="174"/>
  <c r="BR177" i="174" s="1"/>
  <c r="BV178" i="174"/>
  <c r="BR178" i="174" s="1"/>
  <c r="CM187" i="174"/>
  <c r="DI187" i="174" s="1"/>
  <c r="DZ64" i="174"/>
  <c r="DJ64" i="174" s="1"/>
  <c r="CM7" i="174"/>
  <c r="DI7" i="174" s="1"/>
  <c r="DD34" i="174"/>
  <c r="DH104" i="174"/>
  <c r="DH67" i="174"/>
  <c r="DF67" i="174"/>
  <c r="DF197" i="174" s="1"/>
  <c r="DJ82" i="174"/>
  <c r="CD153" i="174"/>
  <c r="DN167" i="174"/>
  <c r="AV22" i="174"/>
  <c r="AU22" i="174" s="1"/>
  <c r="DX32" i="174"/>
  <c r="BC67" i="174"/>
  <c r="DN60" i="174"/>
  <c r="DJ60" i="174" s="1"/>
  <c r="BY88" i="174"/>
  <c r="DP92" i="174"/>
  <c r="DJ92" i="174" s="1"/>
  <c r="BX97" i="174"/>
  <c r="BR97" i="174" s="1"/>
  <c r="AV168" i="174"/>
  <c r="CL171" i="174"/>
  <c r="DP40" i="174"/>
  <c r="DJ40" i="174" s="1"/>
  <c r="DY62" i="174"/>
  <c r="DJ62" i="174" s="1"/>
  <c r="CM107" i="174"/>
  <c r="DI107" i="174" s="1"/>
  <c r="I126" i="174"/>
  <c r="ED17" i="174"/>
  <c r="AV33" i="174"/>
  <c r="AU33" i="174" s="1"/>
  <c r="BQ33" i="174" s="1"/>
  <c r="DP188" i="174"/>
  <c r="DJ188" i="174" s="1"/>
  <c r="DZ192" i="174"/>
  <c r="DZ201" i="174" s="1"/>
  <c r="DP13" i="174"/>
  <c r="BX25" i="174"/>
  <c r="BR25" i="174" s="1"/>
  <c r="BT45" i="174"/>
  <c r="BV58" i="174"/>
  <c r="ED80" i="174"/>
  <c r="DJ80" i="174" s="1"/>
  <c r="AU97" i="174"/>
  <c r="BQ97" i="174" s="1"/>
  <c r="CR104" i="174"/>
  <c r="EA107" i="174"/>
  <c r="DJ107" i="174" s="1"/>
  <c r="BS112" i="174"/>
  <c r="BS129" i="174" s="1"/>
  <c r="BV155" i="174"/>
  <c r="BR155" i="174" s="1"/>
  <c r="BV157" i="174"/>
  <c r="DN170" i="174"/>
  <c r="DY190" i="174"/>
  <c r="AV164" i="174"/>
  <c r="AU164" i="174" s="1"/>
  <c r="BQ164" i="174" s="1"/>
  <c r="EB39" i="174"/>
  <c r="EB202" i="174" s="1"/>
  <c r="BY19" i="174"/>
  <c r="BR30" i="174"/>
  <c r="CL33" i="174"/>
  <c r="BR33" i="174" s="1"/>
  <c r="DY39" i="174"/>
  <c r="BY48" i="174"/>
  <c r="BZ48" i="174"/>
  <c r="BZ202" i="174" s="1"/>
  <c r="BZ205" i="174" s="1"/>
  <c r="BZ207" i="174" s="1"/>
  <c r="CM64" i="174"/>
  <c r="DI64" i="174" s="1"/>
  <c r="BP104" i="174"/>
  <c r="H81" i="174"/>
  <c r="DQ91" i="174"/>
  <c r="DJ91" i="174" s="1"/>
  <c r="BX99" i="174"/>
  <c r="CI126" i="174"/>
  <c r="BR126" i="174" s="1"/>
  <c r="CO129" i="174"/>
  <c r="DJ150" i="174"/>
  <c r="CN168" i="174"/>
  <c r="H168" i="174" s="1"/>
  <c r="DJ172" i="174"/>
  <c r="BP195" i="174"/>
  <c r="DD67" i="174"/>
  <c r="DX33" i="174"/>
  <c r="DJ33" i="174" s="1"/>
  <c r="BL203" i="174"/>
  <c r="BP201" i="174"/>
  <c r="DX30" i="174"/>
  <c r="DJ30" i="174" s="1"/>
  <c r="AI197" i="174"/>
  <c r="CP67" i="174"/>
  <c r="CP197" i="174" s="1"/>
  <c r="BT44" i="174"/>
  <c r="BR44" i="174" s="1"/>
  <c r="CA48" i="174"/>
  <c r="CA67" i="174" s="1"/>
  <c r="ED50" i="174"/>
  <c r="CN54" i="174"/>
  <c r="CN55" i="174"/>
  <c r="H55" i="174" s="1"/>
  <c r="DJ56" i="174"/>
  <c r="CN63" i="174"/>
  <c r="CM63" i="174" s="1"/>
  <c r="DI63" i="174" s="1"/>
  <c r="BX69" i="174"/>
  <c r="BR69" i="174" s="1"/>
  <c r="AU79" i="174"/>
  <c r="BQ79" i="174" s="1"/>
  <c r="CL80" i="174"/>
  <c r="BR80" i="174" s="1"/>
  <c r="AU81" i="174"/>
  <c r="BQ81" i="174" s="1"/>
  <c r="BR84" i="174"/>
  <c r="DN90" i="174"/>
  <c r="DJ90" i="174" s="1"/>
  <c r="CN127" i="174"/>
  <c r="CM127" i="174" s="1"/>
  <c r="DI127" i="174" s="1"/>
  <c r="AV134" i="174"/>
  <c r="AU134" i="174" s="1"/>
  <c r="BQ134" i="174" s="1"/>
  <c r="AV150" i="174"/>
  <c r="DN153" i="174"/>
  <c r="CN192" i="174"/>
  <c r="H192" i="174" s="1"/>
  <c r="BR139" i="174"/>
  <c r="CE195" i="174"/>
  <c r="BR145" i="174"/>
  <c r="AR205" i="174"/>
  <c r="AR207" i="174" s="1"/>
  <c r="CA201" i="174"/>
  <c r="AU136" i="174"/>
  <c r="BQ136" i="174" s="1"/>
  <c r="DN201" i="174"/>
  <c r="DX201" i="174"/>
  <c r="CC201" i="174"/>
  <c r="BR131" i="174"/>
  <c r="CM136" i="174"/>
  <c r="DI136" i="174" s="1"/>
  <c r="I142" i="174"/>
  <c r="BR154" i="174"/>
  <c r="BR183" i="174"/>
  <c r="CM186" i="174"/>
  <c r="DI186" i="174" s="1"/>
  <c r="CM189" i="174"/>
  <c r="DI189" i="174" s="1"/>
  <c r="AU193" i="174"/>
  <c r="BQ193" i="174" s="1"/>
  <c r="BR137" i="174"/>
  <c r="BR159" i="174"/>
  <c r="DJ133" i="174"/>
  <c r="DJ137" i="174"/>
  <c r="AU141" i="174"/>
  <c r="BQ141" i="174" s="1"/>
  <c r="AU155" i="174"/>
  <c r="BQ155" i="174" s="1"/>
  <c r="BR179" i="174"/>
  <c r="H189" i="174"/>
  <c r="I189" i="174" s="1"/>
  <c r="I187" i="174"/>
  <c r="CK203" i="174"/>
  <c r="BR133" i="174"/>
  <c r="I146" i="174"/>
  <c r="BR141" i="174"/>
  <c r="CM143" i="174"/>
  <c r="DI143" i="174" s="1"/>
  <c r="AU146" i="174"/>
  <c r="BQ146" i="174" s="1"/>
  <c r="CM174" i="174"/>
  <c r="DI174" i="174" s="1"/>
  <c r="CD195" i="174"/>
  <c r="DJ184" i="174"/>
  <c r="AU187" i="174"/>
  <c r="BQ187" i="174" s="1"/>
  <c r="DJ142" i="174"/>
  <c r="AU151" i="174"/>
  <c r="BQ151" i="174" s="1"/>
  <c r="CM185" i="174"/>
  <c r="DI185" i="174" s="1"/>
  <c r="BO197" i="174"/>
  <c r="H133" i="174"/>
  <c r="I133" i="174" s="1"/>
  <c r="CM138" i="174"/>
  <c r="DI138" i="174" s="1"/>
  <c r="BR144" i="174"/>
  <c r="DJ154" i="174"/>
  <c r="CH199" i="174"/>
  <c r="I138" i="174"/>
  <c r="I154" i="174"/>
  <c r="DJ185" i="174"/>
  <c r="AU186" i="174"/>
  <c r="BQ186" i="174" s="1"/>
  <c r="AU189" i="174"/>
  <c r="BQ189" i="174" s="1"/>
  <c r="AU113" i="174"/>
  <c r="BQ113" i="174" s="1"/>
  <c r="DX118" i="174"/>
  <c r="DJ118" i="174" s="1"/>
  <c r="AH197" i="174"/>
  <c r="H110" i="174"/>
  <c r="I110" i="174" s="1"/>
  <c r="BY129" i="174"/>
  <c r="DT129" i="174"/>
  <c r="H118" i="174"/>
  <c r="I118" i="174" s="1"/>
  <c r="DJ122" i="174"/>
  <c r="G197" i="174"/>
  <c r="AJ197" i="174"/>
  <c r="I114" i="174"/>
  <c r="H128" i="174"/>
  <c r="I128" i="174" s="1"/>
  <c r="AJ205" i="174"/>
  <c r="AJ207" i="174" s="1"/>
  <c r="AP197" i="174"/>
  <c r="CE129" i="174"/>
  <c r="DW129" i="174"/>
  <c r="AQ197" i="174"/>
  <c r="DQ129" i="174"/>
  <c r="CM126" i="174"/>
  <c r="DI126" i="174" s="1"/>
  <c r="AU128" i="174"/>
  <c r="BQ128" i="174" s="1"/>
  <c r="I80" i="174"/>
  <c r="I96" i="174"/>
  <c r="AU84" i="174"/>
  <c r="BQ84" i="174" s="1"/>
  <c r="DZ104" i="174"/>
  <c r="AU83" i="174"/>
  <c r="BQ83" i="174" s="1"/>
  <c r="CH104" i="174"/>
  <c r="CI104" i="174"/>
  <c r="CM94" i="174"/>
  <c r="DI94" i="174" s="1"/>
  <c r="BW104" i="174"/>
  <c r="DJ86" i="174"/>
  <c r="I77" i="174"/>
  <c r="DJ94" i="174"/>
  <c r="BR95" i="174"/>
  <c r="I102" i="174"/>
  <c r="CO197" i="174"/>
  <c r="BR86" i="174"/>
  <c r="G205" i="174"/>
  <c r="G207" i="174" s="1"/>
  <c r="CM74" i="174"/>
  <c r="DI74" i="174" s="1"/>
  <c r="DX104" i="174"/>
  <c r="AU86" i="174"/>
  <c r="BQ86" i="174" s="1"/>
  <c r="BR49" i="174"/>
  <c r="I43" i="174"/>
  <c r="BR40" i="174"/>
  <c r="BR42" i="174"/>
  <c r="I52" i="174"/>
  <c r="BR66" i="174"/>
  <c r="BR36" i="174"/>
  <c r="BR38" i="174"/>
  <c r="I40" i="174"/>
  <c r="BU67" i="174"/>
  <c r="BU197" i="174" s="1"/>
  <c r="AQ205" i="174"/>
  <c r="AQ207" i="174" s="1"/>
  <c r="CM50" i="174"/>
  <c r="DI50" i="174" s="1"/>
  <c r="H56" i="174"/>
  <c r="I56" i="174" s="1"/>
  <c r="AU59" i="174"/>
  <c r="BQ59" i="174" s="1"/>
  <c r="BR63" i="174"/>
  <c r="BG197" i="174"/>
  <c r="CX197" i="174"/>
  <c r="CM36" i="174"/>
  <c r="DI36" i="174" s="1"/>
  <c r="DJ43" i="174"/>
  <c r="AU52" i="174"/>
  <c r="BQ52" i="174" s="1"/>
  <c r="AK205" i="174"/>
  <c r="AK207" i="174" s="1"/>
  <c r="CD67" i="174"/>
  <c r="DJ38" i="174"/>
  <c r="I50" i="174"/>
  <c r="AU36" i="174"/>
  <c r="BQ36" i="174" s="1"/>
  <c r="DV67" i="174"/>
  <c r="AU51" i="174"/>
  <c r="BQ51" i="174" s="1"/>
  <c r="BR52" i="174"/>
  <c r="CM52" i="174"/>
  <c r="DI52" i="174" s="1"/>
  <c r="BR13" i="174"/>
  <c r="DJ15" i="174"/>
  <c r="AU17" i="174"/>
  <c r="BQ17" i="174" s="1"/>
  <c r="AI205" i="174"/>
  <c r="AI207" i="174" s="1"/>
  <c r="CB34" i="174"/>
  <c r="I6" i="174"/>
  <c r="BR9" i="174"/>
  <c r="CM12" i="174"/>
  <c r="DI12" i="174" s="1"/>
  <c r="CM13" i="174"/>
  <c r="DI13" i="174" s="1"/>
  <c r="I21" i="174"/>
  <c r="DJ28" i="174"/>
  <c r="CK34" i="174"/>
  <c r="BY203" i="174"/>
  <c r="BR7" i="174"/>
  <c r="DJ8" i="174"/>
  <c r="DJ24" i="174"/>
  <c r="DO34" i="174"/>
  <c r="AU27" i="174"/>
  <c r="BQ27" i="174" s="1"/>
  <c r="BF205" i="174"/>
  <c r="BF207" i="174" s="1"/>
  <c r="BR15" i="174"/>
  <c r="DJ26" i="174"/>
  <c r="BR29" i="174"/>
  <c r="H30" i="174"/>
  <c r="I30" i="174" s="1"/>
  <c r="Z205" i="174"/>
  <c r="Z207" i="174" s="1"/>
  <c r="EA34" i="174"/>
  <c r="DJ13" i="174"/>
  <c r="BR14" i="174"/>
  <c r="BM205" i="174"/>
  <c r="EB34" i="174"/>
  <c r="DJ31" i="174"/>
  <c r="BR10" i="174"/>
  <c r="DJ27" i="174"/>
  <c r="DK203" i="174"/>
  <c r="DS34" i="174"/>
  <c r="CX205" i="174"/>
  <c r="CX207" i="174" s="1"/>
  <c r="DJ6" i="174"/>
  <c r="BR12" i="174"/>
  <c r="DO201" i="174"/>
  <c r="BR28" i="174"/>
  <c r="AU26" i="174"/>
  <c r="BQ26" i="174" s="1"/>
  <c r="DJ14" i="174"/>
  <c r="I15" i="174"/>
  <c r="CM5" i="174"/>
  <c r="DI5" i="174" s="1"/>
  <c r="CE34" i="174"/>
  <c r="DJ5" i="174"/>
  <c r="I7" i="174"/>
  <c r="DJ12" i="174"/>
  <c r="CM14" i="174"/>
  <c r="DI14" i="174" s="1"/>
  <c r="BR16" i="174"/>
  <c r="CM16" i="174"/>
  <c r="DI16" i="174" s="1"/>
  <c r="BR23" i="174"/>
  <c r="DC34" i="174"/>
  <c r="AB205" i="174"/>
  <c r="AB207" i="174" s="1"/>
  <c r="CN25" i="174"/>
  <c r="DP25" i="174"/>
  <c r="I68" i="174"/>
  <c r="I9" i="174"/>
  <c r="CM130" i="174"/>
  <c r="DI130" i="174" s="1"/>
  <c r="H130" i="174"/>
  <c r="CJ202" i="174"/>
  <c r="CJ67" i="174"/>
  <c r="CI202" i="174"/>
  <c r="CI34" i="174"/>
  <c r="DW203" i="174"/>
  <c r="CM6" i="174"/>
  <c r="DI6" i="174" s="1"/>
  <c r="AU14" i="174"/>
  <c r="BQ14" i="174" s="1"/>
  <c r="DL21" i="174"/>
  <c r="DJ21" i="174" s="1"/>
  <c r="BT21" i="174"/>
  <c r="BR21" i="174" s="1"/>
  <c r="I24" i="174"/>
  <c r="I31" i="174"/>
  <c r="AA34" i="174"/>
  <c r="H60" i="174"/>
  <c r="BR62" i="174"/>
  <c r="AU114" i="174"/>
  <c r="BQ114" i="174" s="1"/>
  <c r="BX11" i="174"/>
  <c r="BR22" i="174"/>
  <c r="CM33" i="174"/>
  <c r="DI33" i="174" s="1"/>
  <c r="H33" i="174"/>
  <c r="I33" i="174" s="1"/>
  <c r="BE197" i="174"/>
  <c r="DY48" i="174"/>
  <c r="CM83" i="174"/>
  <c r="DI83" i="174" s="1"/>
  <c r="H83" i="174"/>
  <c r="I83" i="174" s="1"/>
  <c r="BM206" i="174"/>
  <c r="AV106" i="174"/>
  <c r="CI106" i="174"/>
  <c r="BM129" i="174"/>
  <c r="BM197" i="174" s="1"/>
  <c r="H157" i="174"/>
  <c r="DH200" i="174"/>
  <c r="CN164" i="174"/>
  <c r="CN183" i="174"/>
  <c r="DP183" i="174"/>
  <c r="DJ183" i="174" s="1"/>
  <c r="DO203" i="174"/>
  <c r="AU5" i="174"/>
  <c r="BQ5" i="174" s="1"/>
  <c r="CM11" i="174"/>
  <c r="DI11" i="174" s="1"/>
  <c r="CD201" i="174"/>
  <c r="EA201" i="174"/>
  <c r="DJ76" i="174"/>
  <c r="ED79" i="174"/>
  <c r="DJ79" i="174" s="1"/>
  <c r="CL79" i="174"/>
  <c r="BR79" i="174" s="1"/>
  <c r="CU104" i="174"/>
  <c r="DQ83" i="174"/>
  <c r="DJ83" i="174" s="1"/>
  <c r="CM85" i="174"/>
  <c r="DI85" i="174" s="1"/>
  <c r="EA203" i="174"/>
  <c r="AS203" i="174"/>
  <c r="AS34" i="174"/>
  <c r="Y10" i="174"/>
  <c r="DS203" i="174"/>
  <c r="ED10" i="174"/>
  <c r="DJ10" i="174" s="1"/>
  <c r="DK201" i="174"/>
  <c r="DV201" i="174"/>
  <c r="DP18" i="174"/>
  <c r="BY20" i="174"/>
  <c r="BR20" i="174" s="1"/>
  <c r="DD203" i="174"/>
  <c r="CN22" i="174"/>
  <c r="DZ23" i="174"/>
  <c r="DJ23" i="174" s="1"/>
  <c r="CN23" i="174"/>
  <c r="I29" i="174"/>
  <c r="CM29" i="174"/>
  <c r="DI29" i="174" s="1"/>
  <c r="AU29" i="174"/>
  <c r="BQ29" i="174" s="1"/>
  <c r="AV32" i="174"/>
  <c r="AU32" i="174" s="1"/>
  <c r="BQ32" i="174" s="1"/>
  <c r="CN32" i="174"/>
  <c r="AF34" i="174"/>
  <c r="AN34" i="174"/>
  <c r="DW34" i="174"/>
  <c r="AE202" i="174"/>
  <c r="AE67" i="174"/>
  <c r="BX35" i="174"/>
  <c r="CN37" i="174"/>
  <c r="BK202" i="174"/>
  <c r="BK67" i="174"/>
  <c r="CG39" i="174"/>
  <c r="AV39" i="174"/>
  <c r="BP202" i="174"/>
  <c r="CV202" i="174"/>
  <c r="CV205" i="174" s="1"/>
  <c r="CV207" i="174" s="1"/>
  <c r="CN48" i="174"/>
  <c r="DR48" i="174"/>
  <c r="DL49" i="174"/>
  <c r="DJ49" i="174" s="1"/>
  <c r="DJ53" i="174"/>
  <c r="BI202" i="174"/>
  <c r="CE55" i="174"/>
  <c r="BR55" i="174" s="1"/>
  <c r="BI67" i="174"/>
  <c r="BN67" i="174"/>
  <c r="BN197" i="174" s="1"/>
  <c r="CV67" i="174"/>
  <c r="CV197" i="174" s="1"/>
  <c r="AU68" i="174"/>
  <c r="BQ68" i="174" s="1"/>
  <c r="CN70" i="174"/>
  <c r="DP70" i="174"/>
  <c r="DJ70" i="174" s="1"/>
  <c r="CM80" i="174"/>
  <c r="DI80" i="174" s="1"/>
  <c r="DJ85" i="174"/>
  <c r="DL96" i="174"/>
  <c r="BT96" i="174"/>
  <c r="BR96" i="174" s="1"/>
  <c r="BJ206" i="174"/>
  <c r="BJ129" i="174"/>
  <c r="AV111" i="174"/>
  <c r="AU111" i="174" s="1"/>
  <c r="BQ111" i="174" s="1"/>
  <c r="CF111" i="174"/>
  <c r="DS199" i="174"/>
  <c r="ED199" i="174"/>
  <c r="DJ139" i="174"/>
  <c r="DV203" i="174"/>
  <c r="DV34" i="174"/>
  <c r="BP203" i="174"/>
  <c r="BP34" i="174"/>
  <c r="H26" i="174"/>
  <c r="I26" i="174" s="1"/>
  <c r="CM26" i="174"/>
  <c r="DI26" i="174" s="1"/>
  <c r="BX76" i="174"/>
  <c r="BR76" i="174" s="1"/>
  <c r="AV76" i="174"/>
  <c r="AU76" i="174" s="1"/>
  <c r="BQ76" i="174" s="1"/>
  <c r="DL203" i="174"/>
  <c r="CM21" i="174"/>
  <c r="DI21" i="174" s="1"/>
  <c r="I28" i="174"/>
  <c r="CB202" i="174"/>
  <c r="CB67" i="174"/>
  <c r="CK202" i="174"/>
  <c r="CK67" i="174"/>
  <c r="CF204" i="174"/>
  <c r="CF104" i="174"/>
  <c r="CM86" i="174"/>
  <c r="DI86" i="174" s="1"/>
  <c r="H86" i="174"/>
  <c r="I86" i="174" s="1"/>
  <c r="I88" i="174"/>
  <c r="AU88" i="174"/>
  <c r="BQ88" i="174" s="1"/>
  <c r="CF115" i="174"/>
  <c r="AV115" i="174"/>
  <c r="AE199" i="174"/>
  <c r="AE195" i="174"/>
  <c r="BX132" i="174"/>
  <c r="DP132" i="174"/>
  <c r="DP199" i="174" s="1"/>
  <c r="Y132" i="174"/>
  <c r="BR138" i="174"/>
  <c r="H155" i="174"/>
  <c r="I155" i="174" s="1"/>
  <c r="CM155" i="174"/>
  <c r="DI155" i="174" s="1"/>
  <c r="H166" i="174"/>
  <c r="AU31" i="174"/>
  <c r="BQ31" i="174" s="1"/>
  <c r="CD202" i="174"/>
  <c r="EA202" i="174"/>
  <c r="EA67" i="174"/>
  <c r="BT37" i="174"/>
  <c r="H47" i="174"/>
  <c r="I47" i="174" s="1"/>
  <c r="CM47" i="174"/>
  <c r="DI47" i="174" s="1"/>
  <c r="EA104" i="174"/>
  <c r="H122" i="174"/>
  <c r="DJ127" i="174"/>
  <c r="DN147" i="174"/>
  <c r="CN147" i="174"/>
  <c r="CM153" i="174"/>
  <c r="DI153" i="174" s="1"/>
  <c r="I153" i="174"/>
  <c r="ED164" i="174"/>
  <c r="CC203" i="174"/>
  <c r="CQ202" i="174"/>
  <c r="CQ205" i="174" s="1"/>
  <c r="CQ207" i="174" s="1"/>
  <c r="CQ67" i="174"/>
  <c r="CQ197" i="174" s="1"/>
  <c r="AS202" i="174"/>
  <c r="Y46" i="174"/>
  <c r="AU46" i="174" s="1"/>
  <c r="BQ46" i="174" s="1"/>
  <c r="AS67" i="174"/>
  <c r="CL46" i="174"/>
  <c r="BR46" i="174" s="1"/>
  <c r="ED46" i="174"/>
  <c r="DJ46" i="174" s="1"/>
  <c r="DB202" i="174"/>
  <c r="DB67" i="174"/>
  <c r="BR54" i="174"/>
  <c r="CM62" i="174"/>
  <c r="DI62" i="174" s="1"/>
  <c r="H62" i="174"/>
  <c r="I62" i="174" s="1"/>
  <c r="DP75" i="174"/>
  <c r="DJ75" i="174" s="1"/>
  <c r="BR81" i="174"/>
  <c r="DW200" i="174"/>
  <c r="DB203" i="174"/>
  <c r="CN4" i="174"/>
  <c r="EB203" i="174"/>
  <c r="BR5" i="174"/>
  <c r="DX9" i="174"/>
  <c r="DJ9" i="174" s="1"/>
  <c r="AU4" i="174"/>
  <c r="BQ4" i="174" s="1"/>
  <c r="DJ4" i="174"/>
  <c r="DT203" i="174"/>
  <c r="AM203" i="174"/>
  <c r="DX7" i="174"/>
  <c r="DJ7" i="174" s="1"/>
  <c r="Y8" i="174"/>
  <c r="AU8" i="174" s="1"/>
  <c r="BQ8" i="174" s="1"/>
  <c r="AV9" i="174"/>
  <c r="AU9" i="174" s="1"/>
  <c r="BQ9" i="174" s="1"/>
  <c r="CM9" i="174"/>
  <c r="DI9" i="174" s="1"/>
  <c r="AV10" i="174"/>
  <c r="H11" i="174"/>
  <c r="I11" i="174" s="1"/>
  <c r="AS201" i="174"/>
  <c r="CI201" i="174"/>
  <c r="DW201" i="174"/>
  <c r="CN18" i="174"/>
  <c r="DQ18" i="174"/>
  <c r="DQ201" i="174" s="1"/>
  <c r="AG197" i="174"/>
  <c r="CJ34" i="174"/>
  <c r="DB34" i="174"/>
  <c r="DK34" i="174"/>
  <c r="AF202" i="174"/>
  <c r="BY35" i="174"/>
  <c r="CI67" i="174"/>
  <c r="DM35" i="174"/>
  <c r="CN39" i="174"/>
  <c r="DJ42" i="174"/>
  <c r="AM202" i="174"/>
  <c r="DX47" i="174"/>
  <c r="DX67" i="174" s="1"/>
  <c r="AM67" i="174"/>
  <c r="CW202" i="174"/>
  <c r="CW205" i="174" s="1"/>
  <c r="CW207" i="174" s="1"/>
  <c r="DS48" i="174"/>
  <c r="DS202" i="174" s="1"/>
  <c r="Y49" i="174"/>
  <c r="AV65" i="174"/>
  <c r="AU65" i="174" s="1"/>
  <c r="BQ65" i="174" s="1"/>
  <c r="AN67" i="174"/>
  <c r="AZ67" i="174"/>
  <c r="CW67" i="174"/>
  <c r="BS204" i="174"/>
  <c r="BS104" i="174"/>
  <c r="CD204" i="174"/>
  <c r="CD104" i="174"/>
  <c r="AV70" i="174"/>
  <c r="AU70" i="174" s="1"/>
  <c r="BQ70" i="174" s="1"/>
  <c r="BX70" i="174"/>
  <c r="AV72" i="174"/>
  <c r="AU72" i="174" s="1"/>
  <c r="BQ72" i="174" s="1"/>
  <c r="CL73" i="174"/>
  <c r="BR73" i="174" s="1"/>
  <c r="Y73" i="174"/>
  <c r="ED73" i="174"/>
  <c r="DJ73" i="174" s="1"/>
  <c r="CM75" i="174"/>
  <c r="DI75" i="174" s="1"/>
  <c r="AV93" i="174"/>
  <c r="AU93" i="174" s="1"/>
  <c r="BQ93" i="174" s="1"/>
  <c r="DJ110" i="174"/>
  <c r="DW195" i="174"/>
  <c r="AV131" i="174"/>
  <c r="AU131" i="174" s="1"/>
  <c r="BQ131" i="174" s="1"/>
  <c r="DT199" i="174"/>
  <c r="AZ199" i="174"/>
  <c r="AZ195" i="174"/>
  <c r="BV134" i="174"/>
  <c r="BR134" i="174" s="1"/>
  <c r="DJ138" i="174"/>
  <c r="I14" i="174"/>
  <c r="AV64" i="174"/>
  <c r="AU64" i="174" s="1"/>
  <c r="BQ64" i="174" s="1"/>
  <c r="CG64" i="174"/>
  <c r="DQ84" i="174"/>
  <c r="CN84" i="174"/>
  <c r="CN93" i="174"/>
  <c r="DP93" i="174"/>
  <c r="DJ93" i="174" s="1"/>
  <c r="BS195" i="174"/>
  <c r="CA203" i="174"/>
  <c r="CA34" i="174"/>
  <c r="CM31" i="174"/>
  <c r="DI31" i="174" s="1"/>
  <c r="CM54" i="174"/>
  <c r="DI54" i="174" s="1"/>
  <c r="H54" i="174"/>
  <c r="I54" i="174" s="1"/>
  <c r="DJ63" i="174"/>
  <c r="BT98" i="174"/>
  <c r="BR98" i="174" s="1"/>
  <c r="Y98" i="174"/>
  <c r="DL98" i="174"/>
  <c r="DC206" i="174"/>
  <c r="DY113" i="174"/>
  <c r="DJ113" i="174" s="1"/>
  <c r="CN113" i="174"/>
  <c r="DB206" i="174"/>
  <c r="DB129" i="174"/>
  <c r="DX115" i="174"/>
  <c r="CN115" i="174"/>
  <c r="DN34" i="174"/>
  <c r="AV24" i="174"/>
  <c r="AU24" i="174" s="1"/>
  <c r="BQ24" i="174" s="1"/>
  <c r="BX24" i="174"/>
  <c r="BR24" i="174" s="1"/>
  <c r="CM28" i="174"/>
  <c r="DI28" i="174" s="1"/>
  <c r="DJ32" i="174"/>
  <c r="DQ67" i="174"/>
  <c r="DL45" i="174"/>
  <c r="Y45" i="174"/>
  <c r="AU45" i="174" s="1"/>
  <c r="BQ45" i="174" s="1"/>
  <c r="DJ54" i="174"/>
  <c r="BR93" i="174"/>
  <c r="H108" i="174"/>
  <c r="I108" i="174" s="1"/>
  <c r="BS200" i="174"/>
  <c r="BR4" i="174"/>
  <c r="CF8" i="174"/>
  <c r="BR8" i="174" s="1"/>
  <c r="DP11" i="174"/>
  <c r="DJ11" i="174" s="1"/>
  <c r="CT201" i="174"/>
  <c r="CN201" i="174" s="1"/>
  <c r="BY18" i="174"/>
  <c r="AU28" i="174"/>
  <c r="BQ28" i="174" s="1"/>
  <c r="BF197" i="174"/>
  <c r="CC34" i="174"/>
  <c r="H35" i="174"/>
  <c r="CU202" i="174"/>
  <c r="CU67" i="174"/>
  <c r="CN57" i="174"/>
  <c r="DP57" i="174"/>
  <c r="DJ57" i="174" s="1"/>
  <c r="CL58" i="174"/>
  <c r="Y58" i="174"/>
  <c r="BR83" i="174"/>
  <c r="BX101" i="174"/>
  <c r="DP101" i="174"/>
  <c r="DJ101" i="174" s="1"/>
  <c r="Y101" i="174"/>
  <c r="DP206" i="174"/>
  <c r="DP129" i="174"/>
  <c r="BR107" i="174"/>
  <c r="CR200" i="174"/>
  <c r="DN152" i="174"/>
  <c r="CN152" i="174"/>
  <c r="H162" i="174"/>
  <c r="BS203" i="174"/>
  <c r="BS34" i="174"/>
  <c r="CD203" i="174"/>
  <c r="BB203" i="174"/>
  <c r="AV11" i="174"/>
  <c r="AU11" i="174" s="1"/>
  <c r="BQ11" i="174" s="1"/>
  <c r="BB34" i="174"/>
  <c r="CT203" i="174"/>
  <c r="CE201" i="174"/>
  <c r="BX18" i="174"/>
  <c r="AV18" i="174"/>
  <c r="AU18" i="174" s="1"/>
  <c r="BQ18" i="174" s="1"/>
  <c r="CF31" i="174"/>
  <c r="BR31" i="174" s="1"/>
  <c r="CD34" i="174"/>
  <c r="DT34" i="174"/>
  <c r="AA202" i="174"/>
  <c r="DL35" i="174"/>
  <c r="Y35" i="174"/>
  <c r="CR202" i="174"/>
  <c r="CR67" i="174"/>
  <c r="DT67" i="174"/>
  <c r="CC202" i="174"/>
  <c r="CM41" i="174"/>
  <c r="DI41" i="174" s="1"/>
  <c r="DL44" i="174"/>
  <c r="Y44" i="174"/>
  <c r="AV48" i="174"/>
  <c r="BT48" i="174"/>
  <c r="DA202" i="174"/>
  <c r="DA67" i="174"/>
  <c r="DA197" i="174" s="1"/>
  <c r="DW52" i="174"/>
  <c r="DW67" i="174" s="1"/>
  <c r="ED61" i="174"/>
  <c r="DJ61" i="174" s="1"/>
  <c r="CL61" i="174"/>
  <c r="BR61" i="174" s="1"/>
  <c r="AV62" i="174"/>
  <c r="AU62" i="174" s="1"/>
  <c r="BQ62" i="174" s="1"/>
  <c r="I64" i="174"/>
  <c r="CM79" i="174"/>
  <c r="DI79" i="174" s="1"/>
  <c r="H79" i="174"/>
  <c r="I79" i="174" s="1"/>
  <c r="AL204" i="174"/>
  <c r="DW87" i="174"/>
  <c r="DJ87" i="174" s="1"/>
  <c r="CE87" i="174"/>
  <c r="CE104" i="174" s="1"/>
  <c r="AL104" i="174"/>
  <c r="AL197" i="174" s="1"/>
  <c r="AC204" i="174"/>
  <c r="AC104" i="174"/>
  <c r="DN89" i="174"/>
  <c r="DJ89" i="174" s="1"/>
  <c r="ED103" i="174"/>
  <c r="DJ103" i="174" s="1"/>
  <c r="Y103" i="174"/>
  <c r="AU103" i="174" s="1"/>
  <c r="BQ103" i="174" s="1"/>
  <c r="CL103" i="174"/>
  <c r="BR103" i="174" s="1"/>
  <c r="DC129" i="174"/>
  <c r="CE200" i="174"/>
  <c r="DQ163" i="174"/>
  <c r="DJ163" i="174" s="1"/>
  <c r="BY163" i="174"/>
  <c r="H171" i="174"/>
  <c r="CN178" i="174"/>
  <c r="DZ178" i="174"/>
  <c r="BK195" i="174"/>
  <c r="CG190" i="174"/>
  <c r="CG203" i="174" s="1"/>
  <c r="AV190" i="174"/>
  <c r="AU190" i="174" s="1"/>
  <c r="BQ190" i="174" s="1"/>
  <c r="CH203" i="174"/>
  <c r="CH34" i="174"/>
  <c r="CM8" i="174"/>
  <c r="DI8" i="174" s="1"/>
  <c r="AU19" i="174"/>
  <c r="BQ19" i="174" s="1"/>
  <c r="CU34" i="174"/>
  <c r="BK204" i="174"/>
  <c r="BK104" i="174"/>
  <c r="CG70" i="174"/>
  <c r="CG204" i="174" s="1"/>
  <c r="CT195" i="174"/>
  <c r="DP130" i="174"/>
  <c r="DJ130" i="174" s="1"/>
  <c r="BJ203" i="174"/>
  <c r="BJ34" i="174"/>
  <c r="BZ67" i="174"/>
  <c r="BZ197" i="174" s="1"/>
  <c r="H76" i="174"/>
  <c r="I76" i="174" s="1"/>
  <c r="CB203" i="174"/>
  <c r="AU12" i="174"/>
  <c r="BQ12" i="174" s="1"/>
  <c r="BR32" i="174"/>
  <c r="AO202" i="174"/>
  <c r="CH37" i="174"/>
  <c r="AU57" i="174"/>
  <c r="BQ57" i="174" s="1"/>
  <c r="BL206" i="174"/>
  <c r="BL129" i="174"/>
  <c r="AU21" i="174"/>
  <c r="BQ23" i="174" s="1"/>
  <c r="AU37" i="174"/>
  <c r="BQ37" i="174" s="1"/>
  <c r="DQ203" i="174"/>
  <c r="H8" i="174"/>
  <c r="CF201" i="174"/>
  <c r="DT201" i="174"/>
  <c r="BC201" i="174"/>
  <c r="BC34" i="174"/>
  <c r="AA201" i="174"/>
  <c r="DL19" i="174"/>
  <c r="DJ19" i="174" s="1"/>
  <c r="BT19" i="174"/>
  <c r="I20" i="174"/>
  <c r="CM20" i="174"/>
  <c r="DI20" i="174" s="1"/>
  <c r="DQ20" i="174"/>
  <c r="CM24" i="174"/>
  <c r="DI24" i="174" s="1"/>
  <c r="DC203" i="174"/>
  <c r="DY25" i="174"/>
  <c r="AE34" i="174"/>
  <c r="AM34" i="174"/>
  <c r="AC202" i="174"/>
  <c r="AC67" i="174"/>
  <c r="BS202" i="174"/>
  <c r="BS67" i="174"/>
  <c r="CT67" i="174"/>
  <c r="BB67" i="174"/>
  <c r="CM43" i="174"/>
  <c r="DI43" i="174" s="1"/>
  <c r="CL51" i="174"/>
  <c r="BR51" i="174" s="1"/>
  <c r="CL53" i="174"/>
  <c r="BR53" i="174" s="1"/>
  <c r="Y53" i="174"/>
  <c r="BX56" i="174"/>
  <c r="BR56" i="174" s="1"/>
  <c r="AV56" i="174"/>
  <c r="AU56" i="174" s="1"/>
  <c r="BQ56" i="174" s="1"/>
  <c r="BR57" i="174"/>
  <c r="BV60" i="174"/>
  <c r="BR60" i="174" s="1"/>
  <c r="H63" i="174"/>
  <c r="I63" i="174" s="1"/>
  <c r="AA67" i="174"/>
  <c r="AX67" i="174"/>
  <c r="AX197" i="174" s="1"/>
  <c r="CC67" i="174"/>
  <c r="AS204" i="174"/>
  <c r="AS104" i="174"/>
  <c r="ED68" i="174"/>
  <c r="DJ68" i="174" s="1"/>
  <c r="CL68" i="174"/>
  <c r="BR68" i="174" s="1"/>
  <c r="CM68" i="174"/>
  <c r="DI68" i="174" s="1"/>
  <c r="AE204" i="174"/>
  <c r="AE104" i="174"/>
  <c r="Y69" i="174"/>
  <c r="BX75" i="174"/>
  <c r="BR75" i="174" s="1"/>
  <c r="AV75" i="174"/>
  <c r="AU75" i="174" s="1"/>
  <c r="BQ75" i="174" s="1"/>
  <c r="H82" i="174"/>
  <c r="BR85" i="174"/>
  <c r="CM96" i="174"/>
  <c r="DI96" i="174" s="1"/>
  <c r="AV122" i="174"/>
  <c r="CF122" i="174"/>
  <c r="BR122" i="174" s="1"/>
  <c r="DE129" i="174"/>
  <c r="DE197" i="174" s="1"/>
  <c r="CF200" i="174"/>
  <c r="BV168" i="174"/>
  <c r="DN168" i="174"/>
  <c r="DJ168" i="174" s="1"/>
  <c r="Y168" i="174"/>
  <c r="BR188" i="174"/>
  <c r="CM188" i="174"/>
  <c r="DI188" i="174" s="1"/>
  <c r="H188" i="174"/>
  <c r="I188" i="174" s="1"/>
  <c r="AZ202" i="174"/>
  <c r="CP202" i="174"/>
  <c r="BX37" i="174"/>
  <c r="I38" i="174"/>
  <c r="AU42" i="174"/>
  <c r="BQ42" i="174" s="1"/>
  <c r="DJ55" i="174"/>
  <c r="DN58" i="174"/>
  <c r="DJ58" i="174" s="1"/>
  <c r="CH64" i="174"/>
  <c r="CH65" i="174"/>
  <c r="BR65" i="174" s="1"/>
  <c r="CB204" i="174"/>
  <c r="CB104" i="174"/>
  <c r="DS204" i="174"/>
  <c r="DS104" i="174"/>
  <c r="EB204" i="174"/>
  <c r="EB104" i="174"/>
  <c r="AU77" i="174"/>
  <c r="BQ77" i="174" s="1"/>
  <c r="BC204" i="174"/>
  <c r="BC104" i="174"/>
  <c r="I97" i="174"/>
  <c r="CM97" i="174"/>
  <c r="DI97" i="174" s="1"/>
  <c r="AA206" i="174"/>
  <c r="AA129" i="174"/>
  <c r="DL106" i="174"/>
  <c r="BT106" i="174"/>
  <c r="Y106" i="174"/>
  <c r="CM106" i="174" s="1"/>
  <c r="DI106" i="174" s="1"/>
  <c r="CD206" i="174"/>
  <c r="CD129" i="174"/>
  <c r="DT206" i="174"/>
  <c r="DY124" i="174"/>
  <c r="CN124" i="174"/>
  <c r="CC199" i="174"/>
  <c r="DJ136" i="174"/>
  <c r="CM145" i="174"/>
  <c r="DI145" i="174" s="1"/>
  <c r="H145" i="174"/>
  <c r="BR152" i="174"/>
  <c r="DT200" i="174"/>
  <c r="DN155" i="174"/>
  <c r="DJ155" i="174" s="1"/>
  <c r="BR156" i="174"/>
  <c r="DL200" i="174"/>
  <c r="BL200" i="174"/>
  <c r="CH170" i="174"/>
  <c r="CH200" i="174" s="1"/>
  <c r="AB197" i="174"/>
  <c r="AR197" i="174"/>
  <c r="CY197" i="174"/>
  <c r="DG197" i="174"/>
  <c r="DV202" i="174"/>
  <c r="H36" i="174"/>
  <c r="I36" i="174" s="1"/>
  <c r="BT203" i="174"/>
  <c r="CE203" i="174"/>
  <c r="DH203" i="174"/>
  <c r="AN203" i="174"/>
  <c r="DY16" i="174"/>
  <c r="AN201" i="174"/>
  <c r="BS201" i="174"/>
  <c r="CG17" i="174"/>
  <c r="DS201" i="174"/>
  <c r="EB201" i="174"/>
  <c r="BK203" i="174"/>
  <c r="BK34" i="174"/>
  <c r="DH34" i="174"/>
  <c r="BB202" i="174"/>
  <c r="DW202" i="174"/>
  <c r="DP41" i="174"/>
  <c r="DJ41" i="174" s="1"/>
  <c r="BX41" i="174"/>
  <c r="BR41" i="174" s="1"/>
  <c r="AL202" i="174"/>
  <c r="Y55" i="174"/>
  <c r="I55" i="174" s="1"/>
  <c r="BD67" i="174"/>
  <c r="BD197" i="174" s="1"/>
  <c r="BL67" i="174"/>
  <c r="CC204" i="174"/>
  <c r="CC104" i="174"/>
  <c r="DT204" i="174"/>
  <c r="DT104" i="174"/>
  <c r="DJ69" i="174"/>
  <c r="AV71" i="174"/>
  <c r="BX71" i="174"/>
  <c r="BR71" i="174" s="1"/>
  <c r="AF104" i="174"/>
  <c r="CL82" i="174"/>
  <c r="BR82" i="174" s="1"/>
  <c r="Y82" i="174"/>
  <c r="CM82" i="174" s="1"/>
  <c r="DI82" i="174" s="1"/>
  <c r="BR90" i="174"/>
  <c r="CM91" i="174"/>
  <c r="DI91" i="174" s="1"/>
  <c r="H91" i="174"/>
  <c r="I91" i="174" s="1"/>
  <c r="AU95" i="174"/>
  <c r="BQ95" i="174" s="1"/>
  <c r="DY99" i="174"/>
  <c r="CG99" i="174"/>
  <c r="AA104" i="174"/>
  <c r="DJ109" i="174"/>
  <c r="BR110" i="174"/>
  <c r="DJ112" i="174"/>
  <c r="AV124" i="174"/>
  <c r="AU124" i="174" s="1"/>
  <c r="BQ124" i="174" s="1"/>
  <c r="DJ126" i="174"/>
  <c r="AV127" i="174"/>
  <c r="AU127" i="174" s="1"/>
  <c r="BQ127" i="174" s="1"/>
  <c r="CI127" i="174"/>
  <c r="BR127" i="174" s="1"/>
  <c r="DJ128" i="174"/>
  <c r="BA199" i="174"/>
  <c r="BA205" i="174" s="1"/>
  <c r="BA207" i="174" s="1"/>
  <c r="BA195" i="174"/>
  <c r="BA197" i="174" s="1"/>
  <c r="BW135" i="174"/>
  <c r="BV140" i="174"/>
  <c r="BR140" i="174" s="1"/>
  <c r="DN140" i="174"/>
  <c r="DJ140" i="174" s="1"/>
  <c r="Y140" i="174"/>
  <c r="CM140" i="174" s="1"/>
  <c r="DI140" i="174" s="1"/>
  <c r="DJ145" i="174"/>
  <c r="AD200" i="174"/>
  <c r="AD205" i="174" s="1"/>
  <c r="AD207" i="174" s="1"/>
  <c r="DO157" i="174"/>
  <c r="DO200" i="174" s="1"/>
  <c r="BW157" i="174"/>
  <c r="BW200" i="174" s="1"/>
  <c r="DJ179" i="174"/>
  <c r="CW197" i="174"/>
  <c r="BU202" i="174"/>
  <c r="BU205" i="174" s="1"/>
  <c r="BU207" i="174" s="1"/>
  <c r="CT202" i="174"/>
  <c r="DD202" i="174"/>
  <c r="AN202" i="174"/>
  <c r="Y39" i="174"/>
  <c r="DC202" i="174"/>
  <c r="DC67" i="174"/>
  <c r="BX43" i="174"/>
  <c r="BR43" i="174" s="1"/>
  <c r="BC202" i="174"/>
  <c r="Y48" i="174"/>
  <c r="DY50" i="174"/>
  <c r="CG50" i="174"/>
  <c r="BR50" i="174" s="1"/>
  <c r="I59" i="174"/>
  <c r="CN66" i="174"/>
  <c r="CH204" i="174"/>
  <c r="DZ204" i="174"/>
  <c r="BB204" i="174"/>
  <c r="BB104" i="174"/>
  <c r="AN204" i="174"/>
  <c r="AN104" i="174"/>
  <c r="CN72" i="174"/>
  <c r="H74" i="174"/>
  <c r="I74" i="174" s="1"/>
  <c r="DQ78" i="174"/>
  <c r="Y78" i="174"/>
  <c r="BY78" i="174"/>
  <c r="DM204" i="174"/>
  <c r="AU80" i="174"/>
  <c r="BQ80" i="174" s="1"/>
  <c r="AU85" i="174"/>
  <c r="BQ85" i="174" s="1"/>
  <c r="BI204" i="174"/>
  <c r="AV87" i="174"/>
  <c r="AU87" i="174" s="1"/>
  <c r="BQ87" i="174" s="1"/>
  <c r="BI104" i="174"/>
  <c r="BT88" i="174"/>
  <c r="CM89" i="174"/>
  <c r="DI89" i="174" s="1"/>
  <c r="DP99" i="174"/>
  <c r="H106" i="174"/>
  <c r="EB206" i="174"/>
  <c r="EB129" i="174"/>
  <c r="DH206" i="174"/>
  <c r="DH129" i="174"/>
  <c r="CN109" i="174"/>
  <c r="DJ111" i="174"/>
  <c r="DV199" i="174"/>
  <c r="CN150" i="174"/>
  <c r="CN158" i="174"/>
  <c r="BE205" i="174"/>
  <c r="BE207" i="174" s="1"/>
  <c r="BN205" i="174"/>
  <c r="BN207" i="174" s="1"/>
  <c r="DT202" i="174"/>
  <c r="AX202" i="174"/>
  <c r="AX205" i="174" s="1"/>
  <c r="AX207" i="174" s="1"/>
  <c r="AU43" i="174"/>
  <c r="BQ43" i="174" s="1"/>
  <c r="BJ202" i="174"/>
  <c r="CM61" i="174"/>
  <c r="DI61" i="174" s="1"/>
  <c r="BJ67" i="174"/>
  <c r="EB67" i="174"/>
  <c r="BP204" i="174"/>
  <c r="CA204" i="174"/>
  <c r="CA104" i="174"/>
  <c r="CI203" i="174"/>
  <c r="EA204" i="174"/>
  <c r="DJ77" i="174"/>
  <c r="AV78" i="174"/>
  <c r="BR87" i="174"/>
  <c r="AZ204" i="174"/>
  <c r="AV90" i="174"/>
  <c r="AU90" i="174" s="1"/>
  <c r="BQ90" i="174" s="1"/>
  <c r="AZ104" i="174"/>
  <c r="BY91" i="174"/>
  <c r="BR91" i="174" s="1"/>
  <c r="Y99" i="174"/>
  <c r="CN101" i="174"/>
  <c r="DS206" i="174"/>
  <c r="DS129" i="174"/>
  <c r="AV108" i="174"/>
  <c r="AU108" i="174" s="1"/>
  <c r="BQ108" i="174" s="1"/>
  <c r="CI108" i="174"/>
  <c r="BR108" i="174" s="1"/>
  <c r="DJ108" i="174"/>
  <c r="CB129" i="174"/>
  <c r="AW206" i="174"/>
  <c r="AW129" i="174"/>
  <c r="AW197" i="174" s="1"/>
  <c r="CM114" i="174"/>
  <c r="DI114" i="174" s="1"/>
  <c r="AV118" i="174"/>
  <c r="AU118" i="174" s="1"/>
  <c r="BQ118" i="174" s="1"/>
  <c r="CF118" i="174"/>
  <c r="BR118" i="174" s="1"/>
  <c r="ED129" i="174"/>
  <c r="DS195" i="174"/>
  <c r="DJ131" i="174"/>
  <c r="AU132" i="174"/>
  <c r="BQ132" i="174" s="1"/>
  <c r="CB199" i="174"/>
  <c r="DH199" i="174"/>
  <c r="DH195" i="174"/>
  <c r="CL160" i="174"/>
  <c r="ED160" i="174"/>
  <c r="DJ160" i="174" s="1"/>
  <c r="AS200" i="174"/>
  <c r="Y160" i="174"/>
  <c r="CM160" i="174" s="1"/>
  <c r="DI160" i="174" s="1"/>
  <c r="DJ164" i="174"/>
  <c r="BX170" i="174"/>
  <c r="BX200" i="174" s="1"/>
  <c r="BB200" i="174"/>
  <c r="CM95" i="174"/>
  <c r="DI95" i="174" s="1"/>
  <c r="H95" i="174"/>
  <c r="I95" i="174" s="1"/>
  <c r="BX102" i="174"/>
  <c r="DP102" i="174"/>
  <c r="DJ102" i="174" s="1"/>
  <c r="BV206" i="174"/>
  <c r="BP206" i="174"/>
  <c r="AV109" i="174"/>
  <c r="AU109" i="174" s="1"/>
  <c r="BQ109" i="174" s="1"/>
  <c r="AM129" i="174"/>
  <c r="DN129" i="174"/>
  <c r="CB195" i="174"/>
  <c r="EB195" i="174"/>
  <c r="EA199" i="174"/>
  <c r="DD199" i="174"/>
  <c r="DD195" i="174"/>
  <c r="DZ134" i="174"/>
  <c r="DZ199" i="174" s="1"/>
  <c r="DJ141" i="174"/>
  <c r="BV142" i="174"/>
  <c r="I145" i="174"/>
  <c r="DJ149" i="174"/>
  <c r="AC200" i="174"/>
  <c r="H165" i="174"/>
  <c r="BL202" i="174"/>
  <c r="DH202" i="174"/>
  <c r="DX204" i="174"/>
  <c r="DC204" i="174"/>
  <c r="DC104" i="174"/>
  <c r="DA204" i="174"/>
  <c r="CN87" i="174"/>
  <c r="H89" i="174"/>
  <c r="I89" i="174" s="1"/>
  <c r="BX206" i="174"/>
  <c r="CC206" i="174"/>
  <c r="CC129" i="174"/>
  <c r="CF128" i="174"/>
  <c r="BR128" i="174" s="1"/>
  <c r="BV129" i="174"/>
  <c r="CC195" i="174"/>
  <c r="DT195" i="174"/>
  <c r="AC195" i="174"/>
  <c r="DN132" i="174"/>
  <c r="AC199" i="174"/>
  <c r="DQ199" i="174"/>
  <c r="EB199" i="174"/>
  <c r="BV135" i="174"/>
  <c r="BR135" i="174" s="1"/>
  <c r="DJ143" i="174"/>
  <c r="DJ156" i="174"/>
  <c r="Y157" i="174"/>
  <c r="CM157" i="174" s="1"/>
  <c r="DI157" i="174" s="1"/>
  <c r="DN157" i="174"/>
  <c r="DJ157" i="174" s="1"/>
  <c r="CL164" i="174"/>
  <c r="BR164" i="174" s="1"/>
  <c r="Y166" i="174"/>
  <c r="CM166" i="174" s="1"/>
  <c r="DI166" i="174" s="1"/>
  <c r="BY166" i="174"/>
  <c r="BR166" i="174" s="1"/>
  <c r="CM169" i="174"/>
  <c r="DI169" i="174" s="1"/>
  <c r="H169" i="174"/>
  <c r="BR181" i="174"/>
  <c r="BV194" i="174"/>
  <c r="BR194" i="174" s="1"/>
  <c r="Y194" i="174"/>
  <c r="DN194" i="174"/>
  <c r="DJ194" i="174" s="1"/>
  <c r="CK199" i="174"/>
  <c r="BX89" i="174"/>
  <c r="BR89" i="174" s="1"/>
  <c r="AV89" i="174"/>
  <c r="AU89" i="174" s="1"/>
  <c r="BQ89" i="174" s="1"/>
  <c r="DK206" i="174"/>
  <c r="DV206" i="174"/>
  <c r="CO206" i="174"/>
  <c r="CN112" i="174"/>
  <c r="CD199" i="174"/>
  <c r="BL199" i="174"/>
  <c r="BL195" i="174"/>
  <c r="H140" i="174"/>
  <c r="AN199" i="174"/>
  <c r="AN195" i="174"/>
  <c r="DY147" i="174"/>
  <c r="Y147" i="174"/>
  <c r="AU147" i="174" s="1"/>
  <c r="BQ147" i="174" s="1"/>
  <c r="CG147" i="174"/>
  <c r="CG195" i="174" s="1"/>
  <c r="DX200" i="174"/>
  <c r="H160" i="174"/>
  <c r="DQ167" i="174"/>
  <c r="DJ167" i="174" s="1"/>
  <c r="Y167" i="174"/>
  <c r="I167" i="174" s="1"/>
  <c r="BY167" i="174"/>
  <c r="BR167" i="174" s="1"/>
  <c r="CJ195" i="174"/>
  <c r="AW205" i="174"/>
  <c r="CE204" i="174"/>
  <c r="DH204" i="174"/>
  <c r="DV204" i="174"/>
  <c r="DV104" i="174"/>
  <c r="CT204" i="174"/>
  <c r="CT104" i="174"/>
  <c r="CJ204" i="174"/>
  <c r="CJ104" i="174"/>
  <c r="AF204" i="174"/>
  <c r="AA204" i="174"/>
  <c r="BT78" i="174"/>
  <c r="BR78" i="174" s="1"/>
  <c r="CU204" i="174"/>
  <c r="CM88" i="174"/>
  <c r="DI88" i="174" s="1"/>
  <c r="CN90" i="174"/>
  <c r="BR92" i="174"/>
  <c r="BV102" i="174"/>
  <c r="DW206" i="174"/>
  <c r="AS206" i="174"/>
  <c r="AS129" i="174"/>
  <c r="CL109" i="174"/>
  <c r="CA206" i="174"/>
  <c r="CA129" i="174"/>
  <c r="CL115" i="174"/>
  <c r="Y115" i="174"/>
  <c r="Y122" i="174"/>
  <c r="AU126" i="174"/>
  <c r="BQ126" i="174" s="1"/>
  <c r="BP129" i="174"/>
  <c r="DK129" i="174"/>
  <c r="DV129" i="174"/>
  <c r="EA195" i="174"/>
  <c r="CM131" i="174"/>
  <c r="DI131" i="174" s="1"/>
  <c r="H131" i="174"/>
  <c r="I131" i="174" s="1"/>
  <c r="BT199" i="174"/>
  <c r="CE199" i="174"/>
  <c r="CR199" i="174"/>
  <c r="CR195" i="174"/>
  <c r="DN134" i="174"/>
  <c r="CN134" i="174"/>
  <c r="CS199" i="174"/>
  <c r="CS205" i="174" s="1"/>
  <c r="CS207" i="174" s="1"/>
  <c r="CS195" i="174"/>
  <c r="CS197" i="174" s="1"/>
  <c r="CN135" i="174"/>
  <c r="I143" i="174"/>
  <c r="DJ146" i="174"/>
  <c r="BV148" i="174"/>
  <c r="BR148" i="174" s="1"/>
  <c r="AV148" i="174"/>
  <c r="AU148" i="174" s="1"/>
  <c r="BQ148" i="174" s="1"/>
  <c r="AS195" i="174"/>
  <c r="CL150" i="174"/>
  <c r="BR150" i="174" s="1"/>
  <c r="Y152" i="174"/>
  <c r="AU152" i="174" s="1"/>
  <c r="BQ152" i="174" s="1"/>
  <c r="AN200" i="174"/>
  <c r="DY158" i="174"/>
  <c r="DY200" i="174" s="1"/>
  <c r="Y158" i="174"/>
  <c r="CG158" i="174"/>
  <c r="BR158" i="174" s="1"/>
  <c r="H172" i="174"/>
  <c r="CM172" i="174"/>
  <c r="DI172" i="174" s="1"/>
  <c r="DJ181" i="174"/>
  <c r="BR186" i="174"/>
  <c r="BL201" i="174"/>
  <c r="AV192" i="174"/>
  <c r="AU192" i="174" s="1"/>
  <c r="BQ192" i="174" s="1"/>
  <c r="CH192" i="174"/>
  <c r="BR192" i="174" s="1"/>
  <c r="CM193" i="174"/>
  <c r="DI193" i="174" s="1"/>
  <c r="BB195" i="174"/>
  <c r="DX195" i="174"/>
  <c r="BY199" i="174"/>
  <c r="CM142" i="174"/>
  <c r="DI142" i="174" s="1"/>
  <c r="CC200" i="174"/>
  <c r="AZ200" i="174"/>
  <c r="DJ162" i="174"/>
  <c r="AA200" i="174"/>
  <c r="AA195" i="174"/>
  <c r="BT163" i="174"/>
  <c r="BT200" i="174" s="1"/>
  <c r="Y163" i="174"/>
  <c r="CM163" i="174" s="1"/>
  <c r="DI163" i="174" s="1"/>
  <c r="CL165" i="174"/>
  <c r="BR165" i="174" s="1"/>
  <c r="ED165" i="174"/>
  <c r="DJ165" i="174" s="1"/>
  <c r="CM167" i="174"/>
  <c r="DI167" i="174" s="1"/>
  <c r="DQ171" i="174"/>
  <c r="DJ171" i="174" s="1"/>
  <c r="BY171" i="174"/>
  <c r="CK173" i="174"/>
  <c r="CK195" i="174" s="1"/>
  <c r="BO200" i="174"/>
  <c r="BO205" i="174" s="1"/>
  <c r="BO207" i="174" s="1"/>
  <c r="AU175" i="174"/>
  <c r="BQ175" i="174" s="1"/>
  <c r="CM177" i="174"/>
  <c r="DI177" i="174" s="1"/>
  <c r="CM191" i="174"/>
  <c r="DI191" i="174" s="1"/>
  <c r="H191" i="174"/>
  <c r="I191" i="174" s="1"/>
  <c r="CE206" i="174"/>
  <c r="DE206" i="174"/>
  <c r="DQ206" i="174"/>
  <c r="EA106" i="174"/>
  <c r="CB206" i="174"/>
  <c r="CH124" i="174"/>
  <c r="CH206" i="174" s="1"/>
  <c r="DD129" i="174"/>
  <c r="CA195" i="174"/>
  <c r="CI195" i="174"/>
  <c r="CA199" i="174"/>
  <c r="CI204" i="174"/>
  <c r="DU199" i="174"/>
  <c r="DU205" i="174" s="1"/>
  <c r="DU207" i="174" s="1"/>
  <c r="DU195" i="174"/>
  <c r="DU197" i="174" s="1"/>
  <c r="BV149" i="174"/>
  <c r="BR149" i="174" s="1"/>
  <c r="Y149" i="174"/>
  <c r="CD200" i="174"/>
  <c r="DS200" i="174"/>
  <c r="EB200" i="174"/>
  <c r="DN159" i="174"/>
  <c r="DJ159" i="174" s="1"/>
  <c r="AF200" i="174"/>
  <c r="BY162" i="174"/>
  <c r="AF195" i="174"/>
  <c r="DM200" i="174"/>
  <c r="DM195" i="174"/>
  <c r="BV170" i="174"/>
  <c r="AV170" i="174"/>
  <c r="AU170" i="174" s="1"/>
  <c r="BQ170" i="174" s="1"/>
  <c r="BR173" i="174"/>
  <c r="H177" i="174"/>
  <c r="I177" i="174" s="1"/>
  <c r="AU183" i="174"/>
  <c r="BQ183" i="174" s="1"/>
  <c r="BR189" i="174"/>
  <c r="BR190" i="174"/>
  <c r="CI199" i="174"/>
  <c r="BK206" i="174"/>
  <c r="CG113" i="174"/>
  <c r="BR113" i="174" s="1"/>
  <c r="BW203" i="174"/>
  <c r="CF195" i="174"/>
  <c r="AO199" i="174"/>
  <c r="AO195" i="174"/>
  <c r="BW199" i="174"/>
  <c r="CF199" i="174"/>
  <c r="DW199" i="174"/>
  <c r="Y135" i="174"/>
  <c r="DO135" i="174"/>
  <c r="DO199" i="174" s="1"/>
  <c r="CA200" i="174"/>
  <c r="CI200" i="174"/>
  <c r="BP200" i="174"/>
  <c r="BV161" i="174"/>
  <c r="BR161" i="174" s="1"/>
  <c r="ED169" i="174"/>
  <c r="DJ169" i="174" s="1"/>
  <c r="Y171" i="174"/>
  <c r="CM171" i="174" s="1"/>
  <c r="DI171" i="174" s="1"/>
  <c r="BV176" i="174"/>
  <c r="BR176" i="174" s="1"/>
  <c r="DN176" i="174"/>
  <c r="DJ176" i="174" s="1"/>
  <c r="Y176" i="174"/>
  <c r="I176" i="174" s="1"/>
  <c r="CM179" i="174"/>
  <c r="DI179" i="174" s="1"/>
  <c r="H179" i="174"/>
  <c r="I179" i="174" s="1"/>
  <c r="DJ190" i="174"/>
  <c r="DP191" i="174"/>
  <c r="DJ191" i="174" s="1"/>
  <c r="BX191" i="174"/>
  <c r="BR191" i="174" s="1"/>
  <c r="BH195" i="174"/>
  <c r="BH197" i="174" s="1"/>
  <c r="BY206" i="174"/>
  <c r="DN206" i="174"/>
  <c r="DZ124" i="174"/>
  <c r="DZ206" i="174" s="1"/>
  <c r="AV130" i="174"/>
  <c r="BX130" i="174"/>
  <c r="BR130" i="174" s="1"/>
  <c r="DX199" i="174"/>
  <c r="Y137" i="174"/>
  <c r="I137" i="174" s="1"/>
  <c r="Y139" i="174"/>
  <c r="AU139" i="174" s="1"/>
  <c r="BQ139" i="174" s="1"/>
  <c r="Y144" i="174"/>
  <c r="AU144" i="174" s="1"/>
  <c r="BQ144" i="174" s="1"/>
  <c r="CB200" i="174"/>
  <c r="AV153" i="174"/>
  <c r="AU153" i="174" s="1"/>
  <c r="BQ153" i="174" s="1"/>
  <c r="CZ200" i="174"/>
  <c r="CZ205" i="174" s="1"/>
  <c r="CZ207" i="174" s="1"/>
  <c r="CZ195" i="174"/>
  <c r="CZ197" i="174" s="1"/>
  <c r="DV153" i="174"/>
  <c r="CM154" i="174"/>
  <c r="DI154" i="174" s="1"/>
  <c r="EC195" i="174"/>
  <c r="EC197" i="174" s="1"/>
  <c r="EC200" i="174"/>
  <c r="Y156" i="174"/>
  <c r="I156" i="174" s="1"/>
  <c r="Y159" i="174"/>
  <c r="I159" i="174" s="1"/>
  <c r="Y162" i="174"/>
  <c r="BV162" i="174"/>
  <c r="BR162" i="174" s="1"/>
  <c r="H163" i="174"/>
  <c r="Y165" i="174"/>
  <c r="I169" i="174"/>
  <c r="AV173" i="174"/>
  <c r="AU173" i="174" s="1"/>
  <c r="BQ173" i="174" s="1"/>
  <c r="DJ173" i="174"/>
  <c r="DN175" i="174"/>
  <c r="DJ175" i="174" s="1"/>
  <c r="BV175" i="174"/>
  <c r="BR175" i="174" s="1"/>
  <c r="EC203" i="174"/>
  <c r="AV185" i="174"/>
  <c r="AU185" i="174" s="1"/>
  <c r="BQ185" i="174" s="1"/>
  <c r="BX185" i="174"/>
  <c r="BR185" i="174" s="1"/>
  <c r="DJ187" i="174"/>
  <c r="AU191" i="174"/>
  <c r="BQ191" i="174" s="1"/>
  <c r="Y181" i="174"/>
  <c r="CM181" i="174" s="1"/>
  <c r="DI181" i="174" s="1"/>
  <c r="BV182" i="174"/>
  <c r="BR182" i="174" s="1"/>
  <c r="Y182" i="174"/>
  <c r="CM182" i="174" s="1"/>
  <c r="DI182" i="174" s="1"/>
  <c r="DN182" i="174"/>
  <c r="DJ182" i="174" s="1"/>
  <c r="BV184" i="174"/>
  <c r="BR184" i="174" s="1"/>
  <c r="Y184" i="174"/>
  <c r="DJ186" i="174"/>
  <c r="I192" i="174"/>
  <c r="AU194" i="174"/>
  <c r="BQ194" i="174" s="1"/>
  <c r="CY205" i="174"/>
  <c r="CY207" i="174" s="1"/>
  <c r="CL168" i="174"/>
  <c r="CT200" i="174"/>
  <c r="DP170" i="174"/>
  <c r="DP200" i="174" s="1"/>
  <c r="BV180" i="174"/>
  <c r="BR180" i="174" s="1"/>
  <c r="Y180" i="174"/>
  <c r="DN180" i="174"/>
  <c r="DJ180" i="174" s="1"/>
  <c r="CM190" i="174"/>
  <c r="DI190" i="174" s="1"/>
  <c r="H190" i="174"/>
  <c r="I190" i="174" s="1"/>
  <c r="DJ192" i="174"/>
  <c r="AP205" i="174"/>
  <c r="AP207" i="174" s="1"/>
  <c r="DD200" i="174"/>
  <c r="DZ170" i="174"/>
  <c r="DZ200" i="174" s="1"/>
  <c r="BR172" i="174"/>
  <c r="ED193" i="174"/>
  <c r="DJ193" i="174" s="1"/>
  <c r="CL193" i="174"/>
  <c r="CL201" i="174" s="1"/>
  <c r="BG205" i="174"/>
  <c r="BG207" i="174" s="1"/>
  <c r="DE205" i="174"/>
  <c r="AG205" i="174"/>
  <c r="AG207" i="174" s="1"/>
  <c r="AY205" i="174"/>
  <c r="AY207" i="174" s="1"/>
  <c r="DF205" i="174"/>
  <c r="DF207" i="174" s="1"/>
  <c r="AH205" i="174"/>
  <c r="AH207" i="174" s="1"/>
  <c r="CO205" i="174"/>
  <c r="DG205" i="174"/>
  <c r="DG207" i="174" s="1"/>
  <c r="BD205" i="174"/>
  <c r="BD207" i="174" s="1"/>
  <c r="I92" i="174" l="1"/>
  <c r="DJ20" i="174"/>
  <c r="DJ44" i="174"/>
  <c r="BR101" i="174"/>
  <c r="DJ115" i="174"/>
  <c r="CA202" i="174"/>
  <c r="CA205" i="174" s="1"/>
  <c r="CA207" i="174" s="1"/>
  <c r="CM27" i="174"/>
  <c r="DI27" i="174" s="1"/>
  <c r="I81" i="174"/>
  <c r="AU150" i="174"/>
  <c r="BQ150" i="174" s="1"/>
  <c r="DL195" i="174"/>
  <c r="Y201" i="174"/>
  <c r="DJ178" i="174"/>
  <c r="AU92" i="174"/>
  <c r="BQ92" i="174" s="1"/>
  <c r="CM170" i="174"/>
  <c r="DI170" i="174" s="1"/>
  <c r="BW195" i="174"/>
  <c r="BW197" i="174" s="1"/>
  <c r="I172" i="174"/>
  <c r="DZ67" i="174"/>
  <c r="CM19" i="174"/>
  <c r="DI19" i="174" s="1"/>
  <c r="CM65" i="174"/>
  <c r="DI65" i="174" s="1"/>
  <c r="ED34" i="174"/>
  <c r="DQ202" i="174"/>
  <c r="CF67" i="174"/>
  <c r="CM111" i="174"/>
  <c r="DI111" i="174" s="1"/>
  <c r="DY204" i="174"/>
  <c r="DJ124" i="174"/>
  <c r="DZ202" i="174"/>
  <c r="DJ39" i="174"/>
  <c r="I162" i="174"/>
  <c r="BR171" i="174"/>
  <c r="AU162" i="174"/>
  <c r="BQ162" i="174" s="1"/>
  <c r="CN17" i="174"/>
  <c r="CN34" i="174" s="1"/>
  <c r="DP17" i="174"/>
  <c r="DY195" i="174"/>
  <c r="AU71" i="174"/>
  <c r="BQ71" i="174" s="1"/>
  <c r="CM159" i="174"/>
  <c r="DI159" i="174" s="1"/>
  <c r="DJ45" i="174"/>
  <c r="DJ98" i="174"/>
  <c r="DJ84" i="174"/>
  <c r="AU115" i="174"/>
  <c r="BQ115" i="174" s="1"/>
  <c r="DW104" i="174"/>
  <c r="DW197" i="174" s="1"/>
  <c r="BX34" i="174"/>
  <c r="CT34" i="174"/>
  <c r="BR153" i="174"/>
  <c r="CL129" i="174"/>
  <c r="DJ99" i="174"/>
  <c r="AU55" i="174"/>
  <c r="BQ55" i="174" s="1"/>
  <c r="CM42" i="174"/>
  <c r="DI42" i="174" s="1"/>
  <c r="H42" i="174"/>
  <c r="I42" i="174" s="1"/>
  <c r="AO197" i="174"/>
  <c r="DJ158" i="174"/>
  <c r="BR48" i="174"/>
  <c r="H127" i="174"/>
  <c r="I127" i="174" s="1"/>
  <c r="I60" i="174"/>
  <c r="AU60" i="174"/>
  <c r="BQ60" i="174" s="1"/>
  <c r="BR157" i="174"/>
  <c r="BR45" i="174"/>
  <c r="DJ50" i="174"/>
  <c r="BY204" i="174"/>
  <c r="CG201" i="174"/>
  <c r="CM168" i="174"/>
  <c r="DI168" i="174" s="1"/>
  <c r="CF202" i="174"/>
  <c r="BR58" i="174"/>
  <c r="AU10" i="174"/>
  <c r="BQ10" i="174" s="1"/>
  <c r="CM192" i="174"/>
  <c r="DI192" i="174" s="1"/>
  <c r="DY104" i="174"/>
  <c r="AM205" i="174"/>
  <c r="AM207" i="174" s="1"/>
  <c r="BR99" i="174"/>
  <c r="BR19" i="174"/>
  <c r="AU35" i="174"/>
  <c r="BQ35" i="174" s="1"/>
  <c r="Y67" i="174"/>
  <c r="BX201" i="174"/>
  <c r="Y34" i="174"/>
  <c r="AU39" i="174"/>
  <c r="BQ39" i="174" s="1"/>
  <c r="I71" i="174"/>
  <c r="BR193" i="174"/>
  <c r="CL200" i="174"/>
  <c r="CR197" i="174"/>
  <c r="BK197" i="174"/>
  <c r="BV202" i="174"/>
  <c r="CL203" i="174"/>
  <c r="BT202" i="174"/>
  <c r="CL34" i="174"/>
  <c r="BS206" i="174"/>
  <c r="BR88" i="174"/>
  <c r="BR112" i="174"/>
  <c r="CH202" i="174"/>
  <c r="AZ197" i="174"/>
  <c r="DJ153" i="174"/>
  <c r="DC197" i="174"/>
  <c r="CF129" i="174"/>
  <c r="BI197" i="174"/>
  <c r="CJ205" i="174"/>
  <c r="CJ207" i="174" s="1"/>
  <c r="BK205" i="174"/>
  <c r="BK207" i="174" s="1"/>
  <c r="BI205" i="174"/>
  <c r="BI207" i="174" s="1"/>
  <c r="BT195" i="174"/>
  <c r="Y195" i="174"/>
  <c r="DV195" i="174"/>
  <c r="ED201" i="174"/>
  <c r="CT205" i="174"/>
  <c r="CT207" i="174" s="1"/>
  <c r="BY195" i="174"/>
  <c r="DY199" i="174"/>
  <c r="BV199" i="174"/>
  <c r="AU156" i="174"/>
  <c r="BQ156" i="174" s="1"/>
  <c r="DN203" i="174"/>
  <c r="BR147" i="174"/>
  <c r="DZ203" i="174"/>
  <c r="DZ205" i="174" s="1"/>
  <c r="DZ207" i="174" s="1"/>
  <c r="BR168" i="174"/>
  <c r="DV200" i="174"/>
  <c r="DV205" i="174" s="1"/>
  <c r="DV207" i="174" s="1"/>
  <c r="CG199" i="174"/>
  <c r="AU159" i="174"/>
  <c r="BQ159" i="174" s="1"/>
  <c r="AU135" i="174"/>
  <c r="BQ135" i="174" s="1"/>
  <c r="BR163" i="174"/>
  <c r="BC205" i="174"/>
  <c r="BC207" i="174" s="1"/>
  <c r="BR160" i="174"/>
  <c r="DD197" i="174"/>
  <c r="BL197" i="174"/>
  <c r="AU168" i="174"/>
  <c r="BQ168" i="174" s="1"/>
  <c r="CK200" i="174"/>
  <c r="CK205" i="174" s="1"/>
  <c r="CK207" i="174" s="1"/>
  <c r="AV201" i="174"/>
  <c r="AU201" i="174" s="1"/>
  <c r="BQ201" i="174" s="1"/>
  <c r="AC197" i="174"/>
  <c r="I122" i="174"/>
  <c r="BR115" i="174"/>
  <c r="DX206" i="174"/>
  <c r="DX129" i="174"/>
  <c r="AM197" i="174"/>
  <c r="BR111" i="174"/>
  <c r="BR124" i="174"/>
  <c r="DA205" i="174"/>
  <c r="DA207" i="174" s="1"/>
  <c r="AL205" i="174"/>
  <c r="AL207" i="174" s="1"/>
  <c r="CN203" i="174"/>
  <c r="DQ204" i="174"/>
  <c r="DP204" i="174"/>
  <c r="DP104" i="174"/>
  <c r="BJ205" i="174"/>
  <c r="BJ207" i="174" s="1"/>
  <c r="DW204" i="174"/>
  <c r="DW205" i="174" s="1"/>
  <c r="DW207" i="174" s="1"/>
  <c r="BY104" i="174"/>
  <c r="DC205" i="174"/>
  <c r="DC207" i="174" s="1"/>
  <c r="AE197" i="174"/>
  <c r="CO207" i="174"/>
  <c r="AF205" i="174"/>
  <c r="AF207" i="174" s="1"/>
  <c r="BJ197" i="174"/>
  <c r="CU205" i="174"/>
  <c r="CU207" i="174" s="1"/>
  <c r="BP205" i="174"/>
  <c r="BP207" i="174" s="1"/>
  <c r="BR64" i="174"/>
  <c r="DB205" i="174"/>
  <c r="DB207" i="174" s="1"/>
  <c r="AS197" i="174"/>
  <c r="BV67" i="174"/>
  <c r="ED202" i="174"/>
  <c r="CN202" i="174"/>
  <c r="DS67" i="174"/>
  <c r="DS197" i="174" s="1"/>
  <c r="CH67" i="174"/>
  <c r="CM55" i="174"/>
  <c r="DI55" i="174" s="1"/>
  <c r="BM207" i="174"/>
  <c r="CL67" i="174"/>
  <c r="DJ48" i="174"/>
  <c r="DO205" i="174"/>
  <c r="DO207" i="174" s="1"/>
  <c r="CL202" i="174"/>
  <c r="DP202" i="174"/>
  <c r="AV202" i="174"/>
  <c r="DP203" i="174"/>
  <c r="DE207" i="174"/>
  <c r="DX203" i="174"/>
  <c r="CM201" i="174"/>
  <c r="DI201" i="174" s="1"/>
  <c r="DK205" i="174"/>
  <c r="DK207" i="174" s="1"/>
  <c r="CG34" i="174"/>
  <c r="CN200" i="174"/>
  <c r="AW207" i="174"/>
  <c r="AN205" i="174"/>
  <c r="AN207" i="174" s="1"/>
  <c r="EA205" i="174"/>
  <c r="CF34" i="174"/>
  <c r="ED203" i="174"/>
  <c r="DJ25" i="174"/>
  <c r="CK197" i="174"/>
  <c r="AA205" i="174"/>
  <c r="AA207" i="174" s="1"/>
  <c r="CN204" i="174"/>
  <c r="CB197" i="174"/>
  <c r="AV204" i="174"/>
  <c r="BL205" i="174"/>
  <c r="BL207" i="174" s="1"/>
  <c r="AS205" i="174"/>
  <c r="AS207" i="174" s="1"/>
  <c r="EB197" i="174"/>
  <c r="EC205" i="174"/>
  <c r="EC207" i="174" s="1"/>
  <c r="EC208" i="174" s="1"/>
  <c r="AV200" i="174"/>
  <c r="DY203" i="174"/>
  <c r="DU208" i="174"/>
  <c r="BY34" i="174"/>
  <c r="DL34" i="174"/>
  <c r="DN199" i="174"/>
  <c r="DJ132" i="174"/>
  <c r="AV206" i="174"/>
  <c r="CM158" i="174"/>
  <c r="DI158" i="174" s="1"/>
  <c r="H158" i="174"/>
  <c r="I158" i="174" s="1"/>
  <c r="CM78" i="174"/>
  <c r="DI78" i="174" s="1"/>
  <c r="I78" i="174"/>
  <c r="CM113" i="174"/>
  <c r="DI113" i="174" s="1"/>
  <c r="H113" i="174"/>
  <c r="I113" i="174" s="1"/>
  <c r="DJ147" i="174"/>
  <c r="H164" i="174"/>
  <c r="I164" i="174" s="1"/>
  <c r="CM164" i="174"/>
  <c r="DI164" i="174" s="1"/>
  <c r="AA197" i="174"/>
  <c r="CM90" i="174"/>
  <c r="DI90" i="174" s="1"/>
  <c r="H90" i="174"/>
  <c r="I90" i="174" s="1"/>
  <c r="BR109" i="174"/>
  <c r="BT67" i="174"/>
  <c r="CD205" i="174"/>
  <c r="CD207" i="174" s="1"/>
  <c r="CL206" i="174"/>
  <c r="CN104" i="174"/>
  <c r="I53" i="174"/>
  <c r="CM53" i="174"/>
  <c r="DI53" i="174" s="1"/>
  <c r="BT204" i="174"/>
  <c r="DT205" i="174"/>
  <c r="DT207" i="174" s="1"/>
  <c r="DB197" i="174"/>
  <c r="CM23" i="174"/>
  <c r="DI23" i="174" s="1"/>
  <c r="H23" i="174"/>
  <c r="I23" i="174" s="1"/>
  <c r="H134" i="174"/>
  <c r="CM134" i="174"/>
  <c r="DI134" i="174" s="1"/>
  <c r="I166" i="174"/>
  <c r="AU166" i="174"/>
  <c r="BQ166" i="174" s="1"/>
  <c r="DH197" i="174"/>
  <c r="CM39" i="174"/>
  <c r="DI39" i="174" s="1"/>
  <c r="H39" i="174"/>
  <c r="I39" i="174" s="1"/>
  <c r="I171" i="174"/>
  <c r="AU171" i="174"/>
  <c r="BQ171" i="174" s="1"/>
  <c r="AO205" i="174"/>
  <c r="AO207" i="174" s="1"/>
  <c r="DO195" i="174"/>
  <c r="DO197" i="174" s="1"/>
  <c r="CR205" i="174"/>
  <c r="CR207" i="174" s="1"/>
  <c r="H112" i="174"/>
  <c r="I112" i="174" s="1"/>
  <c r="CM112" i="174"/>
  <c r="DI112" i="174" s="1"/>
  <c r="DJ170" i="174"/>
  <c r="I157" i="174"/>
  <c r="AU157" i="174"/>
  <c r="BQ157" i="174" s="1"/>
  <c r="I160" i="174"/>
  <c r="AU160" i="174"/>
  <c r="BQ160" i="174" s="1"/>
  <c r="CL199" i="174"/>
  <c r="DJ52" i="174"/>
  <c r="I82" i="174"/>
  <c r="CM124" i="174"/>
  <c r="DI124" i="174" s="1"/>
  <c r="H124" i="174"/>
  <c r="I124" i="174" s="1"/>
  <c r="BT206" i="174"/>
  <c r="BT129" i="174"/>
  <c r="BR106" i="174"/>
  <c r="AU122" i="174"/>
  <c r="BQ122" i="174" s="1"/>
  <c r="I69" i="174"/>
  <c r="CM69" i="174"/>
  <c r="DI69" i="174" s="1"/>
  <c r="AU69" i="174"/>
  <c r="BQ69" i="174" s="1"/>
  <c r="BC197" i="174"/>
  <c r="CG104" i="174"/>
  <c r="BV200" i="174"/>
  <c r="AU48" i="174"/>
  <c r="BQ48" i="174" s="1"/>
  <c r="AU101" i="174"/>
  <c r="BQ101" i="174" s="1"/>
  <c r="CC197" i="174"/>
  <c r="DY34" i="174"/>
  <c r="CA197" i="174"/>
  <c r="CM84" i="174"/>
  <c r="DI84" i="174" s="1"/>
  <c r="H84" i="174"/>
  <c r="I84" i="174" s="1"/>
  <c r="BR70" i="174"/>
  <c r="BX203" i="174"/>
  <c r="CF206" i="174"/>
  <c r="BX199" i="174"/>
  <c r="BR132" i="174"/>
  <c r="BP197" i="174"/>
  <c r="DS205" i="174"/>
  <c r="DS207" i="174" s="1"/>
  <c r="H70" i="174"/>
  <c r="CM70" i="174"/>
  <c r="DI70" i="174" s="1"/>
  <c r="DR202" i="174"/>
  <c r="DR205" i="174" s="1"/>
  <c r="DR207" i="174" s="1"/>
  <c r="DR67" i="174"/>
  <c r="DR197" i="174" s="1"/>
  <c r="H37" i="174"/>
  <c r="I37" i="174" s="1"/>
  <c r="CM37" i="174"/>
  <c r="DI37" i="174" s="1"/>
  <c r="Y203" i="174"/>
  <c r="H183" i="174"/>
  <c r="I183" i="174" s="1"/>
  <c r="CM183" i="174"/>
  <c r="DI183" i="174" s="1"/>
  <c r="AV129" i="174"/>
  <c r="AU106" i="174"/>
  <c r="BQ106" i="174" s="1"/>
  <c r="AU82" i="174"/>
  <c r="BQ82" i="174" s="1"/>
  <c r="CF203" i="174"/>
  <c r="BT34" i="174"/>
  <c r="DJ16" i="174"/>
  <c r="I180" i="174"/>
  <c r="AU180" i="174"/>
  <c r="BQ180" i="174" s="1"/>
  <c r="I182" i="174"/>
  <c r="AU182" i="174"/>
  <c r="BQ182" i="174" s="1"/>
  <c r="CM149" i="174"/>
  <c r="DI149" i="174" s="1"/>
  <c r="I149" i="174"/>
  <c r="CM135" i="174"/>
  <c r="DI135" i="174" s="1"/>
  <c r="H135" i="174"/>
  <c r="I135" i="174" s="1"/>
  <c r="DN204" i="174"/>
  <c r="DV197" i="174"/>
  <c r="AZ205" i="174"/>
  <c r="AZ207" i="174" s="1"/>
  <c r="DJ135" i="174"/>
  <c r="BR37" i="174"/>
  <c r="AV34" i="174"/>
  <c r="I181" i="174"/>
  <c r="AU181" i="174"/>
  <c r="BQ181" i="174" s="1"/>
  <c r="I165" i="174"/>
  <c r="AU165" i="174"/>
  <c r="BQ165" i="174" s="1"/>
  <c r="BX195" i="174"/>
  <c r="BB205" i="174"/>
  <c r="BB207" i="174" s="1"/>
  <c r="CM99" i="174"/>
  <c r="DI99" i="174" s="1"/>
  <c r="I99" i="174"/>
  <c r="AU78" i="174"/>
  <c r="BQ78" i="174" s="1"/>
  <c r="CH201" i="174"/>
  <c r="DY67" i="174"/>
  <c r="CM176" i="174"/>
  <c r="DZ195" i="174"/>
  <c r="BX204" i="174"/>
  <c r="CM165" i="174"/>
  <c r="DI165" i="174" s="1"/>
  <c r="CL195" i="174"/>
  <c r="CN129" i="174"/>
  <c r="CM72" i="174"/>
  <c r="DI72" i="174" s="1"/>
  <c r="H72" i="174"/>
  <c r="I72" i="174" s="1"/>
  <c r="CL204" i="174"/>
  <c r="CL104" i="174"/>
  <c r="BS197" i="174"/>
  <c r="CE67" i="174"/>
  <c r="CE197" i="174" s="1"/>
  <c r="BS205" i="174"/>
  <c r="BS207" i="174" s="1"/>
  <c r="Y200" i="174"/>
  <c r="AU137" i="174"/>
  <c r="BQ137" i="174" s="1"/>
  <c r="BR102" i="174"/>
  <c r="AV199" i="174"/>
  <c r="CN206" i="174"/>
  <c r="AC205" i="174"/>
  <c r="AC207" i="174" s="1"/>
  <c r="DY202" i="174"/>
  <c r="DD205" i="174"/>
  <c r="DD207" i="174" s="1"/>
  <c r="CB205" i="174"/>
  <c r="CB207" i="174" s="1"/>
  <c r="CM137" i="174"/>
  <c r="DI137" i="174" s="1"/>
  <c r="ED200" i="174"/>
  <c r="DL206" i="174"/>
  <c r="DL129" i="174"/>
  <c r="DJ106" i="174"/>
  <c r="I168" i="174"/>
  <c r="DQ34" i="174"/>
  <c r="DQ104" i="174"/>
  <c r="DX34" i="174"/>
  <c r="CM178" i="174"/>
  <c r="DI178" i="174" s="1"/>
  <c r="H178" i="174"/>
  <c r="I178" i="174" s="1"/>
  <c r="I44" i="174"/>
  <c r="CM44" i="174"/>
  <c r="DI44" i="174" s="1"/>
  <c r="AU44" i="174"/>
  <c r="BQ44" i="174" s="1"/>
  <c r="BB197" i="174"/>
  <c r="CM152" i="174"/>
  <c r="DI152" i="174" s="1"/>
  <c r="H152" i="174"/>
  <c r="I45" i="174"/>
  <c r="CM45" i="174"/>
  <c r="DI45" i="174" s="1"/>
  <c r="BY202" i="174"/>
  <c r="BY67" i="174"/>
  <c r="BT201" i="174"/>
  <c r="H147" i="174"/>
  <c r="CM147" i="174"/>
  <c r="DI147" i="174" s="1"/>
  <c r="AV67" i="174"/>
  <c r="DJ96" i="174"/>
  <c r="DL104" i="174"/>
  <c r="CM48" i="174"/>
  <c r="DI48" i="174" s="1"/>
  <c r="H48" i="174"/>
  <c r="I48" i="174" s="1"/>
  <c r="DJ18" i="174"/>
  <c r="I10" i="174"/>
  <c r="CM10" i="174"/>
  <c r="DI10" i="174" s="1"/>
  <c r="DN202" i="174"/>
  <c r="CT197" i="174"/>
  <c r="CG129" i="174"/>
  <c r="DY129" i="174"/>
  <c r="BT104" i="174"/>
  <c r="Y202" i="174"/>
  <c r="I35" i="174"/>
  <c r="CM35" i="174"/>
  <c r="DI35" i="174" s="1"/>
  <c r="CM180" i="174"/>
  <c r="DI180" i="174" s="1"/>
  <c r="CG206" i="174"/>
  <c r="I194" i="174"/>
  <c r="CM194" i="174"/>
  <c r="DI194" i="174" s="1"/>
  <c r="ED195" i="174"/>
  <c r="DJ78" i="174"/>
  <c r="I130" i="174"/>
  <c r="CM25" i="174"/>
  <c r="DI25" i="174" s="1"/>
  <c r="H25" i="174"/>
  <c r="I25" i="174" s="1"/>
  <c r="DQ200" i="174"/>
  <c r="AU158" i="174"/>
  <c r="BQ158" i="174" s="1"/>
  <c r="BV195" i="174"/>
  <c r="I73" i="174"/>
  <c r="CM73" i="174"/>
  <c r="DI73" i="174" s="1"/>
  <c r="CJ197" i="174"/>
  <c r="CM18" i="174"/>
  <c r="DI18" i="174" s="1"/>
  <c r="H18" i="174"/>
  <c r="BV203" i="174"/>
  <c r="DL204" i="174"/>
  <c r="CM122" i="174"/>
  <c r="DI122" i="174" s="1"/>
  <c r="AU149" i="174"/>
  <c r="BQ149" i="174" s="1"/>
  <c r="AV104" i="174"/>
  <c r="CG67" i="174"/>
  <c r="BX202" i="174"/>
  <c r="BX67" i="174"/>
  <c r="AN197" i="174"/>
  <c r="DJ47" i="174"/>
  <c r="BX104" i="174"/>
  <c r="DZ34" i="174"/>
  <c r="CG200" i="174"/>
  <c r="CM139" i="174"/>
  <c r="DI139" i="174" s="1"/>
  <c r="I139" i="174"/>
  <c r="BW205" i="174"/>
  <c r="BW207" i="174" s="1"/>
  <c r="CI205" i="174"/>
  <c r="EA206" i="174"/>
  <c r="EA129" i="174"/>
  <c r="EA197" i="174" s="1"/>
  <c r="DN195" i="174"/>
  <c r="DJ134" i="174"/>
  <c r="CH129" i="174"/>
  <c r="BR142" i="174"/>
  <c r="CH195" i="174"/>
  <c r="AU99" i="174"/>
  <c r="BQ99" i="174" s="1"/>
  <c r="AU167" i="174"/>
  <c r="BQ167" i="174" s="1"/>
  <c r="DH205" i="174"/>
  <c r="DH207" i="174" s="1"/>
  <c r="CM150" i="174"/>
  <c r="DI150" i="174" s="1"/>
  <c r="H150" i="174"/>
  <c r="I150" i="174" s="1"/>
  <c r="CM109" i="174"/>
  <c r="DI109" i="174" s="1"/>
  <c r="H109" i="174"/>
  <c r="I109" i="174" s="1"/>
  <c r="H66" i="174"/>
  <c r="I66" i="174" s="1"/>
  <c r="CM66" i="174"/>
  <c r="DI66" i="174" s="1"/>
  <c r="ED204" i="174"/>
  <c r="ED104" i="174"/>
  <c r="BR17" i="174"/>
  <c r="BV104" i="174"/>
  <c r="DP195" i="174"/>
  <c r="CU197" i="174"/>
  <c r="ED67" i="174"/>
  <c r="DT197" i="174"/>
  <c r="CE202" i="174"/>
  <c r="CE205" i="174" s="1"/>
  <c r="CE207" i="174" s="1"/>
  <c r="H115" i="174"/>
  <c r="I115" i="174" s="1"/>
  <c r="CM115" i="174"/>
  <c r="DI115" i="174" s="1"/>
  <c r="I98" i="174"/>
  <c r="CM98" i="174"/>
  <c r="DI98" i="174" s="1"/>
  <c r="AU98" i="174"/>
  <c r="BQ98" i="174" s="1"/>
  <c r="BY200" i="174"/>
  <c r="I49" i="174"/>
  <c r="CM49" i="174"/>
  <c r="DI49" i="174" s="1"/>
  <c r="AU49" i="174"/>
  <c r="BQ49" i="174" s="1"/>
  <c r="DX202" i="174"/>
  <c r="H4" i="174"/>
  <c r="CM4" i="174"/>
  <c r="DI4" i="174" s="1"/>
  <c r="Y199" i="174"/>
  <c r="I132" i="174"/>
  <c r="CM132" i="174"/>
  <c r="DI132" i="174" s="1"/>
  <c r="AU73" i="174"/>
  <c r="BQ73" i="174" s="1"/>
  <c r="AU53" i="174"/>
  <c r="BQ53" i="174" s="1"/>
  <c r="AF197" i="174"/>
  <c r="H22" i="174"/>
  <c r="I22" i="174" s="1"/>
  <c r="CM22" i="174"/>
  <c r="DI22" i="174" s="1"/>
  <c r="DZ129" i="174"/>
  <c r="DP67" i="174"/>
  <c r="CN195" i="174"/>
  <c r="CM195" i="174" s="1"/>
  <c r="DI195" i="174" s="1"/>
  <c r="CN67" i="174"/>
  <c r="Y104" i="174"/>
  <c r="BR18" i="174"/>
  <c r="DN200" i="174"/>
  <c r="DJ152" i="174"/>
  <c r="H57" i="174"/>
  <c r="I57" i="174" s="1"/>
  <c r="CM57" i="174"/>
  <c r="DI57" i="174" s="1"/>
  <c r="AE205" i="174"/>
  <c r="AE207" i="174" s="1"/>
  <c r="AV203" i="174"/>
  <c r="CP205" i="174"/>
  <c r="CP207" i="174" s="1"/>
  <c r="H101" i="174"/>
  <c r="I101" i="174" s="1"/>
  <c r="CM101" i="174"/>
  <c r="DI101" i="174" s="1"/>
  <c r="DK197" i="174"/>
  <c r="DL202" i="174"/>
  <c r="DL67" i="174"/>
  <c r="DJ35" i="174"/>
  <c r="DN104" i="174"/>
  <c r="BR11" i="174"/>
  <c r="CM144" i="174"/>
  <c r="DI144" i="174" s="1"/>
  <c r="I144" i="174"/>
  <c r="AV195" i="174"/>
  <c r="AU195" i="174" s="1"/>
  <c r="BQ195" i="174" s="1"/>
  <c r="AU130" i="174"/>
  <c r="BQ130" i="174" s="1"/>
  <c r="I140" i="174"/>
  <c r="AU140" i="174"/>
  <c r="BQ140" i="174" s="1"/>
  <c r="CN199" i="174"/>
  <c r="I184" i="174"/>
  <c r="AU184" i="174"/>
  <c r="BQ184" i="174" s="1"/>
  <c r="CM184" i="174"/>
  <c r="DI184" i="174" s="1"/>
  <c r="DY206" i="174"/>
  <c r="BR170" i="174"/>
  <c r="I163" i="174"/>
  <c r="AU163" i="174"/>
  <c r="BQ163" i="174" s="1"/>
  <c r="DQ195" i="174"/>
  <c r="EB205" i="174"/>
  <c r="EB207" i="174" s="1"/>
  <c r="H87" i="174"/>
  <c r="I87" i="174" s="1"/>
  <c r="CM87" i="174"/>
  <c r="DI87" i="174" s="1"/>
  <c r="CM156" i="174"/>
  <c r="DI156" i="174" s="1"/>
  <c r="CG202" i="174"/>
  <c r="CC205" i="174"/>
  <c r="CC207" i="174" s="1"/>
  <c r="Y206" i="174"/>
  <c r="I106" i="174"/>
  <c r="Y129" i="174"/>
  <c r="BY201" i="174"/>
  <c r="BV204" i="174"/>
  <c r="CM103" i="174"/>
  <c r="DI103" i="174" s="1"/>
  <c r="I103" i="174"/>
  <c r="CD197" i="174"/>
  <c r="CM162" i="174"/>
  <c r="DI162" i="174" s="1"/>
  <c r="I58" i="174"/>
  <c r="CM58" i="174"/>
  <c r="DI58" i="174" s="1"/>
  <c r="H93" i="174"/>
  <c r="I93" i="174" s="1"/>
  <c r="CM93" i="174"/>
  <c r="DI93" i="174" s="1"/>
  <c r="DM202" i="174"/>
  <c r="DM205" i="174" s="1"/>
  <c r="DM207" i="174" s="1"/>
  <c r="DM67" i="174"/>
  <c r="DM197" i="174" s="1"/>
  <c r="DL201" i="174"/>
  <c r="I8" i="174"/>
  <c r="CM46" i="174"/>
  <c r="DI46" i="174" s="1"/>
  <c r="I46" i="174"/>
  <c r="DN67" i="174"/>
  <c r="H32" i="174"/>
  <c r="I32" i="174" s="1"/>
  <c r="CM32" i="174"/>
  <c r="DI32" i="174" s="1"/>
  <c r="CI206" i="174"/>
  <c r="CI129" i="174"/>
  <c r="CI197" i="174" s="1"/>
  <c r="BR39" i="174"/>
  <c r="BR35" i="174"/>
  <c r="Y204" i="174"/>
  <c r="AU58" i="174"/>
  <c r="BQ58" i="174" s="1"/>
  <c r="CH205" i="174" l="1"/>
  <c r="CH207" i="174" s="1"/>
  <c r="CF205" i="174"/>
  <c r="CF197" i="174"/>
  <c r="DJ129" i="174"/>
  <c r="H17" i="174"/>
  <c r="I17" i="174" s="1"/>
  <c r="CM17" i="174"/>
  <c r="DI17" i="174" s="1"/>
  <c r="DJ104" i="174"/>
  <c r="DX197" i="174"/>
  <c r="BR104" i="174"/>
  <c r="DJ17" i="174"/>
  <c r="DP201" i="174"/>
  <c r="DJ201" i="174" s="1"/>
  <c r="DJ34" i="174"/>
  <c r="DP34" i="174"/>
  <c r="DP197" i="174" s="1"/>
  <c r="DQ205" i="174"/>
  <c r="DQ207" i="174" s="1"/>
  <c r="BR34" i="174"/>
  <c r="DN197" i="174"/>
  <c r="CL197" i="174"/>
  <c r="BR195" i="174"/>
  <c r="CH197" i="174"/>
  <c r="BY197" i="174"/>
  <c r="DJ195" i="174"/>
  <c r="CM203" i="174"/>
  <c r="DI203" i="174" s="1"/>
  <c r="H195" i="174"/>
  <c r="H200" i="174"/>
  <c r="BR129" i="174"/>
  <c r="DS208" i="174"/>
  <c r="DL205" i="174"/>
  <c r="DL207" i="174" s="1"/>
  <c r="AU202" i="174"/>
  <c r="BQ202" i="174" s="1"/>
  <c r="CG197" i="174"/>
  <c r="DL197" i="174"/>
  <c r="DX205" i="174"/>
  <c r="DX207" i="174" s="1"/>
  <c r="EB208" i="174"/>
  <c r="DK208" i="174"/>
  <c r="EA207" i="174"/>
  <c r="EA208" i="174" s="1"/>
  <c r="Y197" i="174"/>
  <c r="ED197" i="174"/>
  <c r="BX197" i="174"/>
  <c r="AU204" i="174"/>
  <c r="BQ204" i="174" s="1"/>
  <c r="CM200" i="174"/>
  <c r="DI200" i="174" s="1"/>
  <c r="ED205" i="174"/>
  <c r="ED207" i="174" s="1"/>
  <c r="BT197" i="174"/>
  <c r="DO208" i="174"/>
  <c r="BR200" i="174"/>
  <c r="H67" i="174"/>
  <c r="DY205" i="174"/>
  <c r="DY207" i="174" s="1"/>
  <c r="BR202" i="174"/>
  <c r="DJ67" i="174"/>
  <c r="DJ197" i="174" s="1"/>
  <c r="CF207" i="174"/>
  <c r="DJ200" i="174"/>
  <c r="BR204" i="174"/>
  <c r="DJ203" i="174"/>
  <c r="CM67" i="174"/>
  <c r="DI67" i="174" s="1"/>
  <c r="BV197" i="174"/>
  <c r="DY197" i="174"/>
  <c r="BY205" i="174"/>
  <c r="BY207" i="174" s="1"/>
  <c r="DJ206" i="174"/>
  <c r="DW208" i="174"/>
  <c r="DV208" i="174"/>
  <c r="DR208" i="174"/>
  <c r="CM204" i="174"/>
  <c r="DI204" i="174" s="1"/>
  <c r="DP205" i="174"/>
  <c r="DP207" i="174" s="1"/>
  <c r="BT205" i="174"/>
  <c r="BT207" i="174" s="1"/>
  <c r="BV205" i="174"/>
  <c r="BV207" i="174" s="1"/>
  <c r="CI207" i="174"/>
  <c r="DJ202" i="174"/>
  <c r="CG205" i="174"/>
  <c r="CG207" i="174" s="1"/>
  <c r="AU200" i="174"/>
  <c r="BQ200" i="174" s="1"/>
  <c r="BR206" i="174"/>
  <c r="H202" i="174"/>
  <c r="Y205" i="174"/>
  <c r="Y207" i="174" s="1"/>
  <c r="BR67" i="174"/>
  <c r="CM206" i="174"/>
  <c r="DI206" i="174" s="1"/>
  <c r="CM129" i="174"/>
  <c r="DI129" i="174" s="1"/>
  <c r="I70" i="174"/>
  <c r="H204" i="174"/>
  <c r="H104" i="174"/>
  <c r="CL205" i="174"/>
  <c r="CL207" i="174" s="1"/>
  <c r="CM104" i="174"/>
  <c r="DI104" i="174" s="1"/>
  <c r="I147" i="174"/>
  <c r="AV205" i="174"/>
  <c r="AU199" i="174"/>
  <c r="BQ199" i="174" s="1"/>
  <c r="DJ204" i="174"/>
  <c r="AV197" i="174"/>
  <c r="AU34" i="174"/>
  <c r="BQ34" i="174" s="1"/>
  <c r="DM208" i="174"/>
  <c r="I206" i="174"/>
  <c r="I129" i="174"/>
  <c r="H206" i="174"/>
  <c r="BR203" i="174"/>
  <c r="I152" i="174"/>
  <c r="I200" i="174" s="1"/>
  <c r="I134" i="174"/>
  <c r="H199" i="174"/>
  <c r="AU206" i="174"/>
  <c r="BQ206" i="174" s="1"/>
  <c r="CM202" i="174"/>
  <c r="DI202" i="174" s="1"/>
  <c r="DQ197" i="174"/>
  <c r="BX205" i="174"/>
  <c r="BX207" i="174" s="1"/>
  <c r="CM199" i="174"/>
  <c r="DI199" i="174" s="1"/>
  <c r="CN205" i="174"/>
  <c r="AU203" i="174"/>
  <c r="BQ203" i="174" s="1"/>
  <c r="H203" i="174"/>
  <c r="H34" i="174"/>
  <c r="I4" i="174"/>
  <c r="DZ197" i="174"/>
  <c r="DZ208" i="174" s="1"/>
  <c r="I18" i="174"/>
  <c r="BR199" i="174"/>
  <c r="AU129" i="174"/>
  <c r="BQ129" i="174" s="1"/>
  <c r="I202" i="174"/>
  <c r="I67" i="174"/>
  <c r="H129" i="174"/>
  <c r="DT208" i="174"/>
  <c r="CN197" i="174"/>
  <c r="DI34" i="174"/>
  <c r="BR201" i="174"/>
  <c r="AU104" i="174"/>
  <c r="BQ104" i="174" s="1"/>
  <c r="AU67" i="174"/>
  <c r="BQ67" i="174" s="1"/>
  <c r="DN205" i="174"/>
  <c r="DN207" i="174" s="1"/>
  <c r="DJ199" i="174"/>
  <c r="I201" i="174" l="1"/>
  <c r="H201" i="174"/>
  <c r="H205" i="174" s="1"/>
  <c r="H207" i="174" s="1"/>
  <c r="BR197" i="174"/>
  <c r="DQ208" i="174"/>
  <c r="I199" i="174"/>
  <c r="DX208" i="174"/>
  <c r="DN208" i="174"/>
  <c r="DY208" i="174"/>
  <c r="ED208" i="174"/>
  <c r="DL208" i="174"/>
  <c r="DJ205" i="174"/>
  <c r="DJ207" i="174" s="1"/>
  <c r="DP208" i="174"/>
  <c r="H197" i="174"/>
  <c r="CM197" i="174"/>
  <c r="DI197" i="174" s="1"/>
  <c r="BR205" i="174"/>
  <c r="BR207" i="174" s="1"/>
  <c r="CM205" i="174"/>
  <c r="DI205" i="174" s="1"/>
  <c r="CN207" i="174"/>
  <c r="I195" i="174"/>
  <c r="AU197" i="174"/>
  <c r="BQ197" i="174" s="1"/>
  <c r="I203" i="174"/>
  <c r="I34" i="174"/>
  <c r="I104" i="174"/>
  <c r="I204" i="174"/>
  <c r="AV207" i="174"/>
  <c r="AU205" i="174"/>
  <c r="BQ205" i="174" s="1"/>
  <c r="I197" i="174" l="1"/>
  <c r="I205" i="174"/>
  <c r="I207" i="174" s="1"/>
  <c r="AU207" i="174"/>
  <c r="BQ207" i="174" s="1"/>
  <c r="CM207" i="174"/>
  <c r="DI207" i="174" s="1"/>
  <c r="EC206" i="173" l="1"/>
  <c r="DU206" i="173"/>
  <c r="DR206" i="173"/>
  <c r="DO206" i="173"/>
  <c r="DG206" i="173"/>
  <c r="DF206" i="173"/>
  <c r="DA206" i="173"/>
  <c r="CZ206" i="173"/>
  <c r="CY206" i="173"/>
  <c r="CX206" i="173"/>
  <c r="CW206" i="173"/>
  <c r="CV206" i="173"/>
  <c r="CU206" i="173"/>
  <c r="CT206" i="173"/>
  <c r="CS206" i="173"/>
  <c r="CR206" i="173"/>
  <c r="CQ206" i="173"/>
  <c r="CP206" i="173"/>
  <c r="CJ206" i="173"/>
  <c r="BZ206" i="173"/>
  <c r="BW206" i="173"/>
  <c r="BU206" i="173"/>
  <c r="BO206" i="173"/>
  <c r="BN206" i="173"/>
  <c r="BI206" i="173"/>
  <c r="BH206" i="173"/>
  <c r="BG206" i="173"/>
  <c r="BF206" i="173"/>
  <c r="BE206" i="173"/>
  <c r="BD206" i="173"/>
  <c r="BC206" i="173"/>
  <c r="BB206" i="173"/>
  <c r="BA206" i="173"/>
  <c r="AZ206" i="173"/>
  <c r="AY206" i="173"/>
  <c r="AX206" i="173"/>
  <c r="AR206" i="173"/>
  <c r="AQ206" i="173"/>
  <c r="AP206" i="173"/>
  <c r="AN206" i="173"/>
  <c r="AL206" i="173"/>
  <c r="AK206" i="173"/>
  <c r="AJ206" i="173"/>
  <c r="AI206" i="173"/>
  <c r="AH206" i="173"/>
  <c r="AG206" i="173"/>
  <c r="AF206" i="173"/>
  <c r="AE206" i="173"/>
  <c r="AD206" i="173"/>
  <c r="AC206" i="173"/>
  <c r="AB206" i="173"/>
  <c r="Z206" i="173"/>
  <c r="G206" i="173"/>
  <c r="AT205" i="173"/>
  <c r="AT207" i="173" s="1"/>
  <c r="EC204" i="173"/>
  <c r="DU204" i="173"/>
  <c r="DR204" i="173"/>
  <c r="DK204" i="173"/>
  <c r="DG204" i="173"/>
  <c r="DF204" i="173"/>
  <c r="DE204" i="173"/>
  <c r="DD204" i="173"/>
  <c r="DB204" i="173"/>
  <c r="CZ204" i="173"/>
  <c r="CY204" i="173"/>
  <c r="CX204" i="173"/>
  <c r="CW204" i="173"/>
  <c r="CV204" i="173"/>
  <c r="CS204" i="173"/>
  <c r="CQ204" i="173"/>
  <c r="CP204" i="173"/>
  <c r="CO204" i="173"/>
  <c r="CK204" i="173"/>
  <c r="BZ204" i="173"/>
  <c r="BU204" i="173"/>
  <c r="BO204" i="173"/>
  <c r="BN204" i="173"/>
  <c r="BM204" i="173"/>
  <c r="BL204" i="173"/>
  <c r="BJ204" i="173"/>
  <c r="BH204" i="173"/>
  <c r="BG204" i="173"/>
  <c r="BF204" i="173"/>
  <c r="BE204" i="173"/>
  <c r="BD204" i="173"/>
  <c r="BA204" i="173"/>
  <c r="AY204" i="173"/>
  <c r="AX204" i="173"/>
  <c r="AW204" i="173"/>
  <c r="AR204" i="173"/>
  <c r="AQ204" i="173"/>
  <c r="AP204" i="173"/>
  <c r="AO204" i="173"/>
  <c r="AM204" i="173"/>
  <c r="AK204" i="173"/>
  <c r="AJ204" i="173"/>
  <c r="AI204" i="173"/>
  <c r="AH204" i="173"/>
  <c r="AG204" i="173"/>
  <c r="AD204" i="173"/>
  <c r="AB204" i="173"/>
  <c r="Z204" i="173"/>
  <c r="G204" i="173"/>
  <c r="DU203" i="173"/>
  <c r="DR203" i="173"/>
  <c r="DM203" i="173"/>
  <c r="DG203" i="173"/>
  <c r="DF203" i="173"/>
  <c r="DE203" i="173"/>
  <c r="DA203" i="173"/>
  <c r="CZ203" i="173"/>
  <c r="CY203" i="173"/>
  <c r="CX203" i="173"/>
  <c r="CW203" i="173"/>
  <c r="CV203" i="173"/>
  <c r="CU203" i="173"/>
  <c r="CS203" i="173"/>
  <c r="CR203" i="173"/>
  <c r="CQ203" i="173"/>
  <c r="CP203" i="173"/>
  <c r="CO203" i="173"/>
  <c r="BZ203" i="173"/>
  <c r="BU203" i="173"/>
  <c r="BO203" i="173"/>
  <c r="BN203" i="173"/>
  <c r="BM203" i="173"/>
  <c r="BI203" i="173"/>
  <c r="BH203" i="173"/>
  <c r="BG203" i="173"/>
  <c r="BF203" i="173"/>
  <c r="BE203" i="173"/>
  <c r="BD203" i="173"/>
  <c r="BC203" i="173"/>
  <c r="BA203" i="173"/>
  <c r="AZ203" i="173"/>
  <c r="AY203" i="173"/>
  <c r="AX203" i="173"/>
  <c r="AW203" i="173"/>
  <c r="AR203" i="173"/>
  <c r="AQ203" i="173"/>
  <c r="AP203" i="173"/>
  <c r="AO203" i="173"/>
  <c r="AL203" i="173"/>
  <c r="AK203" i="173"/>
  <c r="AK205" i="173" s="1"/>
  <c r="AK207" i="173" s="1"/>
  <c r="AJ203" i="173"/>
  <c r="AI203" i="173"/>
  <c r="AH203" i="173"/>
  <c r="AG203" i="173"/>
  <c r="AF203" i="173"/>
  <c r="AD203" i="173"/>
  <c r="AB203" i="173"/>
  <c r="AA203" i="173"/>
  <c r="Z203" i="173"/>
  <c r="G203" i="173"/>
  <c r="EC202" i="173"/>
  <c r="DU202" i="173"/>
  <c r="DO202" i="173"/>
  <c r="DK202" i="173"/>
  <c r="DG202" i="173"/>
  <c r="DE202" i="173"/>
  <c r="CZ202" i="173"/>
  <c r="CY202" i="173"/>
  <c r="CX202" i="173"/>
  <c r="CS202" i="173"/>
  <c r="CO202" i="173"/>
  <c r="BW202" i="173"/>
  <c r="BO202" i="173"/>
  <c r="BM202" i="173"/>
  <c r="BH202" i="173"/>
  <c r="BG202" i="173"/>
  <c r="BF202" i="173"/>
  <c r="BA202" i="173"/>
  <c r="AY202" i="173"/>
  <c r="AW202" i="173"/>
  <c r="AR202" i="173"/>
  <c r="AQ202" i="173"/>
  <c r="AP202" i="173"/>
  <c r="AK202" i="173"/>
  <c r="AJ202" i="173"/>
  <c r="AI202" i="173"/>
  <c r="AI205" i="173" s="1"/>
  <c r="AI207" i="173" s="1"/>
  <c r="AH202" i="173"/>
  <c r="AG202" i="173"/>
  <c r="AD202" i="173"/>
  <c r="AB202" i="173"/>
  <c r="Z202" i="173"/>
  <c r="G202" i="173"/>
  <c r="DU201" i="173"/>
  <c r="DR201" i="173"/>
  <c r="DM201" i="173"/>
  <c r="DG201" i="173"/>
  <c r="DF201" i="173"/>
  <c r="DE201" i="173"/>
  <c r="DC201" i="173"/>
  <c r="DB201" i="173"/>
  <c r="DA201" i="173"/>
  <c r="CZ201" i="173"/>
  <c r="CY201" i="173"/>
  <c r="CX201" i="173"/>
  <c r="CW201" i="173"/>
  <c r="CV201" i="173"/>
  <c r="CS201" i="173"/>
  <c r="CR201" i="173"/>
  <c r="CQ201" i="173"/>
  <c r="CP201" i="173"/>
  <c r="CO201" i="173"/>
  <c r="CK201" i="173"/>
  <c r="CJ201" i="173"/>
  <c r="BZ201" i="173"/>
  <c r="BU201" i="173"/>
  <c r="BO201" i="173"/>
  <c r="BN201" i="173"/>
  <c r="BM201" i="173"/>
  <c r="BK201" i="173"/>
  <c r="BJ201" i="173"/>
  <c r="BI201" i="173"/>
  <c r="BH201" i="173"/>
  <c r="BG201" i="173"/>
  <c r="BF201" i="173"/>
  <c r="BE201" i="173"/>
  <c r="BD201" i="173"/>
  <c r="BA201" i="173"/>
  <c r="AZ201" i="173"/>
  <c r="AY201" i="173"/>
  <c r="AX201" i="173"/>
  <c r="AW201" i="173"/>
  <c r="AR201" i="173"/>
  <c r="AQ201" i="173"/>
  <c r="AP201" i="173"/>
  <c r="AM201" i="173"/>
  <c r="AL201" i="173"/>
  <c r="AK201" i="173"/>
  <c r="AJ201" i="173"/>
  <c r="AI201" i="173"/>
  <c r="AH201" i="173"/>
  <c r="AG201" i="173"/>
  <c r="AE201" i="173"/>
  <c r="AD201" i="173"/>
  <c r="AC201" i="173"/>
  <c r="AB201" i="173"/>
  <c r="Z201" i="173"/>
  <c r="G201" i="173"/>
  <c r="DU200" i="173"/>
  <c r="DR200" i="173"/>
  <c r="DK200" i="173"/>
  <c r="DG200" i="173"/>
  <c r="DF200" i="173"/>
  <c r="DE200" i="173"/>
  <c r="DC200" i="173"/>
  <c r="DB200" i="173"/>
  <c r="DA200" i="173"/>
  <c r="CY200" i="173"/>
  <c r="CX200" i="173"/>
  <c r="CW200" i="173"/>
  <c r="CV200" i="173"/>
  <c r="CU200" i="173"/>
  <c r="CS200" i="173"/>
  <c r="CQ200" i="173"/>
  <c r="CP200" i="173"/>
  <c r="CO200" i="173"/>
  <c r="BZ200" i="173"/>
  <c r="BU200" i="173"/>
  <c r="BN200" i="173"/>
  <c r="BM200" i="173"/>
  <c r="BK200" i="173"/>
  <c r="BJ200" i="173"/>
  <c r="BI200" i="173"/>
  <c r="BG200" i="173"/>
  <c r="BF200" i="173"/>
  <c r="BE200" i="173"/>
  <c r="BD200" i="173"/>
  <c r="BC200" i="173"/>
  <c r="BA200" i="173"/>
  <c r="AY200" i="173"/>
  <c r="AX200" i="173"/>
  <c r="AW200" i="173"/>
  <c r="AR200" i="173"/>
  <c r="AQ200" i="173"/>
  <c r="AP200" i="173"/>
  <c r="AO200" i="173"/>
  <c r="AM200" i="173"/>
  <c r="AL200" i="173"/>
  <c r="AK200" i="173"/>
  <c r="AJ200" i="173"/>
  <c r="AI200" i="173"/>
  <c r="AH200" i="173"/>
  <c r="AG200" i="173"/>
  <c r="AE200" i="173"/>
  <c r="AB200" i="173"/>
  <c r="Z200" i="173"/>
  <c r="G200" i="173"/>
  <c r="EC199" i="173"/>
  <c r="DR199" i="173"/>
  <c r="DM199" i="173"/>
  <c r="DL199" i="173"/>
  <c r="DK199" i="173"/>
  <c r="DH199" i="173"/>
  <c r="DG199" i="173"/>
  <c r="DG205" i="173" s="1"/>
  <c r="DG207" i="173" s="1"/>
  <c r="DF199" i="173"/>
  <c r="DE199" i="173"/>
  <c r="DC199" i="173"/>
  <c r="DB199" i="173"/>
  <c r="DA199" i="173"/>
  <c r="CZ199" i="173"/>
  <c r="CY199" i="173"/>
  <c r="CY205" i="173" s="1"/>
  <c r="CY207" i="173" s="1"/>
  <c r="CX199" i="173"/>
  <c r="CX205" i="173" s="1"/>
  <c r="CX207" i="173" s="1"/>
  <c r="CW199" i="173"/>
  <c r="CV199" i="173"/>
  <c r="CU199" i="173"/>
  <c r="CT199" i="173"/>
  <c r="CS199" i="173"/>
  <c r="CS205" i="173" s="1"/>
  <c r="CS207" i="173" s="1"/>
  <c r="CQ199" i="173"/>
  <c r="CP199" i="173"/>
  <c r="CO199" i="173"/>
  <c r="CA199" i="173"/>
  <c r="BZ199" i="173"/>
  <c r="BU199" i="173"/>
  <c r="BS199" i="173"/>
  <c r="BO199" i="173"/>
  <c r="BN199" i="173"/>
  <c r="BM199" i="173"/>
  <c r="BK199" i="173"/>
  <c r="BJ199" i="173"/>
  <c r="BI199" i="173"/>
  <c r="BH199" i="173"/>
  <c r="BG199" i="173"/>
  <c r="BG205" i="173" s="1"/>
  <c r="BG207" i="173" s="1"/>
  <c r="BF199" i="173"/>
  <c r="BE199" i="173"/>
  <c r="BD199" i="173"/>
  <c r="BC199" i="173"/>
  <c r="BB199" i="173"/>
  <c r="AY199" i="173"/>
  <c r="AY205" i="173" s="1"/>
  <c r="AY207" i="173" s="1"/>
  <c r="AX199" i="173"/>
  <c r="AW199" i="173"/>
  <c r="AR199" i="173"/>
  <c r="AR205" i="173" s="1"/>
  <c r="AR207" i="173" s="1"/>
  <c r="AQ199" i="173"/>
  <c r="AP199" i="173"/>
  <c r="AP205" i="173" s="1"/>
  <c r="AP207" i="173" s="1"/>
  <c r="AO199" i="173"/>
  <c r="AN199" i="173"/>
  <c r="AM199" i="173"/>
  <c r="AL199" i="173"/>
  <c r="AK199" i="173"/>
  <c r="AJ199" i="173"/>
  <c r="AJ205" i="173" s="1"/>
  <c r="AJ207" i="173" s="1"/>
  <c r="AI199" i="173"/>
  <c r="AH199" i="173"/>
  <c r="AH205" i="173" s="1"/>
  <c r="AH207" i="173" s="1"/>
  <c r="AG199" i="173"/>
  <c r="AG205" i="173" s="1"/>
  <c r="AG207" i="173" s="1"/>
  <c r="AF199" i="173"/>
  <c r="AB199" i="173"/>
  <c r="AB205" i="173" s="1"/>
  <c r="AB207" i="173" s="1"/>
  <c r="AA199" i="173"/>
  <c r="Z199" i="173"/>
  <c r="Z205" i="173" s="1"/>
  <c r="Z207" i="173" s="1"/>
  <c r="G199" i="173"/>
  <c r="DR195" i="173"/>
  <c r="DK195" i="173"/>
  <c r="DG195" i="173"/>
  <c r="DF195" i="173"/>
  <c r="DE195" i="173"/>
  <c r="DC195" i="173"/>
  <c r="DB195" i="173"/>
  <c r="DA195" i="173"/>
  <c r="CY195" i="173"/>
  <c r="CX195" i="173"/>
  <c r="CW195" i="173"/>
  <c r="CV195" i="173"/>
  <c r="CU195" i="173"/>
  <c r="CP195" i="173"/>
  <c r="CO195" i="173"/>
  <c r="CJ195" i="173"/>
  <c r="BZ195" i="173"/>
  <c r="BN195" i="173"/>
  <c r="BM195" i="173"/>
  <c r="BJ195" i="173"/>
  <c r="BI195" i="173"/>
  <c r="BG195" i="173"/>
  <c r="BF195" i="173"/>
  <c r="BE195" i="173"/>
  <c r="BD195" i="173"/>
  <c r="BC195" i="173"/>
  <c r="AX195" i="173"/>
  <c r="AW195" i="173"/>
  <c r="AR195" i="173"/>
  <c r="AQ195" i="173"/>
  <c r="AP195" i="173"/>
  <c r="AM195" i="173"/>
  <c r="AL195" i="173"/>
  <c r="AK195" i="173"/>
  <c r="AJ195" i="173"/>
  <c r="AI195" i="173"/>
  <c r="AH195" i="173"/>
  <c r="AG195" i="173"/>
  <c r="AD195" i="173"/>
  <c r="AB195" i="173"/>
  <c r="Z195" i="173"/>
  <c r="G195" i="173"/>
  <c r="ED194" i="173"/>
  <c r="EC194" i="173"/>
  <c r="EB194" i="173"/>
  <c r="EA194" i="173"/>
  <c r="DZ194" i="173"/>
  <c r="DY194" i="173"/>
  <c r="DX194" i="173"/>
  <c r="DW194" i="173"/>
  <c r="DV194" i="173"/>
  <c r="DT194" i="173"/>
  <c r="DS194" i="173"/>
  <c r="DQ194" i="173"/>
  <c r="DP194" i="173"/>
  <c r="DO194" i="173"/>
  <c r="CN194" i="173"/>
  <c r="CL194" i="173"/>
  <c r="CI194" i="173"/>
  <c r="CH194" i="173"/>
  <c r="CG194" i="173"/>
  <c r="CF194" i="173"/>
  <c r="CE194" i="173"/>
  <c r="CD194" i="173"/>
  <c r="CC194" i="173"/>
  <c r="CB194" i="173"/>
  <c r="CA194" i="173"/>
  <c r="BY194" i="173"/>
  <c r="BX194" i="173"/>
  <c r="BW194" i="173"/>
  <c r="BT194" i="173"/>
  <c r="BS194" i="173"/>
  <c r="AV194" i="173"/>
  <c r="AC194" i="173"/>
  <c r="DN194" i="173" s="1"/>
  <c r="DJ194" i="173" s="1"/>
  <c r="H194" i="173"/>
  <c r="ED193" i="173"/>
  <c r="EC193" i="173"/>
  <c r="EB193" i="173"/>
  <c r="EA193" i="173"/>
  <c r="DZ193" i="173"/>
  <c r="DY193" i="173"/>
  <c r="DX193" i="173"/>
  <c r="DW193" i="173"/>
  <c r="DV193" i="173"/>
  <c r="DJ193" i="173" s="1"/>
  <c r="DT193" i="173"/>
  <c r="DS193" i="173"/>
  <c r="DQ193" i="173"/>
  <c r="DP193" i="173"/>
  <c r="DO193" i="173"/>
  <c r="DN193" i="173"/>
  <c r="DI193" i="173"/>
  <c r="DH193" i="173"/>
  <c r="CN193" i="173"/>
  <c r="CM193" i="173"/>
  <c r="CI193" i="173"/>
  <c r="CH193" i="173"/>
  <c r="CG193" i="173"/>
  <c r="CF193" i="173"/>
  <c r="CE193" i="173"/>
  <c r="CD193" i="173"/>
  <c r="CC193" i="173"/>
  <c r="CB193" i="173"/>
  <c r="CA193" i="173"/>
  <c r="BY193" i="173"/>
  <c r="BX193" i="173"/>
  <c r="BW193" i="173"/>
  <c r="BV193" i="173"/>
  <c r="BT193" i="173"/>
  <c r="BS193" i="173"/>
  <c r="BP193" i="173"/>
  <c r="AV193" i="173" s="1"/>
  <c r="AU193" i="173" s="1"/>
  <c r="BQ193" i="173" s="1"/>
  <c r="AS193" i="173"/>
  <c r="Y193" i="173"/>
  <c r="H193" i="173"/>
  <c r="I193" i="173" s="1"/>
  <c r="ED192" i="173"/>
  <c r="EC192" i="173"/>
  <c r="EC201" i="173" s="1"/>
  <c r="EB192" i="173"/>
  <c r="EA192" i="173"/>
  <c r="DY192" i="173"/>
  <c r="DX192" i="173"/>
  <c r="DW192" i="173"/>
  <c r="DV192" i="173"/>
  <c r="DT192" i="173"/>
  <c r="DS192" i="173"/>
  <c r="DQ192" i="173"/>
  <c r="DP192" i="173"/>
  <c r="DO192" i="173"/>
  <c r="DN192" i="173"/>
  <c r="DD192" i="173"/>
  <c r="DD201" i="173" s="1"/>
  <c r="CN192" i="173"/>
  <c r="H192" i="173" s="1"/>
  <c r="CM192" i="173"/>
  <c r="DI192" i="173" s="1"/>
  <c r="CL192" i="173"/>
  <c r="CI192" i="173"/>
  <c r="CG192" i="173"/>
  <c r="CF192" i="173"/>
  <c r="CE192" i="173"/>
  <c r="CD192" i="173"/>
  <c r="CC192" i="173"/>
  <c r="CB192" i="173"/>
  <c r="CA192" i="173"/>
  <c r="BY192" i="173"/>
  <c r="BX192" i="173"/>
  <c r="BW192" i="173"/>
  <c r="BV192" i="173"/>
  <c r="BT192" i="173"/>
  <c r="BS192" i="173"/>
  <c r="BL192" i="173"/>
  <c r="BL201" i="173" s="1"/>
  <c r="AO192" i="173"/>
  <c r="Y192" i="173"/>
  <c r="I192" i="173" s="1"/>
  <c r="ED191" i="173"/>
  <c r="EC191" i="173"/>
  <c r="EB191" i="173"/>
  <c r="EA191" i="173"/>
  <c r="DZ191" i="173"/>
  <c r="DY191" i="173"/>
  <c r="DX191" i="173"/>
  <c r="DW191" i="173"/>
  <c r="DV191" i="173"/>
  <c r="DT191" i="173"/>
  <c r="DS191" i="173"/>
  <c r="DQ191" i="173"/>
  <c r="DP191" i="173"/>
  <c r="DO191" i="173"/>
  <c r="DN191" i="173"/>
  <c r="CN191" i="173"/>
  <c r="CM191" i="173" s="1"/>
  <c r="DI191" i="173" s="1"/>
  <c r="CL191" i="173"/>
  <c r="CI191" i="173"/>
  <c r="CH191" i="173"/>
  <c r="CG191" i="173"/>
  <c r="CF191" i="173"/>
  <c r="CE191" i="173"/>
  <c r="CD191" i="173"/>
  <c r="CC191" i="173"/>
  <c r="CB191" i="173"/>
  <c r="CA191" i="173"/>
  <c r="BR191" i="173" s="1"/>
  <c r="BY191" i="173"/>
  <c r="BX191" i="173"/>
  <c r="BW191" i="173"/>
  <c r="BV191" i="173"/>
  <c r="BT191" i="173"/>
  <c r="BS191" i="173"/>
  <c r="BQ191" i="173"/>
  <c r="AV191" i="173"/>
  <c r="AU191" i="173" s="1"/>
  <c r="AE191" i="173"/>
  <c r="Y191" i="173"/>
  <c r="ED190" i="173"/>
  <c r="EC190" i="173"/>
  <c r="EB190" i="173"/>
  <c r="EA190" i="173"/>
  <c r="DZ190" i="173"/>
  <c r="DX190" i="173"/>
  <c r="DW190" i="173"/>
  <c r="DV190" i="173"/>
  <c r="DT190" i="173"/>
  <c r="DS190" i="173"/>
  <c r="DQ190" i="173"/>
  <c r="DP190" i="173"/>
  <c r="DO190" i="173"/>
  <c r="DN190" i="173"/>
  <c r="DC190" i="173"/>
  <c r="DY190" i="173" s="1"/>
  <c r="CN190" i="173"/>
  <c r="CM190" i="173"/>
  <c r="DI190" i="173" s="1"/>
  <c r="CL190" i="173"/>
  <c r="CI190" i="173"/>
  <c r="CH190" i="173"/>
  <c r="CF190" i="173"/>
  <c r="CE190" i="173"/>
  <c r="CD190" i="173"/>
  <c r="CC190" i="173"/>
  <c r="CB190" i="173"/>
  <c r="CA190" i="173"/>
  <c r="BY190" i="173"/>
  <c r="BX190" i="173"/>
  <c r="BW190" i="173"/>
  <c r="BV190" i="173"/>
  <c r="BT190" i="173"/>
  <c r="BS190" i="173"/>
  <c r="BK190" i="173"/>
  <c r="Y190" i="173"/>
  <c r="I190" i="173" s="1"/>
  <c r="H190" i="173"/>
  <c r="ED189" i="173"/>
  <c r="EC189" i="173"/>
  <c r="EB189" i="173"/>
  <c r="EA189" i="173"/>
  <c r="DZ189" i="173"/>
  <c r="DY189" i="173"/>
  <c r="DX189" i="173"/>
  <c r="DW189" i="173"/>
  <c r="DV189" i="173"/>
  <c r="DT189" i="173"/>
  <c r="DS189" i="173"/>
  <c r="DQ189" i="173"/>
  <c r="DP189" i="173"/>
  <c r="DO189" i="173"/>
  <c r="DN189" i="173"/>
  <c r="DJ189" i="173"/>
  <c r="CN189" i="173"/>
  <c r="CM189" i="173"/>
  <c r="DI189" i="173" s="1"/>
  <c r="CL189" i="173"/>
  <c r="CI189" i="173"/>
  <c r="CH189" i="173"/>
  <c r="CG189" i="173"/>
  <c r="CF189" i="173"/>
  <c r="CE189" i="173"/>
  <c r="CD189" i="173"/>
  <c r="CC189" i="173"/>
  <c r="CB189" i="173"/>
  <c r="CA189" i="173"/>
  <c r="BY189" i="173"/>
  <c r="BX189" i="173"/>
  <c r="BW189" i="173"/>
  <c r="BV189" i="173"/>
  <c r="BT189" i="173"/>
  <c r="BS189" i="173"/>
  <c r="BR189" i="173" s="1"/>
  <c r="AV189" i="173"/>
  <c r="AU189" i="173" s="1"/>
  <c r="BQ189" i="173" s="1"/>
  <c r="Y189" i="173"/>
  <c r="I189" i="173" s="1"/>
  <c r="H189" i="173"/>
  <c r="ED188" i="173"/>
  <c r="EC188" i="173"/>
  <c r="EB188" i="173"/>
  <c r="EA188" i="173"/>
  <c r="DZ188" i="173"/>
  <c r="DY188" i="173"/>
  <c r="DX188" i="173"/>
  <c r="DW188" i="173"/>
  <c r="DV188" i="173"/>
  <c r="DT188" i="173"/>
  <c r="DS188" i="173"/>
  <c r="DQ188" i="173"/>
  <c r="DO188" i="173"/>
  <c r="DN188" i="173"/>
  <c r="CT188" i="173"/>
  <c r="DP188" i="173" s="1"/>
  <c r="CL188" i="173"/>
  <c r="CI188" i="173"/>
  <c r="CH188" i="173"/>
  <c r="CG188" i="173"/>
  <c r="CF188" i="173"/>
  <c r="CE188" i="173"/>
  <c r="CD188" i="173"/>
  <c r="CC188" i="173"/>
  <c r="CB188" i="173"/>
  <c r="CA188" i="173"/>
  <c r="BY188" i="173"/>
  <c r="BX188" i="173"/>
  <c r="BW188" i="173"/>
  <c r="BV188" i="173"/>
  <c r="BT188" i="173"/>
  <c r="BS188" i="173"/>
  <c r="BB188" i="173"/>
  <c r="AV188" i="173"/>
  <c r="AU188" i="173"/>
  <c r="BQ188" i="173" s="1"/>
  <c r="Y188" i="173"/>
  <c r="ED187" i="173"/>
  <c r="EC187" i="173"/>
  <c r="EB187" i="173"/>
  <c r="EA187" i="173"/>
  <c r="DZ187" i="173"/>
  <c r="DY187" i="173"/>
  <c r="DX187" i="173"/>
  <c r="DW187" i="173"/>
  <c r="DV187" i="173"/>
  <c r="DT187" i="173"/>
  <c r="DS187" i="173"/>
  <c r="DQ187" i="173"/>
  <c r="DP187" i="173"/>
  <c r="DO187" i="173"/>
  <c r="DN187" i="173"/>
  <c r="DJ187" i="173"/>
  <c r="CN187" i="173"/>
  <c r="CL187" i="173"/>
  <c r="CI187" i="173"/>
  <c r="CH187" i="173"/>
  <c r="CG187" i="173"/>
  <c r="CF187" i="173"/>
  <c r="CE187" i="173"/>
  <c r="CD187" i="173"/>
  <c r="CC187" i="173"/>
  <c r="CB187" i="173"/>
  <c r="CA187" i="173"/>
  <c r="BY187" i="173"/>
  <c r="BX187" i="173"/>
  <c r="BW187" i="173"/>
  <c r="BV187" i="173"/>
  <c r="BT187" i="173"/>
  <c r="BS187" i="173"/>
  <c r="AV187" i="173"/>
  <c r="AU187" i="173"/>
  <c r="BQ187" i="173" s="1"/>
  <c r="Y187" i="173"/>
  <c r="I187" i="173" s="1"/>
  <c r="H187" i="173"/>
  <c r="ED186" i="173"/>
  <c r="EC186" i="173"/>
  <c r="EB186" i="173"/>
  <c r="EA186" i="173"/>
  <c r="DZ186" i="173"/>
  <c r="DY186" i="173"/>
  <c r="DX186" i="173"/>
  <c r="DW186" i="173"/>
  <c r="DV186" i="173"/>
  <c r="DT186" i="173"/>
  <c r="DS186" i="173"/>
  <c r="DQ186" i="173"/>
  <c r="DP186" i="173"/>
  <c r="DO186" i="173"/>
  <c r="DN186" i="173"/>
  <c r="CN186" i="173"/>
  <c r="CL186" i="173"/>
  <c r="CI186" i="173"/>
  <c r="CH186" i="173"/>
  <c r="CG186" i="173"/>
  <c r="CF186" i="173"/>
  <c r="CE186" i="173"/>
  <c r="CD186" i="173"/>
  <c r="CC186" i="173"/>
  <c r="CB186" i="173"/>
  <c r="CA186" i="173"/>
  <c r="BY186" i="173"/>
  <c r="BX186" i="173"/>
  <c r="BW186" i="173"/>
  <c r="BV186" i="173"/>
  <c r="BT186" i="173"/>
  <c r="BS186" i="173"/>
  <c r="AV186" i="173"/>
  <c r="Y186" i="173"/>
  <c r="AU186" i="173" s="1"/>
  <c r="BQ186" i="173" s="1"/>
  <c r="H186" i="173"/>
  <c r="ED185" i="173"/>
  <c r="EC185" i="173"/>
  <c r="EB185" i="173"/>
  <c r="EA185" i="173"/>
  <c r="DZ185" i="173"/>
  <c r="DY185" i="173"/>
  <c r="DX185" i="173"/>
  <c r="DW185" i="173"/>
  <c r="DV185" i="173"/>
  <c r="DT185" i="173"/>
  <c r="DS185" i="173"/>
  <c r="DQ185" i="173"/>
  <c r="DP185" i="173"/>
  <c r="DO185" i="173"/>
  <c r="DJ185" i="173" s="1"/>
  <c r="DN185" i="173"/>
  <c r="DI185" i="173"/>
  <c r="CT185" i="173"/>
  <c r="CN185" i="173"/>
  <c r="CM185" i="173" s="1"/>
  <c r="CL185" i="173"/>
  <c r="CI185" i="173"/>
  <c r="CH185" i="173"/>
  <c r="CG185" i="173"/>
  <c r="CF185" i="173"/>
  <c r="CE185" i="173"/>
  <c r="CD185" i="173"/>
  <c r="CC185" i="173"/>
  <c r="CB185" i="173"/>
  <c r="CA185" i="173"/>
  <c r="BY185" i="173"/>
  <c r="BX185" i="173"/>
  <c r="BW185" i="173"/>
  <c r="BV185" i="173"/>
  <c r="BT185" i="173"/>
  <c r="BS185" i="173"/>
  <c r="BB185" i="173"/>
  <c r="AV185" i="173"/>
  <c r="AU185" i="173"/>
  <c r="BQ185" i="173" s="1"/>
  <c r="Y185" i="173"/>
  <c r="ED184" i="173"/>
  <c r="EC184" i="173"/>
  <c r="EB184" i="173"/>
  <c r="EA184" i="173"/>
  <c r="DZ184" i="173"/>
  <c r="DY184" i="173"/>
  <c r="DX184" i="173"/>
  <c r="DW184" i="173"/>
  <c r="DV184" i="173"/>
  <c r="DT184" i="173"/>
  <c r="DS184" i="173"/>
  <c r="DQ184" i="173"/>
  <c r="DP184" i="173"/>
  <c r="DO184" i="173"/>
  <c r="DN184" i="173"/>
  <c r="DJ184" i="173" s="1"/>
  <c r="CN184" i="173"/>
  <c r="CL184" i="173"/>
  <c r="CI184" i="173"/>
  <c r="CH184" i="173"/>
  <c r="CG184" i="173"/>
  <c r="CF184" i="173"/>
  <c r="CE184" i="173"/>
  <c r="CD184" i="173"/>
  <c r="CC184" i="173"/>
  <c r="CB184" i="173"/>
  <c r="CA184" i="173"/>
  <c r="BY184" i="173"/>
  <c r="BX184" i="173"/>
  <c r="BW184" i="173"/>
  <c r="BV184" i="173"/>
  <c r="BT184" i="173"/>
  <c r="BS184" i="173"/>
  <c r="BQ184" i="173"/>
  <c r="AV184" i="173"/>
  <c r="AU184" i="173" s="1"/>
  <c r="AC184" i="173"/>
  <c r="Y184" i="173"/>
  <c r="ED183" i="173"/>
  <c r="EC183" i="173"/>
  <c r="EB183" i="173"/>
  <c r="EA183" i="173"/>
  <c r="DZ183" i="173"/>
  <c r="DY183" i="173"/>
  <c r="DX183" i="173"/>
  <c r="DW183" i="173"/>
  <c r="DV183" i="173"/>
  <c r="DT183" i="173"/>
  <c r="DS183" i="173"/>
  <c r="DQ183" i="173"/>
  <c r="DP183" i="173"/>
  <c r="DO183" i="173"/>
  <c r="DN183" i="173"/>
  <c r="CT183" i="173"/>
  <c r="CN183" i="173" s="1"/>
  <c r="H183" i="173" s="1"/>
  <c r="CL183" i="173"/>
  <c r="CI183" i="173"/>
  <c r="CH183" i="173"/>
  <c r="CG183" i="173"/>
  <c r="CF183" i="173"/>
  <c r="CE183" i="173"/>
  <c r="CD183" i="173"/>
  <c r="CC183" i="173"/>
  <c r="CB183" i="173"/>
  <c r="CA183" i="173"/>
  <c r="BY183" i="173"/>
  <c r="BW183" i="173"/>
  <c r="BV183" i="173"/>
  <c r="BT183" i="173"/>
  <c r="BS183" i="173"/>
  <c r="BB183" i="173"/>
  <c r="Y183" i="173"/>
  <c r="ED182" i="173"/>
  <c r="EC182" i="173"/>
  <c r="EB182" i="173"/>
  <c r="EA182" i="173"/>
  <c r="DZ182" i="173"/>
  <c r="DY182" i="173"/>
  <c r="DX182" i="173"/>
  <c r="DW182" i="173"/>
  <c r="DV182" i="173"/>
  <c r="DT182" i="173"/>
  <c r="DS182" i="173"/>
  <c r="DQ182" i="173"/>
  <c r="DP182" i="173"/>
  <c r="DO182" i="173"/>
  <c r="CN182" i="173"/>
  <c r="H182" i="173" s="1"/>
  <c r="CM182" i="173"/>
  <c r="DI182" i="173" s="1"/>
  <c r="CL182" i="173"/>
  <c r="CK182" i="173"/>
  <c r="CI182" i="173"/>
  <c r="CH182" i="173"/>
  <c r="CG182" i="173"/>
  <c r="CF182" i="173"/>
  <c r="CE182" i="173"/>
  <c r="CD182" i="173"/>
  <c r="CC182" i="173"/>
  <c r="CB182" i="173"/>
  <c r="CA182" i="173"/>
  <c r="BY182" i="173"/>
  <c r="BX182" i="173"/>
  <c r="BW182" i="173"/>
  <c r="BT182" i="173"/>
  <c r="BS182" i="173"/>
  <c r="BQ182" i="173"/>
  <c r="AV182" i="173"/>
  <c r="AU182" i="173" s="1"/>
  <c r="AC182" i="173"/>
  <c r="Y182" i="173" s="1"/>
  <c r="I182" i="173" s="1"/>
  <c r="ED181" i="173"/>
  <c r="EC181" i="173"/>
  <c r="EB181" i="173"/>
  <c r="EA181" i="173"/>
  <c r="DZ181" i="173"/>
  <c r="DY181" i="173"/>
  <c r="DX181" i="173"/>
  <c r="DW181" i="173"/>
  <c r="DV181" i="173"/>
  <c r="DT181" i="173"/>
  <c r="DS181" i="173"/>
  <c r="DQ181" i="173"/>
  <c r="DP181" i="173"/>
  <c r="DO181" i="173"/>
  <c r="CN181" i="173"/>
  <c r="CL181" i="173"/>
  <c r="CK181" i="173"/>
  <c r="CI181" i="173"/>
  <c r="CH181" i="173"/>
  <c r="CG181" i="173"/>
  <c r="CF181" i="173"/>
  <c r="CE181" i="173"/>
  <c r="CD181" i="173"/>
  <c r="CC181" i="173"/>
  <c r="CB181" i="173"/>
  <c r="CA181" i="173"/>
  <c r="BY181" i="173"/>
  <c r="BX181" i="173"/>
  <c r="BW181" i="173"/>
  <c r="BT181" i="173"/>
  <c r="BS181" i="173"/>
  <c r="AV181" i="173"/>
  <c r="AC181" i="173"/>
  <c r="DN181" i="173" s="1"/>
  <c r="DJ181" i="173" s="1"/>
  <c r="H181" i="173"/>
  <c r="ED180" i="173"/>
  <c r="EC180" i="173"/>
  <c r="EB180" i="173"/>
  <c r="EA180" i="173"/>
  <c r="DZ180" i="173"/>
  <c r="DY180" i="173"/>
  <c r="DX180" i="173"/>
  <c r="DW180" i="173"/>
  <c r="DV180" i="173"/>
  <c r="DT180" i="173"/>
  <c r="DS180" i="173"/>
  <c r="DQ180" i="173"/>
  <c r="DP180" i="173"/>
  <c r="DO180" i="173"/>
  <c r="CN180" i="173"/>
  <c r="H180" i="173" s="1"/>
  <c r="CL180" i="173"/>
  <c r="CK180" i="173"/>
  <c r="CI180" i="173"/>
  <c r="CH180" i="173"/>
  <c r="CG180" i="173"/>
  <c r="CF180" i="173"/>
  <c r="CE180" i="173"/>
  <c r="CD180" i="173"/>
  <c r="CC180" i="173"/>
  <c r="CB180" i="173"/>
  <c r="CA180" i="173"/>
  <c r="BY180" i="173"/>
  <c r="BX180" i="173"/>
  <c r="BW180" i="173"/>
  <c r="BT180" i="173"/>
  <c r="BS180" i="173"/>
  <c r="AV180" i="173"/>
  <c r="AU180" i="173"/>
  <c r="BQ180" i="173" s="1"/>
  <c r="AC180" i="173"/>
  <c r="Y180" i="173"/>
  <c r="I180" i="173" s="1"/>
  <c r="ED179" i="173"/>
  <c r="EC179" i="173"/>
  <c r="EB179" i="173"/>
  <c r="EA179" i="173"/>
  <c r="DZ179" i="173"/>
  <c r="DY179" i="173"/>
  <c r="DX179" i="173"/>
  <c r="DW179" i="173"/>
  <c r="DV179" i="173"/>
  <c r="DT179" i="173"/>
  <c r="DS179" i="173"/>
  <c r="DQ179" i="173"/>
  <c r="DP179" i="173"/>
  <c r="DO179" i="173"/>
  <c r="DN179" i="173"/>
  <c r="CN179" i="173"/>
  <c r="CL179" i="173"/>
  <c r="CK179" i="173"/>
  <c r="CI179" i="173"/>
  <c r="CH179" i="173"/>
  <c r="CG179" i="173"/>
  <c r="CF179" i="173"/>
  <c r="CE179" i="173"/>
  <c r="CD179" i="173"/>
  <c r="CC179" i="173"/>
  <c r="CB179" i="173"/>
  <c r="CA179" i="173"/>
  <c r="BY179" i="173"/>
  <c r="BX179" i="173"/>
  <c r="BW179" i="173"/>
  <c r="BV179" i="173"/>
  <c r="BT179" i="173"/>
  <c r="BS179" i="173"/>
  <c r="AV179" i="173"/>
  <c r="Y179" i="173"/>
  <c r="CM179" i="173" s="1"/>
  <c r="DI179" i="173" s="1"/>
  <c r="H179" i="173"/>
  <c r="ED178" i="173"/>
  <c r="EC178" i="173"/>
  <c r="EB178" i="173"/>
  <c r="EA178" i="173"/>
  <c r="DY178" i="173"/>
  <c r="DX178" i="173"/>
  <c r="DW178" i="173"/>
  <c r="DV178" i="173"/>
  <c r="DT178" i="173"/>
  <c r="DS178" i="173"/>
  <c r="DQ178" i="173"/>
  <c r="DO178" i="173"/>
  <c r="DN178" i="173"/>
  <c r="DJ178" i="173"/>
  <c r="DD178" i="173"/>
  <c r="DZ178" i="173" s="1"/>
  <c r="CN178" i="173"/>
  <c r="CL178" i="173"/>
  <c r="CK178" i="173"/>
  <c r="CI178" i="173"/>
  <c r="CG178" i="173"/>
  <c r="CF178" i="173"/>
  <c r="CE178" i="173"/>
  <c r="CD178" i="173"/>
  <c r="CC178" i="173"/>
  <c r="CB178" i="173"/>
  <c r="CA178" i="173"/>
  <c r="BY178" i="173"/>
  <c r="BX178" i="173"/>
  <c r="BW178" i="173"/>
  <c r="BV178" i="173"/>
  <c r="BT178" i="173"/>
  <c r="BS178" i="173"/>
  <c r="BL178" i="173"/>
  <c r="CH178" i="173" s="1"/>
  <c r="AV178" i="173"/>
  <c r="AE178" i="173"/>
  <c r="DP178" i="173" s="1"/>
  <c r="AC178" i="173"/>
  <c r="H178" i="173"/>
  <c r="ED177" i="173"/>
  <c r="EC177" i="173"/>
  <c r="EB177" i="173"/>
  <c r="EA177" i="173"/>
  <c r="DZ177" i="173"/>
  <c r="DY177" i="173"/>
  <c r="DX177" i="173"/>
  <c r="DW177" i="173"/>
  <c r="DV177" i="173"/>
  <c r="DT177" i="173"/>
  <c r="DS177" i="173"/>
  <c r="DQ177" i="173"/>
  <c r="DO177" i="173"/>
  <c r="DN177" i="173"/>
  <c r="DL177" i="173"/>
  <c r="CT177" i="173"/>
  <c r="CN177" i="173" s="1"/>
  <c r="CL177" i="173"/>
  <c r="CK177" i="173"/>
  <c r="CI177" i="173"/>
  <c r="CG177" i="173"/>
  <c r="CF177" i="173"/>
  <c r="CE177" i="173"/>
  <c r="CD177" i="173"/>
  <c r="CC177" i="173"/>
  <c r="CB177" i="173"/>
  <c r="CA177" i="173"/>
  <c r="BY177" i="173"/>
  <c r="BW177" i="173"/>
  <c r="BV177" i="173"/>
  <c r="BT177" i="173"/>
  <c r="BS177" i="173"/>
  <c r="BL177" i="173"/>
  <c r="BB177" i="173"/>
  <c r="AE177" i="173"/>
  <c r="Y177" i="173" s="1"/>
  <c r="DN176" i="173"/>
  <c r="DJ176" i="173"/>
  <c r="CN176" i="173"/>
  <c r="AV176" i="173"/>
  <c r="AC176" i="173"/>
  <c r="Y176" i="173" s="1"/>
  <c r="H176" i="173"/>
  <c r="DN175" i="173"/>
  <c r="DJ175" i="173"/>
  <c r="CN175" i="173"/>
  <c r="CM175" i="173"/>
  <c r="DI175" i="173" s="1"/>
  <c r="BV175" i="173"/>
  <c r="BR175" i="173" s="1"/>
  <c r="AV175" i="173"/>
  <c r="AU175" i="173" s="1"/>
  <c r="BQ175" i="173" s="1"/>
  <c r="AC175" i="173"/>
  <c r="Y175" i="173"/>
  <c r="I175" i="173"/>
  <c r="H175" i="173"/>
  <c r="DJ174" i="173"/>
  <c r="CN174" i="173"/>
  <c r="BV174" i="173"/>
  <c r="BR174" i="173" s="1"/>
  <c r="AV174" i="173"/>
  <c r="AC174" i="173"/>
  <c r="DN174" i="173" s="1"/>
  <c r="ED173" i="173"/>
  <c r="EC173" i="173"/>
  <c r="EB173" i="173"/>
  <c r="EA173" i="173"/>
  <c r="DZ173" i="173"/>
  <c r="DY173" i="173"/>
  <c r="DX173" i="173"/>
  <c r="DW173" i="173"/>
  <c r="DV173" i="173"/>
  <c r="DT173" i="173"/>
  <c r="DS173" i="173"/>
  <c r="DQ173" i="173"/>
  <c r="DP173" i="173"/>
  <c r="DO173" i="173"/>
  <c r="DN173" i="173"/>
  <c r="DI173" i="173"/>
  <c r="CN173" i="173"/>
  <c r="CM173" i="173"/>
  <c r="CL173" i="173"/>
  <c r="CI173" i="173"/>
  <c r="CH173" i="173"/>
  <c r="CG173" i="173"/>
  <c r="CF173" i="173"/>
  <c r="CE173" i="173"/>
  <c r="CD173" i="173"/>
  <c r="CC173" i="173"/>
  <c r="CB173" i="173"/>
  <c r="CA173" i="173"/>
  <c r="BY173" i="173"/>
  <c r="BX173" i="173"/>
  <c r="BW173" i="173"/>
  <c r="BV173" i="173"/>
  <c r="BT173" i="173"/>
  <c r="BS173" i="173"/>
  <c r="BO173" i="173"/>
  <c r="AV173" i="173" s="1"/>
  <c r="AU173" i="173" s="1"/>
  <c r="BQ173" i="173" s="1"/>
  <c r="Y173" i="173"/>
  <c r="I173" i="173"/>
  <c r="H173" i="173"/>
  <c r="EC172" i="173"/>
  <c r="EB172" i="173"/>
  <c r="EA172" i="173"/>
  <c r="DZ172" i="173"/>
  <c r="DY172" i="173"/>
  <c r="DX172" i="173"/>
  <c r="DW172" i="173"/>
  <c r="DV172" i="173"/>
  <c r="DT172" i="173"/>
  <c r="DS172" i="173"/>
  <c r="DQ172" i="173"/>
  <c r="DP172" i="173"/>
  <c r="DO172" i="173"/>
  <c r="DN172" i="173"/>
  <c r="DH172" i="173"/>
  <c r="CN172" i="173"/>
  <c r="H172" i="173" s="1"/>
  <c r="I172" i="173" s="1"/>
  <c r="CM172" i="173"/>
  <c r="DI172" i="173" s="1"/>
  <c r="CL172" i="173"/>
  <c r="CK172" i="173"/>
  <c r="CI172" i="173"/>
  <c r="CH172" i="173"/>
  <c r="CG172" i="173"/>
  <c r="CF172" i="173"/>
  <c r="CE172" i="173"/>
  <c r="CD172" i="173"/>
  <c r="CC172" i="173"/>
  <c r="CB172" i="173"/>
  <c r="CA172" i="173"/>
  <c r="BY172" i="173"/>
  <c r="BX172" i="173"/>
  <c r="BW172" i="173"/>
  <c r="BV172" i="173"/>
  <c r="BT172" i="173"/>
  <c r="BS172" i="173"/>
  <c r="BP172" i="173"/>
  <c r="AV172" i="173" s="1"/>
  <c r="AU172" i="173"/>
  <c r="BQ172" i="173" s="1"/>
  <c r="AS172" i="173"/>
  <c r="Y172" i="173"/>
  <c r="ED171" i="173"/>
  <c r="EC171" i="173"/>
  <c r="EB171" i="173"/>
  <c r="EA171" i="173"/>
  <c r="DZ171" i="173"/>
  <c r="DY171" i="173"/>
  <c r="DX171" i="173"/>
  <c r="DW171" i="173"/>
  <c r="DV171" i="173"/>
  <c r="DT171" i="173"/>
  <c r="DS171" i="173"/>
  <c r="DQ171" i="173"/>
  <c r="DP171" i="173"/>
  <c r="DO171" i="173"/>
  <c r="DN171" i="173"/>
  <c r="CN171" i="173"/>
  <c r="CM171" i="173" s="1"/>
  <c r="DI171" i="173" s="1"/>
  <c r="CK171" i="173"/>
  <c r="CI171" i="173"/>
  <c r="CH171" i="173"/>
  <c r="CG171" i="173"/>
  <c r="CF171" i="173"/>
  <c r="CE171" i="173"/>
  <c r="CD171" i="173"/>
  <c r="CC171" i="173"/>
  <c r="CB171" i="173"/>
  <c r="CA171" i="173"/>
  <c r="BY171" i="173"/>
  <c r="BX171" i="173"/>
  <c r="BW171" i="173"/>
  <c r="BT171" i="173"/>
  <c r="BS171" i="173"/>
  <c r="BP171" i="173"/>
  <c r="AS171" i="173"/>
  <c r="AF171" i="173"/>
  <c r="AC171" i="173"/>
  <c r="BV171" i="173" s="1"/>
  <c r="Y171" i="173"/>
  <c r="H171" i="173"/>
  <c r="I171" i="173" s="1"/>
  <c r="ED170" i="173"/>
  <c r="EC170" i="173"/>
  <c r="EB170" i="173"/>
  <c r="EA170" i="173"/>
  <c r="DY170" i="173"/>
  <c r="DX170" i="173"/>
  <c r="DW170" i="173"/>
  <c r="DV170" i="173"/>
  <c r="DT170" i="173"/>
  <c r="DS170" i="173"/>
  <c r="DQ170" i="173"/>
  <c r="DP170" i="173"/>
  <c r="DO170" i="173"/>
  <c r="DN170" i="173"/>
  <c r="DD170" i="173"/>
  <c r="DD200" i="173" s="1"/>
  <c r="CT170" i="173"/>
  <c r="CT200" i="173" s="1"/>
  <c r="CR170" i="173"/>
  <c r="CL170" i="173"/>
  <c r="CK170" i="173"/>
  <c r="CI170" i="173"/>
  <c r="CG170" i="173"/>
  <c r="CF170" i="173"/>
  <c r="CE170" i="173"/>
  <c r="CD170" i="173"/>
  <c r="CC170" i="173"/>
  <c r="CB170" i="173"/>
  <c r="CA170" i="173"/>
  <c r="BY170" i="173"/>
  <c r="BW170" i="173"/>
  <c r="BV170" i="173"/>
  <c r="BT170" i="173"/>
  <c r="BS170" i="173"/>
  <c r="BL170" i="173"/>
  <c r="BL200" i="173" s="1"/>
  <c r="BB170" i="173"/>
  <c r="BB200" i="173" s="1"/>
  <c r="AZ170" i="173"/>
  <c r="AV170" i="173"/>
  <c r="AU170" i="173"/>
  <c r="BQ170" i="173" s="1"/>
  <c r="Y170" i="173"/>
  <c r="ED169" i="173"/>
  <c r="EC169" i="173"/>
  <c r="EB169" i="173"/>
  <c r="EA169" i="173"/>
  <c r="DZ169" i="173"/>
  <c r="DY169" i="173"/>
  <c r="DX169" i="173"/>
  <c r="DW169" i="173"/>
  <c r="DV169" i="173"/>
  <c r="DT169" i="173"/>
  <c r="DS169" i="173"/>
  <c r="DQ169" i="173"/>
  <c r="DP169" i="173"/>
  <c r="DO169" i="173"/>
  <c r="DN169" i="173"/>
  <c r="DH169" i="173"/>
  <c r="CN169" i="173" s="1"/>
  <c r="CM169" i="173" s="1"/>
  <c r="DI169" i="173" s="1"/>
  <c r="CL169" i="173"/>
  <c r="CK169" i="173"/>
  <c r="CI169" i="173"/>
  <c r="CH169" i="173"/>
  <c r="CG169" i="173"/>
  <c r="CF169" i="173"/>
  <c r="CE169" i="173"/>
  <c r="CD169" i="173"/>
  <c r="CC169" i="173"/>
  <c r="CB169" i="173"/>
  <c r="CA169" i="173"/>
  <c r="BY169" i="173"/>
  <c r="BX169" i="173"/>
  <c r="BW169" i="173"/>
  <c r="BV169" i="173"/>
  <c r="BT169" i="173"/>
  <c r="BS169" i="173"/>
  <c r="BR169" i="173"/>
  <c r="BP169" i="173"/>
  <c r="AV169" i="173"/>
  <c r="AU169" i="173" s="1"/>
  <c r="BQ169" i="173" s="1"/>
  <c r="AS169" i="173"/>
  <c r="Y169" i="173"/>
  <c r="ED168" i="173"/>
  <c r="EC168" i="173"/>
  <c r="EB168" i="173"/>
  <c r="EA168" i="173"/>
  <c r="DZ168" i="173"/>
  <c r="DY168" i="173"/>
  <c r="DX168" i="173"/>
  <c r="DW168" i="173"/>
  <c r="DV168" i="173"/>
  <c r="DT168" i="173"/>
  <c r="DS168" i="173"/>
  <c r="DP168" i="173"/>
  <c r="DO168" i="173"/>
  <c r="DH168" i="173"/>
  <c r="CR168" i="173"/>
  <c r="CN168" i="173" s="1"/>
  <c r="CL168" i="173"/>
  <c r="CK168" i="173"/>
  <c r="CI168" i="173"/>
  <c r="CH168" i="173"/>
  <c r="CG168" i="173"/>
  <c r="CF168" i="173"/>
  <c r="CE168" i="173"/>
  <c r="CD168" i="173"/>
  <c r="CC168" i="173"/>
  <c r="CB168" i="173"/>
  <c r="CA168" i="173"/>
  <c r="BY168" i="173"/>
  <c r="BX168" i="173"/>
  <c r="BW168" i="173"/>
  <c r="BT168" i="173"/>
  <c r="BS168" i="173"/>
  <c r="BP168" i="173"/>
  <c r="AV168" i="173" s="1"/>
  <c r="AZ168" i="173"/>
  <c r="AS168" i="173"/>
  <c r="AF168" i="173"/>
  <c r="DQ168" i="173" s="1"/>
  <c r="AC168" i="173"/>
  <c r="Y168" i="173"/>
  <c r="ED167" i="173"/>
  <c r="EC167" i="173"/>
  <c r="EB167" i="173"/>
  <c r="EA167" i="173"/>
  <c r="DZ167" i="173"/>
  <c r="DY167" i="173"/>
  <c r="DX167" i="173"/>
  <c r="DW167" i="173"/>
  <c r="DV167" i="173"/>
  <c r="DT167" i="173"/>
  <c r="DS167" i="173"/>
  <c r="DQ167" i="173"/>
  <c r="DP167" i="173"/>
  <c r="DO167" i="173"/>
  <c r="DN167" i="173"/>
  <c r="DJ167" i="173" s="1"/>
  <c r="CR167" i="173"/>
  <c r="CN167" i="173" s="1"/>
  <c r="H167" i="173" s="1"/>
  <c r="CL167" i="173"/>
  <c r="CK167" i="173"/>
  <c r="CI167" i="173"/>
  <c r="CH167" i="173"/>
  <c r="CG167" i="173"/>
  <c r="CF167" i="173"/>
  <c r="CE167" i="173"/>
  <c r="CD167" i="173"/>
  <c r="CC167" i="173"/>
  <c r="CB167" i="173"/>
  <c r="CA167" i="173"/>
  <c r="BX167" i="173"/>
  <c r="BW167" i="173"/>
  <c r="BT167" i="173"/>
  <c r="BS167" i="173"/>
  <c r="BR167" i="173"/>
  <c r="AZ167" i="173"/>
  <c r="AV167" i="173"/>
  <c r="AF167" i="173"/>
  <c r="BY167" i="173" s="1"/>
  <c r="AC167" i="173"/>
  <c r="BV167" i="173" s="1"/>
  <c r="ED166" i="173"/>
  <c r="EC166" i="173"/>
  <c r="EB166" i="173"/>
  <c r="EA166" i="173"/>
  <c r="DZ166" i="173"/>
  <c r="DY166" i="173"/>
  <c r="DX166" i="173"/>
  <c r="DW166" i="173"/>
  <c r="DV166" i="173"/>
  <c r="DT166" i="173"/>
  <c r="DS166" i="173"/>
  <c r="DP166" i="173"/>
  <c r="DO166" i="173"/>
  <c r="DN166" i="173"/>
  <c r="DM166" i="173"/>
  <c r="CN166" i="173"/>
  <c r="CL166" i="173"/>
  <c r="CK166" i="173"/>
  <c r="CI166" i="173"/>
  <c r="CH166" i="173"/>
  <c r="CG166" i="173"/>
  <c r="CF166" i="173"/>
  <c r="CE166" i="173"/>
  <c r="CD166" i="173"/>
  <c r="CC166" i="173"/>
  <c r="CB166" i="173"/>
  <c r="CA166" i="173"/>
  <c r="BX166" i="173"/>
  <c r="BW166" i="173"/>
  <c r="BS166" i="173"/>
  <c r="AV166" i="173"/>
  <c r="AF166" i="173"/>
  <c r="DQ166" i="173" s="1"/>
  <c r="AC166" i="173"/>
  <c r="BV166" i="173" s="1"/>
  <c r="AA166" i="173"/>
  <c r="H166" i="173"/>
  <c r="EC165" i="173"/>
  <c r="EB165" i="173"/>
  <c r="EA165" i="173"/>
  <c r="DZ165" i="173"/>
  <c r="DY165" i="173"/>
  <c r="DX165" i="173"/>
  <c r="DW165" i="173"/>
  <c r="DV165" i="173"/>
  <c r="DT165" i="173"/>
  <c r="DS165" i="173"/>
  <c r="DQ165" i="173"/>
  <c r="DP165" i="173"/>
  <c r="DO165" i="173"/>
  <c r="DN165" i="173"/>
  <c r="DH165" i="173"/>
  <c r="CN165" i="173" s="1"/>
  <c r="CK165" i="173"/>
  <c r="CI165" i="173"/>
  <c r="CH165" i="173"/>
  <c r="CG165" i="173"/>
  <c r="CF165" i="173"/>
  <c r="CE165" i="173"/>
  <c r="CD165" i="173"/>
  <c r="CC165" i="173"/>
  <c r="CB165" i="173"/>
  <c r="CA165" i="173"/>
  <c r="BY165" i="173"/>
  <c r="BX165" i="173"/>
  <c r="BW165" i="173"/>
  <c r="BV165" i="173"/>
  <c r="BT165" i="173"/>
  <c r="BS165" i="173"/>
  <c r="BP165" i="173"/>
  <c r="AS165" i="173"/>
  <c r="Y165" i="173" s="1"/>
  <c r="H165" i="173"/>
  <c r="EC164" i="173"/>
  <c r="EB164" i="173"/>
  <c r="EA164" i="173"/>
  <c r="DZ164" i="173"/>
  <c r="DY164" i="173"/>
  <c r="DX164" i="173"/>
  <c r="DX200" i="173" s="1"/>
  <c r="DW164" i="173"/>
  <c r="DV164" i="173"/>
  <c r="DT164" i="173"/>
  <c r="DS164" i="173"/>
  <c r="DQ164" i="173"/>
  <c r="DP164" i="173"/>
  <c r="DO164" i="173"/>
  <c r="DN164" i="173"/>
  <c r="DH164" i="173"/>
  <c r="CN164" i="173" s="1"/>
  <c r="CK164" i="173"/>
  <c r="CI164" i="173"/>
  <c r="CH164" i="173"/>
  <c r="CG164" i="173"/>
  <c r="CF164" i="173"/>
  <c r="CE164" i="173"/>
  <c r="CD164" i="173"/>
  <c r="CC164" i="173"/>
  <c r="CB164" i="173"/>
  <c r="CA164" i="173"/>
  <c r="BY164" i="173"/>
  <c r="BX164" i="173"/>
  <c r="BW164" i="173"/>
  <c r="BT164" i="173"/>
  <c r="BS164" i="173"/>
  <c r="BP164" i="173"/>
  <c r="AZ164" i="173"/>
  <c r="BV164" i="173" s="1"/>
  <c r="AV164" i="173"/>
  <c r="AS164" i="173"/>
  <c r="CL164" i="173" s="1"/>
  <c r="H164" i="173"/>
  <c r="ED163" i="173"/>
  <c r="EC163" i="173"/>
  <c r="EB163" i="173"/>
  <c r="EA163" i="173"/>
  <c r="DZ163" i="173"/>
  <c r="DY163" i="173"/>
  <c r="DX163" i="173"/>
  <c r="DW163" i="173"/>
  <c r="DV163" i="173"/>
  <c r="DT163" i="173"/>
  <c r="DS163" i="173"/>
  <c r="DP163" i="173"/>
  <c r="DO163" i="173"/>
  <c r="DM163" i="173"/>
  <c r="DL163" i="173"/>
  <c r="CN163" i="173"/>
  <c r="CL163" i="173"/>
  <c r="CK163" i="173"/>
  <c r="CJ163" i="173"/>
  <c r="CJ200" i="173" s="1"/>
  <c r="CI163" i="173"/>
  <c r="CH163" i="173"/>
  <c r="CG163" i="173"/>
  <c r="CF163" i="173"/>
  <c r="CE163" i="173"/>
  <c r="CD163" i="173"/>
  <c r="CC163" i="173"/>
  <c r="CB163" i="173"/>
  <c r="CA163" i="173"/>
  <c r="BY163" i="173"/>
  <c r="BX163" i="173"/>
  <c r="BW163" i="173"/>
  <c r="BS163" i="173"/>
  <c r="AV163" i="173"/>
  <c r="AU163" i="173"/>
  <c r="BQ163" i="173" s="1"/>
  <c r="AF163" i="173"/>
  <c r="DQ163" i="173" s="1"/>
  <c r="AC163" i="173"/>
  <c r="BV163" i="173" s="1"/>
  <c r="AA163" i="173"/>
  <c r="Y163" i="173" s="1"/>
  <c r="H163" i="173"/>
  <c r="ED162" i="173"/>
  <c r="EC162" i="173"/>
  <c r="EB162" i="173"/>
  <c r="EA162" i="173"/>
  <c r="DZ162" i="173"/>
  <c r="DY162" i="173"/>
  <c r="DX162" i="173"/>
  <c r="DW162" i="173"/>
  <c r="DV162" i="173"/>
  <c r="DT162" i="173"/>
  <c r="DS162" i="173"/>
  <c r="DQ162" i="173"/>
  <c r="DP162" i="173"/>
  <c r="DO162" i="173"/>
  <c r="CR162" i="173"/>
  <c r="CN162" i="173" s="1"/>
  <c r="CL162" i="173"/>
  <c r="CK162" i="173"/>
  <c r="CI162" i="173"/>
  <c r="CH162" i="173"/>
  <c r="CG162" i="173"/>
  <c r="CF162" i="173"/>
  <c r="CE162" i="173"/>
  <c r="CD162" i="173"/>
  <c r="CC162" i="173"/>
  <c r="CB162" i="173"/>
  <c r="CA162" i="173"/>
  <c r="BY162" i="173"/>
  <c r="BX162" i="173"/>
  <c r="BW162" i="173"/>
  <c r="BT162" i="173"/>
  <c r="BS162" i="173"/>
  <c r="AZ162" i="173"/>
  <c r="AV162" i="173"/>
  <c r="AU162" i="173" s="1"/>
  <c r="BQ162" i="173" s="1"/>
  <c r="AF162" i="173"/>
  <c r="AC162" i="173"/>
  <c r="Y162" i="173" s="1"/>
  <c r="ED161" i="173"/>
  <c r="EC161" i="173"/>
  <c r="EB161" i="173"/>
  <c r="EA161" i="173"/>
  <c r="DZ161" i="173"/>
  <c r="DY161" i="173"/>
  <c r="DX161" i="173"/>
  <c r="DW161" i="173"/>
  <c r="DV161" i="173"/>
  <c r="DT161" i="173"/>
  <c r="DS161" i="173"/>
  <c r="DQ161" i="173"/>
  <c r="DP161" i="173"/>
  <c r="DO161" i="173"/>
  <c r="CN161" i="173"/>
  <c r="H161" i="173" s="1"/>
  <c r="CL161" i="173"/>
  <c r="CK161" i="173"/>
  <c r="CI161" i="173"/>
  <c r="CH161" i="173"/>
  <c r="CG161" i="173"/>
  <c r="CF161" i="173"/>
  <c r="CE161" i="173"/>
  <c r="CD161" i="173"/>
  <c r="CC161" i="173"/>
  <c r="CB161" i="173"/>
  <c r="CA161" i="173"/>
  <c r="BY161" i="173"/>
  <c r="BX161" i="173"/>
  <c r="BW161" i="173"/>
  <c r="BT161" i="173"/>
  <c r="BS161" i="173"/>
  <c r="BH161" i="173"/>
  <c r="AV161" i="173"/>
  <c r="AC161" i="173"/>
  <c r="DN161" i="173" s="1"/>
  <c r="ED160" i="173"/>
  <c r="EC160" i="173"/>
  <c r="EB160" i="173"/>
  <c r="EA160" i="173"/>
  <c r="DZ160" i="173"/>
  <c r="DY160" i="173"/>
  <c r="DX160" i="173"/>
  <c r="DW160" i="173"/>
  <c r="DV160" i="173"/>
  <c r="DT160" i="173"/>
  <c r="DS160" i="173"/>
  <c r="DQ160" i="173"/>
  <c r="DP160" i="173"/>
  <c r="DO160" i="173"/>
  <c r="DN160" i="173"/>
  <c r="CN160" i="173"/>
  <c r="CM160" i="173"/>
  <c r="DI160" i="173" s="1"/>
  <c r="CL160" i="173"/>
  <c r="BR160" i="173" s="1"/>
  <c r="CK160" i="173"/>
  <c r="CI160" i="173"/>
  <c r="CH160" i="173"/>
  <c r="CG160" i="173"/>
  <c r="CF160" i="173"/>
  <c r="CE160" i="173"/>
  <c r="CD160" i="173"/>
  <c r="CC160" i="173"/>
  <c r="CB160" i="173"/>
  <c r="CA160" i="173"/>
  <c r="BY160" i="173"/>
  <c r="BX160" i="173"/>
  <c r="BW160" i="173"/>
  <c r="BV160" i="173"/>
  <c r="BT160" i="173"/>
  <c r="BS160" i="173"/>
  <c r="BP160" i="173"/>
  <c r="AV160" i="173" s="1"/>
  <c r="AU160" i="173" s="1"/>
  <c r="BQ160" i="173" s="1"/>
  <c r="AS160" i="173"/>
  <c r="Y160" i="173"/>
  <c r="H160" i="173"/>
  <c r="I160" i="173" s="1"/>
  <c r="ED159" i="173"/>
  <c r="EC159" i="173"/>
  <c r="EB159" i="173"/>
  <c r="EA159" i="173"/>
  <c r="DZ159" i="173"/>
  <c r="DY159" i="173"/>
  <c r="DX159" i="173"/>
  <c r="DW159" i="173"/>
  <c r="DW200" i="173" s="1"/>
  <c r="DV159" i="173"/>
  <c r="DT159" i="173"/>
  <c r="DS159" i="173"/>
  <c r="DQ159" i="173"/>
  <c r="DP159" i="173"/>
  <c r="DO159" i="173"/>
  <c r="DN159" i="173"/>
  <c r="DJ159" i="173"/>
  <c r="DI159" i="173"/>
  <c r="CN159" i="173"/>
  <c r="CL159" i="173"/>
  <c r="CK159" i="173"/>
  <c r="CI159" i="173"/>
  <c r="CH159" i="173"/>
  <c r="CG159" i="173"/>
  <c r="CF159" i="173"/>
  <c r="CE159" i="173"/>
  <c r="CD159" i="173"/>
  <c r="CC159" i="173"/>
  <c r="CB159" i="173"/>
  <c r="CA159" i="173"/>
  <c r="BY159" i="173"/>
  <c r="BX159" i="173"/>
  <c r="BW159" i="173"/>
  <c r="BT159" i="173"/>
  <c r="BS159" i="173"/>
  <c r="AZ159" i="173"/>
  <c r="AV159" i="173" s="1"/>
  <c r="AU159" i="173" s="1"/>
  <c r="BQ159" i="173" s="1"/>
  <c r="AC159" i="173"/>
  <c r="Y159" i="173"/>
  <c r="CM159" i="173" s="1"/>
  <c r="H159" i="173"/>
  <c r="ED158" i="173"/>
  <c r="EC158" i="173"/>
  <c r="EB158" i="173"/>
  <c r="EA158" i="173"/>
  <c r="DZ158" i="173"/>
  <c r="DX158" i="173"/>
  <c r="DW158" i="173"/>
  <c r="DV158" i="173"/>
  <c r="DT158" i="173"/>
  <c r="DS158" i="173"/>
  <c r="DQ158" i="173"/>
  <c r="DP158" i="173"/>
  <c r="DO158" i="173"/>
  <c r="CR158" i="173"/>
  <c r="CN158" i="173"/>
  <c r="H158" i="173" s="1"/>
  <c r="CL158" i="173"/>
  <c r="CK158" i="173"/>
  <c r="CI158" i="173"/>
  <c r="CH158" i="173"/>
  <c r="CF158" i="173"/>
  <c r="CE158" i="173"/>
  <c r="CD158" i="173"/>
  <c r="CC158" i="173"/>
  <c r="CB158" i="173"/>
  <c r="CA158" i="173"/>
  <c r="BY158" i="173"/>
  <c r="BX158" i="173"/>
  <c r="BW158" i="173"/>
  <c r="BT158" i="173"/>
  <c r="BS158" i="173"/>
  <c r="AZ158" i="173"/>
  <c r="BV158" i="173" s="1"/>
  <c r="AV158" i="173"/>
  <c r="AN158" i="173"/>
  <c r="AC158" i="173"/>
  <c r="ED157" i="173"/>
  <c r="EC157" i="173"/>
  <c r="EB157" i="173"/>
  <c r="EA157" i="173"/>
  <c r="DZ157" i="173"/>
  <c r="DY157" i="173"/>
  <c r="DX157" i="173"/>
  <c r="DW157" i="173"/>
  <c r="DV157" i="173"/>
  <c r="DT157" i="173"/>
  <c r="DS157" i="173"/>
  <c r="DQ157" i="173"/>
  <c r="DP157" i="173"/>
  <c r="CR157" i="173"/>
  <c r="CN157" i="173" s="1"/>
  <c r="H157" i="173" s="1"/>
  <c r="CL157" i="173"/>
  <c r="CK157" i="173"/>
  <c r="CI157" i="173"/>
  <c r="CH157" i="173"/>
  <c r="CG157" i="173"/>
  <c r="CF157" i="173"/>
  <c r="CE157" i="173"/>
  <c r="CD157" i="173"/>
  <c r="CC157" i="173"/>
  <c r="CB157" i="173"/>
  <c r="CA157" i="173"/>
  <c r="BY157" i="173"/>
  <c r="BX157" i="173"/>
  <c r="BT157" i="173"/>
  <c r="BS157" i="173"/>
  <c r="AZ157" i="173"/>
  <c r="AV157" i="173" s="1"/>
  <c r="AD157" i="173"/>
  <c r="DO157" i="173" s="1"/>
  <c r="AC157" i="173"/>
  <c r="ED156" i="173"/>
  <c r="EC156" i="173"/>
  <c r="EB156" i="173"/>
  <c r="EA156" i="173"/>
  <c r="DZ156" i="173"/>
  <c r="DY156" i="173"/>
  <c r="DX156" i="173"/>
  <c r="DW156" i="173"/>
  <c r="DV156" i="173"/>
  <c r="DT156" i="173"/>
  <c r="DS156" i="173"/>
  <c r="DQ156" i="173"/>
  <c r="DP156" i="173"/>
  <c r="DO156" i="173"/>
  <c r="CN156" i="173"/>
  <c r="CL156" i="173"/>
  <c r="CK156" i="173"/>
  <c r="CI156" i="173"/>
  <c r="CH156" i="173"/>
  <c r="CG156" i="173"/>
  <c r="CF156" i="173"/>
  <c r="CE156" i="173"/>
  <c r="CD156" i="173"/>
  <c r="CC156" i="173"/>
  <c r="CB156" i="173"/>
  <c r="CA156" i="173"/>
  <c r="BY156" i="173"/>
  <c r="BX156" i="173"/>
  <c r="BW156" i="173"/>
  <c r="BT156" i="173"/>
  <c r="BS156" i="173"/>
  <c r="AZ156" i="173"/>
  <c r="AV156" i="173" s="1"/>
  <c r="AU156" i="173" s="1"/>
  <c r="BQ156" i="173" s="1"/>
  <c r="AC156" i="173"/>
  <c r="Y156" i="173"/>
  <c r="CM156" i="173" s="1"/>
  <c r="DI156" i="173" s="1"/>
  <c r="I156" i="173"/>
  <c r="H156" i="173"/>
  <c r="ED155" i="173"/>
  <c r="EC155" i="173"/>
  <c r="EB155" i="173"/>
  <c r="EA155" i="173"/>
  <c r="DZ155" i="173"/>
  <c r="DY155" i="173"/>
  <c r="DX155" i="173"/>
  <c r="DW155" i="173"/>
  <c r="DV155" i="173"/>
  <c r="DT155" i="173"/>
  <c r="DS155" i="173"/>
  <c r="DQ155" i="173"/>
  <c r="DP155" i="173"/>
  <c r="DO155" i="173"/>
  <c r="CR155" i="173"/>
  <c r="CN155" i="173" s="1"/>
  <c r="H155" i="173" s="1"/>
  <c r="CL155" i="173"/>
  <c r="CK155" i="173"/>
  <c r="CI155" i="173"/>
  <c r="CH155" i="173"/>
  <c r="CG155" i="173"/>
  <c r="CF155" i="173"/>
  <c r="CE155" i="173"/>
  <c r="CD155" i="173"/>
  <c r="CC155" i="173"/>
  <c r="CB155" i="173"/>
  <c r="CA155" i="173"/>
  <c r="BY155" i="173"/>
  <c r="BX155" i="173"/>
  <c r="BW155" i="173"/>
  <c r="BT155" i="173"/>
  <c r="BS155" i="173"/>
  <c r="AZ155" i="173"/>
  <c r="AV155" i="173"/>
  <c r="AC155" i="173"/>
  <c r="ED154" i="173"/>
  <c r="EC154" i="173"/>
  <c r="EB154" i="173"/>
  <c r="EA154" i="173"/>
  <c r="DZ154" i="173"/>
  <c r="DY154" i="173"/>
  <c r="DX154" i="173"/>
  <c r="DW154" i="173"/>
  <c r="DV154" i="173"/>
  <c r="DT154" i="173"/>
  <c r="DS154" i="173"/>
  <c r="DQ154" i="173"/>
  <c r="DP154" i="173"/>
  <c r="DO154" i="173"/>
  <c r="CN154" i="173"/>
  <c r="H154" i="173" s="1"/>
  <c r="CL154" i="173"/>
  <c r="CK154" i="173"/>
  <c r="CI154" i="173"/>
  <c r="CH154" i="173"/>
  <c r="CG154" i="173"/>
  <c r="CF154" i="173"/>
  <c r="CE154" i="173"/>
  <c r="CD154" i="173"/>
  <c r="CC154" i="173"/>
  <c r="CB154" i="173"/>
  <c r="CA154" i="173"/>
  <c r="BY154" i="173"/>
  <c r="BX154" i="173"/>
  <c r="BW154" i="173"/>
  <c r="BV154" i="173"/>
  <c r="BT154" i="173"/>
  <c r="BS154" i="173"/>
  <c r="AV154" i="173"/>
  <c r="AC154" i="173"/>
  <c r="DN154" i="173" s="1"/>
  <c r="DJ154" i="173" s="1"/>
  <c r="ED153" i="173"/>
  <c r="EB153" i="173"/>
  <c r="EA153" i="173"/>
  <c r="DZ153" i="173"/>
  <c r="DY153" i="173"/>
  <c r="DX153" i="173"/>
  <c r="DW153" i="173"/>
  <c r="DT153" i="173"/>
  <c r="DS153" i="173"/>
  <c r="DQ153" i="173"/>
  <c r="DP153" i="173"/>
  <c r="DO153" i="173"/>
  <c r="CZ153" i="173"/>
  <c r="CZ195" i="173" s="1"/>
  <c r="CR153" i="173"/>
  <c r="CN153" i="173" s="1"/>
  <c r="CL153" i="173"/>
  <c r="CK153" i="173"/>
  <c r="CI153" i="173"/>
  <c r="CH153" i="173"/>
  <c r="CG153" i="173"/>
  <c r="CF153" i="173"/>
  <c r="CE153" i="173"/>
  <c r="CC153" i="173"/>
  <c r="CB153" i="173"/>
  <c r="CA153" i="173"/>
  <c r="BY153" i="173"/>
  <c r="BX153" i="173"/>
  <c r="BW153" i="173"/>
  <c r="BT153" i="173"/>
  <c r="BS153" i="173"/>
  <c r="BH153" i="173"/>
  <c r="CD153" i="173" s="1"/>
  <c r="AZ153" i="173"/>
  <c r="AV153" i="173" s="1"/>
  <c r="AC153" i="173"/>
  <c r="H153" i="173"/>
  <c r="ED152" i="173"/>
  <c r="EB152" i="173"/>
  <c r="EA152" i="173"/>
  <c r="DZ152" i="173"/>
  <c r="DY152" i="173"/>
  <c r="DX152" i="173"/>
  <c r="DW152" i="173"/>
  <c r="DV152" i="173"/>
  <c r="DT152" i="173"/>
  <c r="DS152" i="173"/>
  <c r="DQ152" i="173"/>
  <c r="DP152" i="173"/>
  <c r="DO152" i="173"/>
  <c r="DN152" i="173"/>
  <c r="CR152" i="173"/>
  <c r="CN152" i="173"/>
  <c r="CL152" i="173"/>
  <c r="CK152" i="173"/>
  <c r="CI152" i="173"/>
  <c r="CH152" i="173"/>
  <c r="CG152" i="173"/>
  <c r="CF152" i="173"/>
  <c r="CE152" i="173"/>
  <c r="CE200" i="173" s="1"/>
  <c r="CD152" i="173"/>
  <c r="CC152" i="173"/>
  <c r="CB152" i="173"/>
  <c r="CA152" i="173"/>
  <c r="BY152" i="173"/>
  <c r="BX152" i="173"/>
  <c r="BW152" i="173"/>
  <c r="BV152" i="173"/>
  <c r="BT152" i="173"/>
  <c r="BS152" i="173"/>
  <c r="AV152" i="173"/>
  <c r="AC152" i="173"/>
  <c r="Y152" i="173"/>
  <c r="CN151" i="173"/>
  <c r="AV151" i="173"/>
  <c r="AC151" i="173"/>
  <c r="Y151" i="173"/>
  <c r="H151" i="173"/>
  <c r="EB150" i="173"/>
  <c r="EA150" i="173"/>
  <c r="DZ150" i="173"/>
  <c r="DY150" i="173"/>
  <c r="DX150" i="173"/>
  <c r="DW150" i="173"/>
  <c r="DV150" i="173"/>
  <c r="DT150" i="173"/>
  <c r="DS150" i="173"/>
  <c r="DQ150" i="173"/>
  <c r="DP150" i="173"/>
  <c r="DO150" i="173"/>
  <c r="DN150" i="173"/>
  <c r="DH150" i="173"/>
  <c r="CN150" i="173" s="1"/>
  <c r="H150" i="173" s="1"/>
  <c r="I150" i="173" s="1"/>
  <c r="CM150" i="173"/>
  <c r="DI150" i="173" s="1"/>
  <c r="CL150" i="173"/>
  <c r="CK150" i="173"/>
  <c r="CI150" i="173"/>
  <c r="CH150" i="173"/>
  <c r="CG150" i="173"/>
  <c r="CF150" i="173"/>
  <c r="CE150" i="173"/>
  <c r="CD150" i="173"/>
  <c r="CC150" i="173"/>
  <c r="CB150" i="173"/>
  <c r="CA150" i="173"/>
  <c r="BY150" i="173"/>
  <c r="BX150" i="173"/>
  <c r="BW150" i="173"/>
  <c r="BV150" i="173"/>
  <c r="BT150" i="173"/>
  <c r="BS150" i="173"/>
  <c r="BP150" i="173"/>
  <c r="AV150" i="173" s="1"/>
  <c r="AS150" i="173"/>
  <c r="AS199" i="173" s="1"/>
  <c r="Y150" i="173"/>
  <c r="ED149" i="173"/>
  <c r="EB149" i="173"/>
  <c r="EA149" i="173"/>
  <c r="DZ149" i="173"/>
  <c r="DY149" i="173"/>
  <c r="DX149" i="173"/>
  <c r="DW149" i="173"/>
  <c r="DV149" i="173"/>
  <c r="DT149" i="173"/>
  <c r="DS149" i="173"/>
  <c r="DQ149" i="173"/>
  <c r="DP149" i="173"/>
  <c r="DO149" i="173"/>
  <c r="CN149" i="173"/>
  <c r="CL149" i="173"/>
  <c r="CK149" i="173"/>
  <c r="CI149" i="173"/>
  <c r="CH149" i="173"/>
  <c r="CG149" i="173"/>
  <c r="CF149" i="173"/>
  <c r="CE149" i="173"/>
  <c r="CD149" i="173"/>
  <c r="CC149" i="173"/>
  <c r="CB149" i="173"/>
  <c r="CA149" i="173"/>
  <c r="BY149" i="173"/>
  <c r="BX149" i="173"/>
  <c r="BW149" i="173"/>
  <c r="BT149" i="173"/>
  <c r="BS149" i="173"/>
  <c r="AV149" i="173"/>
  <c r="AC149" i="173"/>
  <c r="H149" i="173"/>
  <c r="ED148" i="173"/>
  <c r="EB148" i="173"/>
  <c r="EA148" i="173"/>
  <c r="DZ148" i="173"/>
  <c r="DY148" i="173"/>
  <c r="DX148" i="173"/>
  <c r="DW148" i="173"/>
  <c r="DV148" i="173"/>
  <c r="DT148" i="173"/>
  <c r="DS148" i="173"/>
  <c r="DQ148" i="173"/>
  <c r="DP148" i="173"/>
  <c r="DO148" i="173"/>
  <c r="CR148" i="173"/>
  <c r="CN148" i="173" s="1"/>
  <c r="CL148" i="173"/>
  <c r="CK148" i="173"/>
  <c r="CI148" i="173"/>
  <c r="CH148" i="173"/>
  <c r="CG148" i="173"/>
  <c r="CF148" i="173"/>
  <c r="CE148" i="173"/>
  <c r="CD148" i="173"/>
  <c r="CC148" i="173"/>
  <c r="CB148" i="173"/>
  <c r="CA148" i="173"/>
  <c r="BY148" i="173"/>
  <c r="BX148" i="173"/>
  <c r="BW148" i="173"/>
  <c r="BT148" i="173"/>
  <c r="BS148" i="173"/>
  <c r="AZ148" i="173"/>
  <c r="AV148" i="173"/>
  <c r="AC148" i="173"/>
  <c r="BV148" i="173" s="1"/>
  <c r="Y148" i="173"/>
  <c r="ED147" i="173"/>
  <c r="EB147" i="173"/>
  <c r="EA147" i="173"/>
  <c r="DZ147" i="173"/>
  <c r="DY147" i="173"/>
  <c r="DX147" i="173"/>
  <c r="DW147" i="173"/>
  <c r="DV147" i="173"/>
  <c r="DT147" i="173"/>
  <c r="DS147" i="173"/>
  <c r="DQ147" i="173"/>
  <c r="DP147" i="173"/>
  <c r="DO147" i="173"/>
  <c r="DN147" i="173"/>
  <c r="DJ147" i="173" s="1"/>
  <c r="CR147" i="173"/>
  <c r="CN147" i="173" s="1"/>
  <c r="CL147" i="173"/>
  <c r="CK147" i="173"/>
  <c r="CI147" i="173"/>
  <c r="CH147" i="173"/>
  <c r="CG147" i="173"/>
  <c r="CF147" i="173"/>
  <c r="CE147" i="173"/>
  <c r="CD147" i="173"/>
  <c r="CC147" i="173"/>
  <c r="CB147" i="173"/>
  <c r="CA147" i="173"/>
  <c r="BY147" i="173"/>
  <c r="BX147" i="173"/>
  <c r="BW147" i="173"/>
  <c r="BT147" i="173"/>
  <c r="BS147" i="173"/>
  <c r="AZ147" i="173"/>
  <c r="AV147" i="173" s="1"/>
  <c r="AN147" i="173"/>
  <c r="AC147" i="173"/>
  <c r="H147" i="173"/>
  <c r="ED146" i="173"/>
  <c r="EB146" i="173"/>
  <c r="EA146" i="173"/>
  <c r="DZ146" i="173"/>
  <c r="DY146" i="173"/>
  <c r="DX146" i="173"/>
  <c r="DW146" i="173"/>
  <c r="DV146" i="173"/>
  <c r="DT146" i="173"/>
  <c r="DS146" i="173"/>
  <c r="DQ146" i="173"/>
  <c r="DP146" i="173"/>
  <c r="DO146" i="173"/>
  <c r="CN146" i="173"/>
  <c r="CL146" i="173"/>
  <c r="CK146" i="173"/>
  <c r="CI146" i="173"/>
  <c r="CH146" i="173"/>
  <c r="CG146" i="173"/>
  <c r="CF146" i="173"/>
  <c r="CE146" i="173"/>
  <c r="CD146" i="173"/>
  <c r="CC146" i="173"/>
  <c r="CB146" i="173"/>
  <c r="CA146" i="173"/>
  <c r="BY146" i="173"/>
  <c r="BX146" i="173"/>
  <c r="BW146" i="173"/>
  <c r="BT146" i="173"/>
  <c r="BS146" i="173"/>
  <c r="AV146" i="173"/>
  <c r="AC146" i="173"/>
  <c r="H146" i="173"/>
  <c r="ED145" i="173"/>
  <c r="EB145" i="173"/>
  <c r="EA145" i="173"/>
  <c r="DZ145" i="173"/>
  <c r="DY145" i="173"/>
  <c r="DX145" i="173"/>
  <c r="DW145" i="173"/>
  <c r="DV145" i="173"/>
  <c r="DT145" i="173"/>
  <c r="DS145" i="173"/>
  <c r="DQ145" i="173"/>
  <c r="DP145" i="173"/>
  <c r="DO145" i="173"/>
  <c r="DN145" i="173"/>
  <c r="CN145" i="173"/>
  <c r="CL145" i="173"/>
  <c r="CK145" i="173"/>
  <c r="CI145" i="173"/>
  <c r="CH145" i="173"/>
  <c r="CG145" i="173"/>
  <c r="CF145" i="173"/>
  <c r="CE145" i="173"/>
  <c r="CD145" i="173"/>
  <c r="CC145" i="173"/>
  <c r="CB145" i="173"/>
  <c r="CA145" i="173"/>
  <c r="BY145" i="173"/>
  <c r="BX145" i="173"/>
  <c r="BW145" i="173"/>
  <c r="BT145" i="173"/>
  <c r="BS145" i="173"/>
  <c r="AV145" i="173"/>
  <c r="AC145" i="173"/>
  <c r="H145" i="173"/>
  <c r="ED144" i="173"/>
  <c r="EB144" i="173"/>
  <c r="EA144" i="173"/>
  <c r="DZ144" i="173"/>
  <c r="DY144" i="173"/>
  <c r="DX144" i="173"/>
  <c r="DW144" i="173"/>
  <c r="DV144" i="173"/>
  <c r="DT144" i="173"/>
  <c r="DS144" i="173"/>
  <c r="DQ144" i="173"/>
  <c r="DP144" i="173"/>
  <c r="DO144" i="173"/>
  <c r="CN144" i="173"/>
  <c r="CL144" i="173"/>
  <c r="CK144" i="173"/>
  <c r="CI144" i="173"/>
  <c r="CH144" i="173"/>
  <c r="CG144" i="173"/>
  <c r="CF144" i="173"/>
  <c r="CE144" i="173"/>
  <c r="CD144" i="173"/>
  <c r="CC144" i="173"/>
  <c r="CB144" i="173"/>
  <c r="CA144" i="173"/>
  <c r="BY144" i="173"/>
  <c r="BX144" i="173"/>
  <c r="BW144" i="173"/>
  <c r="BT144" i="173"/>
  <c r="BS144" i="173"/>
  <c r="AV144" i="173"/>
  <c r="AC144" i="173"/>
  <c r="BV144" i="173" s="1"/>
  <c r="H144" i="173"/>
  <c r="ED143" i="173"/>
  <c r="EB143" i="173"/>
  <c r="EA143" i="173"/>
  <c r="DZ143" i="173"/>
  <c r="DY143" i="173"/>
  <c r="DX143" i="173"/>
  <c r="DW143" i="173"/>
  <c r="DV143" i="173"/>
  <c r="DT143" i="173"/>
  <c r="DS143" i="173"/>
  <c r="DQ143" i="173"/>
  <c r="DP143" i="173"/>
  <c r="DO143" i="173"/>
  <c r="CN143" i="173"/>
  <c r="CL143" i="173"/>
  <c r="CK143" i="173"/>
  <c r="CI143" i="173"/>
  <c r="CH143" i="173"/>
  <c r="CG143" i="173"/>
  <c r="CF143" i="173"/>
  <c r="CE143" i="173"/>
  <c r="CD143" i="173"/>
  <c r="CC143" i="173"/>
  <c r="CB143" i="173"/>
  <c r="CA143" i="173"/>
  <c r="BY143" i="173"/>
  <c r="BX143" i="173"/>
  <c r="BW143" i="173"/>
  <c r="BT143" i="173"/>
  <c r="BS143" i="173"/>
  <c r="AV143" i="173"/>
  <c r="AC143" i="173"/>
  <c r="Y143" i="173" s="1"/>
  <c r="AU143" i="173" s="1"/>
  <c r="BQ143" i="173" s="1"/>
  <c r="ED142" i="173"/>
  <c r="EB142" i="173"/>
  <c r="EA142" i="173"/>
  <c r="DZ142" i="173"/>
  <c r="DY142" i="173"/>
  <c r="DX142" i="173"/>
  <c r="DW142" i="173"/>
  <c r="DV142" i="173"/>
  <c r="DT142" i="173"/>
  <c r="DS142" i="173"/>
  <c r="DQ142" i="173"/>
  <c r="DP142" i="173"/>
  <c r="DO142" i="173"/>
  <c r="DN142" i="173"/>
  <c r="DJ142" i="173" s="1"/>
  <c r="CN142" i="173"/>
  <c r="CL142" i="173"/>
  <c r="CK142" i="173"/>
  <c r="CI142" i="173"/>
  <c r="CH142" i="173"/>
  <c r="CG142" i="173"/>
  <c r="CF142" i="173"/>
  <c r="CE142" i="173"/>
  <c r="CD142" i="173"/>
  <c r="CC142" i="173"/>
  <c r="CB142" i="173"/>
  <c r="CA142" i="173"/>
  <c r="BY142" i="173"/>
  <c r="BX142" i="173"/>
  <c r="BW142" i="173"/>
  <c r="BV142" i="173"/>
  <c r="BT142" i="173"/>
  <c r="BS142" i="173"/>
  <c r="AZ142" i="173"/>
  <c r="AV142" i="173" s="1"/>
  <c r="AC142" i="173"/>
  <c r="Y142" i="173" s="1"/>
  <c r="ED141" i="173"/>
  <c r="EB141" i="173"/>
  <c r="EA141" i="173"/>
  <c r="DZ141" i="173"/>
  <c r="DY141" i="173"/>
  <c r="DX141" i="173"/>
  <c r="DW141" i="173"/>
  <c r="DV141" i="173"/>
  <c r="DT141" i="173"/>
  <c r="DS141" i="173"/>
  <c r="DQ141" i="173"/>
  <c r="DP141" i="173"/>
  <c r="DO141" i="173"/>
  <c r="CN141" i="173"/>
  <c r="H141" i="173" s="1"/>
  <c r="I141" i="173" s="1"/>
  <c r="CM141" i="173"/>
  <c r="DI141" i="173" s="1"/>
  <c r="CL141" i="173"/>
  <c r="CK141" i="173"/>
  <c r="CI141" i="173"/>
  <c r="CH141" i="173"/>
  <c r="CG141" i="173"/>
  <c r="CF141" i="173"/>
  <c r="CE141" i="173"/>
  <c r="CD141" i="173"/>
  <c r="CC141" i="173"/>
  <c r="CB141" i="173"/>
  <c r="CA141" i="173"/>
  <c r="BY141" i="173"/>
  <c r="BX141" i="173"/>
  <c r="BW141" i="173"/>
  <c r="BV141" i="173"/>
  <c r="BT141" i="173"/>
  <c r="BS141" i="173"/>
  <c r="AV141" i="173"/>
  <c r="AU141" i="173" s="1"/>
  <c r="BQ141" i="173" s="1"/>
  <c r="AC141" i="173"/>
  <c r="DN141" i="173" s="1"/>
  <c r="Y141" i="173"/>
  <c r="ED140" i="173"/>
  <c r="EB140" i="173"/>
  <c r="EA140" i="173"/>
  <c r="DZ140" i="173"/>
  <c r="DY140" i="173"/>
  <c r="DX140" i="173"/>
  <c r="DW140" i="173"/>
  <c r="DV140" i="173"/>
  <c r="DT140" i="173"/>
  <c r="DS140" i="173"/>
  <c r="DQ140" i="173"/>
  <c r="DP140" i="173"/>
  <c r="DO140" i="173"/>
  <c r="CN140" i="173"/>
  <c r="CL140" i="173"/>
  <c r="CK140" i="173"/>
  <c r="CI140" i="173"/>
  <c r="CH140" i="173"/>
  <c r="CG140" i="173"/>
  <c r="CF140" i="173"/>
  <c r="CE140" i="173"/>
  <c r="CD140" i="173"/>
  <c r="CC140" i="173"/>
  <c r="CB140" i="173"/>
  <c r="CA140" i="173"/>
  <c r="BY140" i="173"/>
  <c r="BX140" i="173"/>
  <c r="BW140" i="173"/>
  <c r="BT140" i="173"/>
  <c r="BS140" i="173"/>
  <c r="AV140" i="173"/>
  <c r="AC140" i="173"/>
  <c r="H140" i="173"/>
  <c r="ED139" i="173"/>
  <c r="EB139" i="173"/>
  <c r="EA139" i="173"/>
  <c r="DZ139" i="173"/>
  <c r="DY139" i="173"/>
  <c r="DX139" i="173"/>
  <c r="DW139" i="173"/>
  <c r="DV139" i="173"/>
  <c r="DT139" i="173"/>
  <c r="DS139" i="173"/>
  <c r="DQ139" i="173"/>
  <c r="DP139" i="173"/>
  <c r="DO139" i="173"/>
  <c r="CN139" i="173"/>
  <c r="CL139" i="173"/>
  <c r="CK139" i="173"/>
  <c r="CI139" i="173"/>
  <c r="CH139" i="173"/>
  <c r="CG139" i="173"/>
  <c r="CF139" i="173"/>
  <c r="CE139" i="173"/>
  <c r="CD139" i="173"/>
  <c r="CC139" i="173"/>
  <c r="CB139" i="173"/>
  <c r="CA139" i="173"/>
  <c r="BY139" i="173"/>
  <c r="BX139" i="173"/>
  <c r="BW139" i="173"/>
  <c r="BT139" i="173"/>
  <c r="BS139" i="173"/>
  <c r="BR139" i="173"/>
  <c r="AV139" i="173"/>
  <c r="AC139" i="173"/>
  <c r="BV139" i="173" s="1"/>
  <c r="H139" i="173"/>
  <c r="ED138" i="173"/>
  <c r="EB138" i="173"/>
  <c r="EA138" i="173"/>
  <c r="DZ138" i="173"/>
  <c r="DY138" i="173"/>
  <c r="DX138" i="173"/>
  <c r="DW138" i="173"/>
  <c r="DV138" i="173"/>
  <c r="DU138" i="173"/>
  <c r="DT138" i="173"/>
  <c r="DS138" i="173"/>
  <c r="DQ138" i="173"/>
  <c r="DP138" i="173"/>
  <c r="DO138" i="173"/>
  <c r="DN138" i="173"/>
  <c r="CN138" i="173"/>
  <c r="CL138" i="173"/>
  <c r="CK138" i="173"/>
  <c r="CI138" i="173"/>
  <c r="CH138" i="173"/>
  <c r="CG138" i="173"/>
  <c r="CF138" i="173"/>
  <c r="CE138" i="173"/>
  <c r="CD138" i="173"/>
  <c r="CC138" i="173"/>
  <c r="CB138" i="173"/>
  <c r="CA138" i="173"/>
  <c r="BY138" i="173"/>
  <c r="BX138" i="173"/>
  <c r="BW138" i="173"/>
  <c r="BV138" i="173"/>
  <c r="BT138" i="173"/>
  <c r="BS138" i="173"/>
  <c r="AV138" i="173"/>
  <c r="AU138" i="173"/>
  <c r="BQ138" i="173" s="1"/>
  <c r="Y138" i="173"/>
  <c r="ED137" i="173"/>
  <c r="EB137" i="173"/>
  <c r="EA137" i="173"/>
  <c r="DZ137" i="173"/>
  <c r="DY137" i="173"/>
  <c r="DX137" i="173"/>
  <c r="DW137" i="173"/>
  <c r="DV137" i="173"/>
  <c r="DU137" i="173"/>
  <c r="DT137" i="173"/>
  <c r="DS137" i="173"/>
  <c r="DQ137" i="173"/>
  <c r="DP137" i="173"/>
  <c r="DO137" i="173"/>
  <c r="DN137" i="173"/>
  <c r="CN137" i="173"/>
  <c r="CL137" i="173"/>
  <c r="CK137" i="173"/>
  <c r="CK199" i="173" s="1"/>
  <c r="CJ137" i="173"/>
  <c r="CJ199" i="173" s="1"/>
  <c r="CI137" i="173"/>
  <c r="CH137" i="173"/>
  <c r="CG137" i="173"/>
  <c r="CF137" i="173"/>
  <c r="CE137" i="173"/>
  <c r="CD137" i="173"/>
  <c r="CC137" i="173"/>
  <c r="CB137" i="173"/>
  <c r="BR137" i="173" s="1"/>
  <c r="CA137" i="173"/>
  <c r="BY137" i="173"/>
  <c r="BX137" i="173"/>
  <c r="BW137" i="173"/>
  <c r="BT137" i="173"/>
  <c r="BS137" i="173"/>
  <c r="AV137" i="173"/>
  <c r="AC137" i="173"/>
  <c r="BV137" i="173" s="1"/>
  <c r="H137" i="173"/>
  <c r="ED136" i="173"/>
  <c r="EB136" i="173"/>
  <c r="EA136" i="173"/>
  <c r="DZ136" i="173"/>
  <c r="DY136" i="173"/>
  <c r="DX136" i="173"/>
  <c r="DW136" i="173"/>
  <c r="DV136" i="173"/>
  <c r="DT136" i="173"/>
  <c r="DS136" i="173"/>
  <c r="DQ136" i="173"/>
  <c r="DP136" i="173"/>
  <c r="DO136" i="173"/>
  <c r="CN136" i="173"/>
  <c r="H136" i="173" s="1"/>
  <c r="CL136" i="173"/>
  <c r="CI136" i="173"/>
  <c r="CH136" i="173"/>
  <c r="CG136" i="173"/>
  <c r="CF136" i="173"/>
  <c r="CE136" i="173"/>
  <c r="CD136" i="173"/>
  <c r="CC136" i="173"/>
  <c r="CB136" i="173"/>
  <c r="CA136" i="173"/>
  <c r="BY136" i="173"/>
  <c r="BX136" i="173"/>
  <c r="BW136" i="173"/>
  <c r="BT136" i="173"/>
  <c r="BS136" i="173"/>
  <c r="BQ136" i="173"/>
  <c r="AV136" i="173"/>
  <c r="AU136" i="173" s="1"/>
  <c r="AC136" i="173"/>
  <c r="DN136" i="173" s="1"/>
  <c r="Y136" i="173"/>
  <c r="ED135" i="173"/>
  <c r="EB135" i="173"/>
  <c r="EA135" i="173"/>
  <c r="DZ135" i="173"/>
  <c r="DY135" i="173"/>
  <c r="DX135" i="173"/>
  <c r="DW135" i="173"/>
  <c r="DV135" i="173"/>
  <c r="DT135" i="173"/>
  <c r="DS135" i="173"/>
  <c r="DQ135" i="173"/>
  <c r="DP135" i="173"/>
  <c r="CS135" i="173"/>
  <c r="CS195" i="173" s="1"/>
  <c r="CR135" i="173"/>
  <c r="CR199" i="173" s="1"/>
  <c r="CL135" i="173"/>
  <c r="CI135" i="173"/>
  <c r="CH135" i="173"/>
  <c r="CG135" i="173"/>
  <c r="CF135" i="173"/>
  <c r="CE135" i="173"/>
  <c r="CD135" i="173"/>
  <c r="CC135" i="173"/>
  <c r="CB135" i="173"/>
  <c r="CA135" i="173"/>
  <c r="BY135" i="173"/>
  <c r="BX135" i="173"/>
  <c r="BT135" i="173"/>
  <c r="BS135" i="173"/>
  <c r="BA135" i="173"/>
  <c r="AZ135" i="173"/>
  <c r="AD135" i="173"/>
  <c r="AD199" i="173" s="1"/>
  <c r="AC135" i="173"/>
  <c r="Y135" i="173"/>
  <c r="ED134" i="173"/>
  <c r="EB134" i="173"/>
  <c r="EA134" i="173"/>
  <c r="DY134" i="173"/>
  <c r="DX134" i="173"/>
  <c r="DW134" i="173"/>
  <c r="DV134" i="173"/>
  <c r="DT134" i="173"/>
  <c r="DS134" i="173"/>
  <c r="DQ134" i="173"/>
  <c r="DP134" i="173"/>
  <c r="DO134" i="173"/>
  <c r="DD134" i="173"/>
  <c r="CR134" i="173"/>
  <c r="CL134" i="173"/>
  <c r="CI134" i="173"/>
  <c r="CG134" i="173"/>
  <c r="CF134" i="173"/>
  <c r="CE134" i="173"/>
  <c r="CD134" i="173"/>
  <c r="CC134" i="173"/>
  <c r="CB134" i="173"/>
  <c r="CA134" i="173"/>
  <c r="BY134" i="173"/>
  <c r="BX134" i="173"/>
  <c r="BW134" i="173"/>
  <c r="BT134" i="173"/>
  <c r="BS134" i="173"/>
  <c r="BL134" i="173"/>
  <c r="BL199" i="173" s="1"/>
  <c r="AZ134" i="173"/>
  <c r="AC134" i="173"/>
  <c r="ED133" i="173"/>
  <c r="EB133" i="173"/>
  <c r="EA133" i="173"/>
  <c r="DZ133" i="173"/>
  <c r="DY133" i="173"/>
  <c r="DX133" i="173"/>
  <c r="DW133" i="173"/>
  <c r="DV133" i="173"/>
  <c r="DT133" i="173"/>
  <c r="DS133" i="173"/>
  <c r="DQ133" i="173"/>
  <c r="DQ199" i="173" s="1"/>
  <c r="DP133" i="173"/>
  <c r="DO133" i="173"/>
  <c r="DN133" i="173"/>
  <c r="CN133" i="173"/>
  <c r="H133" i="173" s="1"/>
  <c r="I133" i="173" s="1"/>
  <c r="CL133" i="173"/>
  <c r="CI133" i="173"/>
  <c r="CH133" i="173"/>
  <c r="CG133" i="173"/>
  <c r="CF133" i="173"/>
  <c r="CE133" i="173"/>
  <c r="CD133" i="173"/>
  <c r="CC133" i="173"/>
  <c r="CB133" i="173"/>
  <c r="CA133" i="173"/>
  <c r="BY133" i="173"/>
  <c r="BX133" i="173"/>
  <c r="BW133" i="173"/>
  <c r="BV133" i="173"/>
  <c r="BT133" i="173"/>
  <c r="BS133" i="173"/>
  <c r="BR133" i="173"/>
  <c r="AV133" i="173"/>
  <c r="AU133" i="173" s="1"/>
  <c r="BQ133" i="173" s="1"/>
  <c r="Y133" i="173"/>
  <c r="ED132" i="173"/>
  <c r="EB132" i="173"/>
  <c r="EA132" i="173"/>
  <c r="DY132" i="173"/>
  <c r="DX132" i="173"/>
  <c r="DW132" i="173"/>
  <c r="DV132" i="173"/>
  <c r="DT132" i="173"/>
  <c r="DT199" i="173" s="1"/>
  <c r="DS132" i="173"/>
  <c r="DS199" i="173" s="1"/>
  <c r="DQ132" i="173"/>
  <c r="DO132" i="173"/>
  <c r="CN132" i="173"/>
  <c r="CL132" i="173"/>
  <c r="CI132" i="173"/>
  <c r="CG132" i="173"/>
  <c r="CF132" i="173"/>
  <c r="CE132" i="173"/>
  <c r="CD132" i="173"/>
  <c r="CC132" i="173"/>
  <c r="CB132" i="173"/>
  <c r="CA132" i="173"/>
  <c r="BY132" i="173"/>
  <c r="BW132" i="173"/>
  <c r="BT132" i="173"/>
  <c r="BS132" i="173"/>
  <c r="AV132" i="173"/>
  <c r="AO132" i="173"/>
  <c r="AE132" i="173"/>
  <c r="AC132" i="173"/>
  <c r="H132" i="173"/>
  <c r="ED131" i="173"/>
  <c r="EB131" i="173"/>
  <c r="EA131" i="173"/>
  <c r="DZ131" i="173"/>
  <c r="DY131" i="173"/>
  <c r="DX131" i="173"/>
  <c r="DW131" i="173"/>
  <c r="DV131" i="173"/>
  <c r="DT131" i="173"/>
  <c r="DS131" i="173"/>
  <c r="DQ131" i="173"/>
  <c r="DO131" i="173"/>
  <c r="DN131" i="173"/>
  <c r="CT131" i="173"/>
  <c r="CN131" i="173" s="1"/>
  <c r="CL131" i="173"/>
  <c r="CI131" i="173"/>
  <c r="CH131" i="173"/>
  <c r="CG131" i="173"/>
  <c r="CF131" i="173"/>
  <c r="CE131" i="173"/>
  <c r="CD131" i="173"/>
  <c r="CC131" i="173"/>
  <c r="CB131" i="173"/>
  <c r="CA131" i="173"/>
  <c r="BY131" i="173"/>
  <c r="BW131" i="173"/>
  <c r="BV131" i="173"/>
  <c r="BT131" i="173"/>
  <c r="BS131" i="173"/>
  <c r="BB131" i="173"/>
  <c r="Y131" i="173"/>
  <c r="H131" i="173"/>
  <c r="ED130" i="173"/>
  <c r="EB130" i="173"/>
  <c r="EA130" i="173"/>
  <c r="DZ130" i="173"/>
  <c r="DY130" i="173"/>
  <c r="DX130" i="173"/>
  <c r="DW130" i="173"/>
  <c r="DV130" i="173"/>
  <c r="DT130" i="173"/>
  <c r="DS130" i="173"/>
  <c r="DQ130" i="173"/>
  <c r="DO130" i="173"/>
  <c r="DN130" i="173"/>
  <c r="CT130" i="173"/>
  <c r="CL130" i="173"/>
  <c r="CI130" i="173"/>
  <c r="CH130" i="173"/>
  <c r="CG130" i="173"/>
  <c r="CF130" i="173"/>
  <c r="CE130" i="173"/>
  <c r="CD130" i="173"/>
  <c r="CC130" i="173"/>
  <c r="CB130" i="173"/>
  <c r="CA130" i="173"/>
  <c r="BY130" i="173"/>
  <c r="BW130" i="173"/>
  <c r="BV130" i="173"/>
  <c r="BT130" i="173"/>
  <c r="BS130" i="173"/>
  <c r="BB130" i="173"/>
  <c r="Y130" i="173"/>
  <c r="EC129" i="173"/>
  <c r="DU129" i="173"/>
  <c r="DR129" i="173"/>
  <c r="DO129" i="173"/>
  <c r="DH129" i="173"/>
  <c r="DG129" i="173"/>
  <c r="DF129" i="173"/>
  <c r="DA129" i="173"/>
  <c r="CZ129" i="173"/>
  <c r="CY129" i="173"/>
  <c r="CX129" i="173"/>
  <c r="CW129" i="173"/>
  <c r="CU129" i="173"/>
  <c r="CT129" i="173"/>
  <c r="CR129" i="173"/>
  <c r="CP129" i="173"/>
  <c r="CO129" i="173"/>
  <c r="CK129" i="173"/>
  <c r="CJ129" i="173"/>
  <c r="CB129" i="173"/>
  <c r="BZ129" i="173"/>
  <c r="BW129" i="173"/>
  <c r="BO129" i="173"/>
  <c r="BN129" i="173"/>
  <c r="BL129" i="173"/>
  <c r="BI129" i="173"/>
  <c r="BH129" i="173"/>
  <c r="BG129" i="173"/>
  <c r="BF129" i="173"/>
  <c r="BE129" i="173"/>
  <c r="BD129" i="173"/>
  <c r="BC129" i="173"/>
  <c r="BB129" i="173"/>
  <c r="AZ129" i="173"/>
  <c r="AX129" i="173"/>
  <c r="AR129" i="173"/>
  <c r="AQ129" i="173"/>
  <c r="AP129" i="173"/>
  <c r="AN129" i="173"/>
  <c r="AL129" i="173"/>
  <c r="AK129" i="173"/>
  <c r="AJ129" i="173"/>
  <c r="AI129" i="173"/>
  <c r="AH129" i="173"/>
  <c r="AG129" i="173"/>
  <c r="AF129" i="173"/>
  <c r="AE129" i="173"/>
  <c r="AD129" i="173"/>
  <c r="AC129" i="173"/>
  <c r="AB129" i="173"/>
  <c r="Z129" i="173"/>
  <c r="G129" i="173"/>
  <c r="ED128" i="173"/>
  <c r="EB128" i="173"/>
  <c r="EA128" i="173"/>
  <c r="DZ128" i="173"/>
  <c r="DY128" i="173"/>
  <c r="DW128" i="173"/>
  <c r="DV128" i="173"/>
  <c r="DT128" i="173"/>
  <c r="DS128" i="173"/>
  <c r="DQ128" i="173"/>
  <c r="DP128" i="173"/>
  <c r="DN128" i="173"/>
  <c r="DK128" i="173"/>
  <c r="DB128" i="173"/>
  <c r="DX128" i="173" s="1"/>
  <c r="CN128" i="173"/>
  <c r="CL128" i="173"/>
  <c r="CI128" i="173"/>
  <c r="CH128" i="173"/>
  <c r="CG128" i="173"/>
  <c r="CE128" i="173"/>
  <c r="CD128" i="173"/>
  <c r="BY128" i="173"/>
  <c r="BX128" i="173"/>
  <c r="BV128" i="173"/>
  <c r="BT128" i="173"/>
  <c r="BS128" i="173"/>
  <c r="BJ128" i="173"/>
  <c r="Y128" i="173"/>
  <c r="ED127" i="173"/>
  <c r="EB127" i="173"/>
  <c r="EA127" i="173"/>
  <c r="DZ127" i="173"/>
  <c r="DX127" i="173"/>
  <c r="DW127" i="173"/>
  <c r="DV127" i="173"/>
  <c r="DT127" i="173"/>
  <c r="DS127" i="173"/>
  <c r="DQ127" i="173"/>
  <c r="DP127" i="173"/>
  <c r="DN127" i="173"/>
  <c r="DK127" i="173"/>
  <c r="DE127" i="173"/>
  <c r="DC127" i="173"/>
  <c r="DY127" i="173" s="1"/>
  <c r="CL127" i="173"/>
  <c r="CH127" i="173"/>
  <c r="CG127" i="173"/>
  <c r="CF127" i="173"/>
  <c r="CE127" i="173"/>
  <c r="CD127" i="173"/>
  <c r="BY127" i="173"/>
  <c r="BX127" i="173"/>
  <c r="BV127" i="173"/>
  <c r="BT127" i="173"/>
  <c r="BS127" i="173"/>
  <c r="BM127" i="173"/>
  <c r="BK127" i="173"/>
  <c r="Y127" i="173"/>
  <c r="ED126" i="173"/>
  <c r="EB126" i="173"/>
  <c r="DZ126" i="173"/>
  <c r="DY126" i="173"/>
  <c r="DX126" i="173"/>
  <c r="DW126" i="173"/>
  <c r="DV126" i="173"/>
  <c r="DT126" i="173"/>
  <c r="DS126" i="173"/>
  <c r="DQ126" i="173"/>
  <c r="DP126" i="173"/>
  <c r="DN126" i="173"/>
  <c r="DK126" i="173"/>
  <c r="DE126" i="173"/>
  <c r="EA126" i="173" s="1"/>
  <c r="CN126" i="173"/>
  <c r="CM126" i="173" s="1"/>
  <c r="DI126" i="173" s="1"/>
  <c r="CL126" i="173"/>
  <c r="CH126" i="173"/>
  <c r="CG126" i="173"/>
  <c r="CF126" i="173"/>
  <c r="CE126" i="173"/>
  <c r="CD126" i="173"/>
  <c r="BY126" i="173"/>
  <c r="BX126" i="173"/>
  <c r="BV126" i="173"/>
  <c r="BT126" i="173"/>
  <c r="BS126" i="173"/>
  <c r="BM126" i="173"/>
  <c r="AV126" i="173" s="1"/>
  <c r="Y126" i="173"/>
  <c r="AU126" i="173" s="1"/>
  <c r="BQ126" i="173" s="1"/>
  <c r="ED124" i="173"/>
  <c r="EB124" i="173"/>
  <c r="DX124" i="173"/>
  <c r="DW124" i="173"/>
  <c r="DV124" i="173"/>
  <c r="DT124" i="173"/>
  <c r="DS124" i="173"/>
  <c r="DQ124" i="173"/>
  <c r="DP124" i="173"/>
  <c r="DN124" i="173"/>
  <c r="DK124" i="173"/>
  <c r="DE124" i="173"/>
  <c r="EA124" i="173" s="1"/>
  <c r="DD124" i="173"/>
  <c r="DC124" i="173"/>
  <c r="DY124" i="173" s="1"/>
  <c r="DB124" i="173"/>
  <c r="CO124" i="173"/>
  <c r="CL124" i="173"/>
  <c r="CE124" i="173"/>
  <c r="CD124" i="173"/>
  <c r="BY124" i="173"/>
  <c r="BX124" i="173"/>
  <c r="BV124" i="173"/>
  <c r="BT124" i="173"/>
  <c r="BS124" i="173"/>
  <c r="BM124" i="173"/>
  <c r="CI124" i="173" s="1"/>
  <c r="BL124" i="173"/>
  <c r="BL206" i="173" s="1"/>
  <c r="BK124" i="173"/>
  <c r="CG124" i="173" s="1"/>
  <c r="BJ124" i="173"/>
  <c r="CF124" i="173" s="1"/>
  <c r="AW124" i="173"/>
  <c r="AO124" i="173"/>
  <c r="EB122" i="173"/>
  <c r="EA122" i="173"/>
  <c r="DZ122" i="173"/>
  <c r="DY122" i="173"/>
  <c r="DX122" i="173"/>
  <c r="DW122" i="173"/>
  <c r="DV122" i="173"/>
  <c r="DT122" i="173"/>
  <c r="DS122" i="173"/>
  <c r="DQ122" i="173"/>
  <c r="DP122" i="173"/>
  <c r="DN122" i="173"/>
  <c r="DK122" i="173"/>
  <c r="DH122" i="173"/>
  <c r="CN122" i="173"/>
  <c r="H122" i="173" s="1"/>
  <c r="CI122" i="173"/>
  <c r="CH122" i="173"/>
  <c r="CG122" i="173"/>
  <c r="CE122" i="173"/>
  <c r="CD122" i="173"/>
  <c r="BY122" i="173"/>
  <c r="BX122" i="173"/>
  <c r="BV122" i="173"/>
  <c r="BT122" i="173"/>
  <c r="BS122" i="173"/>
  <c r="BP122" i="173"/>
  <c r="BJ122" i="173"/>
  <c r="AS122" i="173"/>
  <c r="AM122" i="173"/>
  <c r="EB118" i="173"/>
  <c r="EA118" i="173"/>
  <c r="DZ118" i="173"/>
  <c r="DY118" i="173"/>
  <c r="DW118" i="173"/>
  <c r="DV118" i="173"/>
  <c r="DT118" i="173"/>
  <c r="DS118" i="173"/>
  <c r="DQ118" i="173"/>
  <c r="DP118" i="173"/>
  <c r="DN118" i="173"/>
  <c r="DK118" i="173"/>
  <c r="DH118" i="173"/>
  <c r="CL118" i="173"/>
  <c r="CI118" i="173"/>
  <c r="CH118" i="173"/>
  <c r="CG118" i="173"/>
  <c r="CE118" i="173"/>
  <c r="CD118" i="173"/>
  <c r="CC118" i="173"/>
  <c r="CB118" i="173"/>
  <c r="CA118" i="173"/>
  <c r="BY118" i="173"/>
  <c r="BX118" i="173"/>
  <c r="BV118" i="173"/>
  <c r="BT118" i="173"/>
  <c r="BS118" i="173"/>
  <c r="BP118" i="173"/>
  <c r="BJ118" i="173"/>
  <c r="CF118" i="173" s="1"/>
  <c r="AV118" i="173"/>
  <c r="AU118" i="173" s="1"/>
  <c r="BQ118" i="173" s="1"/>
  <c r="AS118" i="173"/>
  <c r="Y118" i="173"/>
  <c r="EB115" i="173"/>
  <c r="EA115" i="173"/>
  <c r="DZ115" i="173"/>
  <c r="DY115" i="173"/>
  <c r="DX115" i="173"/>
  <c r="DW115" i="173"/>
  <c r="DV115" i="173"/>
  <c r="DT115" i="173"/>
  <c r="DS115" i="173"/>
  <c r="DQ115" i="173"/>
  <c r="DP115" i="173"/>
  <c r="DN115" i="173"/>
  <c r="DK115" i="173"/>
  <c r="DH115" i="173"/>
  <c r="DB115" i="173" s="1"/>
  <c r="CN115" i="173"/>
  <c r="H115" i="173" s="1"/>
  <c r="CI115" i="173"/>
  <c r="CH115" i="173"/>
  <c r="CG115" i="173"/>
  <c r="CE115" i="173"/>
  <c r="CD115" i="173"/>
  <c r="CC115" i="173"/>
  <c r="CB115" i="173"/>
  <c r="CA115" i="173"/>
  <c r="BY115" i="173"/>
  <c r="BY129" i="173" s="1"/>
  <c r="BX115" i="173"/>
  <c r="BV115" i="173"/>
  <c r="BT115" i="173"/>
  <c r="BS115" i="173"/>
  <c r="BP115" i="173"/>
  <c r="BJ115" i="173"/>
  <c r="CF115" i="173" s="1"/>
  <c r="AS115" i="173"/>
  <c r="Y115" i="173"/>
  <c r="DZ114" i="173"/>
  <c r="DJ114" i="173"/>
  <c r="CN114" i="173"/>
  <c r="CH114" i="173"/>
  <c r="BR114" i="173"/>
  <c r="AV114" i="173"/>
  <c r="Y114" i="173"/>
  <c r="ED113" i="173"/>
  <c r="DP113" i="173"/>
  <c r="DK113" i="173"/>
  <c r="DC113" i="173"/>
  <c r="DY113" i="173" s="1"/>
  <c r="CL113" i="173"/>
  <c r="CH113" i="173"/>
  <c r="CF113" i="173"/>
  <c r="CE113" i="173"/>
  <c r="BV113" i="173"/>
  <c r="BT113" i="173"/>
  <c r="BS113" i="173"/>
  <c r="BK113" i="173"/>
  <c r="Y113" i="173"/>
  <c r="ED112" i="173"/>
  <c r="DY112" i="173"/>
  <c r="DP112" i="173"/>
  <c r="DK112" i="173"/>
  <c r="DJ112" i="173" s="1"/>
  <c r="CO112" i="173"/>
  <c r="CN112" i="173"/>
  <c r="CM112" i="173"/>
  <c r="DI112" i="173" s="1"/>
  <c r="CL112" i="173"/>
  <c r="CH112" i="173"/>
  <c r="CG112" i="173"/>
  <c r="CF112" i="173"/>
  <c r="CE112" i="173"/>
  <c r="BV112" i="173"/>
  <c r="BT112" i="173"/>
  <c r="AW112" i="173"/>
  <c r="AW206" i="173" s="1"/>
  <c r="AV112" i="173"/>
  <c r="AU112" i="173" s="1"/>
  <c r="BQ112" i="173" s="1"/>
  <c r="Y112" i="173"/>
  <c r="I112" i="173"/>
  <c r="H112" i="173"/>
  <c r="ED111" i="173"/>
  <c r="EB111" i="173"/>
  <c r="EA111" i="173"/>
  <c r="DZ111" i="173"/>
  <c r="DY111" i="173"/>
  <c r="DX111" i="173"/>
  <c r="DW111" i="173"/>
  <c r="DV111" i="173"/>
  <c r="DT111" i="173"/>
  <c r="DS111" i="173"/>
  <c r="DQ111" i="173"/>
  <c r="DP111" i="173"/>
  <c r="DN111" i="173"/>
  <c r="DJ111" i="173" s="1"/>
  <c r="DK111" i="173"/>
  <c r="DE111" i="173"/>
  <c r="CN111" i="173"/>
  <c r="CL111" i="173"/>
  <c r="CH111" i="173"/>
  <c r="CG111" i="173"/>
  <c r="CF111" i="173"/>
  <c r="CE111" i="173"/>
  <c r="CD111" i="173"/>
  <c r="CC111" i="173"/>
  <c r="CC129" i="173" s="1"/>
  <c r="CB111" i="173"/>
  <c r="CA111" i="173"/>
  <c r="BY111" i="173"/>
  <c r="BX111" i="173"/>
  <c r="BV111" i="173"/>
  <c r="BT111" i="173"/>
  <c r="BS111" i="173"/>
  <c r="BM111" i="173"/>
  <c r="BJ111" i="173"/>
  <c r="Y111" i="173"/>
  <c r="ED110" i="173"/>
  <c r="EB110" i="173"/>
  <c r="EA110" i="173"/>
  <c r="DZ110" i="173"/>
  <c r="DY110" i="173"/>
  <c r="DX110" i="173"/>
  <c r="DW110" i="173"/>
  <c r="DV110" i="173"/>
  <c r="DT110" i="173"/>
  <c r="DS110" i="173"/>
  <c r="DQ110" i="173"/>
  <c r="DP110" i="173"/>
  <c r="DN110" i="173"/>
  <c r="DK110" i="173"/>
  <c r="DJ110" i="173"/>
  <c r="CN110" i="173"/>
  <c r="CL110" i="173"/>
  <c r="CI110" i="173"/>
  <c r="CH110" i="173"/>
  <c r="CG110" i="173"/>
  <c r="CF110" i="173"/>
  <c r="CE110" i="173"/>
  <c r="CD110" i="173"/>
  <c r="CC110" i="173"/>
  <c r="CB110" i="173"/>
  <c r="CA110" i="173"/>
  <c r="BY110" i="173"/>
  <c r="BX110" i="173"/>
  <c r="BV110" i="173"/>
  <c r="BT110" i="173"/>
  <c r="BS110" i="173"/>
  <c r="AV110" i="173"/>
  <c r="AU110" i="173" s="1"/>
  <c r="BQ110" i="173" s="1"/>
  <c r="Y110" i="173"/>
  <c r="EB109" i="173"/>
  <c r="EA109" i="173"/>
  <c r="DZ109" i="173"/>
  <c r="DY109" i="173"/>
  <c r="DX109" i="173"/>
  <c r="DW109" i="173"/>
  <c r="DV109" i="173"/>
  <c r="DT109" i="173"/>
  <c r="DS109" i="173"/>
  <c r="DQ109" i="173"/>
  <c r="DP109" i="173"/>
  <c r="DN109" i="173"/>
  <c r="DK109" i="173"/>
  <c r="DH109" i="173"/>
  <c r="CI109" i="173"/>
  <c r="CH109" i="173"/>
  <c r="CG109" i="173"/>
  <c r="CF109" i="173"/>
  <c r="CE109" i="173"/>
  <c r="CD109" i="173"/>
  <c r="CC109" i="173"/>
  <c r="CB109" i="173"/>
  <c r="CA109" i="173"/>
  <c r="BY109" i="173"/>
  <c r="BX109" i="173"/>
  <c r="BV109" i="173"/>
  <c r="BT109" i="173"/>
  <c r="BS109" i="173"/>
  <c r="BP109" i="173"/>
  <c r="AS109" i="173"/>
  <c r="Y109" i="173" s="1"/>
  <c r="ED108" i="173"/>
  <c r="EB108" i="173"/>
  <c r="DZ108" i="173"/>
  <c r="DY108" i="173"/>
  <c r="DX108" i="173"/>
  <c r="DW108" i="173"/>
  <c r="DV108" i="173"/>
  <c r="DT108" i="173"/>
  <c r="DS108" i="173"/>
  <c r="DJ108" i="173" s="1"/>
  <c r="DQ108" i="173"/>
  <c r="DP108" i="173"/>
  <c r="DN108" i="173"/>
  <c r="DK108" i="173"/>
  <c r="DE108" i="173"/>
  <c r="EA108" i="173" s="1"/>
  <c r="CN108" i="173"/>
  <c r="CL108" i="173"/>
  <c r="CH108" i="173"/>
  <c r="CG108" i="173"/>
  <c r="CF108" i="173"/>
  <c r="CE108" i="173"/>
  <c r="CD108" i="173"/>
  <c r="BY108" i="173"/>
  <c r="BX108" i="173"/>
  <c r="BV108" i="173"/>
  <c r="BT108" i="173"/>
  <c r="BS108" i="173"/>
  <c r="BM108" i="173"/>
  <c r="AV108" i="173" s="1"/>
  <c r="AU108" i="173"/>
  <c r="BQ108" i="173" s="1"/>
  <c r="Y108" i="173"/>
  <c r="ED107" i="173"/>
  <c r="EB107" i="173"/>
  <c r="EA107" i="173"/>
  <c r="DZ107" i="173"/>
  <c r="DY107" i="173"/>
  <c r="DX107" i="173"/>
  <c r="DW107" i="173"/>
  <c r="DV107" i="173"/>
  <c r="DT107" i="173"/>
  <c r="DS107" i="173"/>
  <c r="DQ107" i="173"/>
  <c r="DP107" i="173"/>
  <c r="DN107" i="173"/>
  <c r="DK107" i="173"/>
  <c r="DE107" i="173"/>
  <c r="CN107" i="173"/>
  <c r="H107" i="173" s="1"/>
  <c r="CL107" i="173"/>
  <c r="CH107" i="173"/>
  <c r="CG107" i="173"/>
  <c r="CF107" i="173"/>
  <c r="CE107" i="173"/>
  <c r="CD107" i="173"/>
  <c r="BY107" i="173"/>
  <c r="BX107" i="173"/>
  <c r="BV107" i="173"/>
  <c r="BT107" i="173"/>
  <c r="BS107" i="173"/>
  <c r="BM107" i="173"/>
  <c r="AV107" i="173" s="1"/>
  <c r="AU107" i="173" s="1"/>
  <c r="BQ107" i="173" s="1"/>
  <c r="Y107" i="173"/>
  <c r="I107" i="173" s="1"/>
  <c r="ED106" i="173"/>
  <c r="EB106" i="173"/>
  <c r="EA106" i="173"/>
  <c r="DZ106" i="173"/>
  <c r="DY106" i="173"/>
  <c r="DX106" i="173"/>
  <c r="DW106" i="173"/>
  <c r="DV106" i="173"/>
  <c r="DT106" i="173"/>
  <c r="DS106" i="173"/>
  <c r="DQ106" i="173"/>
  <c r="DP106" i="173"/>
  <c r="DN106" i="173"/>
  <c r="DM106" i="173"/>
  <c r="DM206" i="173" s="1"/>
  <c r="DK106" i="173"/>
  <c r="DE106" i="173"/>
  <c r="CN106" i="173" s="1"/>
  <c r="CL106" i="173"/>
  <c r="CH106" i="173"/>
  <c r="CG106" i="173"/>
  <c r="CF106" i="173"/>
  <c r="CE106" i="173"/>
  <c r="CD106" i="173"/>
  <c r="BY106" i="173"/>
  <c r="BX106" i="173"/>
  <c r="BV106" i="173"/>
  <c r="BS106" i="173"/>
  <c r="BM106" i="173"/>
  <c r="AA106" i="173"/>
  <c r="BT106" i="173" s="1"/>
  <c r="EC104" i="173"/>
  <c r="DU104" i="173"/>
  <c r="DR104" i="173"/>
  <c r="DO104" i="173"/>
  <c r="DK104" i="173"/>
  <c r="DG104" i="173"/>
  <c r="DF104" i="173"/>
  <c r="DE104" i="173"/>
  <c r="DD104" i="173"/>
  <c r="DB104" i="173"/>
  <c r="CZ104" i="173"/>
  <c r="CY104" i="173"/>
  <c r="CX104" i="173"/>
  <c r="CW104" i="173"/>
  <c r="CP104" i="173"/>
  <c r="CO104" i="173"/>
  <c r="CK104" i="173"/>
  <c r="BZ104" i="173"/>
  <c r="BW104" i="173"/>
  <c r="BU104" i="173"/>
  <c r="BO104" i="173"/>
  <c r="BN104" i="173"/>
  <c r="BM104" i="173"/>
  <c r="BL104" i="173"/>
  <c r="BJ104" i="173"/>
  <c r="BH104" i="173"/>
  <c r="BG104" i="173"/>
  <c r="BF104" i="173"/>
  <c r="BE104" i="173"/>
  <c r="BD104" i="173"/>
  <c r="AX104" i="173"/>
  <c r="AW104" i="173"/>
  <c r="AR104" i="173"/>
  <c r="AQ104" i="173"/>
  <c r="AP104" i="173"/>
  <c r="AO104" i="173"/>
  <c r="AM104" i="173"/>
  <c r="AL104" i="173"/>
  <c r="AK104" i="173"/>
  <c r="AJ104" i="173"/>
  <c r="AI104" i="173"/>
  <c r="AH104" i="173"/>
  <c r="AG104" i="173"/>
  <c r="AD104" i="173"/>
  <c r="AB104" i="173"/>
  <c r="Z104" i="173"/>
  <c r="G104" i="173"/>
  <c r="EB103" i="173"/>
  <c r="EA103" i="173"/>
  <c r="DZ103" i="173"/>
  <c r="DY103" i="173"/>
  <c r="DX103" i="173"/>
  <c r="DW103" i="173"/>
  <c r="DV103" i="173"/>
  <c r="DT103" i="173"/>
  <c r="DS103" i="173"/>
  <c r="DQ103" i="173"/>
  <c r="DP103" i="173"/>
  <c r="DN103" i="173"/>
  <c r="DI103" i="173"/>
  <c r="DH103" i="173"/>
  <c r="CN103" i="173" s="1"/>
  <c r="H103" i="173" s="1"/>
  <c r="CI103" i="173"/>
  <c r="CH103" i="173"/>
  <c r="CG103" i="173"/>
  <c r="CF103" i="173"/>
  <c r="CE103" i="173"/>
  <c r="CD103" i="173"/>
  <c r="CB103" i="173"/>
  <c r="CA103" i="173"/>
  <c r="BY103" i="173"/>
  <c r="BX103" i="173"/>
  <c r="BV103" i="173"/>
  <c r="BT103" i="173"/>
  <c r="BS103" i="173"/>
  <c r="BP103" i="173"/>
  <c r="AV103" i="173" s="1"/>
  <c r="AS103" i="173"/>
  <c r="Y103" i="173"/>
  <c r="CM103" i="173" s="1"/>
  <c r="I103" i="173"/>
  <c r="ED102" i="173"/>
  <c r="EB102" i="173"/>
  <c r="EA102" i="173"/>
  <c r="DZ102" i="173"/>
  <c r="DY102" i="173"/>
  <c r="DX102" i="173"/>
  <c r="DW102" i="173"/>
  <c r="DV102" i="173"/>
  <c r="DT102" i="173"/>
  <c r="DS102" i="173"/>
  <c r="DQ102" i="173"/>
  <c r="DN102" i="173"/>
  <c r="CT102" i="173"/>
  <c r="CN102" i="173"/>
  <c r="CL102" i="173"/>
  <c r="CI102" i="173"/>
  <c r="CH102" i="173"/>
  <c r="CG102" i="173"/>
  <c r="CF102" i="173"/>
  <c r="CE102" i="173"/>
  <c r="CD102" i="173"/>
  <c r="CB102" i="173"/>
  <c r="CA102" i="173"/>
  <c r="BY102" i="173"/>
  <c r="BT102" i="173"/>
  <c r="BS102" i="173"/>
  <c r="BB102" i="173"/>
  <c r="AZ102" i="173"/>
  <c r="BV102" i="173" s="1"/>
  <c r="AE102" i="173"/>
  <c r="AC102" i="173"/>
  <c r="Y102" i="173"/>
  <c r="ED101" i="173"/>
  <c r="EB101" i="173"/>
  <c r="EA101" i="173"/>
  <c r="DZ101" i="173"/>
  <c r="DX101" i="173"/>
  <c r="DW101" i="173"/>
  <c r="DV101" i="173"/>
  <c r="DT101" i="173"/>
  <c r="DS101" i="173"/>
  <c r="DQ101" i="173"/>
  <c r="DO101" i="173"/>
  <c r="DO204" i="173" s="1"/>
  <c r="DC101" i="173"/>
  <c r="DY101" i="173" s="1"/>
  <c r="CT101" i="173"/>
  <c r="CN101" i="173"/>
  <c r="H101" i="173" s="1"/>
  <c r="CL101" i="173"/>
  <c r="CI101" i="173"/>
  <c r="CH101" i="173"/>
  <c r="CF101" i="173"/>
  <c r="CE101" i="173"/>
  <c r="CD101" i="173"/>
  <c r="CB101" i="173"/>
  <c r="CA101" i="173"/>
  <c r="BY101" i="173"/>
  <c r="BW101" i="173"/>
  <c r="BW204" i="173" s="1"/>
  <c r="BV101" i="173"/>
  <c r="BT101" i="173"/>
  <c r="BS101" i="173"/>
  <c r="BK101" i="173"/>
  <c r="BB101" i="173"/>
  <c r="AE101" i="173"/>
  <c r="AC101" i="173"/>
  <c r="DN101" i="173" s="1"/>
  <c r="ED99" i="173"/>
  <c r="EB99" i="173"/>
  <c r="EA99" i="173"/>
  <c r="DZ99" i="173"/>
  <c r="DX99" i="173"/>
  <c r="DW99" i="173"/>
  <c r="DV99" i="173"/>
  <c r="DT99" i="173"/>
  <c r="DS99" i="173"/>
  <c r="DQ99" i="173"/>
  <c r="DP99" i="173"/>
  <c r="DN99" i="173"/>
  <c r="CN99" i="173"/>
  <c r="CL99" i="173"/>
  <c r="CI99" i="173"/>
  <c r="CH99" i="173"/>
  <c r="CF99" i="173"/>
  <c r="CE99" i="173"/>
  <c r="CD99" i="173"/>
  <c r="CB99" i="173"/>
  <c r="CA99" i="173"/>
  <c r="BY99" i="173"/>
  <c r="BV99" i="173"/>
  <c r="BT99" i="173"/>
  <c r="BS99" i="173"/>
  <c r="BK99" i="173"/>
  <c r="BB99" i="173"/>
  <c r="BX99" i="173" s="1"/>
  <c r="AN99" i="173"/>
  <c r="AE99" i="173"/>
  <c r="ED98" i="173"/>
  <c r="EB98" i="173"/>
  <c r="EA98" i="173"/>
  <c r="DZ98" i="173"/>
  <c r="DY98" i="173"/>
  <c r="DX98" i="173"/>
  <c r="DW98" i="173"/>
  <c r="DV98" i="173"/>
  <c r="DT98" i="173"/>
  <c r="DS98" i="173"/>
  <c r="DQ98" i="173"/>
  <c r="DN98" i="173"/>
  <c r="DM98" i="173"/>
  <c r="CT98" i="173"/>
  <c r="CN98" i="173" s="1"/>
  <c r="CL98" i="173"/>
  <c r="CI98" i="173"/>
  <c r="CH98" i="173"/>
  <c r="CG98" i="173"/>
  <c r="CF98" i="173"/>
  <c r="CE98" i="173"/>
  <c r="CD98" i="173"/>
  <c r="CB98" i="173"/>
  <c r="CA98" i="173"/>
  <c r="BY98" i="173"/>
  <c r="BV98" i="173"/>
  <c r="BT98" i="173"/>
  <c r="BS98" i="173"/>
  <c r="BB98" i="173"/>
  <c r="AV98" i="173" s="1"/>
  <c r="AE98" i="173"/>
  <c r="BX98" i="173" s="1"/>
  <c r="AA98" i="173"/>
  <c r="DL98" i="173" s="1"/>
  <c r="ED97" i="173"/>
  <c r="EB97" i="173"/>
  <c r="EA97" i="173"/>
  <c r="DZ97" i="173"/>
  <c r="DY97" i="173"/>
  <c r="DX97" i="173"/>
  <c r="DW97" i="173"/>
  <c r="DV97" i="173"/>
  <c r="DT97" i="173"/>
  <c r="DS97" i="173"/>
  <c r="DQ97" i="173"/>
  <c r="DN97" i="173"/>
  <c r="DI97" i="173"/>
  <c r="CN97" i="173"/>
  <c r="CL97" i="173"/>
  <c r="CI97" i="173"/>
  <c r="CH97" i="173"/>
  <c r="CG97" i="173"/>
  <c r="CF97" i="173"/>
  <c r="CE97" i="173"/>
  <c r="CD97" i="173"/>
  <c r="CB97" i="173"/>
  <c r="CA97" i="173"/>
  <c r="BY97" i="173"/>
  <c r="BV97" i="173"/>
  <c r="BT97" i="173"/>
  <c r="BS97" i="173"/>
  <c r="BB97" i="173"/>
  <c r="AV97" i="173" s="1"/>
  <c r="AE97" i="173"/>
  <c r="Y97" i="173"/>
  <c r="CM97" i="173" s="1"/>
  <c r="H97" i="173"/>
  <c r="I97" i="173" s="1"/>
  <c r="ED96" i="173"/>
  <c r="EB96" i="173"/>
  <c r="EA96" i="173"/>
  <c r="DZ96" i="173"/>
  <c r="DY96" i="173"/>
  <c r="DX96" i="173"/>
  <c r="DW96" i="173"/>
  <c r="DV96" i="173"/>
  <c r="DT96" i="173"/>
  <c r="DS96" i="173"/>
  <c r="DQ96" i="173"/>
  <c r="DN96" i="173"/>
  <c r="DM96" i="173"/>
  <c r="DL96" i="173"/>
  <c r="CT96" i="173"/>
  <c r="CL96" i="173"/>
  <c r="CI96" i="173"/>
  <c r="CH96" i="173"/>
  <c r="CG96" i="173"/>
  <c r="CF96" i="173"/>
  <c r="CE96" i="173"/>
  <c r="CD96" i="173"/>
  <c r="CB96" i="173"/>
  <c r="CA96" i="173"/>
  <c r="BY96" i="173"/>
  <c r="BV96" i="173"/>
  <c r="BT96" i="173"/>
  <c r="BS96" i="173"/>
  <c r="BB96" i="173"/>
  <c r="BX96" i="173" s="1"/>
  <c r="AA96" i="173"/>
  <c r="Y96" i="173"/>
  <c r="ED95" i="173"/>
  <c r="EB95" i="173"/>
  <c r="EA95" i="173"/>
  <c r="DZ95" i="173"/>
  <c r="DY95" i="173"/>
  <c r="DX95" i="173"/>
  <c r="DW95" i="173"/>
  <c r="DV95" i="173"/>
  <c r="DT95" i="173"/>
  <c r="DS95" i="173"/>
  <c r="DQ95" i="173"/>
  <c r="DP95" i="173"/>
  <c r="DN95" i="173"/>
  <c r="DM95" i="173"/>
  <c r="DL95" i="173"/>
  <c r="CT95" i="173"/>
  <c r="CN95" i="173"/>
  <c r="CM95" i="173"/>
  <c r="DI95" i="173" s="1"/>
  <c r="CL95" i="173"/>
  <c r="CI95" i="173"/>
  <c r="CH95" i="173"/>
  <c r="CG95" i="173"/>
  <c r="CF95" i="173"/>
  <c r="CE95" i="173"/>
  <c r="CD95" i="173"/>
  <c r="CB95" i="173"/>
  <c r="CA95" i="173"/>
  <c r="BY95" i="173"/>
  <c r="BV95" i="173"/>
  <c r="BS95" i="173"/>
  <c r="BB95" i="173"/>
  <c r="AV95" i="173" s="1"/>
  <c r="AU95" i="173" s="1"/>
  <c r="BQ95" i="173" s="1"/>
  <c r="AE95" i="173"/>
  <c r="AA95" i="173"/>
  <c r="BT95" i="173" s="1"/>
  <c r="Y95" i="173"/>
  <c r="I95" i="173" s="1"/>
  <c r="H95" i="173"/>
  <c r="ED94" i="173"/>
  <c r="EB94" i="173"/>
  <c r="EA94" i="173"/>
  <c r="DZ94" i="173"/>
  <c r="DY94" i="173"/>
  <c r="DX94" i="173"/>
  <c r="DW94" i="173"/>
  <c r="DV94" i="173"/>
  <c r="DT94" i="173"/>
  <c r="DS94" i="173"/>
  <c r="DQ94" i="173"/>
  <c r="DP94" i="173"/>
  <c r="DN94" i="173"/>
  <c r="CN94" i="173"/>
  <c r="H94" i="173" s="1"/>
  <c r="CM94" i="173"/>
  <c r="DI94" i="173" s="1"/>
  <c r="CL94" i="173"/>
  <c r="CI94" i="173"/>
  <c r="CH94" i="173"/>
  <c r="CG94" i="173"/>
  <c r="CF94" i="173"/>
  <c r="CE94" i="173"/>
  <c r="CD94" i="173"/>
  <c r="CB94" i="173"/>
  <c r="CA94" i="173"/>
  <c r="BY94" i="173"/>
  <c r="BV94" i="173"/>
  <c r="BT94" i="173"/>
  <c r="BS94" i="173"/>
  <c r="BB94" i="173"/>
  <c r="BX94" i="173" s="1"/>
  <c r="Y94" i="173"/>
  <c r="I94" i="173"/>
  <c r="ED93" i="173"/>
  <c r="EB93" i="173"/>
  <c r="EA93" i="173"/>
  <c r="DZ93" i="173"/>
  <c r="DY93" i="173"/>
  <c r="DX93" i="173"/>
  <c r="DW93" i="173"/>
  <c r="DV93" i="173"/>
  <c r="DT93" i="173"/>
  <c r="DS93" i="173"/>
  <c r="DQ93" i="173"/>
  <c r="DN93" i="173"/>
  <c r="CT93" i="173"/>
  <c r="CL93" i="173"/>
  <c r="CI93" i="173"/>
  <c r="CH93" i="173"/>
  <c r="CG93" i="173"/>
  <c r="CF93" i="173"/>
  <c r="CE93" i="173"/>
  <c r="CD93" i="173"/>
  <c r="CB93" i="173"/>
  <c r="CA93" i="173"/>
  <c r="BY93" i="173"/>
  <c r="BV93" i="173"/>
  <c r="BT93" i="173"/>
  <c r="BS93" i="173"/>
  <c r="BR93" i="173" s="1"/>
  <c r="BB93" i="173"/>
  <c r="BX93" i="173" s="1"/>
  <c r="Y93" i="173"/>
  <c r="ED92" i="173"/>
  <c r="EB92" i="173"/>
  <c r="EA92" i="173"/>
  <c r="DZ92" i="173"/>
  <c r="DY92" i="173"/>
  <c r="DX92" i="173"/>
  <c r="DW92" i="173"/>
  <c r="DV92" i="173"/>
  <c r="DT92" i="173"/>
  <c r="DS92" i="173"/>
  <c r="DN92" i="173"/>
  <c r="CT92" i="173"/>
  <c r="DP92" i="173" s="1"/>
  <c r="CL92" i="173"/>
  <c r="CI92" i="173"/>
  <c r="CH92" i="173"/>
  <c r="CG92" i="173"/>
  <c r="CF92" i="173"/>
  <c r="CE92" i="173"/>
  <c r="CD92" i="173"/>
  <c r="CB92" i="173"/>
  <c r="CA92" i="173"/>
  <c r="BT92" i="173"/>
  <c r="BS92" i="173"/>
  <c r="BB92" i="173"/>
  <c r="BX92" i="173" s="1"/>
  <c r="AZ92" i="173"/>
  <c r="AF92" i="173"/>
  <c r="ED91" i="173"/>
  <c r="EB91" i="173"/>
  <c r="EA91" i="173"/>
  <c r="DZ91" i="173"/>
  <c r="DY91" i="173"/>
  <c r="DX91" i="173"/>
  <c r="DW91" i="173"/>
  <c r="DV91" i="173"/>
  <c r="DT91" i="173"/>
  <c r="DS91" i="173"/>
  <c r="DP91" i="173"/>
  <c r="DN91" i="173"/>
  <c r="CU91" i="173"/>
  <c r="CN91" i="173" s="1"/>
  <c r="CL91" i="173"/>
  <c r="CI91" i="173"/>
  <c r="CH91" i="173"/>
  <c r="CG91" i="173"/>
  <c r="CF91" i="173"/>
  <c r="CE91" i="173"/>
  <c r="CD91" i="173"/>
  <c r="CB91" i="173"/>
  <c r="CA91" i="173"/>
  <c r="BX91" i="173"/>
  <c r="BV91" i="173"/>
  <c r="BT91" i="173"/>
  <c r="BS91" i="173"/>
  <c r="BC91" i="173"/>
  <c r="AV91" i="173"/>
  <c r="AF91" i="173"/>
  <c r="Y91" i="173" s="1"/>
  <c r="ED90" i="173"/>
  <c r="EB90" i="173"/>
  <c r="EA90" i="173"/>
  <c r="DZ90" i="173"/>
  <c r="DX90" i="173"/>
  <c r="DW90" i="173"/>
  <c r="DV90" i="173"/>
  <c r="DT90" i="173"/>
  <c r="DS90" i="173"/>
  <c r="DQ90" i="173"/>
  <c r="DP90" i="173"/>
  <c r="DC90" i="173"/>
  <c r="DY90" i="173" s="1"/>
  <c r="CR90" i="173"/>
  <c r="DN90" i="173" s="1"/>
  <c r="CL90" i="173"/>
  <c r="CI90" i="173"/>
  <c r="CH90" i="173"/>
  <c r="CG90" i="173"/>
  <c r="CF90" i="173"/>
  <c r="CE90" i="173"/>
  <c r="CD90" i="173"/>
  <c r="CB90" i="173"/>
  <c r="CA90" i="173"/>
  <c r="BY90" i="173"/>
  <c r="BX90" i="173"/>
  <c r="BV90" i="173"/>
  <c r="BT90" i="173"/>
  <c r="BS90" i="173"/>
  <c r="BK90" i="173"/>
  <c r="AZ90" i="173"/>
  <c r="AV90" i="173" s="1"/>
  <c r="Y90" i="173"/>
  <c r="ED89" i="173"/>
  <c r="EB89" i="173"/>
  <c r="EA89" i="173"/>
  <c r="DZ89" i="173"/>
  <c r="DY89" i="173"/>
  <c r="DX89" i="173"/>
  <c r="DW89" i="173"/>
  <c r="DJ89" i="173" s="1"/>
  <c r="DV89" i="173"/>
  <c r="DT89" i="173"/>
  <c r="DS89" i="173"/>
  <c r="DQ89" i="173"/>
  <c r="DP89" i="173"/>
  <c r="DN89" i="173"/>
  <c r="CN89" i="173"/>
  <c r="CL89" i="173"/>
  <c r="CI89" i="173"/>
  <c r="CH89" i="173"/>
  <c r="CF89" i="173"/>
  <c r="CE89" i="173"/>
  <c r="CD89" i="173"/>
  <c r="CB89" i="173"/>
  <c r="CA89" i="173"/>
  <c r="BY89" i="173"/>
  <c r="BT89" i="173"/>
  <c r="BS89" i="173"/>
  <c r="BK89" i="173"/>
  <c r="CG89" i="173" s="1"/>
  <c r="BB89" i="173"/>
  <c r="BX89" i="173" s="1"/>
  <c r="AC89" i="173"/>
  <c r="AC104" i="173" s="1"/>
  <c r="H89" i="173"/>
  <c r="ED88" i="173"/>
  <c r="EB88" i="173"/>
  <c r="EA88" i="173"/>
  <c r="DZ88" i="173"/>
  <c r="DY88" i="173"/>
  <c r="DX88" i="173"/>
  <c r="DW88" i="173"/>
  <c r="DV88" i="173"/>
  <c r="DT88" i="173"/>
  <c r="DS88" i="173"/>
  <c r="DQ88" i="173"/>
  <c r="DP88" i="173"/>
  <c r="DN88" i="173"/>
  <c r="DM88" i="173"/>
  <c r="CN88" i="173"/>
  <c r="CM88" i="173"/>
  <c r="DI88" i="173" s="1"/>
  <c r="CL88" i="173"/>
  <c r="CI88" i="173"/>
  <c r="CH88" i="173"/>
  <c r="CG88" i="173"/>
  <c r="CF88" i="173"/>
  <c r="CE88" i="173"/>
  <c r="CD88" i="173"/>
  <c r="CB88" i="173"/>
  <c r="CA88" i="173"/>
  <c r="BX88" i="173"/>
  <c r="BV88" i="173"/>
  <c r="BT88" i="173"/>
  <c r="BS88" i="173"/>
  <c r="BC88" i="173"/>
  <c r="AA88" i="173"/>
  <c r="DL88" i="173" s="1"/>
  <c r="Y88" i="173"/>
  <c r="H88" i="173"/>
  <c r="I88" i="173" s="1"/>
  <c r="ED87" i="173"/>
  <c r="EB87" i="173"/>
  <c r="EA87" i="173"/>
  <c r="DZ87" i="173"/>
  <c r="DY87" i="173"/>
  <c r="DX87" i="173"/>
  <c r="DV87" i="173"/>
  <c r="DT87" i="173"/>
  <c r="DS87" i="173"/>
  <c r="DQ87" i="173"/>
  <c r="DP87" i="173"/>
  <c r="DN87" i="173"/>
  <c r="DA87" i="173"/>
  <c r="CN87" i="173"/>
  <c r="H87" i="173" s="1"/>
  <c r="I87" i="173" s="1"/>
  <c r="CM87" i="173"/>
  <c r="DI87" i="173" s="1"/>
  <c r="CL87" i="173"/>
  <c r="CI87" i="173"/>
  <c r="CH87" i="173"/>
  <c r="CG87" i="173"/>
  <c r="CF87" i="173"/>
  <c r="CD87" i="173"/>
  <c r="CB87" i="173"/>
  <c r="CA87" i="173"/>
  <c r="BY87" i="173"/>
  <c r="BX87" i="173"/>
  <c r="BV87" i="173"/>
  <c r="BT87" i="173"/>
  <c r="BS87" i="173"/>
  <c r="BI87" i="173"/>
  <c r="AV87" i="173" s="1"/>
  <c r="AU87" i="173" s="1"/>
  <c r="BQ87" i="173" s="1"/>
  <c r="AL87" i="173"/>
  <c r="AL204" i="173" s="1"/>
  <c r="Y87" i="173"/>
  <c r="EB86" i="173"/>
  <c r="EA86" i="173"/>
  <c r="DZ86" i="173"/>
  <c r="DY86" i="173"/>
  <c r="DX86" i="173"/>
  <c r="DW86" i="173"/>
  <c r="DV86" i="173"/>
  <c r="DT86" i="173"/>
  <c r="DS86" i="173"/>
  <c r="DQ86" i="173"/>
  <c r="DP86" i="173"/>
  <c r="DN86" i="173"/>
  <c r="DH86" i="173"/>
  <c r="CN86" i="173" s="1"/>
  <c r="H86" i="173" s="1"/>
  <c r="CI86" i="173"/>
  <c r="CH86" i="173"/>
  <c r="CG86" i="173"/>
  <c r="CF86" i="173"/>
  <c r="CE86" i="173"/>
  <c r="CD86" i="173"/>
  <c r="CB86" i="173"/>
  <c r="CA86" i="173"/>
  <c r="BY86" i="173"/>
  <c r="BX86" i="173"/>
  <c r="BV86" i="173"/>
  <c r="BT86" i="173"/>
  <c r="BS86" i="173"/>
  <c r="BP86" i="173"/>
  <c r="AV86" i="173" s="1"/>
  <c r="AS86" i="173"/>
  <c r="ED86" i="173" s="1"/>
  <c r="EB85" i="173"/>
  <c r="EA85" i="173"/>
  <c r="DZ85" i="173"/>
  <c r="DY85" i="173"/>
  <c r="DX85" i="173"/>
  <c r="DW85" i="173"/>
  <c r="DV85" i="173"/>
  <c r="DT85" i="173"/>
  <c r="DS85" i="173"/>
  <c r="DQ85" i="173"/>
  <c r="DP85" i="173"/>
  <c r="DN85" i="173"/>
  <c r="DH85" i="173"/>
  <c r="CN85" i="173" s="1"/>
  <c r="H85" i="173" s="1"/>
  <c r="CI85" i="173"/>
  <c r="CH85" i="173"/>
  <c r="CG85" i="173"/>
  <c r="CF85" i="173"/>
  <c r="CE85" i="173"/>
  <c r="CD85" i="173"/>
  <c r="CB85" i="173"/>
  <c r="CA85" i="173"/>
  <c r="BY85" i="173"/>
  <c r="BX85" i="173"/>
  <c r="BV85" i="173"/>
  <c r="BT85" i="173"/>
  <c r="BS85" i="173"/>
  <c r="BP85" i="173"/>
  <c r="AV85" i="173"/>
  <c r="AS85" i="173"/>
  <c r="ED84" i="173"/>
  <c r="EB84" i="173"/>
  <c r="EA84" i="173"/>
  <c r="DZ84" i="173"/>
  <c r="DY84" i="173"/>
  <c r="DX84" i="173"/>
  <c r="DW84" i="173"/>
  <c r="DV84" i="173"/>
  <c r="DT84" i="173"/>
  <c r="DS84" i="173"/>
  <c r="DQ84" i="173"/>
  <c r="DP84" i="173"/>
  <c r="DN84" i="173"/>
  <c r="DM84" i="173"/>
  <c r="DJ84" i="173" s="1"/>
  <c r="DL84" i="173"/>
  <c r="CU84" i="173"/>
  <c r="CN84" i="173"/>
  <c r="CL84" i="173"/>
  <c r="CI84" i="173"/>
  <c r="CH84" i="173"/>
  <c r="CG84" i="173"/>
  <c r="CF84" i="173"/>
  <c r="CE84" i="173"/>
  <c r="CD84" i="173"/>
  <c r="CC84" i="173"/>
  <c r="CB84" i="173"/>
  <c r="CA84" i="173"/>
  <c r="BX84" i="173"/>
  <c r="BV84" i="173"/>
  <c r="BS84" i="173"/>
  <c r="BC84" i="173"/>
  <c r="AV84" i="173" s="1"/>
  <c r="AF84" i="173"/>
  <c r="AA84" i="173"/>
  <c r="BT84" i="173" s="1"/>
  <c r="H84" i="173"/>
  <c r="ED83" i="173"/>
  <c r="EB83" i="173"/>
  <c r="EA83" i="173"/>
  <c r="DZ83" i="173"/>
  <c r="DY83" i="173"/>
  <c r="DX83" i="173"/>
  <c r="DW83" i="173"/>
  <c r="DV83" i="173"/>
  <c r="DT83" i="173"/>
  <c r="DS83" i="173"/>
  <c r="DP83" i="173"/>
  <c r="DN83" i="173"/>
  <c r="DM83" i="173"/>
  <c r="CU83" i="173"/>
  <c r="CL83" i="173"/>
  <c r="CI83" i="173"/>
  <c r="CH83" i="173"/>
  <c r="CG83" i="173"/>
  <c r="CF83" i="173"/>
  <c r="CE83" i="173"/>
  <c r="CD83" i="173"/>
  <c r="CC83" i="173"/>
  <c r="CB83" i="173"/>
  <c r="CA83" i="173"/>
  <c r="BY83" i="173"/>
  <c r="BX83" i="173"/>
  <c r="BV83" i="173"/>
  <c r="BS83" i="173"/>
  <c r="BC83" i="173"/>
  <c r="AV83" i="173" s="1"/>
  <c r="AU83" i="173" s="1"/>
  <c r="BQ83" i="173" s="1"/>
  <c r="AA83" i="173"/>
  <c r="BT83" i="173" s="1"/>
  <c r="Y83" i="173"/>
  <c r="EB82" i="173"/>
  <c r="EA82" i="173"/>
  <c r="DZ82" i="173"/>
  <c r="DY82" i="173"/>
  <c r="DX82" i="173"/>
  <c r="DW82" i="173"/>
  <c r="DV82" i="173"/>
  <c r="DT82" i="173"/>
  <c r="DS82" i="173"/>
  <c r="DQ82" i="173"/>
  <c r="DP82" i="173"/>
  <c r="DN82" i="173"/>
  <c r="DH82" i="173"/>
  <c r="CN82" i="173" s="1"/>
  <c r="CI82" i="173"/>
  <c r="CH82" i="173"/>
  <c r="CG82" i="173"/>
  <c r="CF82" i="173"/>
  <c r="CE82" i="173"/>
  <c r="CD82" i="173"/>
  <c r="CC82" i="173"/>
  <c r="CB82" i="173"/>
  <c r="CA82" i="173"/>
  <c r="BY82" i="173"/>
  <c r="BX82" i="173"/>
  <c r="BV82" i="173"/>
  <c r="BT82" i="173"/>
  <c r="BS82" i="173"/>
  <c r="BP82" i="173"/>
  <c r="AV82" i="173"/>
  <c r="AS82" i="173"/>
  <c r="H82" i="173"/>
  <c r="ED81" i="173"/>
  <c r="EB81" i="173"/>
  <c r="EA81" i="173"/>
  <c r="DZ81" i="173"/>
  <c r="DY81" i="173"/>
  <c r="DX81" i="173"/>
  <c r="DW81" i="173"/>
  <c r="DV81" i="173"/>
  <c r="DT81" i="173"/>
  <c r="DS81" i="173"/>
  <c r="DP81" i="173"/>
  <c r="DN81" i="173"/>
  <c r="CU81" i="173"/>
  <c r="CN81" i="173" s="1"/>
  <c r="CL81" i="173"/>
  <c r="CJ81" i="173"/>
  <c r="CI81" i="173"/>
  <c r="CH81" i="173"/>
  <c r="CG81" i="173"/>
  <c r="CF81" i="173"/>
  <c r="CE81" i="173"/>
  <c r="CD81" i="173"/>
  <c r="CC81" i="173"/>
  <c r="CB81" i="173"/>
  <c r="CA81" i="173"/>
  <c r="BX81" i="173"/>
  <c r="BV81" i="173"/>
  <c r="BT81" i="173"/>
  <c r="BS81" i="173"/>
  <c r="BC81" i="173"/>
  <c r="AV81" i="173" s="1"/>
  <c r="AF81" i="173"/>
  <c r="Y81" i="173" s="1"/>
  <c r="EB80" i="173"/>
  <c r="EA80" i="173"/>
  <c r="DZ80" i="173"/>
  <c r="DY80" i="173"/>
  <c r="DX80" i="173"/>
  <c r="DW80" i="173"/>
  <c r="DV80" i="173"/>
  <c r="DT80" i="173"/>
  <c r="DS80" i="173"/>
  <c r="DQ80" i="173"/>
  <c r="DP80" i="173"/>
  <c r="DN80" i="173"/>
  <c r="DH80" i="173"/>
  <c r="CN80" i="173" s="1"/>
  <c r="CI80" i="173"/>
  <c r="CH80" i="173"/>
  <c r="CG80" i="173"/>
  <c r="CF80" i="173"/>
  <c r="CE80" i="173"/>
  <c r="CD80" i="173"/>
  <c r="CB80" i="173"/>
  <c r="CA80" i="173"/>
  <c r="BY80" i="173"/>
  <c r="BX80" i="173"/>
  <c r="BV80" i="173"/>
  <c r="BT80" i="173"/>
  <c r="BS80" i="173"/>
  <c r="BP80" i="173"/>
  <c r="AV80" i="173" s="1"/>
  <c r="AS80" i="173"/>
  <c r="Y80" i="173" s="1"/>
  <c r="EB79" i="173"/>
  <c r="EA79" i="173"/>
  <c r="DZ79" i="173"/>
  <c r="DY79" i="173"/>
  <c r="DX79" i="173"/>
  <c r="DW79" i="173"/>
  <c r="DV79" i="173"/>
  <c r="DT79" i="173"/>
  <c r="DS79" i="173"/>
  <c r="DQ79" i="173"/>
  <c r="DP79" i="173"/>
  <c r="DN79" i="173"/>
  <c r="DH79" i="173"/>
  <c r="CN79" i="173" s="1"/>
  <c r="CI79" i="173"/>
  <c r="CH79" i="173"/>
  <c r="CG79" i="173"/>
  <c r="CF79" i="173"/>
  <c r="CE79" i="173"/>
  <c r="CD79" i="173"/>
  <c r="CC79" i="173"/>
  <c r="CB79" i="173"/>
  <c r="CA79" i="173"/>
  <c r="BY79" i="173"/>
  <c r="BX79" i="173"/>
  <c r="BV79" i="173"/>
  <c r="BT79" i="173"/>
  <c r="BS79" i="173"/>
  <c r="BP79" i="173"/>
  <c r="AV79" i="173" s="1"/>
  <c r="AS79" i="173"/>
  <c r="Y79" i="173" s="1"/>
  <c r="ED78" i="173"/>
  <c r="EB78" i="173"/>
  <c r="EA78" i="173"/>
  <c r="DZ78" i="173"/>
  <c r="DY78" i="173"/>
  <c r="DX78" i="173"/>
  <c r="DW78" i="173"/>
  <c r="DV78" i="173"/>
  <c r="DT78" i="173"/>
  <c r="DS78" i="173"/>
  <c r="DP78" i="173"/>
  <c r="DN78" i="173"/>
  <c r="DM78" i="173"/>
  <c r="DL78" i="173"/>
  <c r="CU78" i="173"/>
  <c r="CL78" i="173"/>
  <c r="CI78" i="173"/>
  <c r="CH78" i="173"/>
  <c r="CG78" i="173"/>
  <c r="CF78" i="173"/>
  <c r="CE78" i="173"/>
  <c r="CD78" i="173"/>
  <c r="CC78" i="173"/>
  <c r="CB78" i="173"/>
  <c r="CA78" i="173"/>
  <c r="BX78" i="173"/>
  <c r="BV78" i="173"/>
  <c r="BT78" i="173"/>
  <c r="BS78" i="173"/>
  <c r="BC78" i="173"/>
  <c r="BY78" i="173" s="1"/>
  <c r="AF78" i="173"/>
  <c r="AA78" i="173"/>
  <c r="ED77" i="173"/>
  <c r="EB77" i="173"/>
  <c r="EA77" i="173"/>
  <c r="DZ77" i="173"/>
  <c r="DY77" i="173"/>
  <c r="DX77" i="173"/>
  <c r="DW77" i="173"/>
  <c r="DV77" i="173"/>
  <c r="DT77" i="173"/>
  <c r="DS77" i="173"/>
  <c r="DQ77" i="173"/>
  <c r="DP77" i="173"/>
  <c r="DN77" i="173"/>
  <c r="DJ77" i="173" s="1"/>
  <c r="DI77" i="173"/>
  <c r="CN77" i="173"/>
  <c r="CM77" i="173" s="1"/>
  <c r="CI77" i="173"/>
  <c r="CH77" i="173"/>
  <c r="CG77" i="173"/>
  <c r="CF77" i="173"/>
  <c r="CE77" i="173"/>
  <c r="CD77" i="173"/>
  <c r="CC77" i="173"/>
  <c r="CB77" i="173"/>
  <c r="CA77" i="173"/>
  <c r="BY77" i="173"/>
  <c r="BX77" i="173"/>
  <c r="BV77" i="173"/>
  <c r="BT77" i="173"/>
  <c r="BS77" i="173"/>
  <c r="BP77" i="173"/>
  <c r="AV77" i="173" s="1"/>
  <c r="AU77" i="173" s="1"/>
  <c r="BQ77" i="173" s="1"/>
  <c r="AS77" i="173"/>
  <c r="Y77" i="173" s="1"/>
  <c r="H77" i="173"/>
  <c r="I77" i="173" s="1"/>
  <c r="ED76" i="173"/>
  <c r="EB76" i="173"/>
  <c r="EA76" i="173"/>
  <c r="DZ76" i="173"/>
  <c r="DY76" i="173"/>
  <c r="DX76" i="173"/>
  <c r="DW76" i="173"/>
  <c r="DV76" i="173"/>
  <c r="DT76" i="173"/>
  <c r="DS76" i="173"/>
  <c r="DQ76" i="173"/>
  <c r="DN76" i="173"/>
  <c r="CT76" i="173"/>
  <c r="DP76" i="173" s="1"/>
  <c r="CN76" i="173"/>
  <c r="H76" i="173" s="1"/>
  <c r="CM76" i="173"/>
  <c r="DI76" i="173" s="1"/>
  <c r="CL76" i="173"/>
  <c r="CJ76" i="173"/>
  <c r="CI76" i="173"/>
  <c r="CH76" i="173"/>
  <c r="CG76" i="173"/>
  <c r="CF76" i="173"/>
  <c r="CE76" i="173"/>
  <c r="CD76" i="173"/>
  <c r="CC76" i="173"/>
  <c r="CB76" i="173"/>
  <c r="CA76" i="173"/>
  <c r="BY76" i="173"/>
  <c r="BX76" i="173"/>
  <c r="BV76" i="173"/>
  <c r="BT76" i="173"/>
  <c r="BS76" i="173"/>
  <c r="BB76" i="173"/>
  <c r="AV76" i="173" s="1"/>
  <c r="Y76" i="173"/>
  <c r="ED75" i="173"/>
  <c r="EB75" i="173"/>
  <c r="EA75" i="173"/>
  <c r="DZ75" i="173"/>
  <c r="DX75" i="173"/>
  <c r="DW75" i="173"/>
  <c r="DV75" i="173"/>
  <c r="DT75" i="173"/>
  <c r="DS75" i="173"/>
  <c r="DQ75" i="173"/>
  <c r="DP75" i="173"/>
  <c r="DN75" i="173"/>
  <c r="DC75" i="173"/>
  <c r="DY75" i="173" s="1"/>
  <c r="CT75" i="173"/>
  <c r="CN75" i="173"/>
  <c r="CL75" i="173"/>
  <c r="CJ75" i="173"/>
  <c r="CI75" i="173"/>
  <c r="CH75" i="173"/>
  <c r="CF75" i="173"/>
  <c r="CE75" i="173"/>
  <c r="CD75" i="173"/>
  <c r="CC75" i="173"/>
  <c r="CB75" i="173"/>
  <c r="CA75" i="173"/>
  <c r="BY75" i="173"/>
  <c r="BV75" i="173"/>
  <c r="BT75" i="173"/>
  <c r="BS75" i="173"/>
  <c r="BK75" i="173"/>
  <c r="CG75" i="173" s="1"/>
  <c r="BB75" i="173"/>
  <c r="Y75" i="173"/>
  <c r="ED74" i="173"/>
  <c r="EB74" i="173"/>
  <c r="EA74" i="173"/>
  <c r="DZ74" i="173"/>
  <c r="DY74" i="173"/>
  <c r="DX74" i="173"/>
  <c r="DW74" i="173"/>
  <c r="DV74" i="173"/>
  <c r="DT74" i="173"/>
  <c r="DS74" i="173"/>
  <c r="DQ74" i="173"/>
  <c r="DP74" i="173"/>
  <c r="DJ74" i="173" s="1"/>
  <c r="DN74" i="173"/>
  <c r="CN74" i="173"/>
  <c r="CL74" i="173"/>
  <c r="CJ74" i="173"/>
  <c r="CI74" i="173"/>
  <c r="CH74" i="173"/>
  <c r="CG74" i="173"/>
  <c r="CF74" i="173"/>
  <c r="CE74" i="173"/>
  <c r="CD74" i="173"/>
  <c r="CC74" i="173"/>
  <c r="CB74" i="173"/>
  <c r="CA74" i="173"/>
  <c r="BX74" i="173"/>
  <c r="BV74" i="173"/>
  <c r="BT74" i="173"/>
  <c r="BS74" i="173"/>
  <c r="AV74" i="173"/>
  <c r="AF74" i="173"/>
  <c r="Y74" i="173" s="1"/>
  <c r="H74" i="173"/>
  <c r="EB73" i="173"/>
  <c r="EA73" i="173"/>
  <c r="DZ73" i="173"/>
  <c r="DY73" i="173"/>
  <c r="DX73" i="173"/>
  <c r="DW73" i="173"/>
  <c r="DV73" i="173"/>
  <c r="DT73" i="173"/>
  <c r="DS73" i="173"/>
  <c r="DQ73" i="173"/>
  <c r="DP73" i="173"/>
  <c r="DN73" i="173"/>
  <c r="DH73" i="173"/>
  <c r="CN73" i="173" s="1"/>
  <c r="CI73" i="173"/>
  <c r="CH73" i="173"/>
  <c r="CG73" i="173"/>
  <c r="CF73" i="173"/>
  <c r="CE73" i="173"/>
  <c r="CD73" i="173"/>
  <c r="CC73" i="173"/>
  <c r="CB73" i="173"/>
  <c r="BY73" i="173"/>
  <c r="BX73" i="173"/>
  <c r="BV73" i="173"/>
  <c r="BT73" i="173"/>
  <c r="BS73" i="173"/>
  <c r="BP73" i="173"/>
  <c r="AV73" i="173" s="1"/>
  <c r="AS73" i="173"/>
  <c r="Y73" i="173" s="1"/>
  <c r="H73" i="173"/>
  <c r="EB72" i="173"/>
  <c r="EA72" i="173"/>
  <c r="DZ72" i="173"/>
  <c r="DY72" i="173"/>
  <c r="DX72" i="173"/>
  <c r="DW72" i="173"/>
  <c r="DV72" i="173"/>
  <c r="DT72" i="173"/>
  <c r="DS72" i="173"/>
  <c r="DQ72" i="173"/>
  <c r="DP72" i="173"/>
  <c r="DN72" i="173"/>
  <c r="DH72" i="173"/>
  <c r="CN72" i="173" s="1"/>
  <c r="H72" i="173" s="1"/>
  <c r="CM72" i="173"/>
  <c r="DI72" i="173" s="1"/>
  <c r="CJ72" i="173"/>
  <c r="CI72" i="173"/>
  <c r="CH72" i="173"/>
  <c r="CG72" i="173"/>
  <c r="CF72" i="173"/>
  <c r="CE72" i="173"/>
  <c r="CD72" i="173"/>
  <c r="CC72" i="173"/>
  <c r="CB72" i="173"/>
  <c r="CA72" i="173"/>
  <c r="BY72" i="173"/>
  <c r="BX72" i="173"/>
  <c r="BV72" i="173"/>
  <c r="BT72" i="173"/>
  <c r="BS72" i="173"/>
  <c r="BP72" i="173"/>
  <c r="AV72" i="173"/>
  <c r="AU72" i="173"/>
  <c r="BQ72" i="173" s="1"/>
  <c r="AS72" i="173"/>
  <c r="Y72" i="173"/>
  <c r="I72" i="173" s="1"/>
  <c r="EB71" i="173"/>
  <c r="EA71" i="173"/>
  <c r="DZ71" i="173"/>
  <c r="DY71" i="173"/>
  <c r="DX71" i="173"/>
  <c r="DW71" i="173"/>
  <c r="DV71" i="173"/>
  <c r="DT71" i="173"/>
  <c r="DS71" i="173"/>
  <c r="DQ71" i="173"/>
  <c r="DP71" i="173"/>
  <c r="DN71" i="173"/>
  <c r="DJ71" i="173"/>
  <c r="DH71" i="173"/>
  <c r="DC71" i="173"/>
  <c r="CT71" i="173"/>
  <c r="CN71" i="173" s="1"/>
  <c r="CL71" i="173"/>
  <c r="CI71" i="173"/>
  <c r="CH71" i="173"/>
  <c r="CF71" i="173"/>
  <c r="CE71" i="173"/>
  <c r="CD71" i="173"/>
  <c r="CC71" i="173"/>
  <c r="CB71" i="173"/>
  <c r="CA71" i="173"/>
  <c r="BY71" i="173"/>
  <c r="BV71" i="173"/>
  <c r="BT71" i="173"/>
  <c r="BS71" i="173"/>
  <c r="BP71" i="173"/>
  <c r="BK71" i="173"/>
  <c r="BB71" i="173"/>
  <c r="BX71" i="173" s="1"/>
  <c r="AS71" i="173"/>
  <c r="ED71" i="173" s="1"/>
  <c r="AN71" i="173"/>
  <c r="H71" i="173"/>
  <c r="ED70" i="173"/>
  <c r="EB70" i="173"/>
  <c r="EA70" i="173"/>
  <c r="DZ70" i="173"/>
  <c r="DY70" i="173"/>
  <c r="DX70" i="173"/>
  <c r="DW70" i="173"/>
  <c r="DV70" i="173"/>
  <c r="DT70" i="173"/>
  <c r="DS70" i="173"/>
  <c r="DQ70" i="173"/>
  <c r="DP70" i="173"/>
  <c r="DN70" i="173"/>
  <c r="DC70" i="173"/>
  <c r="CT70" i="173"/>
  <c r="CN70" i="173"/>
  <c r="H70" i="173" s="1"/>
  <c r="CM70" i="173"/>
  <c r="DI70" i="173" s="1"/>
  <c r="CL70" i="173"/>
  <c r="CI70" i="173"/>
  <c r="CH70" i="173"/>
  <c r="CF70" i="173"/>
  <c r="CE70" i="173"/>
  <c r="CD70" i="173"/>
  <c r="CB70" i="173"/>
  <c r="BY70" i="173"/>
  <c r="BV70" i="173"/>
  <c r="BT70" i="173"/>
  <c r="BS70" i="173"/>
  <c r="BK70" i="173"/>
  <c r="BB70" i="173"/>
  <c r="AV70" i="173" s="1"/>
  <c r="AU70" i="173"/>
  <c r="BQ70" i="173" s="1"/>
  <c r="AE70" i="173"/>
  <c r="Y70" i="173"/>
  <c r="ED69" i="173"/>
  <c r="EB69" i="173"/>
  <c r="EA69" i="173"/>
  <c r="DZ69" i="173"/>
  <c r="DY69" i="173"/>
  <c r="DX69" i="173"/>
  <c r="DW69" i="173"/>
  <c r="DV69" i="173"/>
  <c r="DT69" i="173"/>
  <c r="DS69" i="173"/>
  <c r="DQ69" i="173"/>
  <c r="DN69" i="173"/>
  <c r="CT69" i="173"/>
  <c r="CL69" i="173"/>
  <c r="CI69" i="173"/>
  <c r="CH69" i="173"/>
  <c r="CG69" i="173"/>
  <c r="CF69" i="173"/>
  <c r="CE69" i="173"/>
  <c r="CD69" i="173"/>
  <c r="CB69" i="173"/>
  <c r="BY69" i="173"/>
  <c r="BV69" i="173"/>
  <c r="BT69" i="173"/>
  <c r="BS69" i="173"/>
  <c r="BB69" i="173"/>
  <c r="AV69" i="173" s="1"/>
  <c r="AE69" i="173"/>
  <c r="ED68" i="173"/>
  <c r="EB68" i="173"/>
  <c r="EA68" i="173"/>
  <c r="DZ68" i="173"/>
  <c r="DY68" i="173"/>
  <c r="DX68" i="173"/>
  <c r="DW68" i="173"/>
  <c r="DV68" i="173"/>
  <c r="DV204" i="173" s="1"/>
  <c r="DT68" i="173"/>
  <c r="DS68" i="173"/>
  <c r="DQ68" i="173"/>
  <c r="DP68" i="173"/>
  <c r="DN68" i="173"/>
  <c r="DH68" i="173"/>
  <c r="CN68" i="173"/>
  <c r="H68" i="173" s="1"/>
  <c r="CM68" i="173"/>
  <c r="DI68" i="173" s="1"/>
  <c r="CL68" i="173"/>
  <c r="CI68" i="173"/>
  <c r="CH68" i="173"/>
  <c r="CG68" i="173"/>
  <c r="CF68" i="173"/>
  <c r="CE68" i="173"/>
  <c r="CD68" i="173"/>
  <c r="CC68" i="173"/>
  <c r="CC204" i="173" s="1"/>
  <c r="CB68" i="173"/>
  <c r="CA68" i="173"/>
  <c r="BY68" i="173"/>
  <c r="BX68" i="173"/>
  <c r="BV68" i="173"/>
  <c r="BT68" i="173"/>
  <c r="BS68" i="173"/>
  <c r="BR68" i="173"/>
  <c r="BP68" i="173"/>
  <c r="AV68" i="173"/>
  <c r="AS68" i="173"/>
  <c r="Y68" i="173" s="1"/>
  <c r="EC67" i="173"/>
  <c r="DU67" i="173"/>
  <c r="DO67" i="173"/>
  <c r="DK67" i="173"/>
  <c r="DG67" i="173"/>
  <c r="DE67" i="173"/>
  <c r="CZ67" i="173"/>
  <c r="CY67" i="173"/>
  <c r="CX67" i="173"/>
  <c r="CS67" i="173"/>
  <c r="CO67" i="173"/>
  <c r="CI67" i="173"/>
  <c r="BW67" i="173"/>
  <c r="BO67" i="173"/>
  <c r="BM67" i="173"/>
  <c r="BI67" i="173"/>
  <c r="BH67" i="173"/>
  <c r="BG67" i="173"/>
  <c r="BF67" i="173"/>
  <c r="BA67" i="173"/>
  <c r="AY67" i="173"/>
  <c r="AY197" i="173" s="1"/>
  <c r="AY208" i="173" s="1"/>
  <c r="AW67" i="173"/>
  <c r="AR67" i="173"/>
  <c r="AQ67" i="173"/>
  <c r="AP67" i="173"/>
  <c r="AK67" i="173"/>
  <c r="AJ67" i="173"/>
  <c r="AI67" i="173"/>
  <c r="AH67" i="173"/>
  <c r="AG67" i="173"/>
  <c r="AD67" i="173"/>
  <c r="AC67" i="173"/>
  <c r="AB67" i="173"/>
  <c r="Z67" i="173"/>
  <c r="G67" i="173"/>
  <c r="ED66" i="173"/>
  <c r="EB66" i="173"/>
  <c r="EA66" i="173"/>
  <c r="DZ66" i="173"/>
  <c r="DY66" i="173"/>
  <c r="DX66" i="173"/>
  <c r="DW66" i="173"/>
  <c r="DV66" i="173"/>
  <c r="DT66" i="173"/>
  <c r="DS66" i="173"/>
  <c r="DQ66" i="173"/>
  <c r="DP66" i="173"/>
  <c r="DN66" i="173"/>
  <c r="DL66" i="173"/>
  <c r="DH66" i="173"/>
  <c r="CN66" i="173" s="1"/>
  <c r="CK66" i="173"/>
  <c r="CJ66" i="173"/>
  <c r="CI66" i="173"/>
  <c r="CH66" i="173"/>
  <c r="CG66" i="173"/>
  <c r="CF66" i="173"/>
  <c r="CE66" i="173"/>
  <c r="CD66" i="173"/>
  <c r="CC66" i="173"/>
  <c r="CB66" i="173"/>
  <c r="CA66" i="173"/>
  <c r="BY66" i="173"/>
  <c r="BX66" i="173"/>
  <c r="BV66" i="173"/>
  <c r="BU66" i="173"/>
  <c r="BS66" i="173"/>
  <c r="BR66" i="173"/>
  <c r="AV66" i="173"/>
  <c r="AU66" i="173" s="1"/>
  <c r="BQ66" i="173" s="1"/>
  <c r="AS66" i="173"/>
  <c r="CL66" i="173" s="1"/>
  <c r="Y66" i="173"/>
  <c r="ED65" i="173"/>
  <c r="EB65" i="173"/>
  <c r="EA65" i="173"/>
  <c r="DZ65" i="173"/>
  <c r="DY65" i="173"/>
  <c r="DW65" i="173"/>
  <c r="DV65" i="173"/>
  <c r="DT65" i="173"/>
  <c r="DS65" i="173"/>
  <c r="DQ65" i="173"/>
  <c r="DP65" i="173"/>
  <c r="DN65" i="173"/>
  <c r="DC65" i="173"/>
  <c r="DB65" i="173"/>
  <c r="DX65" i="173" s="1"/>
  <c r="CL65" i="173"/>
  <c r="CI65" i="173"/>
  <c r="CE65" i="173"/>
  <c r="CD65" i="173"/>
  <c r="CB65" i="173"/>
  <c r="BY65" i="173"/>
  <c r="BX65" i="173"/>
  <c r="BV65" i="173"/>
  <c r="BU65" i="173"/>
  <c r="BS65" i="173"/>
  <c r="BK65" i="173"/>
  <c r="BJ65" i="173"/>
  <c r="CF65" i="173" s="1"/>
  <c r="AO65" i="173"/>
  <c r="Y65" i="173" s="1"/>
  <c r="ED64" i="173"/>
  <c r="EB64" i="173"/>
  <c r="EA64" i="173"/>
  <c r="DX64" i="173"/>
  <c r="DW64" i="173"/>
  <c r="DV64" i="173"/>
  <c r="DT64" i="173"/>
  <c r="DS64" i="173"/>
  <c r="DQ64" i="173"/>
  <c r="DP64" i="173"/>
  <c r="DN64" i="173"/>
  <c r="DD64" i="173"/>
  <c r="DZ64" i="173" s="1"/>
  <c r="DC64" i="173"/>
  <c r="DY64" i="173" s="1"/>
  <c r="CI64" i="173"/>
  <c r="CF64" i="173"/>
  <c r="CE64" i="173"/>
  <c r="CD64" i="173"/>
  <c r="CB64" i="173"/>
  <c r="BY64" i="173"/>
  <c r="BX64" i="173"/>
  <c r="BV64" i="173"/>
  <c r="BU64" i="173"/>
  <c r="BS64" i="173"/>
  <c r="BP64" i="173"/>
  <c r="CL64" i="173" s="1"/>
  <c r="BL64" i="173"/>
  <c r="BK64" i="173"/>
  <c r="AS64" i="173"/>
  <c r="AO64" i="173"/>
  <c r="Y64" i="173"/>
  <c r="ED63" i="173"/>
  <c r="EB63" i="173"/>
  <c r="EA63" i="173"/>
  <c r="DY63" i="173"/>
  <c r="DX63" i="173"/>
  <c r="DW63" i="173"/>
  <c r="DV63" i="173"/>
  <c r="DT63" i="173"/>
  <c r="DJ63" i="173" s="1"/>
  <c r="DS63" i="173"/>
  <c r="DQ63" i="173"/>
  <c r="DP63" i="173"/>
  <c r="DN63" i="173"/>
  <c r="DD63" i="173"/>
  <c r="DZ63" i="173" s="1"/>
  <c r="CN63" i="173"/>
  <c r="CM63" i="173" s="1"/>
  <c r="DI63" i="173" s="1"/>
  <c r="CL63" i="173"/>
  <c r="CI63" i="173"/>
  <c r="CH63" i="173"/>
  <c r="CG63" i="173"/>
  <c r="CF63" i="173"/>
  <c r="CE63" i="173"/>
  <c r="CD63" i="173"/>
  <c r="CB63" i="173"/>
  <c r="BY63" i="173"/>
  <c r="BX63" i="173"/>
  <c r="BV63" i="173"/>
  <c r="BU63" i="173"/>
  <c r="BS63" i="173"/>
  <c r="BL63" i="173"/>
  <c r="AV63" i="173"/>
  <c r="AU63" i="173"/>
  <c r="BQ63" i="173" s="1"/>
  <c r="Y63" i="173"/>
  <c r="ED62" i="173"/>
  <c r="EB62" i="173"/>
  <c r="EA62" i="173"/>
  <c r="DX62" i="173"/>
  <c r="DW62" i="173"/>
  <c r="DV62" i="173"/>
  <c r="DT62" i="173"/>
  <c r="DS62" i="173"/>
  <c r="DQ62" i="173"/>
  <c r="DP62" i="173"/>
  <c r="DN62" i="173"/>
  <c r="DD62" i="173"/>
  <c r="DZ62" i="173" s="1"/>
  <c r="DC62" i="173"/>
  <c r="DY62" i="173" s="1"/>
  <c r="CL62" i="173"/>
  <c r="CI62" i="173"/>
  <c r="CH62" i="173"/>
  <c r="CF62" i="173"/>
  <c r="CE62" i="173"/>
  <c r="CD62" i="173"/>
  <c r="CB62" i="173"/>
  <c r="BY62" i="173"/>
  <c r="BX62" i="173"/>
  <c r="BV62" i="173"/>
  <c r="BU62" i="173"/>
  <c r="BS62" i="173"/>
  <c r="BL62" i="173"/>
  <c r="BK62" i="173"/>
  <c r="AO62" i="173"/>
  <c r="Y62" i="173" s="1"/>
  <c r="EB61" i="173"/>
  <c r="EA61" i="173"/>
  <c r="DZ61" i="173"/>
  <c r="DY61" i="173"/>
  <c r="DX61" i="173"/>
  <c r="DW61" i="173"/>
  <c r="DV61" i="173"/>
  <c r="DT61" i="173"/>
  <c r="DS61" i="173"/>
  <c r="DQ61" i="173"/>
  <c r="DP61" i="173"/>
  <c r="DN61" i="173"/>
  <c r="CN61" i="173"/>
  <c r="CI61" i="173"/>
  <c r="CH61" i="173"/>
  <c r="CG61" i="173"/>
  <c r="CF61" i="173"/>
  <c r="CE61" i="173"/>
  <c r="CD61" i="173"/>
  <c r="CB61" i="173"/>
  <c r="BY61" i="173"/>
  <c r="BX61" i="173"/>
  <c r="BV61" i="173"/>
  <c r="BU61" i="173"/>
  <c r="BS61" i="173"/>
  <c r="BP61" i="173"/>
  <c r="AV61" i="173"/>
  <c r="AS61" i="173"/>
  <c r="ED60" i="173"/>
  <c r="EB60" i="173"/>
  <c r="EA60" i="173"/>
  <c r="DZ60" i="173"/>
  <c r="DY60" i="173"/>
  <c r="DX60" i="173"/>
  <c r="DW60" i="173"/>
  <c r="DV60" i="173"/>
  <c r="DT60" i="173"/>
  <c r="DS60" i="173"/>
  <c r="DQ60" i="173"/>
  <c r="DP60" i="173"/>
  <c r="DM60" i="173"/>
  <c r="CT60" i="173"/>
  <c r="CR60" i="173"/>
  <c r="CN60" i="173" s="1"/>
  <c r="CL60" i="173"/>
  <c r="CI60" i="173"/>
  <c r="CH60" i="173"/>
  <c r="CG60" i="173"/>
  <c r="CF60" i="173"/>
  <c r="CE60" i="173"/>
  <c r="CD60" i="173"/>
  <c r="CB60" i="173"/>
  <c r="BY60" i="173"/>
  <c r="BU60" i="173"/>
  <c r="BS60" i="173"/>
  <c r="BB60" i="173"/>
  <c r="AZ60" i="173"/>
  <c r="AE60" i="173"/>
  <c r="AC60" i="173"/>
  <c r="BV60" i="173" s="1"/>
  <c r="AA60" i="173"/>
  <c r="Y60" i="173"/>
  <c r="ED59" i="173"/>
  <c r="DJ59" i="173" s="1"/>
  <c r="CN59" i="173"/>
  <c r="BU59" i="173"/>
  <c r="BP59" i="173"/>
  <c r="AV59" i="173" s="1"/>
  <c r="AU59" i="173" s="1"/>
  <c r="BQ59" i="173" s="1"/>
  <c r="AS59" i="173"/>
  <c r="Y59" i="173"/>
  <c r="I59" i="173" s="1"/>
  <c r="H59" i="173"/>
  <c r="ED58" i="173"/>
  <c r="EB58" i="173"/>
  <c r="EA58" i="173"/>
  <c r="DZ58" i="173"/>
  <c r="DY58" i="173"/>
  <c r="DX58" i="173"/>
  <c r="DW58" i="173"/>
  <c r="DV58" i="173"/>
  <c r="DT58" i="173"/>
  <c r="DS58" i="173"/>
  <c r="DQ58" i="173"/>
  <c r="CR58" i="173"/>
  <c r="CN58" i="173" s="1"/>
  <c r="CI58" i="173"/>
  <c r="CH58" i="173"/>
  <c r="CG58" i="173"/>
  <c r="CF58" i="173"/>
  <c r="CE58" i="173"/>
  <c r="CD58" i="173"/>
  <c r="CB58" i="173"/>
  <c r="BY58" i="173"/>
  <c r="BX58" i="173"/>
  <c r="BU58" i="173"/>
  <c r="BS58" i="173"/>
  <c r="AZ58" i="173"/>
  <c r="AS58" i="173"/>
  <c r="CL58" i="173" s="1"/>
  <c r="AE58" i="173"/>
  <c r="DP58" i="173" s="1"/>
  <c r="AC58" i="173"/>
  <c r="Y58" i="173"/>
  <c r="ED57" i="173"/>
  <c r="EB57" i="173"/>
  <c r="EA57" i="173"/>
  <c r="DZ57" i="173"/>
  <c r="DY57" i="173"/>
  <c r="DX57" i="173"/>
  <c r="DW57" i="173"/>
  <c r="DV57" i="173"/>
  <c r="DT57" i="173"/>
  <c r="DS57" i="173"/>
  <c r="DQ57" i="173"/>
  <c r="DN57" i="173"/>
  <c r="CT57" i="173"/>
  <c r="CL57" i="173"/>
  <c r="CI57" i="173"/>
  <c r="CH57" i="173"/>
  <c r="CG57" i="173"/>
  <c r="CF57" i="173"/>
  <c r="CE57" i="173"/>
  <c r="CD57" i="173"/>
  <c r="CB57" i="173"/>
  <c r="BY57" i="173"/>
  <c r="BV57" i="173"/>
  <c r="BU57" i="173"/>
  <c r="BS57" i="173"/>
  <c r="BB57" i="173"/>
  <c r="BX57" i="173" s="1"/>
  <c r="Y57" i="173"/>
  <c r="ED56" i="173"/>
  <c r="EB56" i="173"/>
  <c r="EA56" i="173"/>
  <c r="DZ56" i="173"/>
  <c r="DY56" i="173"/>
  <c r="DX56" i="173"/>
  <c r="DW56" i="173"/>
  <c r="DV56" i="173"/>
  <c r="DT56" i="173"/>
  <c r="DS56" i="173"/>
  <c r="DQ56" i="173"/>
  <c r="DP56" i="173"/>
  <c r="DN56" i="173"/>
  <c r="CT56" i="173"/>
  <c r="CN56" i="173"/>
  <c r="CM56" i="173" s="1"/>
  <c r="DI56" i="173" s="1"/>
  <c r="CL56" i="173"/>
  <c r="CK56" i="173"/>
  <c r="CJ56" i="173"/>
  <c r="CJ67" i="173" s="1"/>
  <c r="CI56" i="173"/>
  <c r="CH56" i="173"/>
  <c r="CG56" i="173"/>
  <c r="CF56" i="173"/>
  <c r="CE56" i="173"/>
  <c r="CD56" i="173"/>
  <c r="CC56" i="173"/>
  <c r="CB56" i="173"/>
  <c r="CA56" i="173"/>
  <c r="BY56" i="173"/>
  <c r="BV56" i="173"/>
  <c r="BU56" i="173"/>
  <c r="BT56" i="173"/>
  <c r="BS56" i="173"/>
  <c r="BB56" i="173"/>
  <c r="BX56" i="173" s="1"/>
  <c r="BR56" i="173" s="1"/>
  <c r="Y56" i="173"/>
  <c r="ED55" i="173"/>
  <c r="EB55" i="173"/>
  <c r="EA55" i="173"/>
  <c r="DZ55" i="173"/>
  <c r="DY55" i="173"/>
  <c r="DX55" i="173"/>
  <c r="DV55" i="173"/>
  <c r="DT55" i="173"/>
  <c r="DS55" i="173"/>
  <c r="DQ55" i="173"/>
  <c r="DP55" i="173"/>
  <c r="DN55" i="173"/>
  <c r="DA55" i="173"/>
  <c r="DW55" i="173" s="1"/>
  <c r="CL55" i="173"/>
  <c r="CI55" i="173"/>
  <c r="CH55" i="173"/>
  <c r="CF55" i="173"/>
  <c r="CE55" i="173"/>
  <c r="CD55" i="173"/>
  <c r="CB55" i="173"/>
  <c r="BY55" i="173"/>
  <c r="BX55" i="173"/>
  <c r="BV55" i="173"/>
  <c r="BU55" i="173"/>
  <c r="BT55" i="173"/>
  <c r="BS55" i="173"/>
  <c r="BR55" i="173" s="1"/>
  <c r="BI55" i="173"/>
  <c r="AL55" i="173"/>
  <c r="AL67" i="173" s="1"/>
  <c r="ED54" i="173"/>
  <c r="EB54" i="173"/>
  <c r="EA54" i="173"/>
  <c r="DY54" i="173"/>
  <c r="DX54" i="173"/>
  <c r="DW54" i="173"/>
  <c r="DV54" i="173"/>
  <c r="DT54" i="173"/>
  <c r="DS54" i="173"/>
  <c r="DQ54" i="173"/>
  <c r="DN54" i="173"/>
  <c r="DM54" i="173"/>
  <c r="DD54" i="173"/>
  <c r="DZ54" i="173" s="1"/>
  <c r="CT54" i="173"/>
  <c r="CP54" i="173"/>
  <c r="CL54" i="173"/>
  <c r="CK54" i="173"/>
  <c r="CJ54" i="173"/>
  <c r="CI54" i="173"/>
  <c r="CG54" i="173"/>
  <c r="CF54" i="173"/>
  <c r="CE54" i="173"/>
  <c r="CD54" i="173"/>
  <c r="CC54" i="173"/>
  <c r="CB54" i="173"/>
  <c r="CA54" i="173"/>
  <c r="BY54" i="173"/>
  <c r="BX54" i="173"/>
  <c r="BV54" i="173"/>
  <c r="BU54" i="173"/>
  <c r="BS54" i="173"/>
  <c r="BL54" i="173"/>
  <c r="CH54" i="173" s="1"/>
  <c r="BB54" i="173"/>
  <c r="AX54" i="173"/>
  <c r="AA54" i="173"/>
  <c r="BT54" i="173" s="1"/>
  <c r="EB53" i="173"/>
  <c r="EA53" i="173"/>
  <c r="DZ53" i="173"/>
  <c r="DY53" i="173"/>
  <c r="DX53" i="173"/>
  <c r="DW53" i="173"/>
  <c r="DV53" i="173"/>
  <c r="DT53" i="173"/>
  <c r="DS53" i="173"/>
  <c r="DQ53" i="173"/>
  <c r="DP53" i="173"/>
  <c r="DN53" i="173"/>
  <c r="DH53" i="173"/>
  <c r="CN53" i="173" s="1"/>
  <c r="H53" i="173" s="1"/>
  <c r="CK53" i="173"/>
  <c r="CJ53" i="173"/>
  <c r="CI53" i="173"/>
  <c r="CH53" i="173"/>
  <c r="CG53" i="173"/>
  <c r="CF53" i="173"/>
  <c r="CE53" i="173"/>
  <c r="CD53" i="173"/>
  <c r="CC53" i="173"/>
  <c r="CB53" i="173"/>
  <c r="CA53" i="173"/>
  <c r="BY53" i="173"/>
  <c r="BX53" i="173"/>
  <c r="BV53" i="173"/>
  <c r="BU53" i="173"/>
  <c r="BT53" i="173"/>
  <c r="BS53" i="173"/>
  <c r="BP53" i="173"/>
  <c r="AV53" i="173" s="1"/>
  <c r="AS53" i="173"/>
  <c r="ED52" i="173"/>
  <c r="EB52" i="173"/>
  <c r="EA52" i="173"/>
  <c r="DZ52" i="173"/>
  <c r="DY52" i="173"/>
  <c r="DX52" i="173"/>
  <c r="DV52" i="173"/>
  <c r="DT52" i="173"/>
  <c r="DS52" i="173"/>
  <c r="DQ52" i="173"/>
  <c r="DP52" i="173"/>
  <c r="DN52" i="173"/>
  <c r="DA52" i="173"/>
  <c r="DA67" i="173" s="1"/>
  <c r="CL52" i="173"/>
  <c r="CI52" i="173"/>
  <c r="CH52" i="173"/>
  <c r="CG52" i="173"/>
  <c r="CF52" i="173"/>
  <c r="CE52" i="173"/>
  <c r="CD52" i="173"/>
  <c r="CC52" i="173"/>
  <c r="CB52" i="173"/>
  <c r="CA52" i="173"/>
  <c r="BY52" i="173"/>
  <c r="BX52" i="173"/>
  <c r="BV52" i="173"/>
  <c r="BU52" i="173"/>
  <c r="BT52" i="173"/>
  <c r="BS52" i="173"/>
  <c r="BR52" i="173" s="1"/>
  <c r="AV52" i="173"/>
  <c r="Y52" i="173"/>
  <c r="ED51" i="173"/>
  <c r="EB51" i="173"/>
  <c r="EA51" i="173"/>
  <c r="DZ51" i="173"/>
  <c r="DY51" i="173"/>
  <c r="DX51" i="173"/>
  <c r="DJ51" i="173" s="1"/>
  <c r="DW51" i="173"/>
  <c r="DV51" i="173"/>
  <c r="DT51" i="173"/>
  <c r="DS51" i="173"/>
  <c r="DQ51" i="173"/>
  <c r="DP51" i="173"/>
  <c r="DN51" i="173"/>
  <c r="DI51" i="173"/>
  <c r="CN51" i="173"/>
  <c r="CM51" i="173" s="1"/>
  <c r="CI51" i="173"/>
  <c r="CH51" i="173"/>
  <c r="CG51" i="173"/>
  <c r="CF51" i="173"/>
  <c r="CE51" i="173"/>
  <c r="CD51" i="173"/>
  <c r="CB51" i="173"/>
  <c r="BY51" i="173"/>
  <c r="BX51" i="173"/>
  <c r="BV51" i="173"/>
  <c r="BU51" i="173"/>
  <c r="BT51" i="173"/>
  <c r="BS51" i="173"/>
  <c r="BP51" i="173"/>
  <c r="CL51" i="173" s="1"/>
  <c r="BR51" i="173" s="1"/>
  <c r="AS51" i="173"/>
  <c r="Y51" i="173"/>
  <c r="I51" i="173" s="1"/>
  <c r="H51" i="173"/>
  <c r="EB50" i="173"/>
  <c r="EA50" i="173"/>
  <c r="DZ50" i="173"/>
  <c r="DX50" i="173"/>
  <c r="DW50" i="173"/>
  <c r="DV50" i="173"/>
  <c r="DT50" i="173"/>
  <c r="DS50" i="173"/>
  <c r="DQ50" i="173"/>
  <c r="DP50" i="173"/>
  <c r="DN50" i="173"/>
  <c r="DH50" i="173"/>
  <c r="DC50" i="173"/>
  <c r="CI50" i="173"/>
  <c r="CH50" i="173"/>
  <c r="CG50" i="173"/>
  <c r="CF50" i="173"/>
  <c r="CE50" i="173"/>
  <c r="CD50" i="173"/>
  <c r="CB50" i="173"/>
  <c r="BY50" i="173"/>
  <c r="BX50" i="173"/>
  <c r="BV50" i="173"/>
  <c r="BU50" i="173"/>
  <c r="BT50" i="173"/>
  <c r="BS50" i="173"/>
  <c r="BP50" i="173"/>
  <c r="AV50" i="173" s="1"/>
  <c r="AS50" i="173"/>
  <c r="AN50" i="173"/>
  <c r="DY50" i="173" s="1"/>
  <c r="Y50" i="173"/>
  <c r="ED49" i="173"/>
  <c r="EB49" i="173"/>
  <c r="EA49" i="173"/>
  <c r="DZ49" i="173"/>
  <c r="DY49" i="173"/>
  <c r="DX49" i="173"/>
  <c r="DW49" i="173"/>
  <c r="DV49" i="173"/>
  <c r="DT49" i="173"/>
  <c r="DS49" i="173"/>
  <c r="DQ49" i="173"/>
  <c r="DP49" i="173"/>
  <c r="DN49" i="173"/>
  <c r="DM49" i="173"/>
  <c r="DL49" i="173"/>
  <c r="DJ49" i="173" s="1"/>
  <c r="CP49" i="173"/>
  <c r="CN49" i="173"/>
  <c r="CM49" i="173"/>
  <c r="DI49" i="173" s="1"/>
  <c r="CL49" i="173"/>
  <c r="CI49" i="173"/>
  <c r="CG49" i="173"/>
  <c r="CF49" i="173"/>
  <c r="CE49" i="173"/>
  <c r="CD49" i="173"/>
  <c r="CB49" i="173"/>
  <c r="BY49" i="173"/>
  <c r="BX49" i="173"/>
  <c r="BV49" i="173"/>
  <c r="BU49" i="173"/>
  <c r="BT49" i="173"/>
  <c r="BS49" i="173"/>
  <c r="BL49" i="173"/>
  <c r="CH49" i="173" s="1"/>
  <c r="AA49" i="173"/>
  <c r="Y49" i="173"/>
  <c r="I49" i="173" s="1"/>
  <c r="H49" i="173"/>
  <c r="ED48" i="173"/>
  <c r="EB48" i="173"/>
  <c r="EA48" i="173"/>
  <c r="DW48" i="173"/>
  <c r="DV48" i="173"/>
  <c r="DT48" i="173"/>
  <c r="DS48" i="173"/>
  <c r="DR48" i="173"/>
  <c r="DR202" i="173" s="1"/>
  <c r="DQ48" i="173"/>
  <c r="DN48" i="173"/>
  <c r="DM48" i="173"/>
  <c r="DD48" i="173"/>
  <c r="DC48" i="173"/>
  <c r="CW48" i="173"/>
  <c r="CV48" i="173"/>
  <c r="CV202" i="173" s="1"/>
  <c r="CU48" i="173"/>
  <c r="CT48" i="173"/>
  <c r="CP48" i="173"/>
  <c r="CN48" i="173" s="1"/>
  <c r="CL48" i="173"/>
  <c r="CI48" i="173"/>
  <c r="CE48" i="173"/>
  <c r="CD48" i="173"/>
  <c r="CC48" i="173"/>
  <c r="CB48" i="173"/>
  <c r="BV48" i="173"/>
  <c r="BU48" i="173"/>
  <c r="BS48" i="173"/>
  <c r="BL48" i="173"/>
  <c r="BK48" i="173"/>
  <c r="BJ48" i="173"/>
  <c r="BE48" i="173"/>
  <c r="BD48" i="173"/>
  <c r="BC48" i="173"/>
  <c r="BB48" i="173"/>
  <c r="AX48" i="173"/>
  <c r="AO48" i="173"/>
  <c r="AN48" i="173"/>
  <c r="AM48" i="173"/>
  <c r="AF48" i="173"/>
  <c r="AE48" i="173"/>
  <c r="BX48" i="173" s="1"/>
  <c r="AA48" i="173"/>
  <c r="ED47" i="173"/>
  <c r="EB47" i="173"/>
  <c r="EA47" i="173"/>
  <c r="DZ47" i="173"/>
  <c r="DY47" i="173"/>
  <c r="DW47" i="173"/>
  <c r="DV47" i="173"/>
  <c r="DT47" i="173"/>
  <c r="DS47" i="173"/>
  <c r="DQ47" i="173"/>
  <c r="DP47" i="173"/>
  <c r="DN47" i="173"/>
  <c r="DM47" i="173"/>
  <c r="DB47" i="173"/>
  <c r="DB202" i="173" s="1"/>
  <c r="CN47" i="173"/>
  <c r="CL47" i="173"/>
  <c r="CI47" i="173"/>
  <c r="CH47" i="173"/>
  <c r="CG47" i="173"/>
  <c r="CE47" i="173"/>
  <c r="CD47" i="173"/>
  <c r="CC47" i="173"/>
  <c r="CB47" i="173"/>
  <c r="CA47" i="173"/>
  <c r="BY47" i="173"/>
  <c r="BX47" i="173"/>
  <c r="BV47" i="173"/>
  <c r="BU47" i="173"/>
  <c r="BT47" i="173"/>
  <c r="BS47" i="173"/>
  <c r="BJ47" i="173"/>
  <c r="AV47" i="173"/>
  <c r="AM47" i="173"/>
  <c r="AA47" i="173"/>
  <c r="EB46" i="173"/>
  <c r="EA46" i="173"/>
  <c r="DZ46" i="173"/>
  <c r="DY46" i="173"/>
  <c r="DX46" i="173"/>
  <c r="DW46" i="173"/>
  <c r="DV46" i="173"/>
  <c r="DT46" i="173"/>
  <c r="DS46" i="173"/>
  <c r="DQ46" i="173"/>
  <c r="DP46" i="173"/>
  <c r="DN46" i="173"/>
  <c r="DH46" i="173"/>
  <c r="CN46" i="173" s="1"/>
  <c r="H46" i="173" s="1"/>
  <c r="CL46" i="173"/>
  <c r="BR46" i="173" s="1"/>
  <c r="CI46" i="173"/>
  <c r="CH46" i="173"/>
  <c r="CG46" i="173"/>
  <c r="CF46" i="173"/>
  <c r="CE46" i="173"/>
  <c r="CD46" i="173"/>
  <c r="CC46" i="173"/>
  <c r="CB46" i="173"/>
  <c r="CA46" i="173"/>
  <c r="BY46" i="173"/>
  <c r="BX46" i="173"/>
  <c r="BV46" i="173"/>
  <c r="BU46" i="173"/>
  <c r="BS46" i="173"/>
  <c r="BP46" i="173"/>
  <c r="AV46" i="173" s="1"/>
  <c r="AU46" i="173" s="1"/>
  <c r="BQ46" i="173" s="1"/>
  <c r="AS46" i="173"/>
  <c r="Y46" i="173" s="1"/>
  <c r="ED45" i="173"/>
  <c r="EB45" i="173"/>
  <c r="EA45" i="173"/>
  <c r="DY45" i="173"/>
  <c r="DX45" i="173"/>
  <c r="DW45" i="173"/>
  <c r="DV45" i="173"/>
  <c r="DT45" i="173"/>
  <c r="DS45" i="173"/>
  <c r="DQ45" i="173"/>
  <c r="DP45" i="173"/>
  <c r="DN45" i="173"/>
  <c r="DM45" i="173"/>
  <c r="DD45" i="173"/>
  <c r="DZ45" i="173" s="1"/>
  <c r="CU45" i="173"/>
  <c r="CN45" i="173" s="1"/>
  <c r="CM45" i="173" s="1"/>
  <c r="DI45" i="173" s="1"/>
  <c r="CP45" i="173"/>
  <c r="CL45" i="173"/>
  <c r="CI45" i="173"/>
  <c r="CG45" i="173"/>
  <c r="CF45" i="173"/>
  <c r="CE45" i="173"/>
  <c r="CD45" i="173"/>
  <c r="CC45" i="173"/>
  <c r="CB45" i="173"/>
  <c r="CA45" i="173"/>
  <c r="BY45" i="173"/>
  <c r="BX45" i="173"/>
  <c r="BV45" i="173"/>
  <c r="BU45" i="173"/>
  <c r="BS45" i="173"/>
  <c r="BL45" i="173"/>
  <c r="CH45" i="173" s="1"/>
  <c r="BC45" i="173"/>
  <c r="AX45" i="173"/>
  <c r="AF45" i="173"/>
  <c r="AA45" i="173"/>
  <c r="DL45" i="173" s="1"/>
  <c r="DJ45" i="173" s="1"/>
  <c r="Y45" i="173"/>
  <c r="ED44" i="173"/>
  <c r="EB44" i="173"/>
  <c r="EA44" i="173"/>
  <c r="DY44" i="173"/>
  <c r="DX44" i="173"/>
  <c r="DW44" i="173"/>
  <c r="DV44" i="173"/>
  <c r="DT44" i="173"/>
  <c r="DS44" i="173"/>
  <c r="DP44" i="173"/>
  <c r="DN44" i="173"/>
  <c r="DM44" i="173"/>
  <c r="DD44" i="173"/>
  <c r="DZ44" i="173" s="1"/>
  <c r="CU44" i="173"/>
  <c r="CP44" i="173"/>
  <c r="CN44" i="173" s="1"/>
  <c r="H44" i="173" s="1"/>
  <c r="CL44" i="173"/>
  <c r="CI44" i="173"/>
  <c r="CH44" i="173"/>
  <c r="CG44" i="173"/>
  <c r="CF44" i="173"/>
  <c r="CE44" i="173"/>
  <c r="CD44" i="173"/>
  <c r="CC44" i="173"/>
  <c r="CB44" i="173"/>
  <c r="CA44" i="173"/>
  <c r="BX44" i="173"/>
  <c r="BV44" i="173"/>
  <c r="BU44" i="173"/>
  <c r="BS44" i="173"/>
  <c r="BL44" i="173"/>
  <c r="BC44" i="173"/>
  <c r="AX44" i="173"/>
  <c r="AV44" i="173" s="1"/>
  <c r="AF44" i="173"/>
  <c r="DQ44" i="173" s="1"/>
  <c r="AA44" i="173"/>
  <c r="ED43" i="173"/>
  <c r="EB43" i="173"/>
  <c r="EA43" i="173"/>
  <c r="DZ43" i="173"/>
  <c r="DY43" i="173"/>
  <c r="DJ43" i="173" s="1"/>
  <c r="DX43" i="173"/>
  <c r="DW43" i="173"/>
  <c r="DV43" i="173"/>
  <c r="DT43" i="173"/>
  <c r="DS43" i="173"/>
  <c r="DQ43" i="173"/>
  <c r="DP43" i="173"/>
  <c r="CT43" i="173"/>
  <c r="CN43" i="173" s="1"/>
  <c r="CL43" i="173"/>
  <c r="CI43" i="173"/>
  <c r="CH43" i="173"/>
  <c r="CG43" i="173"/>
  <c r="CF43" i="173"/>
  <c r="CE43" i="173"/>
  <c r="CD43" i="173"/>
  <c r="BY43" i="173"/>
  <c r="BV43" i="173"/>
  <c r="BU43" i="173"/>
  <c r="BS43" i="173"/>
  <c r="BB43" i="173"/>
  <c r="BX43" i="173" s="1"/>
  <c r="BR43" i="173" s="1"/>
  <c r="AE43" i="173"/>
  <c r="Y43" i="173"/>
  <c r="I43" i="173" s="1"/>
  <c r="H43" i="173"/>
  <c r="ED42" i="173"/>
  <c r="EB42" i="173"/>
  <c r="EA42" i="173"/>
  <c r="DZ42" i="173"/>
  <c r="DY42" i="173"/>
  <c r="DX42" i="173"/>
  <c r="DW42" i="173"/>
  <c r="DV42" i="173"/>
  <c r="DT42" i="173"/>
  <c r="DS42" i="173"/>
  <c r="DQ42" i="173"/>
  <c r="CT42" i="173"/>
  <c r="DP42" i="173" s="1"/>
  <c r="CN42" i="173"/>
  <c r="CM42" i="173" s="1"/>
  <c r="DI42" i="173" s="1"/>
  <c r="CL42" i="173"/>
  <c r="CI42" i="173"/>
  <c r="CH42" i="173"/>
  <c r="CG42" i="173"/>
  <c r="CF42" i="173"/>
  <c r="CE42" i="173"/>
  <c r="CD42" i="173"/>
  <c r="CC42" i="173"/>
  <c r="CB42" i="173"/>
  <c r="CA42" i="173"/>
  <c r="BY42" i="173"/>
  <c r="BV42" i="173"/>
  <c r="BU42" i="173"/>
  <c r="BS42" i="173"/>
  <c r="BB42" i="173"/>
  <c r="AV42" i="173" s="1"/>
  <c r="Y42" i="173"/>
  <c r="H42" i="173"/>
  <c r="I42" i="173" s="1"/>
  <c r="ED41" i="173"/>
  <c r="EB41" i="173"/>
  <c r="EA41" i="173"/>
  <c r="DZ41" i="173"/>
  <c r="DY41" i="173"/>
  <c r="DX41" i="173"/>
  <c r="DW41" i="173"/>
  <c r="DV41" i="173"/>
  <c r="DT41" i="173"/>
  <c r="DS41" i="173"/>
  <c r="DQ41" i="173"/>
  <c r="CT41" i="173"/>
  <c r="CN41" i="173"/>
  <c r="H41" i="173" s="1"/>
  <c r="CL41" i="173"/>
  <c r="CI41" i="173"/>
  <c r="CH41" i="173"/>
  <c r="CG41" i="173"/>
  <c r="CF41" i="173"/>
  <c r="CE41" i="173"/>
  <c r="CD41" i="173"/>
  <c r="CC41" i="173"/>
  <c r="CB41" i="173"/>
  <c r="CA41" i="173"/>
  <c r="BY41" i="173"/>
  <c r="BV41" i="173"/>
  <c r="BU41" i="173"/>
  <c r="BS41" i="173"/>
  <c r="BB41" i="173"/>
  <c r="AV41" i="173" s="1"/>
  <c r="AE41" i="173"/>
  <c r="Y41" i="173"/>
  <c r="CM41" i="173" s="1"/>
  <c r="DI41" i="173" s="1"/>
  <c r="ED40" i="173"/>
  <c r="EB40" i="173"/>
  <c r="EA40" i="173"/>
  <c r="DZ40" i="173"/>
  <c r="DY40" i="173"/>
  <c r="DX40" i="173"/>
  <c r="DW40" i="173"/>
  <c r="DV40" i="173"/>
  <c r="DT40" i="173"/>
  <c r="DS40" i="173"/>
  <c r="DQ40" i="173"/>
  <c r="CT40" i="173"/>
  <c r="DP40" i="173" s="1"/>
  <c r="DJ40" i="173" s="1"/>
  <c r="CL40" i="173"/>
  <c r="CI40" i="173"/>
  <c r="CH40" i="173"/>
  <c r="CG40" i="173"/>
  <c r="CF40" i="173"/>
  <c r="CE40" i="173"/>
  <c r="CD40" i="173"/>
  <c r="CC40" i="173"/>
  <c r="CB40" i="173"/>
  <c r="CA40" i="173"/>
  <c r="BY40" i="173"/>
  <c r="BV40" i="173"/>
  <c r="BU40" i="173"/>
  <c r="BS40" i="173"/>
  <c r="BB40" i="173"/>
  <c r="AV40" i="173" s="1"/>
  <c r="AU40" i="173" s="1"/>
  <c r="BQ40" i="173" s="1"/>
  <c r="Y40" i="173"/>
  <c r="ED39" i="173"/>
  <c r="EA39" i="173"/>
  <c r="DZ39" i="173"/>
  <c r="DY39" i="173"/>
  <c r="DX39" i="173"/>
  <c r="DW39" i="173"/>
  <c r="DV39" i="173"/>
  <c r="DT39" i="173"/>
  <c r="DS39" i="173"/>
  <c r="DQ39" i="173"/>
  <c r="DF39" i="173"/>
  <c r="DC39" i="173"/>
  <c r="CT39" i="173"/>
  <c r="DP39" i="173" s="1"/>
  <c r="CL39" i="173"/>
  <c r="CI39" i="173"/>
  <c r="CH39" i="173"/>
  <c r="CF39" i="173"/>
  <c r="CE39" i="173"/>
  <c r="CD39" i="173"/>
  <c r="CC39" i="173"/>
  <c r="CB39" i="173"/>
  <c r="CA39" i="173"/>
  <c r="BY39" i="173"/>
  <c r="BV39" i="173"/>
  <c r="BU39" i="173"/>
  <c r="BS39" i="173"/>
  <c r="BN39" i="173"/>
  <c r="BK39" i="173"/>
  <c r="CG39" i="173" s="1"/>
  <c r="BB39" i="173"/>
  <c r="BX39" i="173" s="1"/>
  <c r="AV39" i="173"/>
  <c r="AN39" i="173"/>
  <c r="Y39" i="173" s="1"/>
  <c r="ED38" i="173"/>
  <c r="EB38" i="173"/>
  <c r="EA38" i="173"/>
  <c r="DZ38" i="173"/>
  <c r="DY38" i="173"/>
  <c r="DX38" i="173"/>
  <c r="DW38" i="173"/>
  <c r="DV38" i="173"/>
  <c r="DT38" i="173"/>
  <c r="DS38" i="173"/>
  <c r="DQ38" i="173"/>
  <c r="DP38" i="173"/>
  <c r="CN38" i="173"/>
  <c r="CM38" i="173"/>
  <c r="DI38" i="173" s="1"/>
  <c r="CL38" i="173"/>
  <c r="CI38" i="173"/>
  <c r="CH38" i="173"/>
  <c r="CG38" i="173"/>
  <c r="CF38" i="173"/>
  <c r="CE38" i="173"/>
  <c r="CD38" i="173"/>
  <c r="CC38" i="173"/>
  <c r="CB38" i="173"/>
  <c r="CA38" i="173"/>
  <c r="BY38" i="173"/>
  <c r="BV38" i="173"/>
  <c r="BU38" i="173"/>
  <c r="BS38" i="173"/>
  <c r="BB38" i="173"/>
  <c r="BX38" i="173" s="1"/>
  <c r="BR38" i="173" s="1"/>
  <c r="Y38" i="173"/>
  <c r="I38" i="173" s="1"/>
  <c r="H38" i="173"/>
  <c r="ED37" i="173"/>
  <c r="EB37" i="173"/>
  <c r="EA37" i="173"/>
  <c r="DY37" i="173"/>
  <c r="DX37" i="173"/>
  <c r="DW37" i="173"/>
  <c r="DV37" i="173"/>
  <c r="DT37" i="173"/>
  <c r="DS37" i="173"/>
  <c r="DQ37" i="173"/>
  <c r="DP37" i="173"/>
  <c r="DN37" i="173"/>
  <c r="DM37" i="173"/>
  <c r="DD37" i="173"/>
  <c r="CT37" i="173"/>
  <c r="CP37" i="173"/>
  <c r="CN37" i="173" s="1"/>
  <c r="CL37" i="173"/>
  <c r="CI37" i="173"/>
  <c r="CG37" i="173"/>
  <c r="CF37" i="173"/>
  <c r="CE37" i="173"/>
  <c r="CD37" i="173"/>
  <c r="CB37" i="173"/>
  <c r="BY37" i="173"/>
  <c r="BV37" i="173"/>
  <c r="BU37" i="173"/>
  <c r="BS37" i="173"/>
  <c r="BL37" i="173"/>
  <c r="BB37" i="173"/>
  <c r="BX37" i="173" s="1"/>
  <c r="AX37" i="173"/>
  <c r="BT37" i="173" s="1"/>
  <c r="AV37" i="173"/>
  <c r="AO37" i="173"/>
  <c r="CH37" i="173" s="1"/>
  <c r="AA37" i="173"/>
  <c r="ED36" i="173"/>
  <c r="EB36" i="173"/>
  <c r="EA36" i="173"/>
  <c r="DZ36" i="173"/>
  <c r="DY36" i="173"/>
  <c r="DX36" i="173"/>
  <c r="DW36" i="173"/>
  <c r="DV36" i="173"/>
  <c r="DT36" i="173"/>
  <c r="DS36" i="173"/>
  <c r="DQ36" i="173"/>
  <c r="DP36" i="173"/>
  <c r="DN36" i="173"/>
  <c r="DM36" i="173"/>
  <c r="CP36" i="173"/>
  <c r="CL36" i="173"/>
  <c r="CI36" i="173"/>
  <c r="CH36" i="173"/>
  <c r="CG36" i="173"/>
  <c r="CF36" i="173"/>
  <c r="CE36" i="173"/>
  <c r="CD36" i="173"/>
  <c r="CB36" i="173"/>
  <c r="BY36" i="173"/>
  <c r="BX36" i="173"/>
  <c r="BV36" i="173"/>
  <c r="BU36" i="173"/>
  <c r="BT36" i="173"/>
  <c r="BS36" i="173"/>
  <c r="BR36" i="173" s="1"/>
  <c r="AV36" i="173"/>
  <c r="AA36" i="173"/>
  <c r="ED35" i="173"/>
  <c r="EB35" i="173"/>
  <c r="EA35" i="173"/>
  <c r="DZ35" i="173"/>
  <c r="DY35" i="173"/>
  <c r="DX35" i="173"/>
  <c r="DW35" i="173"/>
  <c r="DV35" i="173"/>
  <c r="DV67" i="173" s="1"/>
  <c r="DT35" i="173"/>
  <c r="DT202" i="173" s="1"/>
  <c r="DS35" i="173"/>
  <c r="DL35" i="173"/>
  <c r="CT35" i="173"/>
  <c r="CR35" i="173"/>
  <c r="CQ35" i="173"/>
  <c r="CQ202" i="173" s="1"/>
  <c r="CL35" i="173"/>
  <c r="CI35" i="173"/>
  <c r="CH35" i="173"/>
  <c r="CG35" i="173"/>
  <c r="CF35" i="173"/>
  <c r="CE35" i="173"/>
  <c r="CD35" i="173"/>
  <c r="CB35" i="173"/>
  <c r="BY35" i="173"/>
  <c r="BU35" i="173"/>
  <c r="BT35" i="173"/>
  <c r="BS35" i="173"/>
  <c r="BB35" i="173"/>
  <c r="AZ35" i="173"/>
  <c r="AV35" i="173" s="1"/>
  <c r="AF35" i="173"/>
  <c r="AE35" i="173"/>
  <c r="AC35" i="173"/>
  <c r="AA35" i="173"/>
  <c r="Y35" i="173"/>
  <c r="EC34" i="173"/>
  <c r="DU34" i="173"/>
  <c r="DR34" i="173"/>
  <c r="DG34" i="173"/>
  <c r="DG197" i="173" s="1"/>
  <c r="DG208" i="173" s="1"/>
  <c r="DF34" i="173"/>
  <c r="DE34" i="173"/>
  <c r="DA34" i="173"/>
  <c r="CZ34" i="173"/>
  <c r="CY34" i="173"/>
  <c r="CY197" i="173" s="1"/>
  <c r="CY208" i="173" s="1"/>
  <c r="CX34" i="173"/>
  <c r="CX197" i="173" s="1"/>
  <c r="CX208" i="173" s="1"/>
  <c r="CW34" i="173"/>
  <c r="CV34" i="173"/>
  <c r="CS34" i="173"/>
  <c r="CR34" i="173"/>
  <c r="CP34" i="173"/>
  <c r="CO34" i="173"/>
  <c r="CO197" i="173" s="1"/>
  <c r="CA34" i="173"/>
  <c r="BZ34" i="173"/>
  <c r="BW34" i="173"/>
  <c r="BU34" i="173"/>
  <c r="BO34" i="173"/>
  <c r="BN34" i="173"/>
  <c r="BM34" i="173"/>
  <c r="BI34" i="173"/>
  <c r="BH34" i="173"/>
  <c r="BG34" i="173"/>
  <c r="BF34" i="173"/>
  <c r="BE34" i="173"/>
  <c r="BD34" i="173"/>
  <c r="BA34" i="173"/>
  <c r="AZ34" i="173"/>
  <c r="AX34" i="173"/>
  <c r="AW34" i="173"/>
  <c r="AR34" i="173"/>
  <c r="AQ34" i="173"/>
  <c r="AP34" i="173"/>
  <c r="AP197" i="173" s="1"/>
  <c r="AP208" i="173" s="1"/>
  <c r="AO34" i="173"/>
  <c r="AL34" i="173"/>
  <c r="AK34" i="173"/>
  <c r="AK197" i="173" s="1"/>
  <c r="AK208" i="173" s="1"/>
  <c r="AJ34" i="173"/>
  <c r="AJ197" i="173" s="1"/>
  <c r="AJ208" i="173" s="1"/>
  <c r="AI34" i="173"/>
  <c r="AI197" i="173" s="1"/>
  <c r="AH34" i="173"/>
  <c r="AH197" i="173" s="1"/>
  <c r="AH208" i="173" s="1"/>
  <c r="AG34" i="173"/>
  <c r="AG197" i="173" s="1"/>
  <c r="AG208" i="173" s="1"/>
  <c r="AD34" i="173"/>
  <c r="AD197" i="173" s="1"/>
  <c r="AC34" i="173"/>
  <c r="AB34" i="173"/>
  <c r="AB197" i="173" s="1"/>
  <c r="AB208" i="173" s="1"/>
  <c r="AA34" i="173"/>
  <c r="Z34" i="173"/>
  <c r="Z197" i="173" s="1"/>
  <c r="Z208" i="173" s="1"/>
  <c r="G34" i="173"/>
  <c r="G197" i="173" s="1"/>
  <c r="ED33" i="173"/>
  <c r="EB33" i="173"/>
  <c r="EA33" i="173"/>
  <c r="DZ33" i="173"/>
  <c r="DY33" i="173"/>
  <c r="DW33" i="173"/>
  <c r="DV33" i="173"/>
  <c r="DT33" i="173"/>
  <c r="DS33" i="173"/>
  <c r="DQ33" i="173"/>
  <c r="DP33" i="173"/>
  <c r="DN33" i="173"/>
  <c r="DL33" i="173"/>
  <c r="DK33" i="173"/>
  <c r="DB33" i="173"/>
  <c r="DX33" i="173" s="1"/>
  <c r="CI33" i="173"/>
  <c r="CH33" i="173"/>
  <c r="CG33" i="173"/>
  <c r="CF33" i="173"/>
  <c r="CE33" i="173"/>
  <c r="CD33" i="173"/>
  <c r="BY33" i="173"/>
  <c r="BX33" i="173"/>
  <c r="BV33" i="173"/>
  <c r="BT33" i="173"/>
  <c r="BS33" i="173"/>
  <c r="BR33" i="173"/>
  <c r="BP33" i="173"/>
  <c r="CL33" i="173" s="1"/>
  <c r="BJ33" i="173"/>
  <c r="Y33" i="173"/>
  <c r="ED32" i="173"/>
  <c r="EB32" i="173"/>
  <c r="EA32" i="173"/>
  <c r="DZ32" i="173"/>
  <c r="DW32" i="173"/>
  <c r="DV32" i="173"/>
  <c r="DT32" i="173"/>
  <c r="DS32" i="173"/>
  <c r="DQ32" i="173"/>
  <c r="DP32" i="173"/>
  <c r="DO32" i="173"/>
  <c r="DN32" i="173"/>
  <c r="DL32" i="173"/>
  <c r="DK32" i="173"/>
  <c r="DB32" i="173"/>
  <c r="DX32" i="173" s="1"/>
  <c r="CL32" i="173"/>
  <c r="CI32" i="173"/>
  <c r="CH32" i="173"/>
  <c r="CG32" i="173"/>
  <c r="CF32" i="173"/>
  <c r="CE32" i="173"/>
  <c r="CD32" i="173"/>
  <c r="BY32" i="173"/>
  <c r="BX32" i="173"/>
  <c r="BV32" i="173"/>
  <c r="BT32" i="173"/>
  <c r="BS32" i="173"/>
  <c r="BR32" i="173"/>
  <c r="BK32" i="173"/>
  <c r="BJ32" i="173"/>
  <c r="AV32" i="173" s="1"/>
  <c r="AU32" i="173"/>
  <c r="BQ32" i="173" s="1"/>
  <c r="Y32" i="173"/>
  <c r="ED31" i="173"/>
  <c r="EB31" i="173"/>
  <c r="EA31" i="173"/>
  <c r="DZ31" i="173"/>
  <c r="DY31" i="173"/>
  <c r="DX31" i="173"/>
  <c r="DW31" i="173"/>
  <c r="DV31" i="173"/>
  <c r="DT31" i="173"/>
  <c r="DS31" i="173"/>
  <c r="DQ31" i="173"/>
  <c r="DP31" i="173"/>
  <c r="DO31" i="173"/>
  <c r="DN31" i="173"/>
  <c r="DL31" i="173"/>
  <c r="DK31" i="173"/>
  <c r="DB31" i="173"/>
  <c r="CN31" i="173" s="1"/>
  <c r="H31" i="173" s="1"/>
  <c r="CL31" i="173"/>
  <c r="CI31" i="173"/>
  <c r="CH31" i="173"/>
  <c r="CG31" i="173"/>
  <c r="CF31" i="173"/>
  <c r="CE31" i="173"/>
  <c r="CD31" i="173"/>
  <c r="BY31" i="173"/>
  <c r="BX31" i="173"/>
  <c r="BV31" i="173"/>
  <c r="BT31" i="173"/>
  <c r="BR31" i="173" s="1"/>
  <c r="BS31" i="173"/>
  <c r="BJ31" i="173"/>
  <c r="AV31" i="173"/>
  <c r="AU31" i="173" s="1"/>
  <c r="BQ31" i="173" s="1"/>
  <c r="Y31" i="173"/>
  <c r="CM31" i="173" s="1"/>
  <c r="DI31" i="173" s="1"/>
  <c r="I31" i="173"/>
  <c r="ED30" i="173"/>
  <c r="EB30" i="173"/>
  <c r="EA30" i="173"/>
  <c r="DZ30" i="173"/>
  <c r="DY30" i="173"/>
  <c r="DW30" i="173"/>
  <c r="DV30" i="173"/>
  <c r="DT30" i="173"/>
  <c r="DS30" i="173"/>
  <c r="DQ30" i="173"/>
  <c r="DP30" i="173"/>
  <c r="DO30" i="173"/>
  <c r="DN30" i="173"/>
  <c r="DL30" i="173"/>
  <c r="DK30" i="173"/>
  <c r="DB30" i="173"/>
  <c r="DX30" i="173" s="1"/>
  <c r="CN30" i="173"/>
  <c r="H30" i="173" s="1"/>
  <c r="CL30" i="173"/>
  <c r="CI30" i="173"/>
  <c r="CH30" i="173"/>
  <c r="CG30" i="173"/>
  <c r="CE30" i="173"/>
  <c r="CD30" i="173"/>
  <c r="BY30" i="173"/>
  <c r="BX30" i="173"/>
  <c r="BV30" i="173"/>
  <c r="BT30" i="173"/>
  <c r="BS30" i="173"/>
  <c r="BJ30" i="173"/>
  <c r="CF30" i="173" s="1"/>
  <c r="Y30" i="173"/>
  <c r="ED29" i="173"/>
  <c r="EB29" i="173"/>
  <c r="EA29" i="173"/>
  <c r="DZ29" i="173"/>
  <c r="DY29" i="173"/>
  <c r="DX29" i="173"/>
  <c r="DW29" i="173"/>
  <c r="DV29" i="173"/>
  <c r="DT29" i="173"/>
  <c r="DS29" i="173"/>
  <c r="DQ29" i="173"/>
  <c r="DP29" i="173"/>
  <c r="DO29" i="173"/>
  <c r="DN29" i="173"/>
  <c r="DL29" i="173"/>
  <c r="DK29" i="173"/>
  <c r="DJ29" i="173" s="1"/>
  <c r="CN29" i="173"/>
  <c r="H29" i="173" s="1"/>
  <c r="CL29" i="173"/>
  <c r="CI29" i="173"/>
  <c r="CH29" i="173"/>
  <c r="CG29" i="173"/>
  <c r="CF29" i="173"/>
  <c r="CE29" i="173"/>
  <c r="CD29" i="173"/>
  <c r="BY29" i="173"/>
  <c r="BX29" i="173"/>
  <c r="BV29" i="173"/>
  <c r="BT29" i="173"/>
  <c r="BS29" i="173"/>
  <c r="BR29" i="173" s="1"/>
  <c r="AV29" i="173"/>
  <c r="AU29" i="173"/>
  <c r="BQ29" i="173" s="1"/>
  <c r="Y29" i="173"/>
  <c r="I29" i="173" s="1"/>
  <c r="ED28" i="173"/>
  <c r="EB28" i="173"/>
  <c r="EA28" i="173"/>
  <c r="DZ28" i="173"/>
  <c r="DY28" i="173"/>
  <c r="DX28" i="173"/>
  <c r="DW28" i="173"/>
  <c r="DV28" i="173"/>
  <c r="DT28" i="173"/>
  <c r="DS28" i="173"/>
  <c r="DQ28" i="173"/>
  <c r="DP28" i="173"/>
  <c r="DO28" i="173"/>
  <c r="DN28" i="173"/>
  <c r="DL28" i="173"/>
  <c r="DK28" i="173"/>
  <c r="CN28" i="173"/>
  <c r="CL28" i="173"/>
  <c r="CI28" i="173"/>
  <c r="CH28" i="173"/>
  <c r="CG28" i="173"/>
  <c r="CE28" i="173"/>
  <c r="CD28" i="173"/>
  <c r="BY28" i="173"/>
  <c r="BX28" i="173"/>
  <c r="BV28" i="173"/>
  <c r="BT28" i="173"/>
  <c r="BS28" i="173"/>
  <c r="AV28" i="173"/>
  <c r="AM28" i="173"/>
  <c r="CF28" i="173" s="1"/>
  <c r="H28" i="173"/>
  <c r="ED27" i="173"/>
  <c r="EB27" i="173"/>
  <c r="EA27" i="173"/>
  <c r="DZ27" i="173"/>
  <c r="DY27" i="173"/>
  <c r="DW27" i="173"/>
  <c r="DV27" i="173"/>
  <c r="DT27" i="173"/>
  <c r="DS27" i="173"/>
  <c r="DQ27" i="173"/>
  <c r="DP27" i="173"/>
  <c r="DO27" i="173"/>
  <c r="DN27" i="173"/>
  <c r="DL27" i="173"/>
  <c r="DK27" i="173"/>
  <c r="CN27" i="173"/>
  <c r="CM27" i="173"/>
  <c r="DI27" i="173" s="1"/>
  <c r="CL27" i="173"/>
  <c r="CI27" i="173"/>
  <c r="CH27" i="173"/>
  <c r="CG27" i="173"/>
  <c r="CE27" i="173"/>
  <c r="CD27" i="173"/>
  <c r="BY27" i="173"/>
  <c r="BX27" i="173"/>
  <c r="BV27" i="173"/>
  <c r="BT27" i="173"/>
  <c r="BS27" i="173"/>
  <c r="AV27" i="173"/>
  <c r="AM27" i="173"/>
  <c r="CF27" i="173" s="1"/>
  <c r="Y27" i="173"/>
  <c r="AU27" i="173" s="1"/>
  <c r="BQ27" i="173" s="1"/>
  <c r="I27" i="173"/>
  <c r="H27" i="173"/>
  <c r="ED26" i="173"/>
  <c r="EB26" i="173"/>
  <c r="EA26" i="173"/>
  <c r="DZ26" i="173"/>
  <c r="DY26" i="173"/>
  <c r="DX26" i="173"/>
  <c r="DW26" i="173"/>
  <c r="DV26" i="173"/>
  <c r="DT26" i="173"/>
  <c r="DS26" i="173"/>
  <c r="DQ26" i="173"/>
  <c r="DP26" i="173"/>
  <c r="DO26" i="173"/>
  <c r="DN26" i="173"/>
  <c r="DL26" i="173"/>
  <c r="DJ26" i="173" s="1"/>
  <c r="DK26" i="173"/>
  <c r="CN26" i="173"/>
  <c r="CL26" i="173"/>
  <c r="CI26" i="173"/>
  <c r="CH26" i="173"/>
  <c r="CG26" i="173"/>
  <c r="CF26" i="173"/>
  <c r="CE26" i="173"/>
  <c r="CD26" i="173"/>
  <c r="BY26" i="173"/>
  <c r="BX26" i="173"/>
  <c r="BV26" i="173"/>
  <c r="BT26" i="173"/>
  <c r="BR26" i="173" s="1"/>
  <c r="BS26" i="173"/>
  <c r="AV26" i="173"/>
  <c r="AU26" i="173"/>
  <c r="BQ26" i="173" s="1"/>
  <c r="Y26" i="173"/>
  <c r="CM26" i="173" s="1"/>
  <c r="DI26" i="173" s="1"/>
  <c r="H26" i="173"/>
  <c r="ED25" i="173"/>
  <c r="EB25" i="173"/>
  <c r="EA25" i="173"/>
  <c r="DZ25" i="173"/>
  <c r="DY25" i="173"/>
  <c r="DX25" i="173"/>
  <c r="DW25" i="173"/>
  <c r="DV25" i="173"/>
  <c r="DT25" i="173"/>
  <c r="DS25" i="173"/>
  <c r="DQ25" i="173"/>
  <c r="DO25" i="173"/>
  <c r="DN25" i="173"/>
  <c r="DL25" i="173"/>
  <c r="DK25" i="173"/>
  <c r="DC25" i="173"/>
  <c r="CT25" i="173" s="1"/>
  <c r="DP25" i="173" s="1"/>
  <c r="CL25" i="173"/>
  <c r="CI25" i="173"/>
  <c r="CH25" i="173"/>
  <c r="CF25" i="173"/>
  <c r="CE25" i="173"/>
  <c r="CD25" i="173"/>
  <c r="BY25" i="173"/>
  <c r="BX25" i="173"/>
  <c r="BV25" i="173"/>
  <c r="BT25" i="173"/>
  <c r="BS25" i="173"/>
  <c r="BK25" i="173"/>
  <c r="BK34" i="173" s="1"/>
  <c r="BB25" i="173"/>
  <c r="AV25" i="173" s="1"/>
  <c r="AU25" i="173" s="1"/>
  <c r="BQ25" i="173" s="1"/>
  <c r="Y25" i="173"/>
  <c r="ED24" i="173"/>
  <c r="EB24" i="173"/>
  <c r="EA24" i="173"/>
  <c r="DZ24" i="173"/>
  <c r="DY24" i="173"/>
  <c r="DX24" i="173"/>
  <c r="DW24" i="173"/>
  <c r="DV24" i="173"/>
  <c r="DT24" i="173"/>
  <c r="DS24" i="173"/>
  <c r="DQ24" i="173"/>
  <c r="DO24" i="173"/>
  <c r="DN24" i="173"/>
  <c r="DL24" i="173"/>
  <c r="DK24" i="173"/>
  <c r="CT24" i="173"/>
  <c r="DP24" i="173" s="1"/>
  <c r="CL24" i="173"/>
  <c r="CK24" i="173"/>
  <c r="CK203" i="173" s="1"/>
  <c r="CJ24" i="173"/>
  <c r="CI24" i="173"/>
  <c r="CH24" i="173"/>
  <c r="CG24" i="173"/>
  <c r="CF24" i="173"/>
  <c r="CE24" i="173"/>
  <c r="CD24" i="173"/>
  <c r="CC24" i="173"/>
  <c r="CB24" i="173"/>
  <c r="CA24" i="173"/>
  <c r="BY24" i="173"/>
  <c r="BX24" i="173"/>
  <c r="BV24" i="173"/>
  <c r="BT24" i="173"/>
  <c r="BS24" i="173"/>
  <c r="BB24" i="173"/>
  <c r="AV24" i="173"/>
  <c r="Y24" i="173"/>
  <c r="AU24" i="173" s="1"/>
  <c r="BQ24" i="173" s="1"/>
  <c r="ED23" i="173"/>
  <c r="EB23" i="173"/>
  <c r="EA23" i="173"/>
  <c r="DZ23" i="173"/>
  <c r="DX23" i="173"/>
  <c r="DW23" i="173"/>
  <c r="DV23" i="173"/>
  <c r="DT23" i="173"/>
  <c r="DS23" i="173"/>
  <c r="DQ23" i="173"/>
  <c r="DP23" i="173"/>
  <c r="DO23" i="173"/>
  <c r="DN23" i="173"/>
  <c r="DL23" i="173"/>
  <c r="DK23" i="173"/>
  <c r="DD23" i="173"/>
  <c r="CN23" i="173"/>
  <c r="H23" i="173" s="1"/>
  <c r="CL23" i="173"/>
  <c r="CI23" i="173"/>
  <c r="CF23" i="173"/>
  <c r="CE23" i="173"/>
  <c r="CD23" i="173"/>
  <c r="BY23" i="173"/>
  <c r="BX23" i="173"/>
  <c r="BV23" i="173"/>
  <c r="BT23" i="173"/>
  <c r="BS23" i="173"/>
  <c r="BL23" i="173"/>
  <c r="CH23" i="173" s="1"/>
  <c r="AV23" i="173"/>
  <c r="AN23" i="173"/>
  <c r="EB22" i="173"/>
  <c r="EA22" i="173"/>
  <c r="DY22" i="173"/>
  <c r="DX22" i="173"/>
  <c r="DW22" i="173"/>
  <c r="DV22" i="173"/>
  <c r="DT22" i="173"/>
  <c r="DS22" i="173"/>
  <c r="DQ22" i="173"/>
  <c r="DP22" i="173"/>
  <c r="DO22" i="173"/>
  <c r="DN22" i="173"/>
  <c r="DL22" i="173"/>
  <c r="DK22" i="173"/>
  <c r="DH22" i="173"/>
  <c r="DD22" i="173"/>
  <c r="DZ22" i="173" s="1"/>
  <c r="CI22" i="173"/>
  <c r="CG22" i="173"/>
  <c r="CF22" i="173"/>
  <c r="CE22" i="173"/>
  <c r="CD22" i="173"/>
  <c r="BY22" i="173"/>
  <c r="BX22" i="173"/>
  <c r="BV22" i="173"/>
  <c r="BT22" i="173"/>
  <c r="BS22" i="173"/>
  <c r="BP22" i="173"/>
  <c r="CL22" i="173" s="1"/>
  <c r="BL22" i="173"/>
  <c r="AS22" i="173"/>
  <c r="ED22" i="173" s="1"/>
  <c r="ED21" i="173"/>
  <c r="EB21" i="173"/>
  <c r="EA21" i="173"/>
  <c r="DZ21" i="173"/>
  <c r="DY21" i="173"/>
  <c r="DX21" i="173"/>
  <c r="DW21" i="173"/>
  <c r="DV21" i="173"/>
  <c r="DT21" i="173"/>
  <c r="DS21" i="173"/>
  <c r="DP21" i="173"/>
  <c r="DO21" i="173"/>
  <c r="DN21" i="173"/>
  <c r="DL21" i="173"/>
  <c r="DK21" i="173"/>
  <c r="CN21" i="173"/>
  <c r="CL21" i="173"/>
  <c r="CI21" i="173"/>
  <c r="CH21" i="173"/>
  <c r="CG21" i="173"/>
  <c r="CF21" i="173"/>
  <c r="CE21" i="173"/>
  <c r="CD21" i="173"/>
  <c r="BX21" i="173"/>
  <c r="BV21" i="173"/>
  <c r="BT21" i="173"/>
  <c r="BS21" i="173"/>
  <c r="BR21" i="173" s="1"/>
  <c r="AV21" i="173"/>
  <c r="AU21" i="173" s="1"/>
  <c r="BQ23" i="173" s="1"/>
  <c r="AF21" i="173"/>
  <c r="BY21" i="173" s="1"/>
  <c r="AA21" i="173"/>
  <c r="Y21" i="173" s="1"/>
  <c r="CM21" i="173" s="1"/>
  <c r="DI21" i="173" s="1"/>
  <c r="H21" i="173"/>
  <c r="I21" i="173" s="1"/>
  <c r="ED20" i="173"/>
  <c r="EB20" i="173"/>
  <c r="EA20" i="173"/>
  <c r="DZ20" i="173"/>
  <c r="DX20" i="173"/>
  <c r="DW20" i="173"/>
  <c r="DV20" i="173"/>
  <c r="DT20" i="173"/>
  <c r="DS20" i="173"/>
  <c r="DJ20" i="173" s="1"/>
  <c r="DQ20" i="173"/>
  <c r="DP20" i="173"/>
  <c r="DO20" i="173"/>
  <c r="DN20" i="173"/>
  <c r="DL20" i="173"/>
  <c r="DK20" i="173"/>
  <c r="CN20" i="173"/>
  <c r="CL20" i="173"/>
  <c r="CI20" i="173"/>
  <c r="CH20" i="173"/>
  <c r="CG20" i="173"/>
  <c r="CF20" i="173"/>
  <c r="CE20" i="173"/>
  <c r="BR20" i="173" s="1"/>
  <c r="CD20" i="173"/>
  <c r="BY20" i="173"/>
  <c r="BX20" i="173"/>
  <c r="BV20" i="173"/>
  <c r="BT20" i="173"/>
  <c r="BS20" i="173"/>
  <c r="AV20" i="173"/>
  <c r="AN20" i="173"/>
  <c r="DY20" i="173" s="1"/>
  <c r="AF20" i="173"/>
  <c r="Y20" i="173"/>
  <c r="I20" i="173" s="1"/>
  <c r="H20" i="173"/>
  <c r="ED19" i="173"/>
  <c r="EB19" i="173"/>
  <c r="EA19" i="173"/>
  <c r="DZ19" i="173"/>
  <c r="DX19" i="173"/>
  <c r="DW19" i="173"/>
  <c r="DV19" i="173"/>
  <c r="DT19" i="173"/>
  <c r="DS19" i="173"/>
  <c r="DP19" i="173"/>
  <c r="DO19" i="173"/>
  <c r="DN19" i="173"/>
  <c r="DL19" i="173"/>
  <c r="DK19" i="173"/>
  <c r="CU19" i="173"/>
  <c r="CN19" i="173" s="1"/>
  <c r="CL19" i="173"/>
  <c r="CI19" i="173"/>
  <c r="CH19" i="173"/>
  <c r="CG19" i="173"/>
  <c r="CF19" i="173"/>
  <c r="CE19" i="173"/>
  <c r="CD19" i="173"/>
  <c r="BX19" i="173"/>
  <c r="BV19" i="173"/>
  <c r="BT19" i="173"/>
  <c r="BS19" i="173"/>
  <c r="BC19" i="173"/>
  <c r="AV19" i="173" s="1"/>
  <c r="AN19" i="173"/>
  <c r="DY19" i="173" s="1"/>
  <c r="AF19" i="173"/>
  <c r="AA19" i="173"/>
  <c r="EB18" i="173"/>
  <c r="EA18" i="173"/>
  <c r="DZ18" i="173"/>
  <c r="DY18" i="173"/>
  <c r="DX18" i="173"/>
  <c r="DW18" i="173"/>
  <c r="DV18" i="173"/>
  <c r="DT18" i="173"/>
  <c r="DS18" i="173"/>
  <c r="DP18" i="173"/>
  <c r="DO18" i="173"/>
  <c r="DN18" i="173"/>
  <c r="DL18" i="173"/>
  <c r="DK18" i="173"/>
  <c r="CT18" i="173"/>
  <c r="CU18" i="173" s="1"/>
  <c r="CI18" i="173"/>
  <c r="CH18" i="173"/>
  <c r="CG18" i="173"/>
  <c r="CF18" i="173"/>
  <c r="CE18" i="173"/>
  <c r="CD18" i="173"/>
  <c r="CC18" i="173"/>
  <c r="CC201" i="173" s="1"/>
  <c r="CB18" i="173"/>
  <c r="CB201" i="173" s="1"/>
  <c r="CA18" i="173"/>
  <c r="CA201" i="173" s="1"/>
  <c r="BV18" i="173"/>
  <c r="BT18" i="173"/>
  <c r="BS18" i="173"/>
  <c r="BC18" i="173"/>
  <c r="BC201" i="173" s="1"/>
  <c r="BB18" i="173"/>
  <c r="AV18" i="173" s="1"/>
  <c r="AS18" i="173"/>
  <c r="AS34" i="173" s="1"/>
  <c r="AF18" i="173"/>
  <c r="EB17" i="173"/>
  <c r="EA17" i="173"/>
  <c r="EA201" i="173" s="1"/>
  <c r="DZ17" i="173"/>
  <c r="DY17" i="173"/>
  <c r="DY201" i="173" s="1"/>
  <c r="DX17" i="173"/>
  <c r="DW17" i="173"/>
  <c r="DW201" i="173" s="1"/>
  <c r="DV17" i="173"/>
  <c r="DT17" i="173"/>
  <c r="DS17" i="173"/>
  <c r="DQ17" i="173"/>
  <c r="DP17" i="173"/>
  <c r="DP201" i="173" s="1"/>
  <c r="DO17" i="173"/>
  <c r="DO201" i="173" s="1"/>
  <c r="DN17" i="173"/>
  <c r="DL17" i="173"/>
  <c r="DL201" i="173" s="1"/>
  <c r="DK17" i="173"/>
  <c r="DH17" i="173"/>
  <c r="DH201" i="173" s="1"/>
  <c r="CT17" i="173"/>
  <c r="CT201" i="173" s="1"/>
  <c r="CN17" i="173"/>
  <c r="CL17" i="173"/>
  <c r="CI17" i="173"/>
  <c r="CH17" i="173"/>
  <c r="CF17" i="173"/>
  <c r="CE17" i="173"/>
  <c r="CD17" i="173"/>
  <c r="CD201" i="173" s="1"/>
  <c r="BY17" i="173"/>
  <c r="BX17" i="173"/>
  <c r="BV17" i="173"/>
  <c r="BT17" i="173"/>
  <c r="BS17" i="173"/>
  <c r="BP17" i="173"/>
  <c r="BB17" i="173"/>
  <c r="AV17" i="173"/>
  <c r="AS17" i="173"/>
  <c r="AN17" i="173"/>
  <c r="AN201" i="173" s="1"/>
  <c r="ED16" i="173"/>
  <c r="EB16" i="173"/>
  <c r="EA16" i="173"/>
  <c r="DZ16" i="173"/>
  <c r="DX16" i="173"/>
  <c r="DW16" i="173"/>
  <c r="DV16" i="173"/>
  <c r="DT16" i="173"/>
  <c r="DS16" i="173"/>
  <c r="DQ16" i="173"/>
  <c r="DP16" i="173"/>
  <c r="DO16" i="173"/>
  <c r="DN16" i="173"/>
  <c r="DL16" i="173"/>
  <c r="DK16" i="173"/>
  <c r="CN16" i="173"/>
  <c r="CL16" i="173"/>
  <c r="CI16" i="173"/>
  <c r="CH16" i="173"/>
  <c r="CF16" i="173"/>
  <c r="CE16" i="173"/>
  <c r="CD16" i="173"/>
  <c r="BY16" i="173"/>
  <c r="BX16" i="173"/>
  <c r="BV16" i="173"/>
  <c r="BT16" i="173"/>
  <c r="BS16" i="173"/>
  <c r="AV16" i="173"/>
  <c r="AN16" i="173"/>
  <c r="CG16" i="173" s="1"/>
  <c r="Y16" i="173"/>
  <c r="I16" i="173"/>
  <c r="H16" i="173"/>
  <c r="ED15" i="173"/>
  <c r="EB15" i="173"/>
  <c r="EA15" i="173"/>
  <c r="DZ15" i="173"/>
  <c r="DY15" i="173"/>
  <c r="DX15" i="173"/>
  <c r="DW15" i="173"/>
  <c r="DV15" i="173"/>
  <c r="DT15" i="173"/>
  <c r="DS15" i="173"/>
  <c r="DQ15" i="173"/>
  <c r="DP15" i="173"/>
  <c r="DO15" i="173"/>
  <c r="DN15" i="173"/>
  <c r="DL15" i="173"/>
  <c r="DK15" i="173"/>
  <c r="CN15" i="173"/>
  <c r="CL15" i="173"/>
  <c r="CI15" i="173"/>
  <c r="CH15" i="173"/>
  <c r="CG15" i="173"/>
  <c r="CF15" i="173"/>
  <c r="CE15" i="173"/>
  <c r="CD15" i="173"/>
  <c r="BY15" i="173"/>
  <c r="BX15" i="173"/>
  <c r="BV15" i="173"/>
  <c r="BT15" i="173"/>
  <c r="BS15" i="173"/>
  <c r="BR15" i="173" s="1"/>
  <c r="AV15" i="173"/>
  <c r="Y15" i="173"/>
  <c r="I15" i="173" s="1"/>
  <c r="H15" i="173"/>
  <c r="ED14" i="173"/>
  <c r="EB14" i="173"/>
  <c r="EA14" i="173"/>
  <c r="DZ14" i="173"/>
  <c r="DY14" i="173"/>
  <c r="DX14" i="173"/>
  <c r="DW14" i="173"/>
  <c r="DV14" i="173"/>
  <c r="DT14" i="173"/>
  <c r="DS14" i="173"/>
  <c r="DQ14" i="173"/>
  <c r="DJ14" i="173" s="1"/>
  <c r="DP14" i="173"/>
  <c r="DO14" i="173"/>
  <c r="DN14" i="173"/>
  <c r="DL14" i="173"/>
  <c r="DK14" i="173"/>
  <c r="CN14" i="173"/>
  <c r="CM14" i="173" s="1"/>
  <c r="DI14" i="173" s="1"/>
  <c r="CL14" i="173"/>
  <c r="CI14" i="173"/>
  <c r="CH14" i="173"/>
  <c r="CG14" i="173"/>
  <c r="CF14" i="173"/>
  <c r="CE14" i="173"/>
  <c r="CD14" i="173"/>
  <c r="BY14" i="173"/>
  <c r="BX14" i="173"/>
  <c r="BV14" i="173"/>
  <c r="BT14" i="173"/>
  <c r="BS14" i="173"/>
  <c r="BR14" i="173" s="1"/>
  <c r="AV14" i="173"/>
  <c r="AU14" i="173" s="1"/>
  <c r="BQ14" i="173" s="1"/>
  <c r="Y14" i="173"/>
  <c r="H14" i="173"/>
  <c r="I14" i="173" s="1"/>
  <c r="ED13" i="173"/>
  <c r="EB13" i="173"/>
  <c r="EA13" i="173"/>
  <c r="DZ13" i="173"/>
  <c r="DY13" i="173"/>
  <c r="DX13" i="173"/>
  <c r="DW13" i="173"/>
  <c r="DV13" i="173"/>
  <c r="DT13" i="173"/>
  <c r="DS13" i="173"/>
  <c r="DQ13" i="173"/>
  <c r="DP13" i="173"/>
  <c r="DO13" i="173"/>
  <c r="DN13" i="173"/>
  <c r="DL13" i="173"/>
  <c r="DK13" i="173"/>
  <c r="DJ13" i="173"/>
  <c r="CT13" i="173"/>
  <c r="CN13" i="173"/>
  <c r="CL13" i="173"/>
  <c r="CI13" i="173"/>
  <c r="CH13" i="173"/>
  <c r="CG13" i="173"/>
  <c r="CF13" i="173"/>
  <c r="CE13" i="173"/>
  <c r="CD13" i="173"/>
  <c r="BY13" i="173"/>
  <c r="BV13" i="173"/>
  <c r="BT13" i="173"/>
  <c r="BS13" i="173"/>
  <c r="BB13" i="173"/>
  <c r="Y13" i="173"/>
  <c r="I13" i="173"/>
  <c r="H13" i="173"/>
  <c r="ED12" i="173"/>
  <c r="EB12" i="173"/>
  <c r="EA12" i="173"/>
  <c r="DZ12" i="173"/>
  <c r="DY12" i="173"/>
  <c r="DX12" i="173"/>
  <c r="DW12" i="173"/>
  <c r="DV12" i="173"/>
  <c r="DT12" i="173"/>
  <c r="DS12" i="173"/>
  <c r="DQ12" i="173"/>
  <c r="DO12" i="173"/>
  <c r="DN12" i="173"/>
  <c r="DL12" i="173"/>
  <c r="DK12" i="173"/>
  <c r="CT12" i="173"/>
  <c r="CL12" i="173"/>
  <c r="CI12" i="173"/>
  <c r="CH12" i="173"/>
  <c r="CG12" i="173"/>
  <c r="CF12" i="173"/>
  <c r="CE12" i="173"/>
  <c r="CD12" i="173"/>
  <c r="BY12" i="173"/>
  <c r="BX12" i="173"/>
  <c r="BV12" i="173"/>
  <c r="BT12" i="173"/>
  <c r="BS12" i="173"/>
  <c r="BB12" i="173"/>
  <c r="AV12" i="173" s="1"/>
  <c r="AU12" i="173" s="1"/>
  <c r="BQ12" i="173" s="1"/>
  <c r="Y12" i="173"/>
  <c r="ED11" i="173"/>
  <c r="EB11" i="173"/>
  <c r="EA11" i="173"/>
  <c r="DZ11" i="173"/>
  <c r="DY11" i="173"/>
  <c r="DX11" i="173"/>
  <c r="DW11" i="173"/>
  <c r="DV11" i="173"/>
  <c r="DT11" i="173"/>
  <c r="DS11" i="173"/>
  <c r="DQ11" i="173"/>
  <c r="DO11" i="173"/>
  <c r="DN11" i="173"/>
  <c r="DL11" i="173"/>
  <c r="DK11" i="173"/>
  <c r="CT11" i="173"/>
  <c r="CN11" i="173" s="1"/>
  <c r="H11" i="173" s="1"/>
  <c r="CM11" i="173"/>
  <c r="DI11" i="173" s="1"/>
  <c r="CL11" i="173"/>
  <c r="CI11" i="173"/>
  <c r="CH11" i="173"/>
  <c r="CG11" i="173"/>
  <c r="CF11" i="173"/>
  <c r="CE11" i="173"/>
  <c r="CD11" i="173"/>
  <c r="BY11" i="173"/>
  <c r="BV11" i="173"/>
  <c r="BT11" i="173"/>
  <c r="BS11" i="173"/>
  <c r="BB11" i="173"/>
  <c r="AV11" i="173"/>
  <c r="AU11" i="173" s="1"/>
  <c r="BQ11" i="173" s="1"/>
  <c r="AE11" i="173"/>
  <c r="Y11" i="173"/>
  <c r="EB10" i="173"/>
  <c r="EA10" i="173"/>
  <c r="DZ10" i="173"/>
  <c r="DY10" i="173"/>
  <c r="DX10" i="173"/>
  <c r="DW10" i="173"/>
  <c r="DV10" i="173"/>
  <c r="DT10" i="173"/>
  <c r="DS10" i="173"/>
  <c r="DQ10" i="173"/>
  <c r="DP10" i="173"/>
  <c r="DO10" i="173"/>
  <c r="DN10" i="173"/>
  <c r="DL10" i="173"/>
  <c r="DK10" i="173"/>
  <c r="DH10" i="173"/>
  <c r="CN10" i="173" s="1"/>
  <c r="CL10" i="173"/>
  <c r="CI10" i="173"/>
  <c r="CH10" i="173"/>
  <c r="CG10" i="173"/>
  <c r="CF10" i="173"/>
  <c r="CE10" i="173"/>
  <c r="CD10" i="173"/>
  <c r="CC10" i="173"/>
  <c r="CB10" i="173"/>
  <c r="CA10" i="173"/>
  <c r="BY10" i="173"/>
  <c r="BR10" i="173" s="1"/>
  <c r="BX10" i="173"/>
  <c r="BV10" i="173"/>
  <c r="BT10" i="173"/>
  <c r="BS10" i="173"/>
  <c r="BP10" i="173"/>
  <c r="AV10" i="173"/>
  <c r="AU10" i="173" s="1"/>
  <c r="BQ10" i="173" s="1"/>
  <c r="AS10" i="173"/>
  <c r="Y10" i="173"/>
  <c r="ED9" i="173"/>
  <c r="EB9" i="173"/>
  <c r="EA9" i="173"/>
  <c r="DZ9" i="173"/>
  <c r="DY9" i="173"/>
  <c r="DW9" i="173"/>
  <c r="DV9" i="173"/>
  <c r="DT9" i="173"/>
  <c r="DS9" i="173"/>
  <c r="DQ9" i="173"/>
  <c r="DP9" i="173"/>
  <c r="DO9" i="173"/>
  <c r="DN9" i="173"/>
  <c r="DL9" i="173"/>
  <c r="DK9" i="173"/>
  <c r="DB9" i="173"/>
  <c r="CN9" i="173" s="1"/>
  <c r="H9" i="173" s="1"/>
  <c r="I9" i="173" s="1"/>
  <c r="CL9" i="173"/>
  <c r="CI9" i="173"/>
  <c r="CH9" i="173"/>
  <c r="CG9" i="173"/>
  <c r="CE9" i="173"/>
  <c r="CD9" i="173"/>
  <c r="BY9" i="173"/>
  <c r="BX9" i="173"/>
  <c r="BV9" i="173"/>
  <c r="BT9" i="173"/>
  <c r="BR9" i="173" s="1"/>
  <c r="BS9" i="173"/>
  <c r="BJ9" i="173"/>
  <c r="AV9" i="173" s="1"/>
  <c r="AM9" i="173"/>
  <c r="CF9" i="173" s="1"/>
  <c r="Y9" i="173"/>
  <c r="AU9" i="173" s="1"/>
  <c r="BQ9" i="173" s="1"/>
  <c r="ED8" i="173"/>
  <c r="EB8" i="173"/>
  <c r="EA8" i="173"/>
  <c r="DZ8" i="173"/>
  <c r="DY8" i="173"/>
  <c r="DX8" i="173"/>
  <c r="DW8" i="173"/>
  <c r="DV8" i="173"/>
  <c r="DT8" i="173"/>
  <c r="DS8" i="173"/>
  <c r="DQ8" i="173"/>
  <c r="DP8" i="173"/>
  <c r="DO8" i="173"/>
  <c r="DN8" i="173"/>
  <c r="DL8" i="173"/>
  <c r="DJ8" i="173" s="1"/>
  <c r="DK8" i="173"/>
  <c r="CN8" i="173"/>
  <c r="CL8" i="173"/>
  <c r="CI8" i="173"/>
  <c r="CH8" i="173"/>
  <c r="CG8" i="173"/>
  <c r="CF8" i="173"/>
  <c r="CE8" i="173"/>
  <c r="CD8" i="173"/>
  <c r="BY8" i="173"/>
  <c r="BX8" i="173"/>
  <c r="BV8" i="173"/>
  <c r="BT8" i="173"/>
  <c r="BS8" i="173"/>
  <c r="BR8" i="173" s="1"/>
  <c r="AV8" i="173"/>
  <c r="AM8" i="173"/>
  <c r="Y8" i="173"/>
  <c r="AU8" i="173" s="1"/>
  <c r="BQ8" i="173" s="1"/>
  <c r="H8" i="173"/>
  <c r="I8" i="173" s="1"/>
  <c r="ED7" i="173"/>
  <c r="EB7" i="173"/>
  <c r="EA7" i="173"/>
  <c r="DZ7" i="173"/>
  <c r="DY7" i="173"/>
  <c r="DX7" i="173"/>
  <c r="DW7" i="173"/>
  <c r="DV7" i="173"/>
  <c r="DV34" i="173" s="1"/>
  <c r="DT7" i="173"/>
  <c r="DS7" i="173"/>
  <c r="DQ7" i="173"/>
  <c r="DP7" i="173"/>
  <c r="DO7" i="173"/>
  <c r="DN7" i="173"/>
  <c r="DL7" i="173"/>
  <c r="DK7" i="173"/>
  <c r="DJ7" i="173"/>
  <c r="DB7" i="173"/>
  <c r="CN7" i="173"/>
  <c r="H7" i="173" s="1"/>
  <c r="CL7" i="173"/>
  <c r="CI7" i="173"/>
  <c r="CH7" i="173"/>
  <c r="CG7" i="173"/>
  <c r="CE7" i="173"/>
  <c r="CD7" i="173"/>
  <c r="BY7" i="173"/>
  <c r="BX7" i="173"/>
  <c r="BV7" i="173"/>
  <c r="BT7" i="173"/>
  <c r="BS7" i="173"/>
  <c r="BJ7" i="173"/>
  <c r="BJ34" i="173" s="1"/>
  <c r="AV7" i="173"/>
  <c r="AM7" i="173"/>
  <c r="Y7" i="173" s="1"/>
  <c r="I7" i="173" s="1"/>
  <c r="ED6" i="173"/>
  <c r="EB6" i="173"/>
  <c r="EA6" i="173"/>
  <c r="DZ6" i="173"/>
  <c r="DY6" i="173"/>
  <c r="DX6" i="173"/>
  <c r="DW6" i="173"/>
  <c r="DV6" i="173"/>
  <c r="DT6" i="173"/>
  <c r="DS6" i="173"/>
  <c r="DQ6" i="173"/>
  <c r="DP6" i="173"/>
  <c r="DO6" i="173"/>
  <c r="DN6" i="173"/>
  <c r="DL6" i="173"/>
  <c r="DK6" i="173"/>
  <c r="CN6" i="173"/>
  <c r="H6" i="173" s="1"/>
  <c r="I6" i="173" s="1"/>
  <c r="CL6" i="173"/>
  <c r="CI6" i="173"/>
  <c r="CH6" i="173"/>
  <c r="CG6" i="173"/>
  <c r="CF6" i="173"/>
  <c r="CE6" i="173"/>
  <c r="CD6" i="173"/>
  <c r="BY6" i="173"/>
  <c r="BX6" i="173"/>
  <c r="BV6" i="173"/>
  <c r="BT6" i="173"/>
  <c r="BS6" i="173"/>
  <c r="AV6" i="173"/>
  <c r="Y6" i="173"/>
  <c r="AU6" i="173" s="1"/>
  <c r="BQ6" i="173" s="1"/>
  <c r="ED5" i="173"/>
  <c r="EB5" i="173"/>
  <c r="EA5" i="173"/>
  <c r="DZ5" i="173"/>
  <c r="DY5" i="173"/>
  <c r="DX5" i="173"/>
  <c r="DW5" i="173"/>
  <c r="DW34" i="173" s="1"/>
  <c r="DV5" i="173"/>
  <c r="DT5" i="173"/>
  <c r="DS5" i="173"/>
  <c r="DQ5" i="173"/>
  <c r="DP5" i="173"/>
  <c r="DO5" i="173"/>
  <c r="DN5" i="173"/>
  <c r="DL5" i="173"/>
  <c r="DK5" i="173"/>
  <c r="CN5" i="173"/>
  <c r="CM5" i="173" s="1"/>
  <c r="DI5" i="173" s="1"/>
  <c r="CL5" i="173"/>
  <c r="CI5" i="173"/>
  <c r="CH5" i="173"/>
  <c r="CG5" i="173"/>
  <c r="CF5" i="173"/>
  <c r="CE5" i="173"/>
  <c r="CD5" i="173"/>
  <c r="BY5" i="173"/>
  <c r="BX5" i="173"/>
  <c r="BV5" i="173"/>
  <c r="BT5" i="173"/>
  <c r="BS5" i="173"/>
  <c r="BR5" i="173" s="1"/>
  <c r="AV5" i="173"/>
  <c r="AU5" i="173" s="1"/>
  <c r="BQ5" i="173" s="1"/>
  <c r="Y5" i="173"/>
  <c r="ED4" i="173"/>
  <c r="EB4" i="173"/>
  <c r="EA4" i="173"/>
  <c r="DZ4" i="173"/>
  <c r="DY4" i="173"/>
  <c r="DW4" i="173"/>
  <c r="DV4" i="173"/>
  <c r="DT4" i="173"/>
  <c r="DS4" i="173"/>
  <c r="DQ4" i="173"/>
  <c r="DP4" i="173"/>
  <c r="DO4" i="173"/>
  <c r="DN4" i="173"/>
  <c r="DN34" i="173" s="1"/>
  <c r="DL4" i="173"/>
  <c r="DK4" i="173"/>
  <c r="DB4" i="173"/>
  <c r="DX4" i="173" s="1"/>
  <c r="CL4" i="173"/>
  <c r="CJ4" i="173"/>
  <c r="CI4" i="173"/>
  <c r="CI34" i="173" s="1"/>
  <c r="CH4" i="173"/>
  <c r="CG4" i="173"/>
  <c r="CE4" i="173"/>
  <c r="CD4" i="173"/>
  <c r="CC4" i="173"/>
  <c r="CB4" i="173"/>
  <c r="CA4" i="173"/>
  <c r="CA203" i="173" s="1"/>
  <c r="BY4" i="173"/>
  <c r="BX4" i="173"/>
  <c r="BV4" i="173"/>
  <c r="BT4" i="173"/>
  <c r="BS4" i="173"/>
  <c r="BS34" i="173" s="1"/>
  <c r="BJ4" i="173"/>
  <c r="Y4" i="173"/>
  <c r="CH3" i="173"/>
  <c r="DD3" i="173" s="1"/>
  <c r="DZ3" i="173" s="1"/>
  <c r="CL193" i="173" l="1"/>
  <c r="BB201" i="173"/>
  <c r="AV48" i="173"/>
  <c r="BX70" i="173"/>
  <c r="CL77" i="173"/>
  <c r="BR77" i="173" s="1"/>
  <c r="BR98" i="173"/>
  <c r="CR104" i="173"/>
  <c r="AV111" i="173"/>
  <c r="AU111" i="173" s="1"/>
  <c r="BQ111" i="173" s="1"/>
  <c r="AV124" i="173"/>
  <c r="BR150" i="173"/>
  <c r="DJ152" i="173"/>
  <c r="DN155" i="173"/>
  <c r="DJ155" i="173" s="1"/>
  <c r="BR40" i="173"/>
  <c r="DJ4" i="173"/>
  <c r="BR12" i="173"/>
  <c r="BX18" i="173"/>
  <c r="BX40" i="173"/>
  <c r="DL44" i="173"/>
  <c r="DJ44" i="173" s="1"/>
  <c r="CH48" i="173"/>
  <c r="BR76" i="173"/>
  <c r="BX95" i="173"/>
  <c r="DP98" i="173"/>
  <c r="DJ98" i="173" s="1"/>
  <c r="CI107" i="173"/>
  <c r="BR107" i="173" s="1"/>
  <c r="DJ131" i="173"/>
  <c r="DN157" i="173"/>
  <c r="CN170" i="173"/>
  <c r="H170" i="173" s="1"/>
  <c r="I170" i="173" s="1"/>
  <c r="BM205" i="173"/>
  <c r="BM207" i="173" s="1"/>
  <c r="DC32" i="173"/>
  <c r="CN32" i="173" s="1"/>
  <c r="CN4" i="173"/>
  <c r="BP201" i="173"/>
  <c r="BC34" i="173"/>
  <c r="BT44" i="173"/>
  <c r="CF47" i="173"/>
  <c r="BT48" i="173"/>
  <c r="AV57" i="173"/>
  <c r="AU57" i="173" s="1"/>
  <c r="BQ57" i="173" s="1"/>
  <c r="AV65" i="173"/>
  <c r="AU65" i="173" s="1"/>
  <c r="BQ65" i="173" s="1"/>
  <c r="AV89" i="173"/>
  <c r="H126" i="173"/>
  <c r="I126" i="173" s="1"/>
  <c r="DP131" i="173"/>
  <c r="DO135" i="173"/>
  <c r="CR200" i="173"/>
  <c r="BV153" i="173"/>
  <c r="BR153" i="173" s="1"/>
  <c r="DL36" i="173"/>
  <c r="DJ36" i="173" s="1"/>
  <c r="BR57" i="173"/>
  <c r="BR83" i="173"/>
  <c r="DP102" i="173"/>
  <c r="H45" i="173"/>
  <c r="I45" i="173" s="1"/>
  <c r="BX201" i="173"/>
  <c r="CN24" i="173"/>
  <c r="H24" i="173" s="1"/>
  <c r="I24" i="173" s="1"/>
  <c r="I30" i="173"/>
  <c r="BJ67" i="173"/>
  <c r="CV205" i="173"/>
  <c r="CV207" i="173" s="1"/>
  <c r="ED53" i="173"/>
  <c r="DJ53" i="173" s="1"/>
  <c r="DN60" i="173"/>
  <c r="BR63" i="173"/>
  <c r="AU90" i="173"/>
  <c r="BQ90" i="173" s="1"/>
  <c r="AV99" i="173"/>
  <c r="CN127" i="173"/>
  <c r="CM127" i="173" s="1"/>
  <c r="DI127" i="173" s="1"/>
  <c r="I131" i="173"/>
  <c r="BV156" i="173"/>
  <c r="I165" i="173"/>
  <c r="DJ90" i="173"/>
  <c r="DD67" i="173"/>
  <c r="BY48" i="173"/>
  <c r="DN148" i="173"/>
  <c r="DJ148" i="173" s="1"/>
  <c r="DN162" i="173"/>
  <c r="DJ162" i="173" s="1"/>
  <c r="BB34" i="173"/>
  <c r="AV30" i="173"/>
  <c r="DJ30" i="173"/>
  <c r="AV43" i="173"/>
  <c r="AU43" i="173" s="1"/>
  <c r="BQ43" i="173" s="1"/>
  <c r="CL59" i="173"/>
  <c r="BR59" i="173" s="1"/>
  <c r="CQ67" i="173"/>
  <c r="CQ197" i="173" s="1"/>
  <c r="AV71" i="173"/>
  <c r="AV96" i="173"/>
  <c r="AU96" i="173" s="1"/>
  <c r="BQ96" i="173" s="1"/>
  <c r="CI126" i="173"/>
  <c r="BR126" i="173" s="1"/>
  <c r="DJ127" i="173"/>
  <c r="DZ170" i="173"/>
  <c r="DJ170" i="173" s="1"/>
  <c r="CN188" i="173"/>
  <c r="BR193" i="173"/>
  <c r="AU79" i="173"/>
  <c r="BQ79" i="173" s="1"/>
  <c r="CU201" i="173"/>
  <c r="CU34" i="173"/>
  <c r="DQ18" i="173"/>
  <c r="DQ34" i="173" s="1"/>
  <c r="CN18" i="173"/>
  <c r="H60" i="173"/>
  <c r="I60" i="173" s="1"/>
  <c r="CM60" i="173"/>
  <c r="DI60" i="173" s="1"/>
  <c r="DL104" i="173"/>
  <c r="AU19" i="173"/>
  <c r="BQ19" i="173" s="1"/>
  <c r="CM74" i="173"/>
  <c r="DI74" i="173" s="1"/>
  <c r="I74" i="173"/>
  <c r="AU7" i="173"/>
  <c r="BQ7" i="173" s="1"/>
  <c r="CM48" i="173"/>
  <c r="DI48" i="173" s="1"/>
  <c r="H48" i="173"/>
  <c r="H106" i="173"/>
  <c r="H10" i="173"/>
  <c r="I10" i="173" s="1"/>
  <c r="CM10" i="173"/>
  <c r="DI10" i="173" s="1"/>
  <c r="CM58" i="173"/>
  <c r="DI58" i="173" s="1"/>
  <c r="H58" i="173"/>
  <c r="I58" i="173" s="1"/>
  <c r="CH34" i="173"/>
  <c r="H66" i="173"/>
  <c r="I66" i="173" s="1"/>
  <c r="CM66" i="173"/>
  <c r="DI66" i="173" s="1"/>
  <c r="CM81" i="173"/>
  <c r="DI81" i="173" s="1"/>
  <c r="H81" i="173"/>
  <c r="I81" i="173" s="1"/>
  <c r="BR54" i="173"/>
  <c r="CC203" i="173"/>
  <c r="CC34" i="173"/>
  <c r="BL203" i="173"/>
  <c r="BL34" i="173"/>
  <c r="CH22" i="173"/>
  <c r="BR22" i="173" s="1"/>
  <c r="AV22" i="173"/>
  <c r="DE197" i="173"/>
  <c r="BX101" i="173"/>
  <c r="BR101" i="173" s="1"/>
  <c r="Y101" i="173"/>
  <c r="DP101" i="173"/>
  <c r="DJ101" i="173" s="1"/>
  <c r="CL122" i="173"/>
  <c r="ED122" i="173"/>
  <c r="Y122" i="173"/>
  <c r="DJ22" i="173"/>
  <c r="AZ202" i="173"/>
  <c r="DZ37" i="173"/>
  <c r="DZ202" i="173" s="1"/>
  <c r="DP41" i="173"/>
  <c r="DJ41" i="173" s="1"/>
  <c r="BX41" i="173"/>
  <c r="BR41" i="173" s="1"/>
  <c r="DM204" i="173"/>
  <c r="DJ23" i="173"/>
  <c r="BB202" i="173"/>
  <c r="AU41" i="173"/>
  <c r="BQ41" i="173" s="1"/>
  <c r="AU48" i="173"/>
  <c r="BQ48" i="173" s="1"/>
  <c r="BR49" i="173"/>
  <c r="CN54" i="173"/>
  <c r="DP54" i="173"/>
  <c r="BT60" i="173"/>
  <c r="DL60" i="173"/>
  <c r="CL80" i="173"/>
  <c r="BR80" i="173" s="1"/>
  <c r="ED203" i="173"/>
  <c r="CE201" i="173"/>
  <c r="EB201" i="173"/>
  <c r="DJ24" i="173"/>
  <c r="AQ197" i="173"/>
  <c r="CW197" i="173"/>
  <c r="CW208" i="173" s="1"/>
  <c r="H37" i="173"/>
  <c r="BK202" i="173"/>
  <c r="BK67" i="173"/>
  <c r="BR47" i="173"/>
  <c r="BJ203" i="173"/>
  <c r="CF4" i="173"/>
  <c r="CB203" i="173"/>
  <c r="CB34" i="173"/>
  <c r="CL203" i="173"/>
  <c r="DO203" i="173"/>
  <c r="DJ5" i="173"/>
  <c r="AE203" i="173"/>
  <c r="AE34" i="173"/>
  <c r="DP11" i="173"/>
  <c r="BX11" i="173"/>
  <c r="BR11" i="173" s="1"/>
  <c r="AU15" i="173"/>
  <c r="BQ15" i="173" s="1"/>
  <c r="DJ15" i="173"/>
  <c r="BV201" i="173"/>
  <c r="BR24" i="173"/>
  <c r="CM24" i="173"/>
  <c r="DI24" i="173" s="1"/>
  <c r="BK203" i="173"/>
  <c r="AV203" i="173" s="1"/>
  <c r="CG25" i="173"/>
  <c r="CG34" i="173" s="1"/>
  <c r="BR27" i="173"/>
  <c r="DJ28" i="173"/>
  <c r="CM30" i="173"/>
  <c r="DI30" i="173" s="1"/>
  <c r="DJ33" i="173"/>
  <c r="BP34" i="173"/>
  <c r="CP197" i="173"/>
  <c r="DA197" i="173"/>
  <c r="AU35" i="173"/>
  <c r="BQ35" i="173" s="1"/>
  <c r="BX35" i="173"/>
  <c r="DS202" i="173"/>
  <c r="DS67" i="173"/>
  <c r="CP202" i="173"/>
  <c r="DL37" i="173"/>
  <c r="AV38" i="173"/>
  <c r="AU38" i="173" s="1"/>
  <c r="BQ38" i="173" s="1"/>
  <c r="CN40" i="173"/>
  <c r="I41" i="173"/>
  <c r="CM46" i="173"/>
  <c r="DI46" i="173" s="1"/>
  <c r="DX48" i="173"/>
  <c r="CF48" i="173"/>
  <c r="CF67" i="173" s="1"/>
  <c r="DZ48" i="173"/>
  <c r="AV49" i="173"/>
  <c r="AU49" i="173" s="1"/>
  <c r="BQ49" i="173" s="1"/>
  <c r="H61" i="173"/>
  <c r="CG62" i="173"/>
  <c r="BR62" i="173" s="1"/>
  <c r="AV62" i="173"/>
  <c r="AU62" i="173" s="1"/>
  <c r="BQ62" i="173" s="1"/>
  <c r="CN62" i="173"/>
  <c r="BB67" i="173"/>
  <c r="BP67" i="173"/>
  <c r="CB204" i="173"/>
  <c r="CB104" i="173"/>
  <c r="DT204" i="173"/>
  <c r="DT104" i="173"/>
  <c r="AU74" i="173"/>
  <c r="BQ74" i="173" s="1"/>
  <c r="CM75" i="173"/>
  <c r="DI75" i="173" s="1"/>
  <c r="H75" i="173"/>
  <c r="I75" i="173" s="1"/>
  <c r="CU204" i="173"/>
  <c r="CN78" i="173"/>
  <c r="CU104" i="173"/>
  <c r="DQ78" i="173"/>
  <c r="ED82" i="173"/>
  <c r="DJ82" i="173" s="1"/>
  <c r="CL82" i="173"/>
  <c r="CM85" i="173"/>
  <c r="DI85" i="173" s="1"/>
  <c r="BR86" i="173"/>
  <c r="CL86" i="173"/>
  <c r="DJ122" i="173"/>
  <c r="CM128" i="173"/>
  <c r="DI128" i="173" s="1"/>
  <c r="H128" i="173"/>
  <c r="I128" i="173" s="1"/>
  <c r="BS200" i="173"/>
  <c r="CH177" i="173"/>
  <c r="BL195" i="173"/>
  <c r="I179" i="173"/>
  <c r="CL201" i="173"/>
  <c r="CG23" i="173"/>
  <c r="Y23" i="173"/>
  <c r="BR25" i="173"/>
  <c r="CG48" i="173"/>
  <c r="DY48" i="173"/>
  <c r="CD203" i="173"/>
  <c r="CD34" i="173"/>
  <c r="CM16" i="173"/>
  <c r="DI16" i="173" s="1"/>
  <c r="DV202" i="173"/>
  <c r="BS204" i="173"/>
  <c r="BS104" i="173"/>
  <c r="CD204" i="173"/>
  <c r="CD104" i="173"/>
  <c r="ED80" i="173"/>
  <c r="DP206" i="173"/>
  <c r="DP129" i="173"/>
  <c r="DZ206" i="173"/>
  <c r="DZ129" i="173"/>
  <c r="EB199" i="173"/>
  <c r="EB195" i="173"/>
  <c r="CM184" i="173"/>
  <c r="DI184" i="173" s="1"/>
  <c r="H184" i="173"/>
  <c r="BR28" i="173"/>
  <c r="CD67" i="173"/>
  <c r="BY44" i="173"/>
  <c r="BR44" i="173" s="1"/>
  <c r="H47" i="173"/>
  <c r="CL53" i="173"/>
  <c r="BR53" i="173" s="1"/>
  <c r="Y53" i="173"/>
  <c r="DJ62" i="173"/>
  <c r="DJ65" i="173"/>
  <c r="BR78" i="173"/>
  <c r="AU80" i="173"/>
  <c r="BQ80" i="173" s="1"/>
  <c r="DQ206" i="173"/>
  <c r="DQ129" i="173"/>
  <c r="EA206" i="173"/>
  <c r="EA129" i="173"/>
  <c r="CM108" i="173"/>
  <c r="DI108" i="173" s="1"/>
  <c r="H108" i="173"/>
  <c r="I108" i="173" s="1"/>
  <c r="CM111" i="173"/>
  <c r="DI111" i="173" s="1"/>
  <c r="H111" i="173"/>
  <c r="I111" i="173" s="1"/>
  <c r="EA195" i="173"/>
  <c r="I151" i="173"/>
  <c r="AU151" i="173"/>
  <c r="BQ151" i="173" s="1"/>
  <c r="DT203" i="173"/>
  <c r="DT34" i="173"/>
  <c r="AU16" i="173"/>
  <c r="BQ16" i="173" s="1"/>
  <c r="H17" i="173"/>
  <c r="DS201" i="173"/>
  <c r="I46" i="173"/>
  <c r="CN57" i="173"/>
  <c r="DP57" i="173"/>
  <c r="DJ57" i="173" s="1"/>
  <c r="CG65" i="173"/>
  <c r="CP67" i="173"/>
  <c r="DB67" i="173"/>
  <c r="BR71" i="173"/>
  <c r="DX104" i="173"/>
  <c r="DJ75" i="173"/>
  <c r="CM80" i="173"/>
  <c r="DI80" i="173" s="1"/>
  <c r="H80" i="173"/>
  <c r="I80" i="173" s="1"/>
  <c r="AU91" i="173"/>
  <c r="BQ91" i="173" s="1"/>
  <c r="DJ103" i="173"/>
  <c r="DS206" i="173"/>
  <c r="DS129" i="173"/>
  <c r="EB206" i="173"/>
  <c r="EB129" i="173"/>
  <c r="DN146" i="173"/>
  <c r="DJ146" i="173" s="1"/>
  <c r="BV146" i="173"/>
  <c r="BR146" i="173" s="1"/>
  <c r="Y146" i="173"/>
  <c r="BV151" i="173"/>
  <c r="BR151" i="173" s="1"/>
  <c r="DN151" i="173"/>
  <c r="DJ151" i="173" s="1"/>
  <c r="DL166" i="173"/>
  <c r="DJ166" i="173" s="1"/>
  <c r="AA195" i="173"/>
  <c r="BT166" i="173"/>
  <c r="BR166" i="173" s="1"/>
  <c r="Y166" i="173"/>
  <c r="CZ205" i="173"/>
  <c r="CZ207" i="173" s="1"/>
  <c r="CH203" i="173"/>
  <c r="DK203" i="173"/>
  <c r="DK34" i="173"/>
  <c r="DV203" i="173"/>
  <c r="H5" i="173"/>
  <c r="I5" i="173" s="1"/>
  <c r="DJ6" i="173"/>
  <c r="CM8" i="173"/>
  <c r="DI8" i="173" s="1"/>
  <c r="DP12" i="173"/>
  <c r="DJ12" i="173" s="1"/>
  <c r="CN12" i="173"/>
  <c r="CF201" i="173"/>
  <c r="AA201" i="173"/>
  <c r="Y19" i="173"/>
  <c r="H19" i="173"/>
  <c r="CM19" i="173"/>
  <c r="DI19" i="173" s="1"/>
  <c r="BR23" i="173"/>
  <c r="DY23" i="173"/>
  <c r="CN25" i="173"/>
  <c r="BR30" i="173"/>
  <c r="AV33" i="173"/>
  <c r="AU33" i="173" s="1"/>
  <c r="BQ33" i="173" s="1"/>
  <c r="CN33" i="173"/>
  <c r="AR197" i="173"/>
  <c r="AR208" i="173" s="1"/>
  <c r="DJ38" i="173"/>
  <c r="BN202" i="173"/>
  <c r="BN67" i="173"/>
  <c r="AU42" i="173"/>
  <c r="BQ42" i="173" s="1"/>
  <c r="Y48" i="173"/>
  <c r="CN50" i="173"/>
  <c r="DJ52" i="173"/>
  <c r="BI202" i="173"/>
  <c r="BI205" i="173" s="1"/>
  <c r="BI207" i="173" s="1"/>
  <c r="AV55" i="173"/>
  <c r="AU55" i="173" s="1"/>
  <c r="BQ55" i="173" s="1"/>
  <c r="DR67" i="173"/>
  <c r="I68" i="173"/>
  <c r="BK204" i="173"/>
  <c r="BK104" i="173"/>
  <c r="CG70" i="173"/>
  <c r="I73" i="173"/>
  <c r="AU73" i="173"/>
  <c r="BQ73" i="173" s="1"/>
  <c r="CM73" i="173"/>
  <c r="DI73" i="173" s="1"/>
  <c r="BR82" i="173"/>
  <c r="BY84" i="173"/>
  <c r="BR84" i="173" s="1"/>
  <c r="Y84" i="173"/>
  <c r="AU84" i="173" s="1"/>
  <c r="BQ84" i="173" s="1"/>
  <c r="CN93" i="173"/>
  <c r="DP93" i="173"/>
  <c r="DJ93" i="173" s="1"/>
  <c r="DV104" i="173"/>
  <c r="BX206" i="173"/>
  <c r="BX129" i="173"/>
  <c r="DT206" i="173"/>
  <c r="DT129" i="173"/>
  <c r="DP130" i="173"/>
  <c r="CT195" i="173"/>
  <c r="CN130" i="173"/>
  <c r="DW195" i="173"/>
  <c r="CG199" i="173"/>
  <c r="CM142" i="173"/>
  <c r="DI142" i="173" s="1"/>
  <c r="H142" i="173"/>
  <c r="DJ145" i="173"/>
  <c r="AU146" i="173"/>
  <c r="BQ146" i="173" s="1"/>
  <c r="DZ203" i="173"/>
  <c r="DZ34" i="173"/>
  <c r="AV13" i="173"/>
  <c r="AU13" i="173" s="1"/>
  <c r="BQ13" i="173" s="1"/>
  <c r="BX13" i="173"/>
  <c r="BR13" i="173" s="1"/>
  <c r="AU17" i="173"/>
  <c r="BQ17" i="173" s="1"/>
  <c r="AV58" i="173"/>
  <c r="AU58" i="173" s="1"/>
  <c r="BQ58" i="173" s="1"/>
  <c r="BV58" i="173"/>
  <c r="BR58" i="173" s="1"/>
  <c r="DJ78" i="173"/>
  <c r="AU86" i="173"/>
  <c r="BQ86" i="173" s="1"/>
  <c r="DD206" i="173"/>
  <c r="DD129" i="173"/>
  <c r="DC34" i="173"/>
  <c r="AU39" i="173"/>
  <c r="BQ39" i="173" s="1"/>
  <c r="AU52" i="173"/>
  <c r="BQ52" i="173" s="1"/>
  <c r="DW52" i="173"/>
  <c r="DW202" i="173" s="1"/>
  <c r="CT204" i="173"/>
  <c r="CT104" i="173"/>
  <c r="CN69" i="173"/>
  <c r="BV149" i="173"/>
  <c r="DN149" i="173"/>
  <c r="DJ149" i="173" s="1"/>
  <c r="Y149" i="173"/>
  <c r="BV34" i="173"/>
  <c r="DJ11" i="173"/>
  <c r="AV4" i="173"/>
  <c r="BY203" i="173"/>
  <c r="CI202" i="173"/>
  <c r="DL203" i="173"/>
  <c r="DL34" i="173"/>
  <c r="DW203" i="173"/>
  <c r="BR6" i="173"/>
  <c r="CM7" i="173"/>
  <c r="DI7" i="173" s="1"/>
  <c r="DH203" i="173"/>
  <c r="ED10" i="173"/>
  <c r="ED34" i="173" s="1"/>
  <c r="CM13" i="173"/>
  <c r="DI13" i="173" s="1"/>
  <c r="CM15" i="173"/>
  <c r="DI15" i="173" s="1"/>
  <c r="BR16" i="173"/>
  <c r="Y17" i="173"/>
  <c r="CM17" i="173" s="1"/>
  <c r="DI17" i="173" s="1"/>
  <c r="BS201" i="173"/>
  <c r="CG17" i="173"/>
  <c r="CG201" i="173" s="1"/>
  <c r="AF201" i="173"/>
  <c r="AF34" i="173"/>
  <c r="BY18" i="173"/>
  <c r="BR18" i="173" s="1"/>
  <c r="Y18" i="173"/>
  <c r="DJ18" i="173"/>
  <c r="DQ19" i="173"/>
  <c r="DQ201" i="173" s="1"/>
  <c r="BY19" i="173"/>
  <c r="CN22" i="173"/>
  <c r="DX27" i="173"/>
  <c r="DJ27" i="173" s="1"/>
  <c r="Y28" i="173"/>
  <c r="DJ31" i="173"/>
  <c r="AI208" i="173"/>
  <c r="DO34" i="173"/>
  <c r="AE67" i="173"/>
  <c r="BU202" i="173"/>
  <c r="BU67" i="173"/>
  <c r="BU197" i="173" s="1"/>
  <c r="DZ67" i="173"/>
  <c r="DD202" i="173"/>
  <c r="BR39" i="173"/>
  <c r="DC202" i="173"/>
  <c r="DC67" i="173"/>
  <c r="CN39" i="173"/>
  <c r="BT45" i="173"/>
  <c r="BT67" i="173" s="1"/>
  <c r="AV45" i="173"/>
  <c r="AU45" i="173" s="1"/>
  <c r="BQ45" i="173" s="1"/>
  <c r="BP202" i="173"/>
  <c r="DL47" i="173"/>
  <c r="Y47" i="173"/>
  <c r="BD202" i="173"/>
  <c r="BZ48" i="173"/>
  <c r="BD67" i="173"/>
  <c r="BD197" i="173" s="1"/>
  <c r="BD208" i="173" s="1"/>
  <c r="CL50" i="173"/>
  <c r="CL202" i="173" s="1"/>
  <c r="ED50" i="173"/>
  <c r="DJ50" i="173" s="1"/>
  <c r="CN55" i="173"/>
  <c r="H56" i="173"/>
  <c r="I56" i="173" s="1"/>
  <c r="DN58" i="173"/>
  <c r="DJ58" i="173" s="1"/>
  <c r="CM59" i="173"/>
  <c r="DI59" i="173" s="1"/>
  <c r="H63" i="173"/>
  <c r="I63" i="173" s="1"/>
  <c r="AZ67" i="173"/>
  <c r="AZ197" i="173" s="1"/>
  <c r="CR67" i="173"/>
  <c r="CR197" i="173" s="1"/>
  <c r="DT67" i="173"/>
  <c r="EA204" i="173"/>
  <c r="EA104" i="173"/>
  <c r="AA204" i="173"/>
  <c r="AA104" i="173"/>
  <c r="Y78" i="173"/>
  <c r="DJ80" i="173"/>
  <c r="DJ86" i="173"/>
  <c r="BR95" i="173"/>
  <c r="DE206" i="173"/>
  <c r="DE129" i="173"/>
  <c r="BS195" i="173"/>
  <c r="CD195" i="173"/>
  <c r="DX195" i="173"/>
  <c r="CB195" i="173"/>
  <c r="CI204" i="173"/>
  <c r="CI199" i="173"/>
  <c r="AO202" i="173"/>
  <c r="Y37" i="173"/>
  <c r="AO67" i="173"/>
  <c r="CL79" i="173"/>
  <c r="BR79" i="173" s="1"/>
  <c r="ED79" i="173"/>
  <c r="DJ79" i="173" s="1"/>
  <c r="AV171" i="173"/>
  <c r="AU171" i="173" s="1"/>
  <c r="BQ171" i="173" s="1"/>
  <c r="CL171" i="173"/>
  <c r="BR171" i="173" s="1"/>
  <c r="CM176" i="173"/>
  <c r="I176" i="173"/>
  <c r="I186" i="173"/>
  <c r="CM186" i="173"/>
  <c r="DI186" i="173" s="1"/>
  <c r="BS203" i="173"/>
  <c r="CM6" i="173"/>
  <c r="DI6" i="173" s="1"/>
  <c r="BR19" i="173"/>
  <c r="AU30" i="173"/>
  <c r="BQ30" i="173" s="1"/>
  <c r="AC197" i="173"/>
  <c r="BI197" i="173"/>
  <c r="CC202" i="173"/>
  <c r="CC67" i="173"/>
  <c r="BY88" i="173"/>
  <c r="BR88" i="173" s="1"/>
  <c r="AV88" i="173"/>
  <c r="AU88" i="173" s="1"/>
  <c r="BQ88" i="173" s="1"/>
  <c r="BT203" i="173"/>
  <c r="BT34" i="173"/>
  <c r="CE203" i="173"/>
  <c r="CE34" i="173"/>
  <c r="CM9" i="173"/>
  <c r="DI9" i="173" s="1"/>
  <c r="AN203" i="173"/>
  <c r="AN205" i="173" s="1"/>
  <c r="AN207" i="173" s="1"/>
  <c r="AN34" i="173"/>
  <c r="DA202" i="173"/>
  <c r="DA205" i="173" s="1"/>
  <c r="DA207" i="173" s="1"/>
  <c r="CN52" i="173"/>
  <c r="AS67" i="173"/>
  <c r="AS197" i="173" s="1"/>
  <c r="AS208" i="173" s="1"/>
  <c r="BP104" i="173"/>
  <c r="DH34" i="173"/>
  <c r="CT202" i="173"/>
  <c r="CT67" i="173"/>
  <c r="AX202" i="173"/>
  <c r="AX205" i="173" s="1"/>
  <c r="AX207" i="173" s="1"/>
  <c r="AX67" i="173"/>
  <c r="AX197" i="173" s="1"/>
  <c r="CJ203" i="173"/>
  <c r="CJ34" i="173"/>
  <c r="CJ197" i="173" s="1"/>
  <c r="AM203" i="173"/>
  <c r="AM34" i="173"/>
  <c r="CF7" i="173"/>
  <c r="BR7" i="173" s="1"/>
  <c r="DX9" i="173"/>
  <c r="DX203" i="173" s="1"/>
  <c r="DJ10" i="173"/>
  <c r="I11" i="173"/>
  <c r="DY16" i="173"/>
  <c r="CL18" i="173"/>
  <c r="CL34" i="173" s="1"/>
  <c r="ED18" i="173"/>
  <c r="CM20" i="173"/>
  <c r="DI20" i="173" s="1"/>
  <c r="AU20" i="173"/>
  <c r="BQ20" i="173" s="1"/>
  <c r="DD203" i="173"/>
  <c r="DD34" i="173"/>
  <c r="DD197" i="173" s="1"/>
  <c r="CM23" i="173"/>
  <c r="DI23" i="173" s="1"/>
  <c r="DJ25" i="173"/>
  <c r="I26" i="173"/>
  <c r="CM29" i="173"/>
  <c r="DI29" i="173" s="1"/>
  <c r="CZ197" i="173"/>
  <c r="BV35" i="173"/>
  <c r="BR35" i="173" s="1"/>
  <c r="CN36" i="173"/>
  <c r="BR37" i="173"/>
  <c r="DF202" i="173"/>
  <c r="DF205" i="173" s="1"/>
  <c r="DF207" i="173" s="1"/>
  <c r="EB39" i="173"/>
  <c r="EB202" i="173" s="1"/>
  <c r="DF67" i="173"/>
  <c r="DF197" i="173" s="1"/>
  <c r="DF208" i="173" s="1"/>
  <c r="DJ42" i="173"/>
  <c r="CM43" i="173"/>
  <c r="DI43" i="173" s="1"/>
  <c r="Y44" i="173"/>
  <c r="AU44" i="173" s="1"/>
  <c r="BQ44" i="173" s="1"/>
  <c r="AM202" i="173"/>
  <c r="AM67" i="173"/>
  <c r="DX47" i="173"/>
  <c r="DX202" i="173" s="1"/>
  <c r="BE202" i="173"/>
  <c r="BE67" i="173"/>
  <c r="CA48" i="173"/>
  <c r="CA202" i="173" s="1"/>
  <c r="AU50" i="173"/>
  <c r="BQ50" i="173" s="1"/>
  <c r="DJ56" i="173"/>
  <c r="BX60" i="173"/>
  <c r="AV60" i="173"/>
  <c r="AU60" i="173" s="1"/>
  <c r="BQ60" i="173" s="1"/>
  <c r="ED61" i="173"/>
  <c r="DJ61" i="173" s="1"/>
  <c r="Y61" i="173"/>
  <c r="I61" i="173" s="1"/>
  <c r="CL61" i="173"/>
  <c r="BR61" i="173" s="1"/>
  <c r="CN64" i="173"/>
  <c r="CN65" i="173"/>
  <c r="DJ66" i="173"/>
  <c r="AA67" i="173"/>
  <c r="AA197" i="173" s="1"/>
  <c r="AA208" i="173" s="1"/>
  <c r="DS204" i="173"/>
  <c r="DS104" i="173"/>
  <c r="EB104" i="173"/>
  <c r="EB204" i="173"/>
  <c r="CA104" i="173"/>
  <c r="AF204" i="173"/>
  <c r="BY74" i="173"/>
  <c r="BR74" i="173" s="1"/>
  <c r="AF104" i="173"/>
  <c r="BX75" i="173"/>
  <c r="BR75" i="173" s="1"/>
  <c r="AV75" i="173"/>
  <c r="AU75" i="173" s="1"/>
  <c r="BQ75" i="173" s="1"/>
  <c r="I76" i="173"/>
  <c r="Y82" i="173"/>
  <c r="CL85" i="173"/>
  <c r="ED85" i="173"/>
  <c r="DJ85" i="173" s="1"/>
  <c r="Y85" i="173"/>
  <c r="Y86" i="173"/>
  <c r="BR87" i="173"/>
  <c r="CN96" i="173"/>
  <c r="DP96" i="173"/>
  <c r="DJ96" i="173" s="1"/>
  <c r="CC104" i="173"/>
  <c r="BP203" i="173"/>
  <c r="BY201" i="173"/>
  <c r="DN201" i="173"/>
  <c r="DX201" i="173"/>
  <c r="DQ21" i="173"/>
  <c r="DJ21" i="173" s="1"/>
  <c r="BG197" i="173"/>
  <c r="BG208" i="173" s="1"/>
  <c r="DU197" i="173"/>
  <c r="EC197" i="173"/>
  <c r="AF202" i="173"/>
  <c r="CR202" i="173"/>
  <c r="CR205" i="173" s="1"/>
  <c r="CR207" i="173" s="1"/>
  <c r="DQ35" i="173"/>
  <c r="EA67" i="173"/>
  <c r="EA202" i="173"/>
  <c r="BC202" i="173"/>
  <c r="CW202" i="173"/>
  <c r="CW67" i="173"/>
  <c r="DP48" i="173"/>
  <c r="CK202" i="173"/>
  <c r="AV54" i="173"/>
  <c r="AU54" i="173" s="1"/>
  <c r="BQ54" i="173" s="1"/>
  <c r="AV64" i="173"/>
  <c r="AU64" i="173" s="1"/>
  <c r="BQ64" i="173" s="1"/>
  <c r="DH67" i="173"/>
  <c r="AU68" i="173"/>
  <c r="BQ68" i="173" s="1"/>
  <c r="CH204" i="173"/>
  <c r="CH104" i="173"/>
  <c r="BB204" i="173"/>
  <c r="BB104" i="173"/>
  <c r="I70" i="173"/>
  <c r="DJ70" i="173"/>
  <c r="CL72" i="173"/>
  <c r="ED72" i="173"/>
  <c r="AU76" i="173"/>
  <c r="BQ76" i="173" s="1"/>
  <c r="DL83" i="173"/>
  <c r="DJ94" i="173"/>
  <c r="H98" i="173"/>
  <c r="CM98" i="173"/>
  <c r="DI98" i="173" s="1"/>
  <c r="Y99" i="173"/>
  <c r="DY99" i="173"/>
  <c r="DJ102" i="173"/>
  <c r="DY129" i="173"/>
  <c r="DJ113" i="173"/>
  <c r="CM114" i="173"/>
  <c r="DI114" i="173" s="1"/>
  <c r="H114" i="173"/>
  <c r="I114" i="173" s="1"/>
  <c r="CL115" i="173"/>
  <c r="BR115" i="173" s="1"/>
  <c r="BP129" i="173"/>
  <c r="AV177" i="173"/>
  <c r="AU177" i="173" s="1"/>
  <c r="BQ177" i="173" s="1"/>
  <c r="DJ192" i="173"/>
  <c r="DJ161" i="173"/>
  <c r="BV203" i="173"/>
  <c r="DB203" i="173"/>
  <c r="DB205" i="173" s="1"/>
  <c r="DQ203" i="173"/>
  <c r="EA203" i="173"/>
  <c r="AS203" i="173"/>
  <c r="BB203" i="173"/>
  <c r="AS201" i="173"/>
  <c r="BT201" i="173"/>
  <c r="DT201" i="173"/>
  <c r="DT205" i="173" s="1"/>
  <c r="DT207" i="173" s="1"/>
  <c r="ED17" i="173"/>
  <c r="ED201" i="173" s="1"/>
  <c r="Y22" i="173"/>
  <c r="AL197" i="173"/>
  <c r="CS197" i="173"/>
  <c r="CS208" i="173" s="1"/>
  <c r="DR197" i="173"/>
  <c r="AA202" i="173"/>
  <c r="CB202" i="173"/>
  <c r="DM35" i="173"/>
  <c r="Y36" i="173"/>
  <c r="Y202" i="173" s="1"/>
  <c r="BX42" i="173"/>
  <c r="BR42" i="173" s="1"/>
  <c r="ED46" i="173"/>
  <c r="BJ202" i="173"/>
  <c r="DL48" i="173"/>
  <c r="DJ48" i="173" s="1"/>
  <c r="Y54" i="173"/>
  <c r="DL54" i="173"/>
  <c r="DJ55" i="173"/>
  <c r="CH64" i="173"/>
  <c r="CH67" i="173" s="1"/>
  <c r="CH65" i="173"/>
  <c r="BR65" i="173" s="1"/>
  <c r="BC67" i="173"/>
  <c r="BS67" i="173"/>
  <c r="CK67" i="173"/>
  <c r="BT204" i="173"/>
  <c r="BT104" i="173"/>
  <c r="DH204" i="173"/>
  <c r="DH104" i="173"/>
  <c r="AV78" i="173"/>
  <c r="AU78" i="173" s="1"/>
  <c r="BQ78" i="173" s="1"/>
  <c r="DQ83" i="173"/>
  <c r="CN83" i="173"/>
  <c r="DQ92" i="173"/>
  <c r="BY92" i="173"/>
  <c r="Y92" i="173"/>
  <c r="CN92" i="173"/>
  <c r="AV94" i="173"/>
  <c r="AU94" i="173" s="1"/>
  <c r="BQ94" i="173" s="1"/>
  <c r="DJ99" i="173"/>
  <c r="CG101" i="173"/>
  <c r="AV101" i="173"/>
  <c r="CD206" i="173"/>
  <c r="CD129" i="173"/>
  <c r="CE195" i="173"/>
  <c r="BX131" i="173"/>
  <c r="BR131" i="173" s="1"/>
  <c r="AV131" i="173"/>
  <c r="AU131" i="173" s="1"/>
  <c r="BQ131" i="173" s="1"/>
  <c r="CM131" i="173"/>
  <c r="DI131" i="173" s="1"/>
  <c r="AC199" i="173"/>
  <c r="DN132" i="173"/>
  <c r="BV132" i="173"/>
  <c r="Y132" i="173"/>
  <c r="AC195" i="173"/>
  <c r="CL199" i="173"/>
  <c r="BR138" i="173"/>
  <c r="DJ138" i="173"/>
  <c r="AU140" i="173"/>
  <c r="BQ140" i="173" s="1"/>
  <c r="BR142" i="173"/>
  <c r="CB199" i="173"/>
  <c r="CG203" i="173"/>
  <c r="DS203" i="173"/>
  <c r="DS205" i="173" s="1"/>
  <c r="DS207" i="173" s="1"/>
  <c r="EB203" i="173"/>
  <c r="CT203" i="173"/>
  <c r="CI201" i="173"/>
  <c r="DK201" i="173"/>
  <c r="DV201" i="173"/>
  <c r="BE197" i="173"/>
  <c r="BM197" i="173"/>
  <c r="CK34" i="173"/>
  <c r="CT34" i="173"/>
  <c r="DB34" i="173"/>
  <c r="DS34" i="173"/>
  <c r="EA34" i="173"/>
  <c r="AC202" i="173"/>
  <c r="CD202" i="173"/>
  <c r="CN35" i="173"/>
  <c r="DN35" i="173"/>
  <c r="DY202" i="173"/>
  <c r="BL202" i="173"/>
  <c r="BL205" i="173" s="1"/>
  <c r="BL207" i="173" s="1"/>
  <c r="DH202" i="173"/>
  <c r="AV51" i="173"/>
  <c r="AU51" i="173" s="1"/>
  <c r="BQ51" i="173" s="1"/>
  <c r="AL202" i="173"/>
  <c r="Y55" i="173"/>
  <c r="AV56" i="173"/>
  <c r="AU56" i="173" s="1"/>
  <c r="BQ56" i="173" s="1"/>
  <c r="CG64" i="173"/>
  <c r="DJ64" i="173"/>
  <c r="BL67" i="173"/>
  <c r="CB67" i="173"/>
  <c r="CV67" i="173"/>
  <c r="CV197" i="173" s="1"/>
  <c r="CF204" i="173"/>
  <c r="CF104" i="173"/>
  <c r="AE204" i="173"/>
  <c r="AE104" i="173"/>
  <c r="Y69" i="173"/>
  <c r="Y204" i="173" s="1"/>
  <c r="DP69" i="173"/>
  <c r="DJ69" i="173" s="1"/>
  <c r="BX69" i="173"/>
  <c r="BR70" i="173"/>
  <c r="DC204" i="173"/>
  <c r="DC104" i="173"/>
  <c r="BC204" i="173"/>
  <c r="BC205" i="173" s="1"/>
  <c r="BC207" i="173" s="1"/>
  <c r="BC104" i="173"/>
  <c r="CM79" i="173"/>
  <c r="DI79" i="173" s="1"/>
  <c r="H79" i="173"/>
  <c r="I79" i="173" s="1"/>
  <c r="DQ81" i="173"/>
  <c r="DJ81" i="173" s="1"/>
  <c r="BY81" i="173"/>
  <c r="BY104" i="173" s="1"/>
  <c r="BR85" i="173"/>
  <c r="BI204" i="173"/>
  <c r="BI104" i="173"/>
  <c r="CE87" i="173"/>
  <c r="CE204" i="173" s="1"/>
  <c r="DQ91" i="173"/>
  <c r="DJ91" i="173" s="1"/>
  <c r="BY91" i="173"/>
  <c r="BR91" i="173" s="1"/>
  <c r="AV92" i="173"/>
  <c r="AU92" i="173" s="1"/>
  <c r="BQ92" i="173" s="1"/>
  <c r="BV92" i="173"/>
  <c r="BR92" i="173" s="1"/>
  <c r="DJ92" i="173"/>
  <c r="BR96" i="173"/>
  <c r="Y98" i="173"/>
  <c r="AU98" i="173" s="1"/>
  <c r="BQ98" i="173" s="1"/>
  <c r="AV102" i="173"/>
  <c r="AU102" i="173" s="1"/>
  <c r="BQ102" i="173" s="1"/>
  <c r="CM102" i="173"/>
  <c r="DI102" i="173" s="1"/>
  <c r="H102" i="173"/>
  <c r="I102" i="173" s="1"/>
  <c r="BT206" i="173"/>
  <c r="BT129" i="173"/>
  <c r="DJ109" i="173"/>
  <c r="CM110" i="173"/>
  <c r="DI110" i="173" s="1"/>
  <c r="H110" i="173"/>
  <c r="I110" i="173" s="1"/>
  <c r="AV115" i="173"/>
  <c r="AU115" i="173" s="1"/>
  <c r="BQ115" i="173" s="1"/>
  <c r="CF195" i="173"/>
  <c r="DO195" i="173"/>
  <c r="AE199" i="173"/>
  <c r="AE205" i="173" s="1"/>
  <c r="AE207" i="173" s="1"/>
  <c r="AE195" i="173"/>
  <c r="BX132" i="173"/>
  <c r="BX199" i="173" s="1"/>
  <c r="DP132" i="173"/>
  <c r="DP199" i="173" s="1"/>
  <c r="CC199" i="173"/>
  <c r="CM136" i="173"/>
  <c r="DI136" i="173" s="1"/>
  <c r="CM138" i="173"/>
  <c r="DI138" i="173" s="1"/>
  <c r="H138" i="173"/>
  <c r="I138" i="173" s="1"/>
  <c r="DN143" i="173"/>
  <c r="DJ143" i="173" s="1"/>
  <c r="BV143" i="173"/>
  <c r="BR143" i="173" s="1"/>
  <c r="DY200" i="173"/>
  <c r="BR172" i="173"/>
  <c r="DJ179" i="173"/>
  <c r="DN180" i="173"/>
  <c r="DJ180" i="173" s="1"/>
  <c r="BV180" i="173"/>
  <c r="I183" i="173"/>
  <c r="CM183" i="173"/>
  <c r="DI183" i="173" s="1"/>
  <c r="AW197" i="173"/>
  <c r="BF197" i="173"/>
  <c r="BN197" i="173"/>
  <c r="EB34" i="173"/>
  <c r="AE202" i="173"/>
  <c r="BS202" i="173"/>
  <c r="CE202" i="173"/>
  <c r="CE67" i="173"/>
  <c r="DP35" i="173"/>
  <c r="AN202" i="173"/>
  <c r="CU202" i="173"/>
  <c r="CU67" i="173"/>
  <c r="AS202" i="173"/>
  <c r="CJ202" i="173"/>
  <c r="CJ205" i="173" s="1"/>
  <c r="CJ207" i="173" s="1"/>
  <c r="AF67" i="173"/>
  <c r="AN67" i="173"/>
  <c r="DY67" i="173"/>
  <c r="AS204" i="173"/>
  <c r="AS104" i="173"/>
  <c r="DN204" i="173"/>
  <c r="DJ68" i="173"/>
  <c r="DN104" i="173"/>
  <c r="DY204" i="173"/>
  <c r="DY104" i="173"/>
  <c r="AN204" i="173"/>
  <c r="CG71" i="173"/>
  <c r="AN104" i="173"/>
  <c r="Y71" i="173"/>
  <c r="CL73" i="173"/>
  <c r="BR73" i="173" s="1"/>
  <c r="ED73" i="173"/>
  <c r="DJ73" i="173" s="1"/>
  <c r="DJ76" i="173"/>
  <c r="AU81" i="173"/>
  <c r="BQ81" i="173" s="1"/>
  <c r="CM82" i="173"/>
  <c r="DI82" i="173" s="1"/>
  <c r="H91" i="173"/>
  <c r="I91" i="173" s="1"/>
  <c r="CM91" i="173"/>
  <c r="DI91" i="173" s="1"/>
  <c r="BR94" i="173"/>
  <c r="CG99" i="173"/>
  <c r="BR99" i="173" s="1"/>
  <c r="DJ107" i="173"/>
  <c r="AS206" i="173"/>
  <c r="CL109" i="173"/>
  <c r="BR109" i="173" s="1"/>
  <c r="ED109" i="173"/>
  <c r="ED129" i="173" s="1"/>
  <c r="AS129" i="173"/>
  <c r="BR110" i="173"/>
  <c r="DC206" i="173"/>
  <c r="CN113" i="173"/>
  <c r="DC129" i="173"/>
  <c r="CM115" i="173"/>
  <c r="DI115" i="173" s="1"/>
  <c r="BR118" i="173"/>
  <c r="BW203" i="173"/>
  <c r="DD199" i="173"/>
  <c r="DZ134" i="173"/>
  <c r="DD195" i="173"/>
  <c r="CN134" i="173"/>
  <c r="BR141" i="173"/>
  <c r="AU152" i="173"/>
  <c r="BQ152" i="173" s="1"/>
  <c r="BP204" i="173"/>
  <c r="CA204" i="173"/>
  <c r="CI203" i="173"/>
  <c r="DZ204" i="173"/>
  <c r="DZ104" i="173"/>
  <c r="BR72" i="173"/>
  <c r="DJ88" i="173"/>
  <c r="BR90" i="173"/>
  <c r="BX102" i="173"/>
  <c r="BR102" i="173" s="1"/>
  <c r="CI104" i="173"/>
  <c r="AU114" i="173"/>
  <c r="BQ114" i="173" s="1"/>
  <c r="AM206" i="173"/>
  <c r="CF122" i="173"/>
  <c r="BR122" i="173" s="1"/>
  <c r="AM129" i="173"/>
  <c r="Y134" i="173"/>
  <c r="Y195" i="173" s="1"/>
  <c r="BV134" i="173"/>
  <c r="BR134" i="173" s="1"/>
  <c r="DN134" i="173"/>
  <c r="DJ134" i="173" s="1"/>
  <c r="CN135" i="173"/>
  <c r="DN135" i="173"/>
  <c r="DJ135" i="173" s="1"/>
  <c r="DJ136" i="173"/>
  <c r="BR148" i="173"/>
  <c r="BR157" i="173"/>
  <c r="DM200" i="173"/>
  <c r="DM195" i="173"/>
  <c r="H174" i="173"/>
  <c r="BR188" i="173"/>
  <c r="CG190" i="173"/>
  <c r="BR190" i="173" s="1"/>
  <c r="BK195" i="173"/>
  <c r="AV190" i="173"/>
  <c r="AU190" i="173" s="1"/>
  <c r="BQ190" i="173" s="1"/>
  <c r="CM99" i="173"/>
  <c r="DI99" i="173" s="1"/>
  <c r="H99" i="173"/>
  <c r="BM206" i="173"/>
  <c r="BM129" i="173"/>
  <c r="CI106" i="173"/>
  <c r="BR106" i="173" s="1"/>
  <c r="AV106" i="173"/>
  <c r="CE206" i="173"/>
  <c r="CE129" i="173"/>
  <c r="BR124" i="173"/>
  <c r="AO195" i="173"/>
  <c r="CH132" i="173"/>
  <c r="BR140" i="173"/>
  <c r="I142" i="173"/>
  <c r="BR144" i="173"/>
  <c r="BV145" i="173"/>
  <c r="Y145" i="173"/>
  <c r="AU145" i="173" s="1"/>
  <c r="BQ145" i="173" s="1"/>
  <c r="AU148" i="173"/>
  <c r="BQ148" i="173" s="1"/>
  <c r="CC200" i="173"/>
  <c r="DS200" i="173"/>
  <c r="EB200" i="173"/>
  <c r="EC200" i="173"/>
  <c r="EC205" i="173" s="1"/>
  <c r="EC207" i="173" s="1"/>
  <c r="AV165" i="173"/>
  <c r="AU165" i="173" s="1"/>
  <c r="BQ165" i="173" s="1"/>
  <c r="CL165" i="173"/>
  <c r="CM168" i="173"/>
  <c r="DI168" i="173" s="1"/>
  <c r="H168" i="173"/>
  <c r="I168" i="173" s="1"/>
  <c r="AC203" i="173"/>
  <c r="BR178" i="173"/>
  <c r="BX183" i="173"/>
  <c r="BR183" i="173" s="1"/>
  <c r="AV183" i="173"/>
  <c r="AU183" i="173" s="1"/>
  <c r="BQ183" i="173" s="1"/>
  <c r="CG204" i="173"/>
  <c r="CG104" i="173"/>
  <c r="DX204" i="173"/>
  <c r="CJ204" i="173"/>
  <c r="CJ104" i="173"/>
  <c r="DA204" i="173"/>
  <c r="DA104" i="173"/>
  <c r="DW87" i="173"/>
  <c r="DW104" i="173" s="1"/>
  <c r="Y89" i="173"/>
  <c r="BV89" i="173"/>
  <c r="BV204" i="173" s="1"/>
  <c r="AZ204" i="173"/>
  <c r="AZ104" i="173"/>
  <c r="CR204" i="173"/>
  <c r="CN90" i="173"/>
  <c r="AV93" i="173"/>
  <c r="AU93" i="173" s="1"/>
  <c r="BQ93" i="173" s="1"/>
  <c r="DP97" i="173"/>
  <c r="DJ97" i="173" s="1"/>
  <c r="BX97" i="173"/>
  <c r="BR97" i="173" s="1"/>
  <c r="CL103" i="173"/>
  <c r="BR103" i="173" s="1"/>
  <c r="ED103" i="173"/>
  <c r="DW129" i="173"/>
  <c r="CM107" i="173"/>
  <c r="DI107" i="173" s="1"/>
  <c r="DH206" i="173"/>
  <c r="CN109" i="173"/>
  <c r="AO206" i="173"/>
  <c r="DZ124" i="173"/>
  <c r="DJ124" i="173" s="1"/>
  <c r="AO129" i="173"/>
  <c r="AO197" i="173" s="1"/>
  <c r="AO208" i="173" s="1"/>
  <c r="Y124" i="173"/>
  <c r="CH124" i="173"/>
  <c r="DJ126" i="173"/>
  <c r="AV127" i="173"/>
  <c r="AU127" i="173" s="1"/>
  <c r="BQ127" i="173" s="1"/>
  <c r="CI127" i="173"/>
  <c r="BR127" i="173" s="1"/>
  <c r="CA195" i="173"/>
  <c r="AU132" i="173"/>
  <c r="BQ132" i="173" s="1"/>
  <c r="CD199" i="173"/>
  <c r="CM133" i="173"/>
  <c r="DI133" i="173" s="1"/>
  <c r="DU195" i="173"/>
  <c r="AU142" i="173"/>
  <c r="BQ142" i="173" s="1"/>
  <c r="CD200" i="173"/>
  <c r="CM152" i="173"/>
  <c r="DI152" i="173" s="1"/>
  <c r="H152" i="173"/>
  <c r="BR156" i="173"/>
  <c r="BR165" i="173"/>
  <c r="Y167" i="173"/>
  <c r="AU167" i="173" s="1"/>
  <c r="BQ167" i="173" s="1"/>
  <c r="BV168" i="173"/>
  <c r="BR168" i="173" s="1"/>
  <c r="DN168" i="173"/>
  <c r="DJ168" i="173" s="1"/>
  <c r="I177" i="173"/>
  <c r="BX177" i="173"/>
  <c r="BR177" i="173" s="1"/>
  <c r="AC204" i="173"/>
  <c r="DJ95" i="173"/>
  <c r="AU97" i="173"/>
  <c r="BQ97" i="173" s="1"/>
  <c r="AU103" i="173"/>
  <c r="BQ103" i="173" s="1"/>
  <c r="CG206" i="173"/>
  <c r="CH129" i="173"/>
  <c r="BS112" i="173"/>
  <c r="BR112" i="173" s="1"/>
  <c r="BK206" i="173"/>
  <c r="BK129" i="173"/>
  <c r="CG113" i="173"/>
  <c r="BR113" i="173" s="1"/>
  <c r="AV113" i="173"/>
  <c r="AU113" i="173" s="1"/>
  <c r="BQ113" i="173" s="1"/>
  <c r="I115" i="173"/>
  <c r="DJ115" i="173"/>
  <c r="DB118" i="173"/>
  <c r="ED118" i="173"/>
  <c r="AU124" i="173"/>
  <c r="BQ124" i="173" s="1"/>
  <c r="DJ128" i="173"/>
  <c r="AW129" i="173"/>
  <c r="DZ132" i="173"/>
  <c r="DZ199" i="173" s="1"/>
  <c r="BA195" i="173"/>
  <c r="BA197" i="173" s="1"/>
  <c r="BA208" i="173" s="1"/>
  <c r="BA199" i="173"/>
  <c r="BA205" i="173" s="1"/>
  <c r="BA207" i="173" s="1"/>
  <c r="I136" i="173"/>
  <c r="H143" i="173"/>
  <c r="I143" i="173" s="1"/>
  <c r="CM143" i="173"/>
  <c r="DI143" i="173" s="1"/>
  <c r="CM148" i="173"/>
  <c r="DI148" i="173" s="1"/>
  <c r="H148" i="173"/>
  <c r="I148" i="173" s="1"/>
  <c r="AU150" i="173"/>
  <c r="BQ150" i="173" s="1"/>
  <c r="BR152" i="173"/>
  <c r="BR154" i="173"/>
  <c r="DN158" i="173"/>
  <c r="DJ158" i="173" s="1"/>
  <c r="Y158" i="173"/>
  <c r="CM163" i="173"/>
  <c r="DI163" i="173" s="1"/>
  <c r="I163" i="173"/>
  <c r="DL200" i="173"/>
  <c r="DL195" i="173"/>
  <c r="DJ173" i="173"/>
  <c r="AU178" i="173"/>
  <c r="BQ178" i="173" s="1"/>
  <c r="DJ186" i="173"/>
  <c r="EC195" i="173"/>
  <c r="DU199" i="173"/>
  <c r="DU205" i="173" s="1"/>
  <c r="DU207" i="173" s="1"/>
  <c r="BY206" i="173"/>
  <c r="DN206" i="173"/>
  <c r="DN129" i="173"/>
  <c r="DY206" i="173"/>
  <c r="CI111" i="173"/>
  <c r="BR111" i="173" s="1"/>
  <c r="CC195" i="173"/>
  <c r="DT195" i="173"/>
  <c r="CF199" i="173"/>
  <c r="DO199" i="173"/>
  <c r="DY199" i="173"/>
  <c r="AV135" i="173"/>
  <c r="AU135" i="173" s="1"/>
  <c r="BQ135" i="173" s="1"/>
  <c r="Y147" i="173"/>
  <c r="I147" i="173" s="1"/>
  <c r="BV147" i="173"/>
  <c r="CB200" i="173"/>
  <c r="DN153" i="173"/>
  <c r="DJ160" i="173"/>
  <c r="BR164" i="173"/>
  <c r="ED164" i="173"/>
  <c r="CM165" i="173"/>
  <c r="DI165" i="173" s="1"/>
  <c r="AU168" i="173"/>
  <c r="BQ168" i="173" s="1"/>
  <c r="DJ169" i="173"/>
  <c r="BO200" i="173"/>
  <c r="BO205" i="173" s="1"/>
  <c r="BO207" i="173" s="1"/>
  <c r="BO195" i="173"/>
  <c r="BO197" i="173" s="1"/>
  <c r="BO208" i="173" s="1"/>
  <c r="CK173" i="173"/>
  <c r="BR173" i="173" s="1"/>
  <c r="AF205" i="173"/>
  <c r="AF207" i="173" s="1"/>
  <c r="CQ205" i="173"/>
  <c r="CQ207" i="173" s="1"/>
  <c r="CQ208" i="173" s="1"/>
  <c r="DR205" i="173"/>
  <c r="DR207" i="173" s="1"/>
  <c r="Y106" i="173"/>
  <c r="CM106" i="173" s="1"/>
  <c r="DI106" i="173" s="1"/>
  <c r="CH206" i="173"/>
  <c r="DK206" i="173"/>
  <c r="DV206" i="173"/>
  <c r="DV129" i="173"/>
  <c r="CI108" i="173"/>
  <c r="BR108" i="173" s="1"/>
  <c r="BP206" i="173"/>
  <c r="AV109" i="173"/>
  <c r="AU109" i="173" s="1"/>
  <c r="BQ109" i="173" s="1"/>
  <c r="CA206" i="173"/>
  <c r="CA129" i="173"/>
  <c r="DB206" i="173"/>
  <c r="DB129" i="173"/>
  <c r="ED115" i="173"/>
  <c r="CN124" i="173"/>
  <c r="DK129" i="173"/>
  <c r="DV199" i="173"/>
  <c r="DJ133" i="173"/>
  <c r="AV134" i="173"/>
  <c r="CH134" i="173"/>
  <c r="BV136" i="173"/>
  <c r="BR136" i="173" s="1"/>
  <c r="BV140" i="173"/>
  <c r="Y140" i="173"/>
  <c r="DN140" i="173"/>
  <c r="DJ140" i="173" s="1"/>
  <c r="BV157" i="173"/>
  <c r="DY158" i="173"/>
  <c r="DY195" i="173" s="1"/>
  <c r="AN200" i="173"/>
  <c r="CG158" i="173"/>
  <c r="BR158" i="173" s="1"/>
  <c r="BV159" i="173"/>
  <c r="BR159" i="173" s="1"/>
  <c r="BV161" i="173"/>
  <c r="BR161" i="173" s="1"/>
  <c r="CM162" i="173"/>
  <c r="DI162" i="173" s="1"/>
  <c r="H169" i="173"/>
  <c r="I169" i="173" s="1"/>
  <c r="DJ171" i="173"/>
  <c r="AU179" i="173"/>
  <c r="BQ179" i="173" s="1"/>
  <c r="I184" i="173"/>
  <c r="BR186" i="173"/>
  <c r="CH192" i="173"/>
  <c r="BR192" i="173" s="1"/>
  <c r="AA206" i="173"/>
  <c r="AA129" i="173"/>
  <c r="BV206" i="173"/>
  <c r="BV129" i="173"/>
  <c r="DL106" i="173"/>
  <c r="DW206" i="173"/>
  <c r="CB206" i="173"/>
  <c r="AV122" i="173"/>
  <c r="AU122" i="173" s="1"/>
  <c r="BQ122" i="173" s="1"/>
  <c r="AV128" i="173"/>
  <c r="AU128" i="173" s="1"/>
  <c r="BQ128" i="173" s="1"/>
  <c r="CF128" i="173"/>
  <c r="BR128" i="173" s="1"/>
  <c r="CI195" i="173"/>
  <c r="DQ195" i="173"/>
  <c r="DW199" i="173"/>
  <c r="AZ199" i="173"/>
  <c r="AZ195" i="173"/>
  <c r="BV135" i="173"/>
  <c r="DJ137" i="173"/>
  <c r="DJ141" i="173"/>
  <c r="BR145" i="173"/>
  <c r="BR147" i="173"/>
  <c r="BR149" i="173"/>
  <c r="Y153" i="173"/>
  <c r="AU153" i="173" s="1"/>
  <c r="BQ153" i="173" s="1"/>
  <c r="Y154" i="173"/>
  <c r="BV155" i="173"/>
  <c r="BR155" i="173" s="1"/>
  <c r="Y157" i="173"/>
  <c r="AU157" i="173" s="1"/>
  <c r="BQ157" i="173" s="1"/>
  <c r="BW157" i="173"/>
  <c r="BW200" i="173" s="1"/>
  <c r="Y161" i="173"/>
  <c r="H162" i="173"/>
  <c r="CM170" i="173"/>
  <c r="DI170" i="173" s="1"/>
  <c r="ED172" i="173"/>
  <c r="DJ172" i="173" s="1"/>
  <c r="Y174" i="173"/>
  <c r="I174" i="173" s="1"/>
  <c r="AV192" i="173"/>
  <c r="AU192" i="173" s="1"/>
  <c r="BQ192" i="173" s="1"/>
  <c r="CW205" i="173"/>
  <c r="CW207" i="173" s="1"/>
  <c r="AD200" i="173"/>
  <c r="CC206" i="173"/>
  <c r="H127" i="173"/>
  <c r="I127" i="173" s="1"/>
  <c r="BB195" i="173"/>
  <c r="BX130" i="173"/>
  <c r="BR130" i="173" s="1"/>
  <c r="AV130" i="173"/>
  <c r="DS195" i="173"/>
  <c r="BT199" i="173"/>
  <c r="CE199" i="173"/>
  <c r="CM151" i="173"/>
  <c r="DI151" i="173" s="1"/>
  <c r="CA200" i="173"/>
  <c r="CI200" i="173"/>
  <c r="DO200" i="173"/>
  <c r="AU155" i="173"/>
  <c r="BQ155" i="173" s="1"/>
  <c r="DJ157" i="173"/>
  <c r="I162" i="173"/>
  <c r="CM177" i="173"/>
  <c r="DI177" i="173" s="1"/>
  <c r="H177" i="173"/>
  <c r="EC203" i="173"/>
  <c r="BR179" i="173"/>
  <c r="BR180" i="173"/>
  <c r="CM180" i="173"/>
  <c r="DI180" i="173" s="1"/>
  <c r="BR185" i="173"/>
  <c r="DJ190" i="173"/>
  <c r="DH200" i="173"/>
  <c r="CN200" i="173" s="1"/>
  <c r="BJ206" i="173"/>
  <c r="CO206" i="173"/>
  <c r="EA199" i="173"/>
  <c r="CR195" i="173"/>
  <c r="BW135" i="173"/>
  <c r="BW199" i="173" s="1"/>
  <c r="DN139" i="173"/>
  <c r="DJ139" i="173" s="1"/>
  <c r="DN144" i="173"/>
  <c r="DJ144" i="173" s="1"/>
  <c r="AN195" i="173"/>
  <c r="BP199" i="173"/>
  <c r="BP195" i="173"/>
  <c r="AC200" i="173"/>
  <c r="CF200" i="173"/>
  <c r="DT200" i="173"/>
  <c r="BH200" i="173"/>
  <c r="BH205" i="173" s="1"/>
  <c r="BH207" i="173" s="1"/>
  <c r="DV153" i="173"/>
  <c r="DV195" i="173" s="1"/>
  <c r="DV197" i="173" s="1"/>
  <c r="DN156" i="173"/>
  <c r="DJ156" i="173" s="1"/>
  <c r="BP200" i="173"/>
  <c r="AF195" i="173"/>
  <c r="BV162" i="173"/>
  <c r="BR162" i="173" s="1"/>
  <c r="ED165" i="173"/>
  <c r="DJ165" i="173" s="1"/>
  <c r="BY166" i="173"/>
  <c r="BY200" i="173" s="1"/>
  <c r="BV176" i="173"/>
  <c r="BR176" i="173" s="1"/>
  <c r="AU181" i="173"/>
  <c r="BQ181" i="173" s="1"/>
  <c r="DN182" i="173"/>
  <c r="DJ182" i="173" s="1"/>
  <c r="BR187" i="173"/>
  <c r="AO201" i="173"/>
  <c r="AO205" i="173" s="1"/>
  <c r="AO207" i="173" s="1"/>
  <c r="DZ192" i="173"/>
  <c r="DZ201" i="173" s="1"/>
  <c r="AS195" i="173"/>
  <c r="CO205" i="173"/>
  <c r="BJ129" i="173"/>
  <c r="BJ197" i="173" s="1"/>
  <c r="DX199" i="173"/>
  <c r="Y137" i="173"/>
  <c r="Y139" i="173"/>
  <c r="Y144" i="173"/>
  <c r="AS205" i="173"/>
  <c r="AS207" i="173" s="1"/>
  <c r="DP200" i="173"/>
  <c r="DZ200" i="173"/>
  <c r="AS200" i="173"/>
  <c r="DN163" i="173"/>
  <c r="DJ163" i="173" s="1"/>
  <c r="BV181" i="173"/>
  <c r="BR181" i="173" s="1"/>
  <c r="BV182" i="173"/>
  <c r="BR182" i="173" s="1"/>
  <c r="BR184" i="173"/>
  <c r="H191" i="173"/>
  <c r="I191" i="173" s="1"/>
  <c r="BV194" i="173"/>
  <c r="BR194" i="173" s="1"/>
  <c r="BH195" i="173"/>
  <c r="BH197" i="173" s="1"/>
  <c r="AF200" i="173"/>
  <c r="CZ200" i="173"/>
  <c r="BY199" i="173"/>
  <c r="AD205" i="173"/>
  <c r="AD207" i="173" s="1"/>
  <c r="AD208" i="173" s="1"/>
  <c r="DH195" i="173"/>
  <c r="ED150" i="173"/>
  <c r="ED195" i="173" s="1"/>
  <c r="DQ200" i="173"/>
  <c r="EA200" i="173"/>
  <c r="Y155" i="173"/>
  <c r="I155" i="173" s="1"/>
  <c r="I159" i="173"/>
  <c r="AA200" i="173"/>
  <c r="AA205" i="173" s="1"/>
  <c r="AA207" i="173" s="1"/>
  <c r="BT163" i="173"/>
  <c r="BR163" i="173" s="1"/>
  <c r="Y164" i="173"/>
  <c r="I164" i="173" s="1"/>
  <c r="BX170" i="173"/>
  <c r="Y178" i="173"/>
  <c r="I178" i="173" s="1"/>
  <c r="Y181" i="173"/>
  <c r="H185" i="173"/>
  <c r="I185" i="173" s="1"/>
  <c r="DJ188" i="173"/>
  <c r="Y194" i="173"/>
  <c r="AQ205" i="173"/>
  <c r="AQ207" i="173" s="1"/>
  <c r="BU205" i="173"/>
  <c r="BU207" i="173" s="1"/>
  <c r="AZ200" i="173"/>
  <c r="CH170" i="173"/>
  <c r="CH195" i="173" s="1"/>
  <c r="DP177" i="173"/>
  <c r="DJ177" i="173" s="1"/>
  <c r="DJ183" i="173"/>
  <c r="CM187" i="173"/>
  <c r="DI187" i="173" s="1"/>
  <c r="DJ191" i="173"/>
  <c r="BW201" i="173"/>
  <c r="BD205" i="173"/>
  <c r="BD207" i="173" s="1"/>
  <c r="DE205" i="173"/>
  <c r="DE207" i="173" s="1"/>
  <c r="AV201" i="173"/>
  <c r="G205" i="173"/>
  <c r="G207" i="173" s="1"/>
  <c r="AM205" i="173"/>
  <c r="AM207" i="173" s="1"/>
  <c r="AW205" i="173"/>
  <c r="AW207" i="173" s="1"/>
  <c r="BF205" i="173"/>
  <c r="BF207" i="173" s="1"/>
  <c r="BN205" i="173"/>
  <c r="BN207" i="173" s="1"/>
  <c r="CN201" i="173"/>
  <c r="AL205" i="173"/>
  <c r="AL207" i="173" s="1"/>
  <c r="BE205" i="173"/>
  <c r="BE207" i="173" s="1"/>
  <c r="DC71" i="172"/>
  <c r="BW205" i="173" l="1"/>
  <c r="BW207" i="173" s="1"/>
  <c r="BR64" i="173"/>
  <c r="CT205" i="173"/>
  <c r="CT207" i="173" s="1"/>
  <c r="BR170" i="173"/>
  <c r="DJ54" i="173"/>
  <c r="BT202" i="173"/>
  <c r="BP205" i="173"/>
  <c r="BP207" i="173" s="1"/>
  <c r="CH200" i="173"/>
  <c r="ED200" i="173"/>
  <c r="CF206" i="173"/>
  <c r="DJ47" i="173"/>
  <c r="DY32" i="173"/>
  <c r="DY203" i="173" s="1"/>
  <c r="DY205" i="173" s="1"/>
  <c r="DY207" i="173" s="1"/>
  <c r="DP203" i="173"/>
  <c r="CL206" i="173"/>
  <c r="CM188" i="173"/>
  <c r="DI188" i="173" s="1"/>
  <c r="H188" i="173"/>
  <c r="I188" i="173" s="1"/>
  <c r="H4" i="173"/>
  <c r="I4" i="173" s="1"/>
  <c r="CM4" i="173"/>
  <c r="DI4" i="173" s="1"/>
  <c r="BX200" i="173"/>
  <c r="BR135" i="173"/>
  <c r="CH201" i="173"/>
  <c r="DE208" i="173"/>
  <c r="CN206" i="173"/>
  <c r="CG129" i="173"/>
  <c r="BS129" i="173"/>
  <c r="BX104" i="173"/>
  <c r="CV208" i="173"/>
  <c r="DC203" i="173"/>
  <c r="DC205" i="173" s="1"/>
  <c r="DC207" i="173" s="1"/>
  <c r="DR208" i="173"/>
  <c r="BR48" i="173"/>
  <c r="BR45" i="173"/>
  <c r="BK197" i="173"/>
  <c r="CL129" i="173"/>
  <c r="BK205" i="173"/>
  <c r="BK207" i="173" s="1"/>
  <c r="BR81" i="173"/>
  <c r="BH208" i="173"/>
  <c r="CL195" i="173"/>
  <c r="H200" i="173"/>
  <c r="CL200" i="173"/>
  <c r="DO197" i="173"/>
  <c r="BB197" i="173"/>
  <c r="BB205" i="173"/>
  <c r="BB207" i="173" s="1"/>
  <c r="DB207" i="173"/>
  <c r="DX67" i="173"/>
  <c r="AV204" i="173"/>
  <c r="AU204" i="173" s="1"/>
  <c r="BQ204" i="173" s="1"/>
  <c r="BR201" i="173"/>
  <c r="AV206" i="173"/>
  <c r="BS206" i="173"/>
  <c r="DD205" i="173"/>
  <c r="DD207" i="173" s="1"/>
  <c r="DN195" i="173"/>
  <c r="BS197" i="173"/>
  <c r="BJ205" i="173"/>
  <c r="BJ207" i="173" s="1"/>
  <c r="BJ208" i="173" s="1"/>
  <c r="CN204" i="173"/>
  <c r="CF129" i="173"/>
  <c r="BW195" i="173"/>
  <c r="BW197" i="173" s="1"/>
  <c r="BC197" i="173"/>
  <c r="BC208" i="173" s="1"/>
  <c r="ED202" i="173"/>
  <c r="ED104" i="173"/>
  <c r="AV202" i="173"/>
  <c r="AU202" i="173" s="1"/>
  <c r="BQ202" i="173" s="1"/>
  <c r="CA205" i="173"/>
  <c r="CA207" i="173" s="1"/>
  <c r="I47" i="173"/>
  <c r="DJ60" i="173"/>
  <c r="BW208" i="173"/>
  <c r="AU203" i="173"/>
  <c r="BQ203" i="173" s="1"/>
  <c r="BR129" i="173"/>
  <c r="BX205" i="173"/>
  <c r="BX207" i="173" s="1"/>
  <c r="CJ208" i="173"/>
  <c r="AN197" i="173"/>
  <c r="AN208" i="173" s="1"/>
  <c r="BI208" i="173"/>
  <c r="I37" i="173"/>
  <c r="AU37" i="173"/>
  <c r="BQ37" i="173" s="1"/>
  <c r="CE205" i="173"/>
  <c r="CE207" i="173" s="1"/>
  <c r="CM109" i="173"/>
  <c r="DI109" i="173" s="1"/>
  <c r="H109" i="173"/>
  <c r="I109" i="173" s="1"/>
  <c r="I89" i="173"/>
  <c r="CM89" i="173"/>
  <c r="DI89" i="173" s="1"/>
  <c r="DP34" i="173"/>
  <c r="AU166" i="173"/>
  <c r="BQ166" i="173" s="1"/>
  <c r="CM166" i="173"/>
  <c r="DI166" i="173" s="1"/>
  <c r="I166" i="173"/>
  <c r="I23" i="173"/>
  <c r="AU23" i="173"/>
  <c r="I194" i="173"/>
  <c r="AU194" i="173"/>
  <c r="BQ194" i="173" s="1"/>
  <c r="I154" i="173"/>
  <c r="AU154" i="173"/>
  <c r="BQ154" i="173" s="1"/>
  <c r="BX204" i="173"/>
  <c r="CZ208" i="173"/>
  <c r="BY202" i="173"/>
  <c r="H18" i="173"/>
  <c r="CM18" i="173"/>
  <c r="DI18" i="173" s="1"/>
  <c r="H92" i="173"/>
  <c r="I92" i="173" s="1"/>
  <c r="CM92" i="173"/>
  <c r="DI92" i="173" s="1"/>
  <c r="BT200" i="173"/>
  <c r="CG67" i="173"/>
  <c r="CG197" i="173" s="1"/>
  <c r="I149" i="173"/>
  <c r="AU149" i="173"/>
  <c r="BQ149" i="173" s="1"/>
  <c r="CG195" i="173"/>
  <c r="DZ195" i="173"/>
  <c r="CM164" i="173"/>
  <c r="DI164" i="173" s="1"/>
  <c r="CM149" i="173"/>
  <c r="DI149" i="173" s="1"/>
  <c r="AZ205" i="173"/>
  <c r="AZ207" i="173" s="1"/>
  <c r="AZ208" i="173" s="1"/>
  <c r="CG200" i="173"/>
  <c r="BV200" i="173"/>
  <c r="CN118" i="173"/>
  <c r="DX118" i="173"/>
  <c r="CM155" i="173"/>
  <c r="DI155" i="173" s="1"/>
  <c r="AU164" i="173"/>
  <c r="BQ164" i="173" s="1"/>
  <c r="CM135" i="173"/>
  <c r="DI135" i="173" s="1"/>
  <c r="H135" i="173"/>
  <c r="I135" i="173" s="1"/>
  <c r="AU69" i="173"/>
  <c r="BQ69" i="173" s="1"/>
  <c r="BF208" i="173"/>
  <c r="BV104" i="173"/>
  <c r="BV197" i="173" s="1"/>
  <c r="DN202" i="173"/>
  <c r="DN67" i="173"/>
  <c r="DN197" i="173" s="1"/>
  <c r="BV199" i="173"/>
  <c r="H83" i="173"/>
  <c r="I83" i="173" s="1"/>
  <c r="CM83" i="173"/>
  <c r="DI83" i="173" s="1"/>
  <c r="I99" i="173"/>
  <c r="AU99" i="173"/>
  <c r="BQ99" i="173" s="1"/>
  <c r="AV104" i="173"/>
  <c r="AU104" i="173" s="1"/>
  <c r="BQ104" i="173" s="1"/>
  <c r="I82" i="173"/>
  <c r="AU82" i="173"/>
  <c r="BQ82" i="173" s="1"/>
  <c r="CM64" i="173"/>
  <c r="DI64" i="173" s="1"/>
  <c r="H64" i="173"/>
  <c r="I64" i="173" s="1"/>
  <c r="CH202" i="173"/>
  <c r="DN203" i="173"/>
  <c r="CM69" i="173"/>
  <c r="DI69" i="173" s="1"/>
  <c r="H69" i="173"/>
  <c r="CM93" i="173"/>
  <c r="DI93" i="173" s="1"/>
  <c r="H93" i="173"/>
  <c r="I93" i="173" s="1"/>
  <c r="CM12" i="173"/>
  <c r="DI12" i="173" s="1"/>
  <c r="H12" i="173"/>
  <c r="CM146" i="173"/>
  <c r="DI146" i="173" s="1"/>
  <c r="I146" i="173"/>
  <c r="H57" i="173"/>
  <c r="I57" i="173" s="1"/>
  <c r="CM57" i="173"/>
  <c r="DI57" i="173" s="1"/>
  <c r="DT197" i="173"/>
  <c r="DT208" i="173" s="1"/>
  <c r="EB205" i="173"/>
  <c r="EB207" i="173" s="1"/>
  <c r="ED204" i="173"/>
  <c r="CM62" i="173"/>
  <c r="DI62" i="173" s="1"/>
  <c r="H62" i="173"/>
  <c r="I62" i="173" s="1"/>
  <c r="AV67" i="173"/>
  <c r="AU67" i="173" s="1"/>
  <c r="BQ67" i="173" s="1"/>
  <c r="DJ9" i="173"/>
  <c r="AU61" i="173"/>
  <c r="BQ61" i="173" s="1"/>
  <c r="BR17" i="173"/>
  <c r="CN34" i="173"/>
  <c r="I152" i="173"/>
  <c r="H113" i="173"/>
  <c r="I113" i="173" s="1"/>
  <c r="CM113" i="173"/>
  <c r="DI113" i="173" s="1"/>
  <c r="DP202" i="173"/>
  <c r="DP67" i="173"/>
  <c r="AW208" i="173"/>
  <c r="BV67" i="173"/>
  <c r="BV202" i="173"/>
  <c r="CM78" i="173"/>
  <c r="DI78" i="173" s="1"/>
  <c r="H78" i="173"/>
  <c r="I78" i="173" s="1"/>
  <c r="DJ37" i="173"/>
  <c r="DL67" i="173"/>
  <c r="DA208" i="173"/>
  <c r="CP205" i="173"/>
  <c r="CP207" i="173" s="1"/>
  <c r="CP208" i="173" s="1"/>
  <c r="CN202" i="173"/>
  <c r="CM202" i="173" s="1"/>
  <c r="DI202" i="173" s="1"/>
  <c r="CB197" i="173"/>
  <c r="CN199" i="173"/>
  <c r="AU174" i="173"/>
  <c r="BQ174" i="173" s="1"/>
  <c r="BX203" i="173"/>
  <c r="BR203" i="173" s="1"/>
  <c r="DL197" i="173"/>
  <c r="I101" i="173"/>
  <c r="CM101" i="173"/>
  <c r="DI101" i="173" s="1"/>
  <c r="BR69" i="173"/>
  <c r="DX34" i="173"/>
  <c r="CM144" i="173"/>
  <c r="DI144" i="173" s="1"/>
  <c r="I144" i="173"/>
  <c r="AU144" i="173"/>
  <c r="BQ144" i="173" s="1"/>
  <c r="DJ83" i="173"/>
  <c r="DQ202" i="173"/>
  <c r="DQ67" i="173"/>
  <c r="AU89" i="173"/>
  <c r="BQ89" i="173" s="1"/>
  <c r="CN104" i="173"/>
  <c r="CM104" i="173" s="1"/>
  <c r="DI104" i="173" s="1"/>
  <c r="DL204" i="173"/>
  <c r="I53" i="173"/>
  <c r="AU53" i="173"/>
  <c r="BQ53" i="173" s="1"/>
  <c r="CM61" i="173"/>
  <c r="DI61" i="173" s="1"/>
  <c r="BP197" i="173"/>
  <c r="CF203" i="173"/>
  <c r="CF34" i="173"/>
  <c r="CM201" i="173"/>
  <c r="DI201" i="173" s="1"/>
  <c r="AU139" i="173"/>
  <c r="BQ139" i="173" s="1"/>
  <c r="I139" i="173"/>
  <c r="CM139" i="173"/>
  <c r="DI139" i="173" s="1"/>
  <c r="BS205" i="173"/>
  <c r="BS207" i="173" s="1"/>
  <c r="BS208" i="173" s="1"/>
  <c r="DN200" i="173"/>
  <c r="DJ200" i="173" s="1"/>
  <c r="DH205" i="173"/>
  <c r="DH207" i="173" s="1"/>
  <c r="DJ153" i="173"/>
  <c r="DO205" i="173"/>
  <c r="DO207" i="173" s="1"/>
  <c r="DO208" i="173" s="1"/>
  <c r="H90" i="173"/>
  <c r="I90" i="173" s="1"/>
  <c r="CM90" i="173"/>
  <c r="DI90" i="173" s="1"/>
  <c r="DJ150" i="173"/>
  <c r="CH199" i="173"/>
  <c r="DS197" i="173"/>
  <c r="DS208" i="173" s="1"/>
  <c r="DJ201" i="173"/>
  <c r="DK205" i="173"/>
  <c r="DK207" i="173" s="1"/>
  <c r="CE104" i="173"/>
  <c r="CE197" i="173" s="1"/>
  <c r="CE208" i="173" s="1"/>
  <c r="AU36" i="173"/>
  <c r="BQ36" i="173" s="1"/>
  <c r="I36" i="173"/>
  <c r="AL208" i="173"/>
  <c r="I85" i="173"/>
  <c r="AU85" i="173"/>
  <c r="BQ85" i="173" s="1"/>
  <c r="BY34" i="173"/>
  <c r="AM197" i="173"/>
  <c r="AM208" i="173" s="1"/>
  <c r="ED67" i="173"/>
  <c r="ED197" i="173" s="1"/>
  <c r="DJ46" i="173"/>
  <c r="CK195" i="173"/>
  <c r="CK197" i="173" s="1"/>
  <c r="CK208" i="173" s="1"/>
  <c r="CG202" i="173"/>
  <c r="CG205" i="173" s="1"/>
  <c r="CG207" i="173" s="1"/>
  <c r="CM28" i="173"/>
  <c r="DI28" i="173" s="1"/>
  <c r="I28" i="173"/>
  <c r="AU28" i="173"/>
  <c r="BQ28" i="173" s="1"/>
  <c r="AF197" i="173"/>
  <c r="AF208" i="173" s="1"/>
  <c r="DW67" i="173"/>
  <c r="DW197" i="173" s="1"/>
  <c r="CM32" i="173"/>
  <c r="DI32" i="173" s="1"/>
  <c r="H32" i="173"/>
  <c r="I32" i="173" s="1"/>
  <c r="Y104" i="173"/>
  <c r="I48" i="173"/>
  <c r="H201" i="173"/>
  <c r="ED199" i="173"/>
  <c r="ED205" i="173" s="1"/>
  <c r="DW204" i="173"/>
  <c r="DW205" i="173" s="1"/>
  <c r="DW207" i="173" s="1"/>
  <c r="CM53" i="173"/>
  <c r="DI53" i="173" s="1"/>
  <c r="CM40" i="173"/>
  <c r="DI40" i="173" s="1"/>
  <c r="H40" i="173"/>
  <c r="I40" i="173" s="1"/>
  <c r="AQ208" i="173"/>
  <c r="BR60" i="173"/>
  <c r="DJ72" i="173"/>
  <c r="DJ104" i="173" s="1"/>
  <c r="AU22" i="173"/>
  <c r="CU197" i="173"/>
  <c r="DJ19" i="173"/>
  <c r="I157" i="173"/>
  <c r="CM157" i="173"/>
  <c r="DI157" i="173" s="1"/>
  <c r="BR132" i="173"/>
  <c r="BR195" i="173" s="1"/>
  <c r="BR89" i="173"/>
  <c r="DP104" i="173"/>
  <c r="AC205" i="173"/>
  <c r="AC207" i="173" s="1"/>
  <c r="AC208" i="173" s="1"/>
  <c r="BT195" i="173"/>
  <c r="BT197" i="173" s="1"/>
  <c r="DU208" i="173"/>
  <c r="H96" i="173"/>
  <c r="I96" i="173" s="1"/>
  <c r="CM96" i="173"/>
  <c r="DI96" i="173" s="1"/>
  <c r="DD208" i="173"/>
  <c r="DQ104" i="173"/>
  <c r="Y201" i="173"/>
  <c r="AU201" i="173" s="1"/>
  <c r="BQ201" i="173" s="1"/>
  <c r="I17" i="173"/>
  <c r="DL206" i="173"/>
  <c r="DL129" i="173"/>
  <c r="DJ106" i="173"/>
  <c r="CM140" i="173"/>
  <c r="DI140" i="173" s="1"/>
  <c r="I140" i="173"/>
  <c r="BY195" i="173"/>
  <c r="Y206" i="173"/>
  <c r="AU206" i="173" s="1"/>
  <c r="BQ206" i="173" s="1"/>
  <c r="Y129" i="173"/>
  <c r="I106" i="173"/>
  <c r="Y203" i="173"/>
  <c r="AX208" i="173"/>
  <c r="DQ204" i="173"/>
  <c r="DQ205" i="173" s="1"/>
  <c r="DQ207" i="173" s="1"/>
  <c r="H55" i="173"/>
  <c r="I55" i="173" s="1"/>
  <c r="CM55" i="173"/>
  <c r="DI55" i="173" s="1"/>
  <c r="I18" i="173"/>
  <c r="DJ164" i="173"/>
  <c r="CM33" i="173"/>
  <c r="DI33" i="173" s="1"/>
  <c r="H33" i="173"/>
  <c r="I33" i="173" s="1"/>
  <c r="CL204" i="173"/>
  <c r="CM194" i="173"/>
  <c r="DI194" i="173" s="1"/>
  <c r="EA197" i="173"/>
  <c r="CB205" i="173"/>
  <c r="CB207" i="173" s="1"/>
  <c r="I86" i="173"/>
  <c r="CM86" i="173"/>
  <c r="DI86" i="173" s="1"/>
  <c r="AV200" i="173"/>
  <c r="I181" i="173"/>
  <c r="CM181" i="173"/>
  <c r="DI181" i="173" s="1"/>
  <c r="AU137" i="173"/>
  <c r="BQ137" i="173" s="1"/>
  <c r="I137" i="173"/>
  <c r="AV195" i="173"/>
  <c r="AU195" i="173" s="1"/>
  <c r="BQ195" i="173" s="1"/>
  <c r="AU130" i="173"/>
  <c r="BQ130" i="173" s="1"/>
  <c r="AV199" i="173"/>
  <c r="H124" i="173"/>
  <c r="CM124" i="173"/>
  <c r="DI124" i="173" s="1"/>
  <c r="DV200" i="173"/>
  <c r="DV205" i="173" s="1"/>
  <c r="DV207" i="173" s="1"/>
  <c r="DV208" i="173" s="1"/>
  <c r="I167" i="173"/>
  <c r="CM167" i="173"/>
  <c r="DI167" i="173" s="1"/>
  <c r="I124" i="173"/>
  <c r="CM134" i="173"/>
  <c r="DI134" i="173" s="1"/>
  <c r="H134" i="173"/>
  <c r="EB197" i="173"/>
  <c r="EB208" i="173" s="1"/>
  <c r="DB197" i="173"/>
  <c r="DB208" i="173" s="1"/>
  <c r="CF202" i="173"/>
  <c r="CF205" i="173" s="1"/>
  <c r="CF207" i="173" s="1"/>
  <c r="AU147" i="173"/>
  <c r="BQ147" i="173" s="1"/>
  <c r="CM36" i="173"/>
  <c r="DI36" i="173" s="1"/>
  <c r="H36" i="173"/>
  <c r="CM39" i="173"/>
  <c r="DI39" i="173" s="1"/>
  <c r="H39" i="173"/>
  <c r="I39" i="173" s="1"/>
  <c r="BU208" i="173"/>
  <c r="ED206" i="173"/>
  <c r="DK197" i="173"/>
  <c r="DJ87" i="173"/>
  <c r="DJ16" i="173"/>
  <c r="BR50" i="173"/>
  <c r="CA67" i="173"/>
  <c r="CA197" i="173" s="1"/>
  <c r="BX202" i="173"/>
  <c r="BX67" i="173"/>
  <c r="CL67" i="173"/>
  <c r="BY67" i="173"/>
  <c r="AU47" i="173"/>
  <c r="BQ47" i="173" s="1"/>
  <c r="CU205" i="173"/>
  <c r="CU207" i="173" s="1"/>
  <c r="CN67" i="173"/>
  <c r="CM35" i="173"/>
  <c r="DI35" i="173" s="1"/>
  <c r="H35" i="173"/>
  <c r="BM208" i="173"/>
  <c r="DN199" i="173"/>
  <c r="DJ132" i="173"/>
  <c r="CM204" i="173"/>
  <c r="DI204" i="173" s="1"/>
  <c r="EC208" i="173"/>
  <c r="CC197" i="173"/>
  <c r="CH197" i="173"/>
  <c r="CO207" i="173"/>
  <c r="CO208" i="173" s="1"/>
  <c r="I158" i="173"/>
  <c r="CM158" i="173"/>
  <c r="DI158" i="173" s="1"/>
  <c r="Y200" i="173"/>
  <c r="CM200" i="173" s="1"/>
  <c r="DI200" i="173" s="1"/>
  <c r="BE208" i="173"/>
  <c r="AU158" i="173"/>
  <c r="BQ158" i="173" s="1"/>
  <c r="CN195" i="173"/>
  <c r="CM195" i="173" s="1"/>
  <c r="DI195" i="173" s="1"/>
  <c r="CM130" i="173"/>
  <c r="DI130" i="173" s="1"/>
  <c r="H130" i="173"/>
  <c r="I84" i="173"/>
  <c r="CM84" i="173"/>
  <c r="DI84" i="173" s="1"/>
  <c r="Y34" i="173"/>
  <c r="CR208" i="173"/>
  <c r="BT205" i="173"/>
  <c r="BT207" i="173" s="1"/>
  <c r="DZ205" i="173"/>
  <c r="DZ207" i="173" s="1"/>
  <c r="AV129" i="173"/>
  <c r="AU129" i="173" s="1"/>
  <c r="BQ129" i="173" s="1"/>
  <c r="AU106" i="173"/>
  <c r="BQ106" i="173" s="1"/>
  <c r="DP204" i="173"/>
  <c r="I98" i="173"/>
  <c r="EB67" i="173"/>
  <c r="DJ39" i="173"/>
  <c r="AE197" i="173"/>
  <c r="AE208" i="173" s="1"/>
  <c r="CM37" i="173"/>
  <c r="DI37" i="173" s="1"/>
  <c r="I153" i="173"/>
  <c r="CM153" i="173"/>
  <c r="DI153" i="173" s="1"/>
  <c r="CM154" i="173"/>
  <c r="DI154" i="173" s="1"/>
  <c r="CI206" i="173"/>
  <c r="CI129" i="173"/>
  <c r="CI197" i="173" s="1"/>
  <c r="I71" i="173"/>
  <c r="CM71" i="173"/>
  <c r="DI71" i="173" s="1"/>
  <c r="DZ197" i="173"/>
  <c r="DP195" i="173"/>
  <c r="CM50" i="173"/>
  <c r="DI50" i="173" s="1"/>
  <c r="H50" i="173"/>
  <c r="I50" i="173" s="1"/>
  <c r="I19" i="173"/>
  <c r="DX205" i="173"/>
  <c r="EA205" i="173"/>
  <c r="EA207" i="173" s="1"/>
  <c r="BX195" i="173"/>
  <c r="I161" i="173"/>
  <c r="CM161" i="173"/>
  <c r="DI161" i="173" s="1"/>
  <c r="AU134" i="173"/>
  <c r="BQ134" i="173" s="1"/>
  <c r="CK200" i="173"/>
  <c r="CK205" i="173" s="1"/>
  <c r="CK207" i="173" s="1"/>
  <c r="CM137" i="173"/>
  <c r="DI137" i="173" s="1"/>
  <c r="CD205" i="173"/>
  <c r="CD207" i="173" s="1"/>
  <c r="AU161" i="173"/>
  <c r="BQ161" i="173" s="1"/>
  <c r="CM145" i="173"/>
  <c r="DI145" i="173" s="1"/>
  <c r="I145" i="173"/>
  <c r="CM174" i="173"/>
  <c r="DI174" i="173" s="1"/>
  <c r="CM178" i="173"/>
  <c r="DI178" i="173" s="1"/>
  <c r="BN208" i="173"/>
  <c r="CC205" i="173"/>
  <c r="CC207" i="173" s="1"/>
  <c r="BV195" i="173"/>
  <c r="CT197" i="173"/>
  <c r="CT208" i="173" s="1"/>
  <c r="CM147" i="173"/>
  <c r="DI147" i="173" s="1"/>
  <c r="Y199" i="173"/>
  <c r="Y205" i="173" s="1"/>
  <c r="Y207" i="173" s="1"/>
  <c r="I132" i="173"/>
  <c r="CM132" i="173"/>
  <c r="DI132" i="173" s="1"/>
  <c r="DJ130" i="173"/>
  <c r="AU101" i="173"/>
  <c r="BQ101" i="173" s="1"/>
  <c r="DM202" i="173"/>
  <c r="DM205" i="173" s="1"/>
  <c r="DM207" i="173" s="1"/>
  <c r="DM67" i="173"/>
  <c r="DM197" i="173" s="1"/>
  <c r="DJ35" i="173"/>
  <c r="CL104" i="173"/>
  <c r="BY204" i="173"/>
  <c r="CM65" i="173"/>
  <c r="DI65" i="173" s="1"/>
  <c r="H65" i="173"/>
  <c r="I65" i="173" s="1"/>
  <c r="CM44" i="173"/>
  <c r="DI44" i="173" s="1"/>
  <c r="I44" i="173"/>
  <c r="DL202" i="173"/>
  <c r="DL205" i="173" s="1"/>
  <c r="DL207" i="173" s="1"/>
  <c r="DH197" i="173"/>
  <c r="DH208" i="173" s="1"/>
  <c r="CM52" i="173"/>
  <c r="DI52" i="173" s="1"/>
  <c r="H52" i="173"/>
  <c r="I52" i="173" s="1"/>
  <c r="CI205" i="173"/>
  <c r="BZ202" i="173"/>
  <c r="BZ205" i="173" s="1"/>
  <c r="BZ207" i="173" s="1"/>
  <c r="BZ67" i="173"/>
  <c r="BZ197" i="173" s="1"/>
  <c r="CM22" i="173"/>
  <c r="DI22" i="173" s="1"/>
  <c r="H22" i="173"/>
  <c r="I22" i="173" s="1"/>
  <c r="DJ17" i="173"/>
  <c r="AV34" i="173"/>
  <c r="AU4" i="173"/>
  <c r="BQ4" i="173" s="1"/>
  <c r="Y67" i="173"/>
  <c r="DC197" i="173"/>
  <c r="DC208" i="173" s="1"/>
  <c r="BR4" i="173"/>
  <c r="BR34" i="173" s="1"/>
  <c r="H25" i="173"/>
  <c r="I25" i="173" s="1"/>
  <c r="CM25" i="173"/>
  <c r="DI25" i="173" s="1"/>
  <c r="CM47" i="173"/>
  <c r="DI47" i="173" s="1"/>
  <c r="CD197" i="173"/>
  <c r="CM54" i="173"/>
  <c r="DI54" i="173" s="1"/>
  <c r="H54" i="173"/>
  <c r="I54" i="173" s="1"/>
  <c r="I122" i="173"/>
  <c r="CM122" i="173"/>
  <c r="DI122" i="173" s="1"/>
  <c r="BL197" i="173"/>
  <c r="BL208" i="173" s="1"/>
  <c r="AU71" i="173"/>
  <c r="BQ71" i="173" s="1"/>
  <c r="AU18" i="173"/>
  <c r="BQ18" i="173" s="1"/>
  <c r="BX34" i="173"/>
  <c r="DC25" i="172"/>
  <c r="DJ203" i="173" l="1"/>
  <c r="CD208" i="173"/>
  <c r="CI207" i="173"/>
  <c r="BR67" i="173"/>
  <c r="BP208" i="173"/>
  <c r="BK208" i="173"/>
  <c r="DP205" i="173"/>
  <c r="DP207" i="173" s="1"/>
  <c r="BT208" i="173"/>
  <c r="CN203" i="173"/>
  <c r="CL205" i="173"/>
  <c r="CL207" i="173" s="1"/>
  <c r="BR206" i="173"/>
  <c r="CL197" i="173"/>
  <c r="CL208" i="173" s="1"/>
  <c r="BR204" i="173"/>
  <c r="DY34" i="173"/>
  <c r="DY197" i="173" s="1"/>
  <c r="DY208" i="173" s="1"/>
  <c r="DJ32" i="173"/>
  <c r="H199" i="173"/>
  <c r="CU208" i="173"/>
  <c r="CF197" i="173"/>
  <c r="BR202" i="173"/>
  <c r="CI208" i="173"/>
  <c r="CG208" i="173"/>
  <c r="BY205" i="173"/>
  <c r="BY207" i="173" s="1"/>
  <c r="CA208" i="173"/>
  <c r="BY197" i="173"/>
  <c r="DQ197" i="173"/>
  <c r="BB208" i="173"/>
  <c r="DQ208" i="173"/>
  <c r="BR200" i="173"/>
  <c r="ED207" i="173"/>
  <c r="ED208" i="173" s="1"/>
  <c r="DL208" i="173"/>
  <c r="Y197" i="173"/>
  <c r="Y208" i="173" s="1"/>
  <c r="I201" i="173"/>
  <c r="CN205" i="173"/>
  <c r="CM199" i="173"/>
  <c r="DI199" i="173" s="1"/>
  <c r="H206" i="173"/>
  <c r="AV197" i="173"/>
  <c r="AU34" i="173"/>
  <c r="BQ34" i="173" s="1"/>
  <c r="BX197" i="173"/>
  <c r="BX208" i="173" s="1"/>
  <c r="DZ208" i="173"/>
  <c r="CH205" i="173"/>
  <c r="CH207" i="173" s="1"/>
  <c r="BR104" i="173"/>
  <c r="H104" i="173"/>
  <c r="H204" i="173"/>
  <c r="DJ195" i="173"/>
  <c r="DN205" i="173"/>
  <c r="DN207" i="173" s="1"/>
  <c r="DN208" i="173" s="1"/>
  <c r="DJ199" i="173"/>
  <c r="DK208" i="173"/>
  <c r="EA208" i="173"/>
  <c r="DW208" i="173"/>
  <c r="CB208" i="173"/>
  <c r="DJ34" i="173"/>
  <c r="DJ118" i="173"/>
  <c r="DJ129" i="173" s="1"/>
  <c r="DX129" i="173"/>
  <c r="DX197" i="173" s="1"/>
  <c r="DX206" i="173"/>
  <c r="DJ206" i="173" s="1"/>
  <c r="H202" i="173"/>
  <c r="H67" i="173"/>
  <c r="I35" i="173"/>
  <c r="DJ204" i="173"/>
  <c r="CH208" i="173"/>
  <c r="DI67" i="173"/>
  <c r="BY208" i="173"/>
  <c r="CC208" i="173"/>
  <c r="CM67" i="173"/>
  <c r="AU200" i="173"/>
  <c r="BQ200" i="173" s="1"/>
  <c r="CM206" i="173"/>
  <c r="DI206" i="173" s="1"/>
  <c r="BR199" i="173"/>
  <c r="H195" i="173"/>
  <c r="I130" i="173"/>
  <c r="H203" i="173"/>
  <c r="CM118" i="173"/>
  <c r="DI118" i="173" s="1"/>
  <c r="H118" i="173"/>
  <c r="I118" i="173" s="1"/>
  <c r="I206" i="173" s="1"/>
  <c r="I200" i="173"/>
  <c r="I12" i="173"/>
  <c r="H34" i="173"/>
  <c r="DJ202" i="173"/>
  <c r="DJ67" i="173"/>
  <c r="I134" i="173"/>
  <c r="I199" i="173" s="1"/>
  <c r="CF208" i="173"/>
  <c r="CM203" i="173"/>
  <c r="DI203" i="173" s="1"/>
  <c r="BZ208" i="173"/>
  <c r="DM208" i="173"/>
  <c r="I69" i="173"/>
  <c r="AV205" i="173"/>
  <c r="AU199" i="173"/>
  <c r="BQ199" i="173" s="1"/>
  <c r="CN129" i="173"/>
  <c r="CM129" i="173" s="1"/>
  <c r="DI129" i="173" s="1"/>
  <c r="CM34" i="173"/>
  <c r="DI34" i="173" s="1"/>
  <c r="BV205" i="173"/>
  <c r="BV207" i="173" s="1"/>
  <c r="BV208" i="173" s="1"/>
  <c r="DP197" i="173"/>
  <c r="DP208" i="173" s="1"/>
  <c r="CT71" i="172"/>
  <c r="CU45" i="172"/>
  <c r="CU81" i="172"/>
  <c r="CT75" i="172"/>
  <c r="BK71" i="172"/>
  <c r="DB7" i="172"/>
  <c r="CT48" i="172"/>
  <c r="DC70" i="172"/>
  <c r="DD23" i="172"/>
  <c r="DH66" i="172"/>
  <c r="DF39" i="172"/>
  <c r="DD62" i="172"/>
  <c r="DH68" i="172"/>
  <c r="CW48" i="172"/>
  <c r="CT25" i="172"/>
  <c r="DH103" i="172"/>
  <c r="CU84" i="172"/>
  <c r="CT96" i="172"/>
  <c r="CT95" i="172"/>
  <c r="CT69" i="172"/>
  <c r="CT92" i="172"/>
  <c r="CU83" i="172"/>
  <c r="DH72" i="172"/>
  <c r="CU78" i="172"/>
  <c r="DI197" i="173" l="1"/>
  <c r="CN197" i="173"/>
  <c r="H205" i="173"/>
  <c r="H207" i="173" s="1"/>
  <c r="BR197" i="173"/>
  <c r="DX208" i="173"/>
  <c r="I195" i="173"/>
  <c r="I203" i="173"/>
  <c r="I34" i="173"/>
  <c r="BR205" i="173"/>
  <c r="BR207" i="173" s="1"/>
  <c r="DX207" i="173"/>
  <c r="I129" i="173"/>
  <c r="DJ197" i="173"/>
  <c r="I67" i="173"/>
  <c r="I202" i="173"/>
  <c r="AV208" i="173"/>
  <c r="AU197" i="173"/>
  <c r="BQ197" i="173" s="1"/>
  <c r="H129" i="173"/>
  <c r="H197" i="173" s="1"/>
  <c r="AV207" i="173"/>
  <c r="AU205" i="173"/>
  <c r="BQ205" i="173" s="1"/>
  <c r="DJ205" i="173"/>
  <c r="DJ207" i="173" s="1"/>
  <c r="I204" i="173"/>
  <c r="I104" i="173"/>
  <c r="CM205" i="173"/>
  <c r="DI205" i="173" s="1"/>
  <c r="CN207" i="173"/>
  <c r="CN208" i="173"/>
  <c r="CM197" i="173"/>
  <c r="BP82" i="172"/>
  <c r="BP85" i="172"/>
  <c r="AV85" i="172" s="1"/>
  <c r="BP72" i="172"/>
  <c r="AV72" i="172" s="1"/>
  <c r="DC75" i="172"/>
  <c r="DH85" i="172"/>
  <c r="CT43" i="172"/>
  <c r="CT70" i="172"/>
  <c r="BP86" i="172"/>
  <c r="DA87" i="172"/>
  <c r="DH71" i="172"/>
  <c r="BP68" i="172"/>
  <c r="DA52" i="172"/>
  <c r="DH50" i="172"/>
  <c r="BL62" i="172"/>
  <c r="DC190" i="172"/>
  <c r="CT57" i="172"/>
  <c r="CN57" i="172" s="1"/>
  <c r="CR147" i="172"/>
  <c r="CN147" i="172" s="1"/>
  <c r="H147" i="172" s="1"/>
  <c r="DB31" i="172"/>
  <c r="DH10" i="172"/>
  <c r="BJ7" i="172"/>
  <c r="AV7" i="172" s="1"/>
  <c r="DH109" i="172"/>
  <c r="CN109" i="172" s="1"/>
  <c r="DE106" i="172"/>
  <c r="DB9" i="172"/>
  <c r="DE107" i="172"/>
  <c r="CN107" i="172" s="1"/>
  <c r="DC39" i="172"/>
  <c r="CT42" i="172"/>
  <c r="CN42" i="172" s="1"/>
  <c r="DH46" i="172"/>
  <c r="CN46" i="172" s="1"/>
  <c r="BB185" i="172"/>
  <c r="DD45" i="172"/>
  <c r="DZ45" i="172" s="1"/>
  <c r="DH150" i="172"/>
  <c r="CN150" i="172" s="1"/>
  <c r="BJ33" i="172"/>
  <c r="CF33" i="172" s="1"/>
  <c r="BI55" i="172"/>
  <c r="DD22" i="172"/>
  <c r="CT37" i="172"/>
  <c r="DP37" i="172" s="1"/>
  <c r="DB65" i="172"/>
  <c r="BP10" i="172"/>
  <c r="BJ31" i="172"/>
  <c r="AV31" i="172" s="1"/>
  <c r="BB25" i="172"/>
  <c r="DD37" i="172"/>
  <c r="BP22" i="172"/>
  <c r="BB13" i="172"/>
  <c r="AV13" i="172" s="1"/>
  <c r="CT13" i="172"/>
  <c r="DP13" i="172" s="1"/>
  <c r="DD178" i="172"/>
  <c r="DZ178" i="172" s="1"/>
  <c r="DH22" i="172"/>
  <c r="CR58" i="172"/>
  <c r="CN58" i="172" s="1"/>
  <c r="H58" i="172" s="1"/>
  <c r="CT56" i="172"/>
  <c r="DA55" i="172"/>
  <c r="CN55" i="172" s="1"/>
  <c r="H55" i="172" s="1"/>
  <c r="CT60" i="172"/>
  <c r="DC65" i="172"/>
  <c r="DY65" i="172" s="1"/>
  <c r="CU48" i="172"/>
  <c r="DD48" i="172"/>
  <c r="DD44" i="172"/>
  <c r="DZ44" i="172" s="1"/>
  <c r="BP64" i="172"/>
  <c r="DE111" i="172"/>
  <c r="EA111" i="172" s="1"/>
  <c r="CU19" i="172"/>
  <c r="CN19" i="172" s="1"/>
  <c r="H19" i="172" s="1"/>
  <c r="EC206" i="172"/>
  <c r="DU206" i="172"/>
  <c r="DR206" i="172"/>
  <c r="DO206" i="172"/>
  <c r="DG206" i="172"/>
  <c r="DF206" i="172"/>
  <c r="DA206" i="172"/>
  <c r="CZ206" i="172"/>
  <c r="CY206" i="172"/>
  <c r="CX206" i="172"/>
  <c r="CW206" i="172"/>
  <c r="CV206" i="172"/>
  <c r="CU206" i="172"/>
  <c r="CT206" i="172"/>
  <c r="CS206" i="172"/>
  <c r="CR206" i="172"/>
  <c r="CQ206" i="172"/>
  <c r="CP206" i="172"/>
  <c r="CJ206" i="172"/>
  <c r="BZ206" i="172"/>
  <c r="BW206" i="172"/>
  <c r="BU206" i="172"/>
  <c r="BO206" i="172"/>
  <c r="BN206" i="172"/>
  <c r="BI206" i="172"/>
  <c r="BH206" i="172"/>
  <c r="BG206" i="172"/>
  <c r="BF206" i="172"/>
  <c r="BE206" i="172"/>
  <c r="BD206" i="172"/>
  <c r="BC206" i="172"/>
  <c r="BB206" i="172"/>
  <c r="BA206" i="172"/>
  <c r="AZ206" i="172"/>
  <c r="AY206" i="172"/>
  <c r="AX206" i="172"/>
  <c r="AR206" i="172"/>
  <c r="AQ206" i="172"/>
  <c r="AP206" i="172"/>
  <c r="AN206" i="172"/>
  <c r="AL206" i="172"/>
  <c r="AK206" i="172"/>
  <c r="AJ206" i="172"/>
  <c r="AI206" i="172"/>
  <c r="AH206" i="172"/>
  <c r="AG206" i="172"/>
  <c r="AF206" i="172"/>
  <c r="AE206" i="172"/>
  <c r="AD206" i="172"/>
  <c r="AC206" i="172"/>
  <c r="AB206" i="172"/>
  <c r="Z206" i="172"/>
  <c r="G206" i="172"/>
  <c r="AT205" i="172"/>
  <c r="AT207" i="172" s="1"/>
  <c r="EC204" i="172"/>
  <c r="DU204" i="172"/>
  <c r="DR204" i="172"/>
  <c r="DK204" i="172"/>
  <c r="DG204" i="172"/>
  <c r="DF204" i="172"/>
  <c r="DE204" i="172"/>
  <c r="DD204" i="172"/>
  <c r="DB204" i="172"/>
  <c r="CZ204" i="172"/>
  <c r="CY204" i="172"/>
  <c r="CX204" i="172"/>
  <c r="CW204" i="172"/>
  <c r="CV204" i="172"/>
  <c r="CS204" i="172"/>
  <c r="CQ204" i="172"/>
  <c r="CP204" i="172"/>
  <c r="CO204" i="172"/>
  <c r="CK204" i="172"/>
  <c r="BZ204" i="172"/>
  <c r="BU204" i="172"/>
  <c r="BO204" i="172"/>
  <c r="BN204" i="172"/>
  <c r="BM204" i="172"/>
  <c r="BL204" i="172"/>
  <c r="BJ204" i="172"/>
  <c r="BH204" i="172"/>
  <c r="BG204" i="172"/>
  <c r="BF204" i="172"/>
  <c r="BE204" i="172"/>
  <c r="BD204" i="172"/>
  <c r="BA204" i="172"/>
  <c r="AY204" i="172"/>
  <c r="AX204" i="172"/>
  <c r="AW204" i="172"/>
  <c r="AR204" i="172"/>
  <c r="AQ204" i="172"/>
  <c r="AP204" i="172"/>
  <c r="AO204" i="172"/>
  <c r="AM204" i="172"/>
  <c r="AK204" i="172"/>
  <c r="AJ204" i="172"/>
  <c r="AI204" i="172"/>
  <c r="AH204" i="172"/>
  <c r="AG204" i="172"/>
  <c r="AD204" i="172"/>
  <c r="AB204" i="172"/>
  <c r="Z204" i="172"/>
  <c r="G204" i="172"/>
  <c r="DU203" i="172"/>
  <c r="DR203" i="172"/>
  <c r="DM203" i="172"/>
  <c r="DG203" i="172"/>
  <c r="DF203" i="172"/>
  <c r="DE203" i="172"/>
  <c r="DA203" i="172"/>
  <c r="CZ203" i="172"/>
  <c r="CY203" i="172"/>
  <c r="CX203" i="172"/>
  <c r="CW203" i="172"/>
  <c r="CV203" i="172"/>
  <c r="CU203" i="172"/>
  <c r="CS203" i="172"/>
  <c r="CR203" i="172"/>
  <c r="CQ203" i="172"/>
  <c r="CP203" i="172"/>
  <c r="CO203" i="172"/>
  <c r="BZ203" i="172"/>
  <c r="BU203" i="172"/>
  <c r="BO203" i="172"/>
  <c r="BN203" i="172"/>
  <c r="BM203" i="172"/>
  <c r="BI203" i="172"/>
  <c r="BH203" i="172"/>
  <c r="BG203" i="172"/>
  <c r="BF203" i="172"/>
  <c r="BE203" i="172"/>
  <c r="BD203" i="172"/>
  <c r="BC203" i="172"/>
  <c r="BA203" i="172"/>
  <c r="AZ203" i="172"/>
  <c r="AY203" i="172"/>
  <c r="AX203" i="172"/>
  <c r="AW203" i="172"/>
  <c r="AR203" i="172"/>
  <c r="AQ203" i="172"/>
  <c r="AP203" i="172"/>
  <c r="AO203" i="172"/>
  <c r="AL203" i="172"/>
  <c r="AK203" i="172"/>
  <c r="AJ203" i="172"/>
  <c r="AI203" i="172"/>
  <c r="AH203" i="172"/>
  <c r="AG203" i="172"/>
  <c r="AF203" i="172"/>
  <c r="AD203" i="172"/>
  <c r="AB203" i="172"/>
  <c r="AA203" i="172"/>
  <c r="Z203" i="172"/>
  <c r="G203" i="172"/>
  <c r="EC202" i="172"/>
  <c r="DU202" i="172"/>
  <c r="DO202" i="172"/>
  <c r="DK202" i="172"/>
  <c r="DG202" i="172"/>
  <c r="DE202" i="172"/>
  <c r="CZ202" i="172"/>
  <c r="CY202" i="172"/>
  <c r="CX202" i="172"/>
  <c r="CS202" i="172"/>
  <c r="CO202" i="172"/>
  <c r="BW202" i="172"/>
  <c r="BO202" i="172"/>
  <c r="BM202" i="172"/>
  <c r="BH202" i="172"/>
  <c r="BG202" i="172"/>
  <c r="BF202" i="172"/>
  <c r="BA202" i="172"/>
  <c r="AY202" i="172"/>
  <c r="AW202" i="172"/>
  <c r="AR202" i="172"/>
  <c r="AQ202" i="172"/>
  <c r="AP202" i="172"/>
  <c r="AK202" i="172"/>
  <c r="AJ202" i="172"/>
  <c r="AI202" i="172"/>
  <c r="AH202" i="172"/>
  <c r="AG202" i="172"/>
  <c r="AD202" i="172"/>
  <c r="AB202" i="172"/>
  <c r="Z202" i="172"/>
  <c r="G202" i="172"/>
  <c r="DU201" i="172"/>
  <c r="DR201" i="172"/>
  <c r="DM201" i="172"/>
  <c r="DG201" i="172"/>
  <c r="DF201" i="172"/>
  <c r="DE201" i="172"/>
  <c r="DC201" i="172"/>
  <c r="DB201" i="172"/>
  <c r="DA201" i="172"/>
  <c r="CZ201" i="172"/>
  <c r="CY201" i="172"/>
  <c r="CX201" i="172"/>
  <c r="CW201" i="172"/>
  <c r="CV201" i="172"/>
  <c r="CS201" i="172"/>
  <c r="CR201" i="172"/>
  <c r="CQ201" i="172"/>
  <c r="CP201" i="172"/>
  <c r="CO201" i="172"/>
  <c r="CK201" i="172"/>
  <c r="CJ201" i="172"/>
  <c r="BZ201" i="172"/>
  <c r="BU201" i="172"/>
  <c r="BO201" i="172"/>
  <c r="BN201" i="172"/>
  <c r="BM201" i="172"/>
  <c r="BK201" i="172"/>
  <c r="BJ201" i="172"/>
  <c r="BI201" i="172"/>
  <c r="BH201" i="172"/>
  <c r="BG201" i="172"/>
  <c r="BF201" i="172"/>
  <c r="BE201" i="172"/>
  <c r="BD201" i="172"/>
  <c r="BA201" i="172"/>
  <c r="AZ201" i="172"/>
  <c r="AY201" i="172"/>
  <c r="AX201" i="172"/>
  <c r="AW201" i="172"/>
  <c r="AR201" i="172"/>
  <c r="AQ201" i="172"/>
  <c r="AP201" i="172"/>
  <c r="AM201" i="172"/>
  <c r="AL201" i="172"/>
  <c r="AK201" i="172"/>
  <c r="AJ201" i="172"/>
  <c r="AI201" i="172"/>
  <c r="AH201" i="172"/>
  <c r="AG201" i="172"/>
  <c r="AE201" i="172"/>
  <c r="AD201" i="172"/>
  <c r="AC201" i="172"/>
  <c r="AB201" i="172"/>
  <c r="Z201" i="172"/>
  <c r="G201" i="172"/>
  <c r="DU200" i="172"/>
  <c r="DR200" i="172"/>
  <c r="DK200" i="172"/>
  <c r="DG200" i="172"/>
  <c r="DF200" i="172"/>
  <c r="DE200" i="172"/>
  <c r="DC200" i="172"/>
  <c r="DB200" i="172"/>
  <c r="DA200" i="172"/>
  <c r="CY200" i="172"/>
  <c r="CX200" i="172"/>
  <c r="CW200" i="172"/>
  <c r="CV200" i="172"/>
  <c r="CU200" i="172"/>
  <c r="CS200" i="172"/>
  <c r="CQ200" i="172"/>
  <c r="CP200" i="172"/>
  <c r="CO200" i="172"/>
  <c r="BZ200" i="172"/>
  <c r="BU200" i="172"/>
  <c r="BN200" i="172"/>
  <c r="BM200" i="172"/>
  <c r="BK200" i="172"/>
  <c r="BJ200" i="172"/>
  <c r="BI200" i="172"/>
  <c r="BG200" i="172"/>
  <c r="BF200" i="172"/>
  <c r="BE200" i="172"/>
  <c r="BD200" i="172"/>
  <c r="BC200" i="172"/>
  <c r="BA200" i="172"/>
  <c r="AY200" i="172"/>
  <c r="AX200" i="172"/>
  <c r="AW200" i="172"/>
  <c r="AR200" i="172"/>
  <c r="AQ200" i="172"/>
  <c r="AP200" i="172"/>
  <c r="AO200" i="172"/>
  <c r="AM200" i="172"/>
  <c r="AL200" i="172"/>
  <c r="AK200" i="172"/>
  <c r="AJ200" i="172"/>
  <c r="AI200" i="172"/>
  <c r="AH200" i="172"/>
  <c r="AG200" i="172"/>
  <c r="AE200" i="172"/>
  <c r="AB200" i="172"/>
  <c r="Z200" i="172"/>
  <c r="G200" i="172"/>
  <c r="EC199" i="172"/>
  <c r="DR199" i="172"/>
  <c r="DM199" i="172"/>
  <c r="DL199" i="172"/>
  <c r="DK199" i="172"/>
  <c r="DG199" i="172"/>
  <c r="DF199" i="172"/>
  <c r="DE199" i="172"/>
  <c r="DC199" i="172"/>
  <c r="DB199" i="172"/>
  <c r="DA199" i="172"/>
  <c r="CZ199" i="172"/>
  <c r="CY199" i="172"/>
  <c r="CX199" i="172"/>
  <c r="CW199" i="172"/>
  <c r="CV199" i="172"/>
  <c r="CU199" i="172"/>
  <c r="CT199" i="172"/>
  <c r="CQ199" i="172"/>
  <c r="CP199" i="172"/>
  <c r="CO199" i="172"/>
  <c r="BZ199" i="172"/>
  <c r="BU199" i="172"/>
  <c r="BS199" i="172"/>
  <c r="BO199" i="172"/>
  <c r="BN199" i="172"/>
  <c r="BM199" i="172"/>
  <c r="BK199" i="172"/>
  <c r="BJ199" i="172"/>
  <c r="BI199" i="172"/>
  <c r="BH199" i="172"/>
  <c r="BG199" i="172"/>
  <c r="BF199" i="172"/>
  <c r="BE199" i="172"/>
  <c r="BD199" i="172"/>
  <c r="BC199" i="172"/>
  <c r="BB199" i="172"/>
  <c r="AY199" i="172"/>
  <c r="AX199" i="172"/>
  <c r="AW199" i="172"/>
  <c r="AR199" i="172"/>
  <c r="AQ199" i="172"/>
  <c r="AP199" i="172"/>
  <c r="AM199" i="172"/>
  <c r="AL199" i="172"/>
  <c r="AK199" i="172"/>
  <c r="AJ199" i="172"/>
  <c r="AI199" i="172"/>
  <c r="AH199" i="172"/>
  <c r="AG199" i="172"/>
  <c r="AF199" i="172"/>
  <c r="AB199" i="172"/>
  <c r="AA199" i="172"/>
  <c r="Z199" i="172"/>
  <c r="G199" i="172"/>
  <c r="DR195" i="172"/>
  <c r="DK195" i="172"/>
  <c r="DG195" i="172"/>
  <c r="DF195" i="172"/>
  <c r="DE195" i="172"/>
  <c r="DB195" i="172"/>
  <c r="DA195" i="172"/>
  <c r="CY195" i="172"/>
  <c r="CX195" i="172"/>
  <c r="CW195" i="172"/>
  <c r="CV195" i="172"/>
  <c r="CU195" i="172"/>
  <c r="CP195" i="172"/>
  <c r="CO195" i="172"/>
  <c r="BZ195" i="172"/>
  <c r="BN195" i="172"/>
  <c r="BM195" i="172"/>
  <c r="BJ195" i="172"/>
  <c r="BI195" i="172"/>
  <c r="BG195" i="172"/>
  <c r="BF195" i="172"/>
  <c r="BE195" i="172"/>
  <c r="BD195" i="172"/>
  <c r="BC195" i="172"/>
  <c r="AX195" i="172"/>
  <c r="AW195" i="172"/>
  <c r="AR195" i="172"/>
  <c r="AQ195" i="172"/>
  <c r="AP195" i="172"/>
  <c r="AM195" i="172"/>
  <c r="AL195" i="172"/>
  <c r="AK195" i="172"/>
  <c r="AJ195" i="172"/>
  <c r="AI195" i="172"/>
  <c r="AH195" i="172"/>
  <c r="AG195" i="172"/>
  <c r="AD195" i="172"/>
  <c r="AB195" i="172"/>
  <c r="Z195" i="172"/>
  <c r="G195" i="172"/>
  <c r="ED194" i="172"/>
  <c r="EC194" i="172"/>
  <c r="EB194" i="172"/>
  <c r="EA194" i="172"/>
  <c r="DZ194" i="172"/>
  <c r="DY194" i="172"/>
  <c r="DX194" i="172"/>
  <c r="DW194" i="172"/>
  <c r="DV194" i="172"/>
  <c r="DT194" i="172"/>
  <c r="DS194" i="172"/>
  <c r="DQ194" i="172"/>
  <c r="DP194" i="172"/>
  <c r="DO194" i="172"/>
  <c r="CN194" i="172"/>
  <c r="H194" i="172" s="1"/>
  <c r="CL194" i="172"/>
  <c r="CI194" i="172"/>
  <c r="CH194" i="172"/>
  <c r="CG194" i="172"/>
  <c r="CF194" i="172"/>
  <c r="CE194" i="172"/>
  <c r="CD194" i="172"/>
  <c r="CC194" i="172"/>
  <c r="CB194" i="172"/>
  <c r="CA194" i="172"/>
  <c r="BY194" i="172"/>
  <c r="BX194" i="172"/>
  <c r="BW194" i="172"/>
  <c r="BV194" i="172"/>
  <c r="BT194" i="172"/>
  <c r="BS194" i="172"/>
  <c r="AV194" i="172"/>
  <c r="AC194" i="172"/>
  <c r="DN194" i="172" s="1"/>
  <c r="Y194" i="172"/>
  <c r="EC193" i="172"/>
  <c r="EB193" i="172"/>
  <c r="EA193" i="172"/>
  <c r="DZ193" i="172"/>
  <c r="DY193" i="172"/>
  <c r="DX193" i="172"/>
  <c r="DW193" i="172"/>
  <c r="DV193" i="172"/>
  <c r="DT193" i="172"/>
  <c r="DS193" i="172"/>
  <c r="DQ193" i="172"/>
  <c r="DP193" i="172"/>
  <c r="DO193" i="172"/>
  <c r="DN193" i="172"/>
  <c r="CI193" i="172"/>
  <c r="CH193" i="172"/>
  <c r="CG193" i="172"/>
  <c r="CF193" i="172"/>
  <c r="CE193" i="172"/>
  <c r="CD193" i="172"/>
  <c r="CC193" i="172"/>
  <c r="CB193" i="172"/>
  <c r="CA193" i="172"/>
  <c r="BY193" i="172"/>
  <c r="BX193" i="172"/>
  <c r="BW193" i="172"/>
  <c r="BV193" i="172"/>
  <c r="BT193" i="172"/>
  <c r="BS193" i="172"/>
  <c r="BP193" i="172"/>
  <c r="AV193" i="172" s="1"/>
  <c r="AS193" i="172"/>
  <c r="ED192" i="172"/>
  <c r="EC192" i="172"/>
  <c r="EC201" i="172" s="1"/>
  <c r="EB192" i="172"/>
  <c r="EA192" i="172"/>
  <c r="DY192" i="172"/>
  <c r="DX192" i="172"/>
  <c r="DW192" i="172"/>
  <c r="DV192" i="172"/>
  <c r="DT192" i="172"/>
  <c r="DS192" i="172"/>
  <c r="DQ192" i="172"/>
  <c r="DP192" i="172"/>
  <c r="DO192" i="172"/>
  <c r="DN192" i="172"/>
  <c r="CL192" i="172"/>
  <c r="CI192" i="172"/>
  <c r="CG192" i="172"/>
  <c r="CF192" i="172"/>
  <c r="CE192" i="172"/>
  <c r="CD192" i="172"/>
  <c r="CC192" i="172"/>
  <c r="CB192" i="172"/>
  <c r="CA192" i="172"/>
  <c r="BY192" i="172"/>
  <c r="BX192" i="172"/>
  <c r="BW192" i="172"/>
  <c r="BV192" i="172"/>
  <c r="BT192" i="172"/>
  <c r="BS192" i="172"/>
  <c r="BL192" i="172"/>
  <c r="AO192" i="172"/>
  <c r="AO201" i="172" s="1"/>
  <c r="Y192" i="172"/>
  <c r="ED191" i="172"/>
  <c r="EC191" i="172"/>
  <c r="EB191" i="172"/>
  <c r="EA191" i="172"/>
  <c r="DZ191" i="172"/>
  <c r="DY191" i="172"/>
  <c r="DX191" i="172"/>
  <c r="DW191" i="172"/>
  <c r="DV191" i="172"/>
  <c r="DT191" i="172"/>
  <c r="DS191" i="172"/>
  <c r="DQ191" i="172"/>
  <c r="DO191" i="172"/>
  <c r="DN191" i="172"/>
  <c r="CN191" i="172"/>
  <c r="H191" i="172" s="1"/>
  <c r="CL191" i="172"/>
  <c r="CI191" i="172"/>
  <c r="CH191" i="172"/>
  <c r="CG191" i="172"/>
  <c r="CF191" i="172"/>
  <c r="CE191" i="172"/>
  <c r="CD191" i="172"/>
  <c r="CC191" i="172"/>
  <c r="CB191" i="172"/>
  <c r="CA191" i="172"/>
  <c r="BY191" i="172"/>
  <c r="BW191" i="172"/>
  <c r="BV191" i="172"/>
  <c r="BT191" i="172"/>
  <c r="BS191" i="172"/>
  <c r="AV191" i="172"/>
  <c r="AE191" i="172"/>
  <c r="ED190" i="172"/>
  <c r="EC190" i="172"/>
  <c r="EB190" i="172"/>
  <c r="EA190" i="172"/>
  <c r="DZ190" i="172"/>
  <c r="DX190" i="172"/>
  <c r="DW190" i="172"/>
  <c r="DV190" i="172"/>
  <c r="DT190" i="172"/>
  <c r="DS190" i="172"/>
  <c r="DQ190" i="172"/>
  <c r="DP190" i="172"/>
  <c r="DO190" i="172"/>
  <c r="DN190" i="172"/>
  <c r="CL190" i="172"/>
  <c r="CI190" i="172"/>
  <c r="CH190" i="172"/>
  <c r="CF190" i="172"/>
  <c r="CE190" i="172"/>
  <c r="CD190" i="172"/>
  <c r="CC190" i="172"/>
  <c r="CB190" i="172"/>
  <c r="CA190" i="172"/>
  <c r="BY190" i="172"/>
  <c r="BX190" i="172"/>
  <c r="BW190" i="172"/>
  <c r="BV190" i="172"/>
  <c r="BT190" i="172"/>
  <c r="BS190" i="172"/>
  <c r="BK190" i="172"/>
  <c r="AV190" i="172" s="1"/>
  <c r="Y190" i="172"/>
  <c r="ED189" i="172"/>
  <c r="EC189" i="172"/>
  <c r="EB189" i="172"/>
  <c r="EA189" i="172"/>
  <c r="DZ189" i="172"/>
  <c r="DY189" i="172"/>
  <c r="DX189" i="172"/>
  <c r="DW189" i="172"/>
  <c r="DV189" i="172"/>
  <c r="DT189" i="172"/>
  <c r="DS189" i="172"/>
  <c r="DQ189" i="172"/>
  <c r="DP189" i="172"/>
  <c r="DO189" i="172"/>
  <c r="DN189" i="172"/>
  <c r="CN189" i="172"/>
  <c r="CL189" i="172"/>
  <c r="CI189" i="172"/>
  <c r="CH189" i="172"/>
  <c r="CG189" i="172"/>
  <c r="CF189" i="172"/>
  <c r="CE189" i="172"/>
  <c r="CD189" i="172"/>
  <c r="CC189" i="172"/>
  <c r="CB189" i="172"/>
  <c r="CA189" i="172"/>
  <c r="BY189" i="172"/>
  <c r="BX189" i="172"/>
  <c r="BW189" i="172"/>
  <c r="BV189" i="172"/>
  <c r="BR189" i="172" s="1"/>
  <c r="BT189" i="172"/>
  <c r="BS189" i="172"/>
  <c r="AV189" i="172"/>
  <c r="Y189" i="172"/>
  <c r="H189" i="172"/>
  <c r="ED188" i="172"/>
  <c r="EC188" i="172"/>
  <c r="EB188" i="172"/>
  <c r="EA188" i="172"/>
  <c r="DZ188" i="172"/>
  <c r="DY188" i="172"/>
  <c r="DX188" i="172"/>
  <c r="DW188" i="172"/>
  <c r="DV188" i="172"/>
  <c r="DT188" i="172"/>
  <c r="DS188" i="172"/>
  <c r="DQ188" i="172"/>
  <c r="DO188" i="172"/>
  <c r="DN188" i="172"/>
  <c r="CT188" i="172"/>
  <c r="CL188" i="172"/>
  <c r="CI188" i="172"/>
  <c r="CH188" i="172"/>
  <c r="CG188" i="172"/>
  <c r="CF188" i="172"/>
  <c r="CE188" i="172"/>
  <c r="CD188" i="172"/>
  <c r="CC188" i="172"/>
  <c r="CB188" i="172"/>
  <c r="CA188" i="172"/>
  <c r="BY188" i="172"/>
  <c r="BW188" i="172"/>
  <c r="BV188" i="172"/>
  <c r="BT188" i="172"/>
  <c r="BS188" i="172"/>
  <c r="BB188" i="172"/>
  <c r="Y188" i="172"/>
  <c r="ED187" i="172"/>
  <c r="EC187" i="172"/>
  <c r="EB187" i="172"/>
  <c r="EA187" i="172"/>
  <c r="DZ187" i="172"/>
  <c r="DY187" i="172"/>
  <c r="DX187" i="172"/>
  <c r="DW187" i="172"/>
  <c r="DV187" i="172"/>
  <c r="DT187" i="172"/>
  <c r="DS187" i="172"/>
  <c r="DQ187" i="172"/>
  <c r="DP187" i="172"/>
  <c r="DO187" i="172"/>
  <c r="DN187" i="172"/>
  <c r="CN187" i="172"/>
  <c r="CL187" i="172"/>
  <c r="CI187" i="172"/>
  <c r="CH187" i="172"/>
  <c r="CG187" i="172"/>
  <c r="CF187" i="172"/>
  <c r="CE187" i="172"/>
  <c r="CD187" i="172"/>
  <c r="CC187" i="172"/>
  <c r="CB187" i="172"/>
  <c r="CA187" i="172"/>
  <c r="BY187" i="172"/>
  <c r="BX187" i="172"/>
  <c r="BW187" i="172"/>
  <c r="BV187" i="172"/>
  <c r="BT187" i="172"/>
  <c r="BS187" i="172"/>
  <c r="AV187" i="172"/>
  <c r="Y187" i="172"/>
  <c r="ED186" i="172"/>
  <c r="EC186" i="172"/>
  <c r="EB186" i="172"/>
  <c r="EA186" i="172"/>
  <c r="DZ186" i="172"/>
  <c r="DY186" i="172"/>
  <c r="DX186" i="172"/>
  <c r="DW186" i="172"/>
  <c r="DV186" i="172"/>
  <c r="DT186" i="172"/>
  <c r="DS186" i="172"/>
  <c r="DQ186" i="172"/>
  <c r="DP186" i="172"/>
  <c r="DO186" i="172"/>
  <c r="DN186" i="172"/>
  <c r="CN186" i="172"/>
  <c r="H186" i="172" s="1"/>
  <c r="CL186" i="172"/>
  <c r="CI186" i="172"/>
  <c r="CH186" i="172"/>
  <c r="CG186" i="172"/>
  <c r="CF186" i="172"/>
  <c r="CE186" i="172"/>
  <c r="CD186" i="172"/>
  <c r="CC186" i="172"/>
  <c r="CB186" i="172"/>
  <c r="CA186" i="172"/>
  <c r="BR186" i="172" s="1"/>
  <c r="BY186" i="172"/>
  <c r="BX186" i="172"/>
  <c r="BW186" i="172"/>
  <c r="BV186" i="172"/>
  <c r="BT186" i="172"/>
  <c r="BS186" i="172"/>
  <c r="AV186" i="172"/>
  <c r="Y186" i="172"/>
  <c r="ED185" i="172"/>
  <c r="EC185" i="172"/>
  <c r="EB185" i="172"/>
  <c r="EA185" i="172"/>
  <c r="DZ185" i="172"/>
  <c r="DY185" i="172"/>
  <c r="DX185" i="172"/>
  <c r="DW185" i="172"/>
  <c r="DV185" i="172"/>
  <c r="DT185" i="172"/>
  <c r="DS185" i="172"/>
  <c r="DQ185" i="172"/>
  <c r="DO185" i="172"/>
  <c r="DN185" i="172"/>
  <c r="CL185" i="172"/>
  <c r="CI185" i="172"/>
  <c r="CH185" i="172"/>
  <c r="CG185" i="172"/>
  <c r="CF185" i="172"/>
  <c r="CE185" i="172"/>
  <c r="CD185" i="172"/>
  <c r="CC185" i="172"/>
  <c r="CB185" i="172"/>
  <c r="CA185" i="172"/>
  <c r="BY185" i="172"/>
  <c r="BW185" i="172"/>
  <c r="BV185" i="172"/>
  <c r="BT185" i="172"/>
  <c r="BS185" i="172"/>
  <c r="Y185" i="172"/>
  <c r="ED184" i="172"/>
  <c r="EC184" i="172"/>
  <c r="EB184" i="172"/>
  <c r="EA184" i="172"/>
  <c r="DZ184" i="172"/>
  <c r="DY184" i="172"/>
  <c r="DX184" i="172"/>
  <c r="DW184" i="172"/>
  <c r="DV184" i="172"/>
  <c r="DT184" i="172"/>
  <c r="DS184" i="172"/>
  <c r="DQ184" i="172"/>
  <c r="DP184" i="172"/>
  <c r="DO184" i="172"/>
  <c r="DN184" i="172"/>
  <c r="CN184" i="172"/>
  <c r="CL184" i="172"/>
  <c r="CI184" i="172"/>
  <c r="CH184" i="172"/>
  <c r="CG184" i="172"/>
  <c r="CF184" i="172"/>
  <c r="CE184" i="172"/>
  <c r="CD184" i="172"/>
  <c r="CC184" i="172"/>
  <c r="CB184" i="172"/>
  <c r="CA184" i="172"/>
  <c r="BY184" i="172"/>
  <c r="BX184" i="172"/>
  <c r="BW184" i="172"/>
  <c r="BV184" i="172"/>
  <c r="BT184" i="172"/>
  <c r="BS184" i="172"/>
  <c r="AV184" i="172"/>
  <c r="AC184" i="172"/>
  <c r="Y184" i="172"/>
  <c r="H184" i="172"/>
  <c r="ED183" i="172"/>
  <c r="EC183" i="172"/>
  <c r="EB183" i="172"/>
  <c r="EA183" i="172"/>
  <c r="DZ183" i="172"/>
  <c r="DY183" i="172"/>
  <c r="DX183" i="172"/>
  <c r="DW183" i="172"/>
  <c r="DV183" i="172"/>
  <c r="DT183" i="172"/>
  <c r="DS183" i="172"/>
  <c r="DQ183" i="172"/>
  <c r="DO183" i="172"/>
  <c r="DN183" i="172"/>
  <c r="CT183" i="172"/>
  <c r="DP183" i="172" s="1"/>
  <c r="CL183" i="172"/>
  <c r="CI183" i="172"/>
  <c r="CH183" i="172"/>
  <c r="CG183" i="172"/>
  <c r="CF183" i="172"/>
  <c r="CE183" i="172"/>
  <c r="CD183" i="172"/>
  <c r="CC183" i="172"/>
  <c r="CB183" i="172"/>
  <c r="CA183" i="172"/>
  <c r="BY183" i="172"/>
  <c r="BW183" i="172"/>
  <c r="BV183" i="172"/>
  <c r="BT183" i="172"/>
  <c r="BS183" i="172"/>
  <c r="BB183" i="172"/>
  <c r="Y183" i="172"/>
  <c r="ED182" i="172"/>
  <c r="EC182" i="172"/>
  <c r="EB182" i="172"/>
  <c r="EA182" i="172"/>
  <c r="DZ182" i="172"/>
  <c r="DY182" i="172"/>
  <c r="DX182" i="172"/>
  <c r="DW182" i="172"/>
  <c r="DV182" i="172"/>
  <c r="DT182" i="172"/>
  <c r="DS182" i="172"/>
  <c r="DQ182" i="172"/>
  <c r="DP182" i="172"/>
  <c r="DO182" i="172"/>
  <c r="DN182" i="172"/>
  <c r="CN182" i="172"/>
  <c r="CL182" i="172"/>
  <c r="CK182" i="172"/>
  <c r="CI182" i="172"/>
  <c r="CH182" i="172"/>
  <c r="CG182" i="172"/>
  <c r="CF182" i="172"/>
  <c r="CE182" i="172"/>
  <c r="CD182" i="172"/>
  <c r="CC182" i="172"/>
  <c r="CB182" i="172"/>
  <c r="CA182" i="172"/>
  <c r="BY182" i="172"/>
  <c r="BX182" i="172"/>
  <c r="BW182" i="172"/>
  <c r="BV182" i="172"/>
  <c r="BT182" i="172"/>
  <c r="BS182" i="172"/>
  <c r="BQ182" i="172"/>
  <c r="AV182" i="172"/>
  <c r="AC182" i="172"/>
  <c r="Y182" i="172"/>
  <c r="AU182" i="172" s="1"/>
  <c r="H182" i="172"/>
  <c r="ED181" i="172"/>
  <c r="EC181" i="172"/>
  <c r="EB181" i="172"/>
  <c r="EA181" i="172"/>
  <c r="DZ181" i="172"/>
  <c r="DY181" i="172"/>
  <c r="DX181" i="172"/>
  <c r="DW181" i="172"/>
  <c r="DV181" i="172"/>
  <c r="DT181" i="172"/>
  <c r="DS181" i="172"/>
  <c r="DQ181" i="172"/>
  <c r="DP181" i="172"/>
  <c r="DO181" i="172"/>
  <c r="DN181" i="172"/>
  <c r="DJ181" i="172"/>
  <c r="CN181" i="172"/>
  <c r="CL181" i="172"/>
  <c r="CK181" i="172"/>
  <c r="CI181" i="172"/>
  <c r="CH181" i="172"/>
  <c r="CG181" i="172"/>
  <c r="CF181" i="172"/>
  <c r="CE181" i="172"/>
  <c r="CD181" i="172"/>
  <c r="CC181" i="172"/>
  <c r="CB181" i="172"/>
  <c r="CA181" i="172"/>
  <c r="BY181" i="172"/>
  <c r="BX181" i="172"/>
  <c r="BW181" i="172"/>
  <c r="BV181" i="172"/>
  <c r="BT181" i="172"/>
  <c r="BS181" i="172"/>
  <c r="AV181" i="172"/>
  <c r="AC181" i="172"/>
  <c r="Y181" i="172"/>
  <c r="ED180" i="172"/>
  <c r="EC180" i="172"/>
  <c r="EB180" i="172"/>
  <c r="EA180" i="172"/>
  <c r="DZ180" i="172"/>
  <c r="DY180" i="172"/>
  <c r="DX180" i="172"/>
  <c r="DW180" i="172"/>
  <c r="DV180" i="172"/>
  <c r="DT180" i="172"/>
  <c r="DS180" i="172"/>
  <c r="DQ180" i="172"/>
  <c r="DP180" i="172"/>
  <c r="DO180" i="172"/>
  <c r="CN180" i="172"/>
  <c r="H180" i="172" s="1"/>
  <c r="CL180" i="172"/>
  <c r="CK180" i="172"/>
  <c r="CI180" i="172"/>
  <c r="CH180" i="172"/>
  <c r="CG180" i="172"/>
  <c r="CF180" i="172"/>
  <c r="CE180" i="172"/>
  <c r="CD180" i="172"/>
  <c r="CC180" i="172"/>
  <c r="CB180" i="172"/>
  <c r="CA180" i="172"/>
  <c r="BY180" i="172"/>
  <c r="BX180" i="172"/>
  <c r="BW180" i="172"/>
  <c r="BV180" i="172"/>
  <c r="BT180" i="172"/>
  <c r="BS180" i="172"/>
  <c r="AV180" i="172"/>
  <c r="AC180" i="172"/>
  <c r="DN180" i="172" s="1"/>
  <c r="Y180" i="172"/>
  <c r="ED179" i="172"/>
  <c r="EC179" i="172"/>
  <c r="EB179" i="172"/>
  <c r="EA179" i="172"/>
  <c r="DZ179" i="172"/>
  <c r="DY179" i="172"/>
  <c r="DX179" i="172"/>
  <c r="DW179" i="172"/>
  <c r="DV179" i="172"/>
  <c r="DT179" i="172"/>
  <c r="DS179" i="172"/>
  <c r="DQ179" i="172"/>
  <c r="DP179" i="172"/>
  <c r="DO179" i="172"/>
  <c r="DN179" i="172"/>
  <c r="CN179" i="172"/>
  <c r="CL179" i="172"/>
  <c r="CK179" i="172"/>
  <c r="CI179" i="172"/>
  <c r="CH179" i="172"/>
  <c r="CG179" i="172"/>
  <c r="CF179" i="172"/>
  <c r="CE179" i="172"/>
  <c r="CD179" i="172"/>
  <c r="CC179" i="172"/>
  <c r="CB179" i="172"/>
  <c r="CA179" i="172"/>
  <c r="BY179" i="172"/>
  <c r="BX179" i="172"/>
  <c r="BW179" i="172"/>
  <c r="BV179" i="172"/>
  <c r="BT179" i="172"/>
  <c r="BS179" i="172"/>
  <c r="AV179" i="172"/>
  <c r="Y179" i="172"/>
  <c r="I179" i="172" s="1"/>
  <c r="H179" i="172"/>
  <c r="ED178" i="172"/>
  <c r="EC178" i="172"/>
  <c r="EB178" i="172"/>
  <c r="EA178" i="172"/>
  <c r="DY178" i="172"/>
  <c r="DX178" i="172"/>
  <c r="DW178" i="172"/>
  <c r="DV178" i="172"/>
  <c r="DT178" i="172"/>
  <c r="DS178" i="172"/>
  <c r="DQ178" i="172"/>
  <c r="DP178" i="172"/>
  <c r="DO178" i="172"/>
  <c r="DN178" i="172"/>
  <c r="CL178" i="172"/>
  <c r="CK178" i="172"/>
  <c r="CI178" i="172"/>
  <c r="CG178" i="172"/>
  <c r="CF178" i="172"/>
  <c r="CE178" i="172"/>
  <c r="CD178" i="172"/>
  <c r="CC178" i="172"/>
  <c r="CB178" i="172"/>
  <c r="CA178" i="172"/>
  <c r="BY178" i="172"/>
  <c r="BX178" i="172"/>
  <c r="BW178" i="172"/>
  <c r="BT178" i="172"/>
  <c r="BS178" i="172"/>
  <c r="BL178" i="172"/>
  <c r="AE178" i="172"/>
  <c r="AC178" i="172"/>
  <c r="Y178" i="172" s="1"/>
  <c r="ED177" i="172"/>
  <c r="EC177" i="172"/>
  <c r="EB177" i="172"/>
  <c r="EA177" i="172"/>
  <c r="DZ177" i="172"/>
  <c r="DY177" i="172"/>
  <c r="DX177" i="172"/>
  <c r="DW177" i="172"/>
  <c r="DV177" i="172"/>
  <c r="DT177" i="172"/>
  <c r="DS177" i="172"/>
  <c r="DQ177" i="172"/>
  <c r="DO177" i="172"/>
  <c r="DN177" i="172"/>
  <c r="DL177" i="172"/>
  <c r="CT177" i="172"/>
  <c r="CN177" i="172" s="1"/>
  <c r="H177" i="172" s="1"/>
  <c r="CL177" i="172"/>
  <c r="CK177" i="172"/>
  <c r="CI177" i="172"/>
  <c r="CG177" i="172"/>
  <c r="CF177" i="172"/>
  <c r="CE177" i="172"/>
  <c r="CD177" i="172"/>
  <c r="CC177" i="172"/>
  <c r="CB177" i="172"/>
  <c r="CA177" i="172"/>
  <c r="BY177" i="172"/>
  <c r="BW177" i="172"/>
  <c r="BV177" i="172"/>
  <c r="BT177" i="172"/>
  <c r="BS177" i="172"/>
  <c r="BL177" i="172"/>
  <c r="CH177" i="172" s="1"/>
  <c r="BB177" i="172"/>
  <c r="AV177" i="172" s="1"/>
  <c r="AE177" i="172"/>
  <c r="DN176" i="172"/>
  <c r="DJ176" i="172" s="1"/>
  <c r="CN176" i="172"/>
  <c r="AV176" i="172"/>
  <c r="AC176" i="172"/>
  <c r="BV176" i="172" s="1"/>
  <c r="BR176" i="172" s="1"/>
  <c r="Y176" i="172"/>
  <c r="H176" i="172"/>
  <c r="CN175" i="172"/>
  <c r="BV175" i="172"/>
  <c r="BR175" i="172" s="1"/>
  <c r="AV175" i="172"/>
  <c r="AC175" i="172"/>
  <c r="DN175" i="172" s="1"/>
  <c r="DJ175" i="172" s="1"/>
  <c r="Y175" i="172"/>
  <c r="H175" i="172"/>
  <c r="DN174" i="172"/>
  <c r="DJ174" i="172" s="1"/>
  <c r="CN174" i="172"/>
  <c r="BV174" i="172"/>
  <c r="BR174" i="172" s="1"/>
  <c r="AV174" i="172"/>
  <c r="AU174" i="172" s="1"/>
  <c r="BQ174" i="172" s="1"/>
  <c r="AC174" i="172"/>
  <c r="Y174" i="172"/>
  <c r="ED173" i="172"/>
  <c r="EC173" i="172"/>
  <c r="EB173" i="172"/>
  <c r="EA173" i="172"/>
  <c r="DZ173" i="172"/>
  <c r="DY173" i="172"/>
  <c r="DX173" i="172"/>
  <c r="DW173" i="172"/>
  <c r="DV173" i="172"/>
  <c r="DT173" i="172"/>
  <c r="DS173" i="172"/>
  <c r="DQ173" i="172"/>
  <c r="DP173" i="172"/>
  <c r="DO173" i="172"/>
  <c r="DN173" i="172"/>
  <c r="CN173" i="172"/>
  <c r="CL173" i="172"/>
  <c r="CI173" i="172"/>
  <c r="CH173" i="172"/>
  <c r="CG173" i="172"/>
  <c r="CF173" i="172"/>
  <c r="CE173" i="172"/>
  <c r="CD173" i="172"/>
  <c r="CC173" i="172"/>
  <c r="CB173" i="172"/>
  <c r="CA173" i="172"/>
  <c r="BY173" i="172"/>
  <c r="BX173" i="172"/>
  <c r="BW173" i="172"/>
  <c r="BV173" i="172"/>
  <c r="BT173" i="172"/>
  <c r="BS173" i="172"/>
  <c r="BO173" i="172"/>
  <c r="Y173" i="172"/>
  <c r="H173" i="172"/>
  <c r="I173" i="172" s="1"/>
  <c r="EC172" i="172"/>
  <c r="EB172" i="172"/>
  <c r="EA172" i="172"/>
  <c r="DZ172" i="172"/>
  <c r="DY172" i="172"/>
  <c r="DX172" i="172"/>
  <c r="DW172" i="172"/>
  <c r="DV172" i="172"/>
  <c r="DT172" i="172"/>
  <c r="DS172" i="172"/>
  <c r="DQ172" i="172"/>
  <c r="DP172" i="172"/>
  <c r="DO172" i="172"/>
  <c r="DN172" i="172"/>
  <c r="CK172" i="172"/>
  <c r="CI172" i="172"/>
  <c r="CH172" i="172"/>
  <c r="CG172" i="172"/>
  <c r="CF172" i="172"/>
  <c r="CE172" i="172"/>
  <c r="CD172" i="172"/>
  <c r="CC172" i="172"/>
  <c r="CB172" i="172"/>
  <c r="CA172" i="172"/>
  <c r="BY172" i="172"/>
  <c r="BX172" i="172"/>
  <c r="BW172" i="172"/>
  <c r="BV172" i="172"/>
  <c r="BT172" i="172"/>
  <c r="BS172" i="172"/>
  <c r="AS172" i="172"/>
  <c r="EC171" i="172"/>
  <c r="EB171" i="172"/>
  <c r="EA171" i="172"/>
  <c r="DZ171" i="172"/>
  <c r="DY171" i="172"/>
  <c r="DX171" i="172"/>
  <c r="DW171" i="172"/>
  <c r="DV171" i="172"/>
  <c r="DT171" i="172"/>
  <c r="DS171" i="172"/>
  <c r="DQ171" i="172"/>
  <c r="DP171" i="172"/>
  <c r="DO171" i="172"/>
  <c r="CN171" i="172"/>
  <c r="CK171" i="172"/>
  <c r="CI171" i="172"/>
  <c r="CH171" i="172"/>
  <c r="CG171" i="172"/>
  <c r="CF171" i="172"/>
  <c r="CE171" i="172"/>
  <c r="CD171" i="172"/>
  <c r="CC171" i="172"/>
  <c r="CB171" i="172"/>
  <c r="CA171" i="172"/>
  <c r="BX171" i="172"/>
  <c r="BW171" i="172"/>
  <c r="BT171" i="172"/>
  <c r="BS171" i="172"/>
  <c r="BP171" i="172"/>
  <c r="CL171" i="172" s="1"/>
  <c r="AS171" i="172"/>
  <c r="ED171" i="172" s="1"/>
  <c r="AF171" i="172"/>
  <c r="AC171" i="172"/>
  <c r="DN171" i="172" s="1"/>
  <c r="ED170" i="172"/>
  <c r="EC170" i="172"/>
  <c r="EB170" i="172"/>
  <c r="EA170" i="172"/>
  <c r="DY170" i="172"/>
  <c r="DX170" i="172"/>
  <c r="DW170" i="172"/>
  <c r="DV170" i="172"/>
  <c r="DT170" i="172"/>
  <c r="DS170" i="172"/>
  <c r="DQ170" i="172"/>
  <c r="DO170" i="172"/>
  <c r="DD170" i="172"/>
  <c r="CT170" i="172"/>
  <c r="CT200" i="172" s="1"/>
  <c r="CL170" i="172"/>
  <c r="CK170" i="172"/>
  <c r="CI170" i="172"/>
  <c r="CG170" i="172"/>
  <c r="CF170" i="172"/>
  <c r="CE170" i="172"/>
  <c r="CD170" i="172"/>
  <c r="CC170" i="172"/>
  <c r="CB170" i="172"/>
  <c r="CA170" i="172"/>
  <c r="BY170" i="172"/>
  <c r="BW170" i="172"/>
  <c r="BT170" i="172"/>
  <c r="BS170" i="172"/>
  <c r="BL170" i="172"/>
  <c r="BL200" i="172" s="1"/>
  <c r="BB170" i="172"/>
  <c r="Y170" i="172"/>
  <c r="EC169" i="172"/>
  <c r="EB169" i="172"/>
  <c r="EA169" i="172"/>
  <c r="DZ169" i="172"/>
  <c r="DY169" i="172"/>
  <c r="DX169" i="172"/>
  <c r="DW169" i="172"/>
  <c r="DV169" i="172"/>
  <c r="DT169" i="172"/>
  <c r="DS169" i="172"/>
  <c r="DQ169" i="172"/>
  <c r="DP169" i="172"/>
  <c r="DO169" i="172"/>
  <c r="DN169" i="172"/>
  <c r="DH169" i="172"/>
  <c r="CN169" i="172" s="1"/>
  <c r="CK169" i="172"/>
  <c r="CI169" i="172"/>
  <c r="CH169" i="172"/>
  <c r="CG169" i="172"/>
  <c r="CF169" i="172"/>
  <c r="CE169" i="172"/>
  <c r="CD169" i="172"/>
  <c r="CC169" i="172"/>
  <c r="CB169" i="172"/>
  <c r="CA169" i="172"/>
  <c r="BY169" i="172"/>
  <c r="BX169" i="172"/>
  <c r="BW169" i="172"/>
  <c r="BV169" i="172"/>
  <c r="BT169" i="172"/>
  <c r="BS169" i="172"/>
  <c r="BP169" i="172"/>
  <c r="AV169" i="172" s="1"/>
  <c r="AS169" i="172"/>
  <c r="Y169" i="172" s="1"/>
  <c r="EC168" i="172"/>
  <c r="EB168" i="172"/>
  <c r="EA168" i="172"/>
  <c r="DZ168" i="172"/>
  <c r="DY168" i="172"/>
  <c r="DX168" i="172"/>
  <c r="DW168" i="172"/>
  <c r="DV168" i="172"/>
  <c r="DT168" i="172"/>
  <c r="DS168" i="172"/>
  <c r="DP168" i="172"/>
  <c r="DO168" i="172"/>
  <c r="CR168" i="172"/>
  <c r="CK168" i="172"/>
  <c r="CI168" i="172"/>
  <c r="CH168" i="172"/>
  <c r="CG168" i="172"/>
  <c r="CF168" i="172"/>
  <c r="CE168" i="172"/>
  <c r="CD168" i="172"/>
  <c r="CC168" i="172"/>
  <c r="CB168" i="172"/>
  <c r="CA168" i="172"/>
  <c r="BX168" i="172"/>
  <c r="BW168" i="172"/>
  <c r="BT168" i="172"/>
  <c r="BS168" i="172"/>
  <c r="AS168" i="172"/>
  <c r="AF168" i="172"/>
  <c r="BY168" i="172" s="1"/>
  <c r="AC168" i="172"/>
  <c r="ED167" i="172"/>
  <c r="EC167" i="172"/>
  <c r="EB167" i="172"/>
  <c r="EA167" i="172"/>
  <c r="DZ167" i="172"/>
  <c r="DY167" i="172"/>
  <c r="DX167" i="172"/>
  <c r="DW167" i="172"/>
  <c r="DV167" i="172"/>
  <c r="DT167" i="172"/>
  <c r="DS167" i="172"/>
  <c r="DP167" i="172"/>
  <c r="DO167" i="172"/>
  <c r="CR167" i="172"/>
  <c r="CN167" i="172" s="1"/>
  <c r="H167" i="172" s="1"/>
  <c r="CL167" i="172"/>
  <c r="CK167" i="172"/>
  <c r="CI167" i="172"/>
  <c r="CH167" i="172"/>
  <c r="CG167" i="172"/>
  <c r="CF167" i="172"/>
  <c r="CE167" i="172"/>
  <c r="CD167" i="172"/>
  <c r="CC167" i="172"/>
  <c r="CB167" i="172"/>
  <c r="CA167" i="172"/>
  <c r="BY167" i="172"/>
  <c r="BX167" i="172"/>
  <c r="BW167" i="172"/>
  <c r="BT167" i="172"/>
  <c r="BS167" i="172"/>
  <c r="AF167" i="172"/>
  <c r="DQ167" i="172" s="1"/>
  <c r="AC167" i="172"/>
  <c r="ED166" i="172"/>
  <c r="EC166" i="172"/>
  <c r="EB166" i="172"/>
  <c r="EA166" i="172"/>
  <c r="DZ166" i="172"/>
  <c r="DY166" i="172"/>
  <c r="DX166" i="172"/>
  <c r="DW166" i="172"/>
  <c r="DV166" i="172"/>
  <c r="DT166" i="172"/>
  <c r="DS166" i="172"/>
  <c r="DP166" i="172"/>
  <c r="DO166" i="172"/>
  <c r="DM166" i="172"/>
  <c r="CN166" i="172"/>
  <c r="H166" i="172" s="1"/>
  <c r="CL166" i="172"/>
  <c r="CK166" i="172"/>
  <c r="CI166" i="172"/>
  <c r="CH166" i="172"/>
  <c r="CG166" i="172"/>
  <c r="CF166" i="172"/>
  <c r="CE166" i="172"/>
  <c r="CD166" i="172"/>
  <c r="CC166" i="172"/>
  <c r="CB166" i="172"/>
  <c r="CA166" i="172"/>
  <c r="BX166" i="172"/>
  <c r="BW166" i="172"/>
  <c r="BS166" i="172"/>
  <c r="AV166" i="172"/>
  <c r="AF166" i="172"/>
  <c r="DQ166" i="172" s="1"/>
  <c r="AC166" i="172"/>
  <c r="AA166" i="172"/>
  <c r="EC165" i="172"/>
  <c r="EB165" i="172"/>
  <c r="EA165" i="172"/>
  <c r="DZ165" i="172"/>
  <c r="DY165" i="172"/>
  <c r="DX165" i="172"/>
  <c r="DW165" i="172"/>
  <c r="DV165" i="172"/>
  <c r="DT165" i="172"/>
  <c r="DS165" i="172"/>
  <c r="DQ165" i="172"/>
  <c r="DP165" i="172"/>
  <c r="DO165" i="172"/>
  <c r="DN165" i="172"/>
  <c r="DH165" i="172"/>
  <c r="CN165" i="172" s="1"/>
  <c r="CK165" i="172"/>
  <c r="CI165" i="172"/>
  <c r="CH165" i="172"/>
  <c r="CG165" i="172"/>
  <c r="CF165" i="172"/>
  <c r="CE165" i="172"/>
  <c r="CD165" i="172"/>
  <c r="CC165" i="172"/>
  <c r="CB165" i="172"/>
  <c r="CA165" i="172"/>
  <c r="BY165" i="172"/>
  <c r="BX165" i="172"/>
  <c r="BW165" i="172"/>
  <c r="BV165" i="172"/>
  <c r="BT165" i="172"/>
  <c r="BS165" i="172"/>
  <c r="BP165" i="172"/>
  <c r="AV165" i="172" s="1"/>
  <c r="AU165" i="172" s="1"/>
  <c r="BQ165" i="172" s="1"/>
  <c r="AS165" i="172"/>
  <c r="Y165" i="172" s="1"/>
  <c r="EC164" i="172"/>
  <c r="EB164" i="172"/>
  <c r="EA164" i="172"/>
  <c r="DZ164" i="172"/>
  <c r="DY164" i="172"/>
  <c r="DX164" i="172"/>
  <c r="DW164" i="172"/>
  <c r="DV164" i="172"/>
  <c r="DT164" i="172"/>
  <c r="DS164" i="172"/>
  <c r="DQ164" i="172"/>
  <c r="DP164" i="172"/>
  <c r="DO164" i="172"/>
  <c r="DN164" i="172"/>
  <c r="CK164" i="172"/>
  <c r="CI164" i="172"/>
  <c r="CH164" i="172"/>
  <c r="CG164" i="172"/>
  <c r="CF164" i="172"/>
  <c r="CE164" i="172"/>
  <c r="CD164" i="172"/>
  <c r="CC164" i="172"/>
  <c r="CB164" i="172"/>
  <c r="CA164" i="172"/>
  <c r="BY164" i="172"/>
  <c r="BX164" i="172"/>
  <c r="BW164" i="172"/>
  <c r="BT164" i="172"/>
  <c r="BS164" i="172"/>
  <c r="BP164" i="172"/>
  <c r="CL164" i="172" s="1"/>
  <c r="AS164" i="172"/>
  <c r="Y164" i="172" s="1"/>
  <c r="ED163" i="172"/>
  <c r="EC163" i="172"/>
  <c r="EB163" i="172"/>
  <c r="EA163" i="172"/>
  <c r="DZ163" i="172"/>
  <c r="DY163" i="172"/>
  <c r="DX163" i="172"/>
  <c r="DW163" i="172"/>
  <c r="DV163" i="172"/>
  <c r="DT163" i="172"/>
  <c r="DS163" i="172"/>
  <c r="DP163" i="172"/>
  <c r="DO163" i="172"/>
  <c r="DM163" i="172"/>
  <c r="DM200" i="172" s="1"/>
  <c r="DL163" i="172"/>
  <c r="CN163" i="172"/>
  <c r="CL163" i="172"/>
  <c r="CK163" i="172"/>
  <c r="CJ163" i="172"/>
  <c r="CJ200" i="172" s="1"/>
  <c r="CI163" i="172"/>
  <c r="CH163" i="172"/>
  <c r="CG163" i="172"/>
  <c r="CF163" i="172"/>
  <c r="CE163" i="172"/>
  <c r="CD163" i="172"/>
  <c r="CC163" i="172"/>
  <c r="CB163" i="172"/>
  <c r="CA163" i="172"/>
  <c r="BX163" i="172"/>
  <c r="BW163" i="172"/>
  <c r="BS163" i="172"/>
  <c r="AV163" i="172"/>
  <c r="AF163" i="172"/>
  <c r="DQ163" i="172" s="1"/>
  <c r="AC163" i="172"/>
  <c r="AA163" i="172"/>
  <c r="ED162" i="172"/>
  <c r="EC162" i="172"/>
  <c r="EB162" i="172"/>
  <c r="EA162" i="172"/>
  <c r="DZ162" i="172"/>
  <c r="DY162" i="172"/>
  <c r="DX162" i="172"/>
  <c r="DW162" i="172"/>
  <c r="DV162" i="172"/>
  <c r="DT162" i="172"/>
  <c r="DS162" i="172"/>
  <c r="DQ162" i="172"/>
  <c r="DP162" i="172"/>
  <c r="DO162" i="172"/>
  <c r="CR162" i="172"/>
  <c r="DN162" i="172" s="1"/>
  <c r="CN162" i="172"/>
  <c r="CM162" i="172" s="1"/>
  <c r="DI162" i="172" s="1"/>
  <c r="CL162" i="172"/>
  <c r="CK162" i="172"/>
  <c r="CI162" i="172"/>
  <c r="CH162" i="172"/>
  <c r="CG162" i="172"/>
  <c r="CF162" i="172"/>
  <c r="CE162" i="172"/>
  <c r="CD162" i="172"/>
  <c r="CC162" i="172"/>
  <c r="CB162" i="172"/>
  <c r="CA162" i="172"/>
  <c r="BX162" i="172"/>
  <c r="BW162" i="172"/>
  <c r="BT162" i="172"/>
  <c r="BS162" i="172"/>
  <c r="AZ162" i="172"/>
  <c r="AV162" i="172" s="1"/>
  <c r="AF162" i="172"/>
  <c r="BY162" i="172" s="1"/>
  <c r="AC162" i="172"/>
  <c r="Y162" i="172"/>
  <c r="ED161" i="172"/>
  <c r="EC161" i="172"/>
  <c r="EB161" i="172"/>
  <c r="EA161" i="172"/>
  <c r="DZ161" i="172"/>
  <c r="DY161" i="172"/>
  <c r="DX161" i="172"/>
  <c r="DW161" i="172"/>
  <c r="DV161" i="172"/>
  <c r="DT161" i="172"/>
  <c r="DS161" i="172"/>
  <c r="DQ161" i="172"/>
  <c r="DP161" i="172"/>
  <c r="DO161" i="172"/>
  <c r="CN161" i="172"/>
  <c r="CL161" i="172"/>
  <c r="CK161" i="172"/>
  <c r="CI161" i="172"/>
  <c r="CH161" i="172"/>
  <c r="CG161" i="172"/>
  <c r="CF161" i="172"/>
  <c r="CE161" i="172"/>
  <c r="CC161" i="172"/>
  <c r="CB161" i="172"/>
  <c r="CA161" i="172"/>
  <c r="BY161" i="172"/>
  <c r="BX161" i="172"/>
  <c r="BW161" i="172"/>
  <c r="BT161" i="172"/>
  <c r="BS161" i="172"/>
  <c r="AC161" i="172"/>
  <c r="Y161" i="172" s="1"/>
  <c r="ED160" i="172"/>
  <c r="EC160" i="172"/>
  <c r="EB160" i="172"/>
  <c r="EA160" i="172"/>
  <c r="DZ160" i="172"/>
  <c r="DY160" i="172"/>
  <c r="DX160" i="172"/>
  <c r="DW160" i="172"/>
  <c r="DV160" i="172"/>
  <c r="DT160" i="172"/>
  <c r="DS160" i="172"/>
  <c r="DQ160" i="172"/>
  <c r="DP160" i="172"/>
  <c r="DO160" i="172"/>
  <c r="DN160" i="172"/>
  <c r="CN160" i="172"/>
  <c r="CL160" i="172"/>
  <c r="CK160" i="172"/>
  <c r="CI160" i="172"/>
  <c r="CH160" i="172"/>
  <c r="CG160" i="172"/>
  <c r="CF160" i="172"/>
  <c r="CE160" i="172"/>
  <c r="CD160" i="172"/>
  <c r="CC160" i="172"/>
  <c r="CB160" i="172"/>
  <c r="CA160" i="172"/>
  <c r="BY160" i="172"/>
  <c r="BX160" i="172"/>
  <c r="BW160" i="172"/>
  <c r="BV160" i="172"/>
  <c r="BT160" i="172"/>
  <c r="BS160" i="172"/>
  <c r="BR160" i="172" s="1"/>
  <c r="BP160" i="172"/>
  <c r="AV160" i="172" s="1"/>
  <c r="AS160" i="172"/>
  <c r="ED159" i="172"/>
  <c r="EC159" i="172"/>
  <c r="EB159" i="172"/>
  <c r="EA159" i="172"/>
  <c r="DZ159" i="172"/>
  <c r="DY159" i="172"/>
  <c r="DX159" i="172"/>
  <c r="DW159" i="172"/>
  <c r="DV159" i="172"/>
  <c r="DT159" i="172"/>
  <c r="DS159" i="172"/>
  <c r="DQ159" i="172"/>
  <c r="DP159" i="172"/>
  <c r="DO159" i="172"/>
  <c r="CN159" i="172"/>
  <c r="CL159" i="172"/>
  <c r="CK159" i="172"/>
  <c r="CI159" i="172"/>
  <c r="CH159" i="172"/>
  <c r="CG159" i="172"/>
  <c r="CF159" i="172"/>
  <c r="CE159" i="172"/>
  <c r="CD159" i="172"/>
  <c r="CC159" i="172"/>
  <c r="CB159" i="172"/>
  <c r="CA159" i="172"/>
  <c r="BY159" i="172"/>
  <c r="BX159" i="172"/>
  <c r="BW159" i="172"/>
  <c r="BT159" i="172"/>
  <c r="BS159" i="172"/>
  <c r="AZ159" i="172"/>
  <c r="AV159" i="172" s="1"/>
  <c r="AC159" i="172"/>
  <c r="ED158" i="172"/>
  <c r="EC158" i="172"/>
  <c r="EB158" i="172"/>
  <c r="EA158" i="172"/>
  <c r="DZ158" i="172"/>
  <c r="DX158" i="172"/>
  <c r="DW158" i="172"/>
  <c r="DV158" i="172"/>
  <c r="DT158" i="172"/>
  <c r="DS158" i="172"/>
  <c r="DQ158" i="172"/>
  <c r="DP158" i="172"/>
  <c r="DO158" i="172"/>
  <c r="CR158" i="172"/>
  <c r="CN158" i="172" s="1"/>
  <c r="H158" i="172" s="1"/>
  <c r="CL158" i="172"/>
  <c r="CK158" i="172"/>
  <c r="CI158" i="172"/>
  <c r="CH158" i="172"/>
  <c r="CG158" i="172"/>
  <c r="CF158" i="172"/>
  <c r="CE158" i="172"/>
  <c r="CD158" i="172"/>
  <c r="CC158" i="172"/>
  <c r="CB158" i="172"/>
  <c r="CA158" i="172"/>
  <c r="BY158" i="172"/>
  <c r="BX158" i="172"/>
  <c r="BW158" i="172"/>
  <c r="BT158" i="172"/>
  <c r="BS158" i="172"/>
  <c r="AZ158" i="172"/>
  <c r="AV158" i="172" s="1"/>
  <c r="AN158" i="172"/>
  <c r="AN200" i="172" s="1"/>
  <c r="AC158" i="172"/>
  <c r="Y158" i="172" s="1"/>
  <c r="ED157" i="172"/>
  <c r="EC157" i="172"/>
  <c r="EB157" i="172"/>
  <c r="EA157" i="172"/>
  <c r="DZ157" i="172"/>
  <c r="DY157" i="172"/>
  <c r="DX157" i="172"/>
  <c r="DW157" i="172"/>
  <c r="DV157" i="172"/>
  <c r="DT157" i="172"/>
  <c r="DS157" i="172"/>
  <c r="DQ157" i="172"/>
  <c r="DP157" i="172"/>
  <c r="DO157" i="172"/>
  <c r="CR157" i="172"/>
  <c r="CN157" i="172" s="1"/>
  <c r="CL157" i="172"/>
  <c r="CK157" i="172"/>
  <c r="CI157" i="172"/>
  <c r="CH157" i="172"/>
  <c r="CG157" i="172"/>
  <c r="CF157" i="172"/>
  <c r="CE157" i="172"/>
  <c r="CD157" i="172"/>
  <c r="CC157" i="172"/>
  <c r="CB157" i="172"/>
  <c r="CA157" i="172"/>
  <c r="BY157" i="172"/>
  <c r="BX157" i="172"/>
  <c r="BT157" i="172"/>
  <c r="BS157" i="172"/>
  <c r="AZ157" i="172"/>
  <c r="AV157" i="172" s="1"/>
  <c r="AD157" i="172"/>
  <c r="AD200" i="172" s="1"/>
  <c r="AC157" i="172"/>
  <c r="ED156" i="172"/>
  <c r="EC156" i="172"/>
  <c r="EB156" i="172"/>
  <c r="EA156" i="172"/>
  <c r="DZ156" i="172"/>
  <c r="DY156" i="172"/>
  <c r="DX156" i="172"/>
  <c r="DW156" i="172"/>
  <c r="DV156" i="172"/>
  <c r="DT156" i="172"/>
  <c r="DS156" i="172"/>
  <c r="DQ156" i="172"/>
  <c r="DP156" i="172"/>
  <c r="DO156" i="172"/>
  <c r="CN156" i="172"/>
  <c r="CL156" i="172"/>
  <c r="CK156" i="172"/>
  <c r="CI156" i="172"/>
  <c r="CH156" i="172"/>
  <c r="CG156" i="172"/>
  <c r="CF156" i="172"/>
  <c r="CE156" i="172"/>
  <c r="CD156" i="172"/>
  <c r="CC156" i="172"/>
  <c r="CB156" i="172"/>
  <c r="CA156" i="172"/>
  <c r="BY156" i="172"/>
  <c r="BX156" i="172"/>
  <c r="BW156" i="172"/>
  <c r="BT156" i="172"/>
  <c r="BS156" i="172"/>
  <c r="AZ156" i="172"/>
  <c r="AV156" i="172" s="1"/>
  <c r="AC156" i="172"/>
  <c r="Y156" i="172" s="1"/>
  <c r="ED155" i="172"/>
  <c r="EC155" i="172"/>
  <c r="EB155" i="172"/>
  <c r="EA155" i="172"/>
  <c r="DZ155" i="172"/>
  <c r="DY155" i="172"/>
  <c r="DX155" i="172"/>
  <c r="DW155" i="172"/>
  <c r="DV155" i="172"/>
  <c r="DT155" i="172"/>
  <c r="DS155" i="172"/>
  <c r="DQ155" i="172"/>
  <c r="DP155" i="172"/>
  <c r="DO155" i="172"/>
  <c r="CR155" i="172"/>
  <c r="CL155" i="172"/>
  <c r="CK155" i="172"/>
  <c r="CI155" i="172"/>
  <c r="CH155" i="172"/>
  <c r="CG155" i="172"/>
  <c r="CF155" i="172"/>
  <c r="CE155" i="172"/>
  <c r="CD155" i="172"/>
  <c r="CC155" i="172"/>
  <c r="CB155" i="172"/>
  <c r="CA155" i="172"/>
  <c r="BY155" i="172"/>
  <c r="BX155" i="172"/>
  <c r="BW155" i="172"/>
  <c r="BT155" i="172"/>
  <c r="BS155" i="172"/>
  <c r="AZ155" i="172"/>
  <c r="AV155" i="172" s="1"/>
  <c r="AC155" i="172"/>
  <c r="ED154" i="172"/>
  <c r="EC154" i="172"/>
  <c r="EB154" i="172"/>
  <c r="EA154" i="172"/>
  <c r="DZ154" i="172"/>
  <c r="DY154" i="172"/>
  <c r="DX154" i="172"/>
  <c r="DW154" i="172"/>
  <c r="DV154" i="172"/>
  <c r="DT154" i="172"/>
  <c r="DS154" i="172"/>
  <c r="DQ154" i="172"/>
  <c r="DP154" i="172"/>
  <c r="DO154" i="172"/>
  <c r="DN154" i="172"/>
  <c r="CN154" i="172"/>
  <c r="H154" i="172" s="1"/>
  <c r="CL154" i="172"/>
  <c r="CK154" i="172"/>
  <c r="CI154" i="172"/>
  <c r="CH154" i="172"/>
  <c r="CG154" i="172"/>
  <c r="CF154" i="172"/>
  <c r="CE154" i="172"/>
  <c r="CD154" i="172"/>
  <c r="CC154" i="172"/>
  <c r="CB154" i="172"/>
  <c r="CA154" i="172"/>
  <c r="BY154" i="172"/>
  <c r="BX154" i="172"/>
  <c r="BW154" i="172"/>
  <c r="BT154" i="172"/>
  <c r="BS154" i="172"/>
  <c r="AV154" i="172"/>
  <c r="AC154" i="172"/>
  <c r="ED153" i="172"/>
  <c r="EB153" i="172"/>
  <c r="EA153" i="172"/>
  <c r="DZ153" i="172"/>
  <c r="DY153" i="172"/>
  <c r="DX153" i="172"/>
  <c r="DW153" i="172"/>
  <c r="DT153" i="172"/>
  <c r="DS153" i="172"/>
  <c r="DQ153" i="172"/>
  <c r="DP153" i="172"/>
  <c r="DO153" i="172"/>
  <c r="CZ153" i="172"/>
  <c r="DV153" i="172" s="1"/>
  <c r="CR153" i="172"/>
  <c r="CN153" i="172" s="1"/>
  <c r="H153" i="172" s="1"/>
  <c r="CL153" i="172"/>
  <c r="CK153" i="172"/>
  <c r="CI153" i="172"/>
  <c r="CH153" i="172"/>
  <c r="CG153" i="172"/>
  <c r="CF153" i="172"/>
  <c r="CE153" i="172"/>
  <c r="CC153" i="172"/>
  <c r="CB153" i="172"/>
  <c r="CA153" i="172"/>
  <c r="BY153" i="172"/>
  <c r="BX153" i="172"/>
  <c r="BW153" i="172"/>
  <c r="BT153" i="172"/>
  <c r="BS153" i="172"/>
  <c r="BH153" i="172"/>
  <c r="CD153" i="172" s="1"/>
  <c r="AZ153" i="172"/>
  <c r="AC153" i="172"/>
  <c r="ED152" i="172"/>
  <c r="EB152" i="172"/>
  <c r="EB200" i="172" s="1"/>
  <c r="EA152" i="172"/>
  <c r="DZ152" i="172"/>
  <c r="DY152" i="172"/>
  <c r="DX152" i="172"/>
  <c r="DW152" i="172"/>
  <c r="DV152" i="172"/>
  <c r="DT152" i="172"/>
  <c r="DS152" i="172"/>
  <c r="DQ152" i="172"/>
  <c r="DP152" i="172"/>
  <c r="DO152" i="172"/>
  <c r="CR152" i="172"/>
  <c r="CL152" i="172"/>
  <c r="CK152" i="172"/>
  <c r="CI152" i="172"/>
  <c r="CH152" i="172"/>
  <c r="CG152" i="172"/>
  <c r="CF152" i="172"/>
  <c r="CE152" i="172"/>
  <c r="CD152" i="172"/>
  <c r="CC152" i="172"/>
  <c r="CB152" i="172"/>
  <c r="CA152" i="172"/>
  <c r="BY152" i="172"/>
  <c r="BX152" i="172"/>
  <c r="BW152" i="172"/>
  <c r="BT152" i="172"/>
  <c r="BS152" i="172"/>
  <c r="AV152" i="172"/>
  <c r="AC152" i="172"/>
  <c r="CN151" i="172"/>
  <c r="H151" i="172" s="1"/>
  <c r="I151" i="172" s="1"/>
  <c r="BV151" i="172"/>
  <c r="BR151" i="172" s="1"/>
  <c r="BQ151" i="172"/>
  <c r="AV151" i="172"/>
  <c r="AU151" i="172" s="1"/>
  <c r="AC151" i="172"/>
  <c r="DN151" i="172" s="1"/>
  <c r="DJ151" i="172" s="1"/>
  <c r="Y151" i="172"/>
  <c r="EB150" i="172"/>
  <c r="EA150" i="172"/>
  <c r="DZ150" i="172"/>
  <c r="DY150" i="172"/>
  <c r="DX150" i="172"/>
  <c r="DW150" i="172"/>
  <c r="DV150" i="172"/>
  <c r="DT150" i="172"/>
  <c r="DS150" i="172"/>
  <c r="DQ150" i="172"/>
  <c r="DP150" i="172"/>
  <c r="DO150" i="172"/>
  <c r="DN150" i="172"/>
  <c r="CK150" i="172"/>
  <c r="CI150" i="172"/>
  <c r="CH150" i="172"/>
  <c r="CG150" i="172"/>
  <c r="CF150" i="172"/>
  <c r="CE150" i="172"/>
  <c r="CD150" i="172"/>
  <c r="CC150" i="172"/>
  <c r="CB150" i="172"/>
  <c r="CA150" i="172"/>
  <c r="BY150" i="172"/>
  <c r="BX150" i="172"/>
  <c r="BW150" i="172"/>
  <c r="BV150" i="172"/>
  <c r="BT150" i="172"/>
  <c r="BS150" i="172"/>
  <c r="BP150" i="172"/>
  <c r="AS150" i="172"/>
  <c r="ED149" i="172"/>
  <c r="EB149" i="172"/>
  <c r="EA149" i="172"/>
  <c r="DZ149" i="172"/>
  <c r="DY149" i="172"/>
  <c r="DX149" i="172"/>
  <c r="DW149" i="172"/>
  <c r="DV149" i="172"/>
  <c r="DT149" i="172"/>
  <c r="DS149" i="172"/>
  <c r="DQ149" i="172"/>
  <c r="DP149" i="172"/>
  <c r="DO149" i="172"/>
  <c r="CN149" i="172"/>
  <c r="CL149" i="172"/>
  <c r="CK149" i="172"/>
  <c r="CI149" i="172"/>
  <c r="CH149" i="172"/>
  <c r="CG149" i="172"/>
  <c r="CF149" i="172"/>
  <c r="CE149" i="172"/>
  <c r="CD149" i="172"/>
  <c r="CC149" i="172"/>
  <c r="CB149" i="172"/>
  <c r="CA149" i="172"/>
  <c r="BY149" i="172"/>
  <c r="BX149" i="172"/>
  <c r="BW149" i="172"/>
  <c r="BT149" i="172"/>
  <c r="BS149" i="172"/>
  <c r="AV149" i="172"/>
  <c r="AU149" i="172"/>
  <c r="BQ149" i="172" s="1"/>
  <c r="AC149" i="172"/>
  <c r="DN149" i="172" s="1"/>
  <c r="Y149" i="172"/>
  <c r="I149" i="172" s="1"/>
  <c r="H149" i="172"/>
  <c r="ED148" i="172"/>
  <c r="EB148" i="172"/>
  <c r="EA148" i="172"/>
  <c r="DZ148" i="172"/>
  <c r="DY148" i="172"/>
  <c r="DX148" i="172"/>
  <c r="DW148" i="172"/>
  <c r="DV148" i="172"/>
  <c r="DT148" i="172"/>
  <c r="DS148" i="172"/>
  <c r="DQ148" i="172"/>
  <c r="DP148" i="172"/>
  <c r="DO148" i="172"/>
  <c r="CR148" i="172"/>
  <c r="CN148" i="172" s="1"/>
  <c r="CL148" i="172"/>
  <c r="CK148" i="172"/>
  <c r="CI148" i="172"/>
  <c r="CH148" i="172"/>
  <c r="CG148" i="172"/>
  <c r="CF148" i="172"/>
  <c r="CE148" i="172"/>
  <c r="CD148" i="172"/>
  <c r="CC148" i="172"/>
  <c r="CB148" i="172"/>
  <c r="CA148" i="172"/>
  <c r="BY148" i="172"/>
  <c r="BX148" i="172"/>
  <c r="BW148" i="172"/>
  <c r="BT148" i="172"/>
  <c r="BS148" i="172"/>
  <c r="AZ148" i="172"/>
  <c r="AV148" i="172" s="1"/>
  <c r="AC148" i="172"/>
  <c r="Y148" i="172"/>
  <c r="ED147" i="172"/>
  <c r="EB147" i="172"/>
  <c r="EA147" i="172"/>
  <c r="DZ147" i="172"/>
  <c r="DX147" i="172"/>
  <c r="DW147" i="172"/>
  <c r="DV147" i="172"/>
  <c r="DT147" i="172"/>
  <c r="DS147" i="172"/>
  <c r="DQ147" i="172"/>
  <c r="DP147" i="172"/>
  <c r="DO147" i="172"/>
  <c r="CL147" i="172"/>
  <c r="CK147" i="172"/>
  <c r="CI147" i="172"/>
  <c r="CH147" i="172"/>
  <c r="CF147" i="172"/>
  <c r="CE147" i="172"/>
  <c r="CD147" i="172"/>
  <c r="CC147" i="172"/>
  <c r="CB147" i="172"/>
  <c r="CA147" i="172"/>
  <c r="BY147" i="172"/>
  <c r="BX147" i="172"/>
  <c r="BW147" i="172"/>
  <c r="BT147" i="172"/>
  <c r="BS147" i="172"/>
  <c r="AN147" i="172"/>
  <c r="AC147" i="172"/>
  <c r="ED146" i="172"/>
  <c r="EB146" i="172"/>
  <c r="EA146" i="172"/>
  <c r="DZ146" i="172"/>
  <c r="DY146" i="172"/>
  <c r="DX146" i="172"/>
  <c r="DW146" i="172"/>
  <c r="DV146" i="172"/>
  <c r="DT146" i="172"/>
  <c r="DS146" i="172"/>
  <c r="DQ146" i="172"/>
  <c r="DP146" i="172"/>
  <c r="DO146" i="172"/>
  <c r="CN146" i="172"/>
  <c r="CL146" i="172"/>
  <c r="CK146" i="172"/>
  <c r="CI146" i="172"/>
  <c r="CH146" i="172"/>
  <c r="CG146" i="172"/>
  <c r="CF146" i="172"/>
  <c r="CE146" i="172"/>
  <c r="CD146" i="172"/>
  <c r="CC146" i="172"/>
  <c r="CB146" i="172"/>
  <c r="CA146" i="172"/>
  <c r="BY146" i="172"/>
  <c r="BX146" i="172"/>
  <c r="BW146" i="172"/>
  <c r="BT146" i="172"/>
  <c r="BS146" i="172"/>
  <c r="AV146" i="172"/>
  <c r="AC146" i="172"/>
  <c r="H146" i="172"/>
  <c r="ED145" i="172"/>
  <c r="EB145" i="172"/>
  <c r="EA145" i="172"/>
  <c r="DZ145" i="172"/>
  <c r="DY145" i="172"/>
  <c r="DX145" i="172"/>
  <c r="DW145" i="172"/>
  <c r="DV145" i="172"/>
  <c r="DT145" i="172"/>
  <c r="DS145" i="172"/>
  <c r="DQ145" i="172"/>
  <c r="DP145" i="172"/>
  <c r="DO145" i="172"/>
  <c r="CN145" i="172"/>
  <c r="CL145" i="172"/>
  <c r="CK145" i="172"/>
  <c r="CI145" i="172"/>
  <c r="CH145" i="172"/>
  <c r="CG145" i="172"/>
  <c r="CF145" i="172"/>
  <c r="CE145" i="172"/>
  <c r="CD145" i="172"/>
  <c r="CC145" i="172"/>
  <c r="CB145" i="172"/>
  <c r="CA145" i="172"/>
  <c r="BY145" i="172"/>
  <c r="BX145" i="172"/>
  <c r="BW145" i="172"/>
  <c r="BT145" i="172"/>
  <c r="BS145" i="172"/>
  <c r="AV145" i="172"/>
  <c r="AC145" i="172"/>
  <c r="DN145" i="172" s="1"/>
  <c r="H145" i="172"/>
  <c r="ED144" i="172"/>
  <c r="EB144" i="172"/>
  <c r="EA144" i="172"/>
  <c r="DZ144" i="172"/>
  <c r="DY144" i="172"/>
  <c r="DX144" i="172"/>
  <c r="DW144" i="172"/>
  <c r="DV144" i="172"/>
  <c r="DT144" i="172"/>
  <c r="DS144" i="172"/>
  <c r="DQ144" i="172"/>
  <c r="DP144" i="172"/>
  <c r="DO144" i="172"/>
  <c r="DN144" i="172"/>
  <c r="CN144" i="172"/>
  <c r="CM144" i="172" s="1"/>
  <c r="DI144" i="172" s="1"/>
  <c r="CL144" i="172"/>
  <c r="CK144" i="172"/>
  <c r="CI144" i="172"/>
  <c r="CH144" i="172"/>
  <c r="CG144" i="172"/>
  <c r="CF144" i="172"/>
  <c r="CE144" i="172"/>
  <c r="CD144" i="172"/>
  <c r="CC144" i="172"/>
  <c r="CB144" i="172"/>
  <c r="CA144" i="172"/>
  <c r="BY144" i="172"/>
  <c r="BX144" i="172"/>
  <c r="BW144" i="172"/>
  <c r="BV144" i="172"/>
  <c r="BT144" i="172"/>
  <c r="BS144" i="172"/>
  <c r="BQ144" i="172"/>
  <c r="AV144" i="172"/>
  <c r="AU144" i="172" s="1"/>
  <c r="AC144" i="172"/>
  <c r="Y144" i="172"/>
  <c r="I144" i="172"/>
  <c r="H144" i="172"/>
  <c r="ED143" i="172"/>
  <c r="EB143" i="172"/>
  <c r="EA143" i="172"/>
  <c r="DZ143" i="172"/>
  <c r="DY143" i="172"/>
  <c r="DX143" i="172"/>
  <c r="DW143" i="172"/>
  <c r="DV143" i="172"/>
  <c r="DT143" i="172"/>
  <c r="DS143" i="172"/>
  <c r="DQ143" i="172"/>
  <c r="DP143" i="172"/>
  <c r="DO143" i="172"/>
  <c r="CN143" i="172"/>
  <c r="CL143" i="172"/>
  <c r="CK143" i="172"/>
  <c r="CI143" i="172"/>
  <c r="CH143" i="172"/>
  <c r="CG143" i="172"/>
  <c r="CF143" i="172"/>
  <c r="CE143" i="172"/>
  <c r="CD143" i="172"/>
  <c r="CC143" i="172"/>
  <c r="CB143" i="172"/>
  <c r="CA143" i="172"/>
  <c r="BY143" i="172"/>
  <c r="BX143" i="172"/>
  <c r="BW143" i="172"/>
  <c r="BT143" i="172"/>
  <c r="BS143" i="172"/>
  <c r="AV143" i="172"/>
  <c r="AC143" i="172"/>
  <c r="H143" i="172"/>
  <c r="ED142" i="172"/>
  <c r="EB142" i="172"/>
  <c r="EA142" i="172"/>
  <c r="DZ142" i="172"/>
  <c r="DY142" i="172"/>
  <c r="DX142" i="172"/>
  <c r="DW142" i="172"/>
  <c r="DV142" i="172"/>
  <c r="DT142" i="172"/>
  <c r="DS142" i="172"/>
  <c r="DQ142" i="172"/>
  <c r="DP142" i="172"/>
  <c r="DO142" i="172"/>
  <c r="CN142" i="172"/>
  <c r="H142" i="172" s="1"/>
  <c r="CL142" i="172"/>
  <c r="CK142" i="172"/>
  <c r="CI142" i="172"/>
  <c r="CH142" i="172"/>
  <c r="CG142" i="172"/>
  <c r="CF142" i="172"/>
  <c r="CE142" i="172"/>
  <c r="CD142" i="172"/>
  <c r="CC142" i="172"/>
  <c r="CB142" i="172"/>
  <c r="CA142" i="172"/>
  <c r="BY142" i="172"/>
  <c r="BX142" i="172"/>
  <c r="BW142" i="172"/>
  <c r="BT142" i="172"/>
  <c r="BS142" i="172"/>
  <c r="AZ142" i="172"/>
  <c r="AV142" i="172"/>
  <c r="AC142" i="172"/>
  <c r="DN142" i="172" s="1"/>
  <c r="ED141" i="172"/>
  <c r="EB141" i="172"/>
  <c r="EA141" i="172"/>
  <c r="DZ141" i="172"/>
  <c r="DY141" i="172"/>
  <c r="DX141" i="172"/>
  <c r="DW141" i="172"/>
  <c r="DV141" i="172"/>
  <c r="DT141" i="172"/>
  <c r="DS141" i="172"/>
  <c r="DQ141" i="172"/>
  <c r="DP141" i="172"/>
  <c r="DO141" i="172"/>
  <c r="CN141" i="172"/>
  <c r="CL141" i="172"/>
  <c r="CK141" i="172"/>
  <c r="CI141" i="172"/>
  <c r="CH141" i="172"/>
  <c r="CG141" i="172"/>
  <c r="CF141" i="172"/>
  <c r="CE141" i="172"/>
  <c r="CD141" i="172"/>
  <c r="CC141" i="172"/>
  <c r="CB141" i="172"/>
  <c r="CA141" i="172"/>
  <c r="BY141" i="172"/>
  <c r="BX141" i="172"/>
  <c r="BW141" i="172"/>
  <c r="BT141" i="172"/>
  <c r="BS141" i="172"/>
  <c r="AV141" i="172"/>
  <c r="AC141" i="172"/>
  <c r="H141" i="172"/>
  <c r="ED140" i="172"/>
  <c r="EB140" i="172"/>
  <c r="EA140" i="172"/>
  <c r="DZ140" i="172"/>
  <c r="DY140" i="172"/>
  <c r="DX140" i="172"/>
  <c r="DW140" i="172"/>
  <c r="DV140" i="172"/>
  <c r="DT140" i="172"/>
  <c r="DS140" i="172"/>
  <c r="DQ140" i="172"/>
  <c r="DP140" i="172"/>
  <c r="DO140" i="172"/>
  <c r="CN140" i="172"/>
  <c r="CL140" i="172"/>
  <c r="CK140" i="172"/>
  <c r="CI140" i="172"/>
  <c r="CH140" i="172"/>
  <c r="CG140" i="172"/>
  <c r="CF140" i="172"/>
  <c r="CE140" i="172"/>
  <c r="CD140" i="172"/>
  <c r="CC140" i="172"/>
  <c r="CB140" i="172"/>
  <c r="CA140" i="172"/>
  <c r="BY140" i="172"/>
  <c r="BX140" i="172"/>
  <c r="BW140" i="172"/>
  <c r="BT140" i="172"/>
  <c r="BS140" i="172"/>
  <c r="AV140" i="172"/>
  <c r="AC140" i="172"/>
  <c r="DN140" i="172" s="1"/>
  <c r="H140" i="172"/>
  <c r="ED139" i="172"/>
  <c r="EB139" i="172"/>
  <c r="EA139" i="172"/>
  <c r="DZ139" i="172"/>
  <c r="DY139" i="172"/>
  <c r="DX139" i="172"/>
  <c r="DW139" i="172"/>
  <c r="DV139" i="172"/>
  <c r="DT139" i="172"/>
  <c r="DS139" i="172"/>
  <c r="DQ139" i="172"/>
  <c r="DP139" i="172"/>
  <c r="DO139" i="172"/>
  <c r="DN139" i="172"/>
  <c r="CN139" i="172"/>
  <c r="CL139" i="172"/>
  <c r="CK139" i="172"/>
  <c r="CI139" i="172"/>
  <c r="CH139" i="172"/>
  <c r="CG139" i="172"/>
  <c r="CF139" i="172"/>
  <c r="CE139" i="172"/>
  <c r="CD139" i="172"/>
  <c r="CC139" i="172"/>
  <c r="CB139" i="172"/>
  <c r="CA139" i="172"/>
  <c r="BY139" i="172"/>
  <c r="BX139" i="172"/>
  <c r="BW139" i="172"/>
  <c r="BV139" i="172"/>
  <c r="BT139" i="172"/>
  <c r="BS139" i="172"/>
  <c r="AV139" i="172"/>
  <c r="AC139" i="172"/>
  <c r="Y139" i="172" s="1"/>
  <c r="ED138" i="172"/>
  <c r="EB138" i="172"/>
  <c r="EA138" i="172"/>
  <c r="DZ138" i="172"/>
  <c r="DY138" i="172"/>
  <c r="DX138" i="172"/>
  <c r="DW138" i="172"/>
  <c r="DV138" i="172"/>
  <c r="DU138" i="172"/>
  <c r="DT138" i="172"/>
  <c r="DS138" i="172"/>
  <c r="DQ138" i="172"/>
  <c r="DP138" i="172"/>
  <c r="DO138" i="172"/>
  <c r="DN138" i="172"/>
  <c r="DJ138" i="172" s="1"/>
  <c r="CN138" i="172"/>
  <c r="CL138" i="172"/>
  <c r="CK138" i="172"/>
  <c r="CI138" i="172"/>
  <c r="CH138" i="172"/>
  <c r="CG138" i="172"/>
  <c r="CF138" i="172"/>
  <c r="CE138" i="172"/>
  <c r="CD138" i="172"/>
  <c r="CC138" i="172"/>
  <c r="CB138" i="172"/>
  <c r="CA138" i="172"/>
  <c r="BY138" i="172"/>
  <c r="BX138" i="172"/>
  <c r="BW138" i="172"/>
  <c r="BV138" i="172"/>
  <c r="BT138" i="172"/>
  <c r="BS138" i="172"/>
  <c r="AV138" i="172"/>
  <c r="AU138" i="172" s="1"/>
  <c r="BQ138" i="172" s="1"/>
  <c r="Y138" i="172"/>
  <c r="CM138" i="172" s="1"/>
  <c r="DI138" i="172" s="1"/>
  <c r="H138" i="172"/>
  <c r="ED137" i="172"/>
  <c r="EB137" i="172"/>
  <c r="EA137" i="172"/>
  <c r="DZ137" i="172"/>
  <c r="DY137" i="172"/>
  <c r="DX137" i="172"/>
  <c r="DW137" i="172"/>
  <c r="DV137" i="172"/>
  <c r="DU137" i="172"/>
  <c r="DT137" i="172"/>
  <c r="DS137" i="172"/>
  <c r="DQ137" i="172"/>
  <c r="DP137" i="172"/>
  <c r="DO137" i="172"/>
  <c r="CN137" i="172"/>
  <c r="H137" i="172" s="1"/>
  <c r="CL137" i="172"/>
  <c r="CK137" i="172"/>
  <c r="CJ137" i="172"/>
  <c r="CI137" i="172"/>
  <c r="CH137" i="172"/>
  <c r="CG137" i="172"/>
  <c r="CF137" i="172"/>
  <c r="CE137" i="172"/>
  <c r="CD137" i="172"/>
  <c r="CC137" i="172"/>
  <c r="CB137" i="172"/>
  <c r="CA137" i="172"/>
  <c r="BY137" i="172"/>
  <c r="BX137" i="172"/>
  <c r="BW137" i="172"/>
  <c r="BT137" i="172"/>
  <c r="BS137" i="172"/>
  <c r="AV137" i="172"/>
  <c r="AC137" i="172"/>
  <c r="ED136" i="172"/>
  <c r="EB136" i="172"/>
  <c r="EA136" i="172"/>
  <c r="DZ136" i="172"/>
  <c r="DY136" i="172"/>
  <c r="DX136" i="172"/>
  <c r="DW136" i="172"/>
  <c r="DV136" i="172"/>
  <c r="DT136" i="172"/>
  <c r="DS136" i="172"/>
  <c r="DQ136" i="172"/>
  <c r="DP136" i="172"/>
  <c r="DO136" i="172"/>
  <c r="CN136" i="172"/>
  <c r="CL136" i="172"/>
  <c r="CI136" i="172"/>
  <c r="CH136" i="172"/>
  <c r="CG136" i="172"/>
  <c r="CF136" i="172"/>
  <c r="CE136" i="172"/>
  <c r="CD136" i="172"/>
  <c r="CC136" i="172"/>
  <c r="CB136" i="172"/>
  <c r="CA136" i="172"/>
  <c r="BY136" i="172"/>
  <c r="BX136" i="172"/>
  <c r="BW136" i="172"/>
  <c r="BT136" i="172"/>
  <c r="BS136" i="172"/>
  <c r="AV136" i="172"/>
  <c r="AC136" i="172"/>
  <c r="H136" i="172"/>
  <c r="ED135" i="172"/>
  <c r="EB135" i="172"/>
  <c r="EA135" i="172"/>
  <c r="DZ135" i="172"/>
  <c r="DY135" i="172"/>
  <c r="DX135" i="172"/>
  <c r="DW135" i="172"/>
  <c r="DV135" i="172"/>
  <c r="DT135" i="172"/>
  <c r="DS135" i="172"/>
  <c r="DQ135" i="172"/>
  <c r="DP135" i="172"/>
  <c r="CS135" i="172"/>
  <c r="CS199" i="172" s="1"/>
  <c r="CR135" i="172"/>
  <c r="CL135" i="172"/>
  <c r="CI135" i="172"/>
  <c r="CH135" i="172"/>
  <c r="CG135" i="172"/>
  <c r="CF135" i="172"/>
  <c r="CE135" i="172"/>
  <c r="CD135" i="172"/>
  <c r="CC135" i="172"/>
  <c r="CB135" i="172"/>
  <c r="CA135" i="172"/>
  <c r="BY135" i="172"/>
  <c r="BX135" i="172"/>
  <c r="BT135" i="172"/>
  <c r="BS135" i="172"/>
  <c r="BA135" i="172"/>
  <c r="BA199" i="172" s="1"/>
  <c r="AD135" i="172"/>
  <c r="AD199" i="172" s="1"/>
  <c r="AC135" i="172"/>
  <c r="Y135" i="172"/>
  <c r="ED134" i="172"/>
  <c r="EB134" i="172"/>
  <c r="EA134" i="172"/>
  <c r="DY134" i="172"/>
  <c r="DX134" i="172"/>
  <c r="DW134" i="172"/>
  <c r="DV134" i="172"/>
  <c r="DT134" i="172"/>
  <c r="DS134" i="172"/>
  <c r="DQ134" i="172"/>
  <c r="DP134" i="172"/>
  <c r="DO134" i="172"/>
  <c r="DD134" i="172"/>
  <c r="DD199" i="172" s="1"/>
  <c r="CR134" i="172"/>
  <c r="CL134" i="172"/>
  <c r="CI134" i="172"/>
  <c r="CG134" i="172"/>
  <c r="CF134" i="172"/>
  <c r="CE134" i="172"/>
  <c r="CD134" i="172"/>
  <c r="CC134" i="172"/>
  <c r="CB134" i="172"/>
  <c r="CA134" i="172"/>
  <c r="BY134" i="172"/>
  <c r="BX134" i="172"/>
  <c r="BW134" i="172"/>
  <c r="BT134" i="172"/>
  <c r="BS134" i="172"/>
  <c r="BL134" i="172"/>
  <c r="AC134" i="172"/>
  <c r="Y134" i="172"/>
  <c r="ED133" i="172"/>
  <c r="EB133" i="172"/>
  <c r="EA133" i="172"/>
  <c r="DZ133" i="172"/>
  <c r="DY133" i="172"/>
  <c r="DX133" i="172"/>
  <c r="DW133" i="172"/>
  <c r="DV133" i="172"/>
  <c r="DT133" i="172"/>
  <c r="DS133" i="172"/>
  <c r="DQ133" i="172"/>
  <c r="DP133" i="172"/>
  <c r="DO133" i="172"/>
  <c r="DN133" i="172"/>
  <c r="CN133" i="172"/>
  <c r="CL133" i="172"/>
  <c r="CI133" i="172"/>
  <c r="CH133" i="172"/>
  <c r="CG133" i="172"/>
  <c r="CF133" i="172"/>
  <c r="CE133" i="172"/>
  <c r="CD133" i="172"/>
  <c r="CC133" i="172"/>
  <c r="CB133" i="172"/>
  <c r="CA133" i="172"/>
  <c r="BY133" i="172"/>
  <c r="BX133" i="172"/>
  <c r="BW133" i="172"/>
  <c r="BV133" i="172"/>
  <c r="BT133" i="172"/>
  <c r="BS133" i="172"/>
  <c r="AV133" i="172"/>
  <c r="Y133" i="172"/>
  <c r="ED132" i="172"/>
  <c r="EB132" i="172"/>
  <c r="EA132" i="172"/>
  <c r="DY132" i="172"/>
  <c r="DX132" i="172"/>
  <c r="DW132" i="172"/>
  <c r="DV132" i="172"/>
  <c r="DT132" i="172"/>
  <c r="DS132" i="172"/>
  <c r="DQ132" i="172"/>
  <c r="DO132" i="172"/>
  <c r="DN132" i="172"/>
  <c r="CN132" i="172"/>
  <c r="H132" i="172" s="1"/>
  <c r="CL132" i="172"/>
  <c r="CI132" i="172"/>
  <c r="CG132" i="172"/>
  <c r="CF132" i="172"/>
  <c r="CE132" i="172"/>
  <c r="CD132" i="172"/>
  <c r="CC132" i="172"/>
  <c r="CB132" i="172"/>
  <c r="CA132" i="172"/>
  <c r="BY132" i="172"/>
  <c r="BW132" i="172"/>
  <c r="BV132" i="172"/>
  <c r="BT132" i="172"/>
  <c r="BS132" i="172"/>
  <c r="AV132" i="172"/>
  <c r="AO132" i="172"/>
  <c r="AE132" i="172"/>
  <c r="AC132" i="172"/>
  <c r="ED131" i="172"/>
  <c r="EB131" i="172"/>
  <c r="EA131" i="172"/>
  <c r="DZ131" i="172"/>
  <c r="DY131" i="172"/>
  <c r="DX131" i="172"/>
  <c r="DW131" i="172"/>
  <c r="DV131" i="172"/>
  <c r="DT131" i="172"/>
  <c r="DS131" i="172"/>
  <c r="DQ131" i="172"/>
  <c r="DP131" i="172"/>
  <c r="DO131" i="172"/>
  <c r="DN131" i="172"/>
  <c r="CT131" i="172"/>
  <c r="CN131" i="172" s="1"/>
  <c r="CL131" i="172"/>
  <c r="CI131" i="172"/>
  <c r="CH131" i="172"/>
  <c r="CG131" i="172"/>
  <c r="CF131" i="172"/>
  <c r="CE131" i="172"/>
  <c r="CD131" i="172"/>
  <c r="CC131" i="172"/>
  <c r="CB131" i="172"/>
  <c r="CA131" i="172"/>
  <c r="BY131" i="172"/>
  <c r="BW131" i="172"/>
  <c r="BV131" i="172"/>
  <c r="BT131" i="172"/>
  <c r="BS131" i="172"/>
  <c r="BB131" i="172"/>
  <c r="Y131" i="172"/>
  <c r="ED130" i="172"/>
  <c r="EB130" i="172"/>
  <c r="EA130" i="172"/>
  <c r="DZ130" i="172"/>
  <c r="DY130" i="172"/>
  <c r="DX130" i="172"/>
  <c r="DW130" i="172"/>
  <c r="DV130" i="172"/>
  <c r="DT130" i="172"/>
  <c r="DS130" i="172"/>
  <c r="DQ130" i="172"/>
  <c r="DP130" i="172"/>
  <c r="DO130" i="172"/>
  <c r="DN130" i="172"/>
  <c r="CT130" i="172"/>
  <c r="CL130" i="172"/>
  <c r="CI130" i="172"/>
  <c r="CH130" i="172"/>
  <c r="CG130" i="172"/>
  <c r="CF130" i="172"/>
  <c r="CE130" i="172"/>
  <c r="CD130" i="172"/>
  <c r="CC130" i="172"/>
  <c r="CB130" i="172"/>
  <c r="CA130" i="172"/>
  <c r="BY130" i="172"/>
  <c r="BW130" i="172"/>
  <c r="BV130" i="172"/>
  <c r="BT130" i="172"/>
  <c r="BS130" i="172"/>
  <c r="BB130" i="172"/>
  <c r="BX130" i="172" s="1"/>
  <c r="Y130" i="172"/>
  <c r="EC129" i="172"/>
  <c r="DU129" i="172"/>
  <c r="DR129" i="172"/>
  <c r="DO129" i="172"/>
  <c r="DG129" i="172"/>
  <c r="DF129" i="172"/>
  <c r="DA129" i="172"/>
  <c r="CZ129" i="172"/>
  <c r="CY129" i="172"/>
  <c r="CX129" i="172"/>
  <c r="CW129" i="172"/>
  <c r="CU129" i="172"/>
  <c r="CT129" i="172"/>
  <c r="CR129" i="172"/>
  <c r="CP129" i="172"/>
  <c r="CK129" i="172"/>
  <c r="CJ129" i="172"/>
  <c r="BZ129" i="172"/>
  <c r="BW129" i="172"/>
  <c r="BO129" i="172"/>
  <c r="BN129" i="172"/>
  <c r="BI129" i="172"/>
  <c r="BH129" i="172"/>
  <c r="BG129" i="172"/>
  <c r="BF129" i="172"/>
  <c r="BE129" i="172"/>
  <c r="BD129" i="172"/>
  <c r="BC129" i="172"/>
  <c r="BB129" i="172"/>
  <c r="AZ129" i="172"/>
  <c r="AX129" i="172"/>
  <c r="AR129" i="172"/>
  <c r="AQ129" i="172"/>
  <c r="AP129" i="172"/>
  <c r="AN129" i="172"/>
  <c r="AM129" i="172"/>
  <c r="AL129" i="172"/>
  <c r="AK129" i="172"/>
  <c r="AJ129" i="172"/>
  <c r="AI129" i="172"/>
  <c r="AH129" i="172"/>
  <c r="AG129" i="172"/>
  <c r="AF129" i="172"/>
  <c r="AE129" i="172"/>
  <c r="AD129" i="172"/>
  <c r="AC129" i="172"/>
  <c r="AB129" i="172"/>
  <c r="Z129" i="172"/>
  <c r="G129" i="172"/>
  <c r="ED128" i="172"/>
  <c r="EB128" i="172"/>
  <c r="EA128" i="172"/>
  <c r="DZ128" i="172"/>
  <c r="DY128" i="172"/>
  <c r="DW128" i="172"/>
  <c r="DV128" i="172"/>
  <c r="DT128" i="172"/>
  <c r="DS128" i="172"/>
  <c r="DQ128" i="172"/>
  <c r="DP128" i="172"/>
  <c r="DN128" i="172"/>
  <c r="DK128" i="172"/>
  <c r="DB128" i="172"/>
  <c r="CL128" i="172"/>
  <c r="CI128" i="172"/>
  <c r="CH128" i="172"/>
  <c r="CG128" i="172"/>
  <c r="CE128" i="172"/>
  <c r="CD128" i="172"/>
  <c r="BY128" i="172"/>
  <c r="BX128" i="172"/>
  <c r="BV128" i="172"/>
  <c r="BT128" i="172"/>
  <c r="BS128" i="172"/>
  <c r="BJ128" i="172"/>
  <c r="AV128" i="172" s="1"/>
  <c r="Y128" i="172"/>
  <c r="ED127" i="172"/>
  <c r="EB127" i="172"/>
  <c r="DZ127" i="172"/>
  <c r="DX127" i="172"/>
  <c r="DW127" i="172"/>
  <c r="DV127" i="172"/>
  <c r="DT127" i="172"/>
  <c r="DS127" i="172"/>
  <c r="DQ127" i="172"/>
  <c r="DP127" i="172"/>
  <c r="DN127" i="172"/>
  <c r="DK127" i="172"/>
  <c r="DE127" i="172"/>
  <c r="EA127" i="172" s="1"/>
  <c r="DC127" i="172"/>
  <c r="CL127" i="172"/>
  <c r="CH127" i="172"/>
  <c r="CF127" i="172"/>
  <c r="CE127" i="172"/>
  <c r="CD127" i="172"/>
  <c r="BY127" i="172"/>
  <c r="BX127" i="172"/>
  <c r="BV127" i="172"/>
  <c r="BT127" i="172"/>
  <c r="BS127" i="172"/>
  <c r="BM127" i="172"/>
  <c r="CI127" i="172" s="1"/>
  <c r="BK127" i="172"/>
  <c r="Y127" i="172"/>
  <c r="ED126" i="172"/>
  <c r="EB126" i="172"/>
  <c r="DZ126" i="172"/>
  <c r="DY126" i="172"/>
  <c r="DX126" i="172"/>
  <c r="DW126" i="172"/>
  <c r="DV126" i="172"/>
  <c r="DT126" i="172"/>
  <c r="DS126" i="172"/>
  <c r="DQ126" i="172"/>
  <c r="DP126" i="172"/>
  <c r="DN126" i="172"/>
  <c r="DK126" i="172"/>
  <c r="DE126" i="172"/>
  <c r="EA126" i="172" s="1"/>
  <c r="CL126" i="172"/>
  <c r="CH126" i="172"/>
  <c r="CG126" i="172"/>
  <c r="CF126" i="172"/>
  <c r="CE126" i="172"/>
  <c r="CD126" i="172"/>
  <c r="BY126" i="172"/>
  <c r="BX126" i="172"/>
  <c r="BV126" i="172"/>
  <c r="BT126" i="172"/>
  <c r="BS126" i="172"/>
  <c r="BM126" i="172"/>
  <c r="CI126" i="172" s="1"/>
  <c r="AV126" i="172"/>
  <c r="Y126" i="172"/>
  <c r="ED124" i="172"/>
  <c r="EB124" i="172"/>
  <c r="DW124" i="172"/>
  <c r="DV124" i="172"/>
  <c r="DT124" i="172"/>
  <c r="DS124" i="172"/>
  <c r="DQ124" i="172"/>
  <c r="DP124" i="172"/>
  <c r="DN124" i="172"/>
  <c r="DE124" i="172"/>
  <c r="EA124" i="172" s="1"/>
  <c r="CL124" i="172"/>
  <c r="CE124" i="172"/>
  <c r="CD124" i="172"/>
  <c r="BY124" i="172"/>
  <c r="BX124" i="172"/>
  <c r="BV124" i="172"/>
  <c r="BT124" i="172"/>
  <c r="BM124" i="172"/>
  <c r="CI124" i="172" s="1"/>
  <c r="BK124" i="172"/>
  <c r="BJ124" i="172"/>
  <c r="CF124" i="172" s="1"/>
  <c r="AO124" i="172"/>
  <c r="AO129" i="172" s="1"/>
  <c r="EB122" i="172"/>
  <c r="EA122" i="172"/>
  <c r="DZ122" i="172"/>
  <c r="DY122" i="172"/>
  <c r="DW122" i="172"/>
  <c r="DV122" i="172"/>
  <c r="DT122" i="172"/>
  <c r="DS122" i="172"/>
  <c r="DQ122" i="172"/>
  <c r="DP122" i="172"/>
  <c r="DN122" i="172"/>
  <c r="DK122" i="172"/>
  <c r="DH122" i="172"/>
  <c r="CN122" i="172" s="1"/>
  <c r="H122" i="172" s="1"/>
  <c r="CI122" i="172"/>
  <c r="CH122" i="172"/>
  <c r="CG122" i="172"/>
  <c r="CE122" i="172"/>
  <c r="CD122" i="172"/>
  <c r="BY122" i="172"/>
  <c r="BX122" i="172"/>
  <c r="BV122" i="172"/>
  <c r="BT122" i="172"/>
  <c r="BS122" i="172"/>
  <c r="BJ122" i="172"/>
  <c r="AS122" i="172"/>
  <c r="AM122" i="172"/>
  <c r="AM206" i="172" s="1"/>
  <c r="EB118" i="172"/>
  <c r="EA118" i="172"/>
  <c r="DZ118" i="172"/>
  <c r="DY118" i="172"/>
  <c r="DW118" i="172"/>
  <c r="DV118" i="172"/>
  <c r="DT118" i="172"/>
  <c r="DS118" i="172"/>
  <c r="DQ118" i="172"/>
  <c r="DP118" i="172"/>
  <c r="DN118" i="172"/>
  <c r="DK118" i="172"/>
  <c r="CI118" i="172"/>
  <c r="CH118" i="172"/>
  <c r="CG118" i="172"/>
  <c r="CE118" i="172"/>
  <c r="CD118" i="172"/>
  <c r="CC118" i="172"/>
  <c r="CB118" i="172"/>
  <c r="CA118" i="172"/>
  <c r="BY118" i="172"/>
  <c r="BX118" i="172"/>
  <c r="BV118" i="172"/>
  <c r="BT118" i="172"/>
  <c r="BS118" i="172"/>
  <c r="BP118" i="172"/>
  <c r="BJ118" i="172"/>
  <c r="CF118" i="172" s="1"/>
  <c r="AS118" i="172"/>
  <c r="Y118" i="172"/>
  <c r="EB115" i="172"/>
  <c r="EA115" i="172"/>
  <c r="DZ115" i="172"/>
  <c r="DY115" i="172"/>
  <c r="DW115" i="172"/>
  <c r="DV115" i="172"/>
  <c r="DT115" i="172"/>
  <c r="DS115" i="172"/>
  <c r="DQ115" i="172"/>
  <c r="DP115" i="172"/>
  <c r="DN115" i="172"/>
  <c r="DK115" i="172"/>
  <c r="CI115" i="172"/>
  <c r="CH115" i="172"/>
  <c r="CG115" i="172"/>
  <c r="CE115" i="172"/>
  <c r="CD115" i="172"/>
  <c r="CC115" i="172"/>
  <c r="CB115" i="172"/>
  <c r="CA115" i="172"/>
  <c r="BY115" i="172"/>
  <c r="BX115" i="172"/>
  <c r="BV115" i="172"/>
  <c r="BT115" i="172"/>
  <c r="BS115" i="172"/>
  <c r="BP115" i="172"/>
  <c r="BJ115" i="172"/>
  <c r="AS115" i="172"/>
  <c r="DZ114" i="172"/>
  <c r="DJ114" i="172" s="1"/>
  <c r="CN114" i="172"/>
  <c r="H114" i="172" s="1"/>
  <c r="CM114" i="172"/>
  <c r="DI114" i="172" s="1"/>
  <c r="CH114" i="172"/>
  <c r="BR114" i="172" s="1"/>
  <c r="AV114" i="172"/>
  <c r="Y114" i="172"/>
  <c r="I114" i="172" s="1"/>
  <c r="ED113" i="172"/>
  <c r="DP113" i="172"/>
  <c r="DK113" i="172"/>
  <c r="DC113" i="172"/>
  <c r="CN113" i="172" s="1"/>
  <c r="CL113" i="172"/>
  <c r="CH113" i="172"/>
  <c r="CG113" i="172"/>
  <c r="CF113" i="172"/>
  <c r="CE113" i="172"/>
  <c r="BV113" i="172"/>
  <c r="BT113" i="172"/>
  <c r="BS113" i="172"/>
  <c r="BK113" i="172"/>
  <c r="AV113" i="172"/>
  <c r="Y113" i="172"/>
  <c r="ED112" i="172"/>
  <c r="DY112" i="172"/>
  <c r="DP112" i="172"/>
  <c r="CL112" i="172"/>
  <c r="CH112" i="172"/>
  <c r="CG112" i="172"/>
  <c r="CF112" i="172"/>
  <c r="CE112" i="172"/>
  <c r="BV112" i="172"/>
  <c r="BT112" i="172"/>
  <c r="AW112" i="172"/>
  <c r="AV112" i="172" s="1"/>
  <c r="AU112" i="172" s="1"/>
  <c r="BQ112" i="172" s="1"/>
  <c r="Y112" i="172"/>
  <c r="ED111" i="172"/>
  <c r="EB111" i="172"/>
  <c r="DZ111" i="172"/>
  <c r="DY111" i="172"/>
  <c r="DX111" i="172"/>
  <c r="DW111" i="172"/>
  <c r="DV111" i="172"/>
  <c r="DT111" i="172"/>
  <c r="DS111" i="172"/>
  <c r="DQ111" i="172"/>
  <c r="DP111" i="172"/>
  <c r="DN111" i="172"/>
  <c r="DK111" i="172"/>
  <c r="CL111" i="172"/>
  <c r="CH111" i="172"/>
  <c r="CG111" i="172"/>
  <c r="CE111" i="172"/>
  <c r="CD111" i="172"/>
  <c r="CC111" i="172"/>
  <c r="CB111" i="172"/>
  <c r="CA111" i="172"/>
  <c r="BY111" i="172"/>
  <c r="BX111" i="172"/>
  <c r="BV111" i="172"/>
  <c r="BT111" i="172"/>
  <c r="BS111" i="172"/>
  <c r="BM111" i="172"/>
  <c r="CI111" i="172" s="1"/>
  <c r="BJ111" i="172"/>
  <c r="Y111" i="172"/>
  <c r="ED110" i="172"/>
  <c r="EB110" i="172"/>
  <c r="EA110" i="172"/>
  <c r="DZ110" i="172"/>
  <c r="DY110" i="172"/>
  <c r="DX110" i="172"/>
  <c r="DW110" i="172"/>
  <c r="DV110" i="172"/>
  <c r="DT110" i="172"/>
  <c r="DS110" i="172"/>
  <c r="DQ110" i="172"/>
  <c r="DP110" i="172"/>
  <c r="DN110" i="172"/>
  <c r="DK110" i="172"/>
  <c r="CN110" i="172"/>
  <c r="H110" i="172" s="1"/>
  <c r="CM110" i="172"/>
  <c r="DI110" i="172" s="1"/>
  <c r="CL110" i="172"/>
  <c r="CI110" i="172"/>
  <c r="CH110" i="172"/>
  <c r="CG110" i="172"/>
  <c r="CF110" i="172"/>
  <c r="CE110" i="172"/>
  <c r="CD110" i="172"/>
  <c r="CC110" i="172"/>
  <c r="CB110" i="172"/>
  <c r="CA110" i="172"/>
  <c r="BY110" i="172"/>
  <c r="BX110" i="172"/>
  <c r="BV110" i="172"/>
  <c r="BT110" i="172"/>
  <c r="BR110" i="172" s="1"/>
  <c r="BS110" i="172"/>
  <c r="AV110" i="172"/>
  <c r="AU110" i="172" s="1"/>
  <c r="BQ110" i="172" s="1"/>
  <c r="Y110" i="172"/>
  <c r="EB109" i="172"/>
  <c r="EA109" i="172"/>
  <c r="DZ109" i="172"/>
  <c r="DY109" i="172"/>
  <c r="DX109" i="172"/>
  <c r="DW109" i="172"/>
  <c r="DV109" i="172"/>
  <c r="DT109" i="172"/>
  <c r="DS109" i="172"/>
  <c r="DQ109" i="172"/>
  <c r="DP109" i="172"/>
  <c r="DN109" i="172"/>
  <c r="DK109" i="172"/>
  <c r="CI109" i="172"/>
  <c r="CH109" i="172"/>
  <c r="CG109" i="172"/>
  <c r="CF109" i="172"/>
  <c r="CE109" i="172"/>
  <c r="CD109" i="172"/>
  <c r="CC109" i="172"/>
  <c r="CB109" i="172"/>
  <c r="CA109" i="172"/>
  <c r="BY109" i="172"/>
  <c r="BX109" i="172"/>
  <c r="BV109" i="172"/>
  <c r="BT109" i="172"/>
  <c r="BS109" i="172"/>
  <c r="BP109" i="172"/>
  <c r="AS109" i="172"/>
  <c r="Y109" i="172" s="1"/>
  <c r="ED108" i="172"/>
  <c r="EB108" i="172"/>
  <c r="DZ108" i="172"/>
  <c r="DY108" i="172"/>
  <c r="DX108" i="172"/>
  <c r="DW108" i="172"/>
  <c r="DV108" i="172"/>
  <c r="DT108" i="172"/>
  <c r="DS108" i="172"/>
  <c r="DQ108" i="172"/>
  <c r="DP108" i="172"/>
  <c r="DN108" i="172"/>
  <c r="DK108" i="172"/>
  <c r="CL108" i="172"/>
  <c r="CH108" i="172"/>
  <c r="CG108" i="172"/>
  <c r="CF108" i="172"/>
  <c r="CE108" i="172"/>
  <c r="CD108" i="172"/>
  <c r="BY108" i="172"/>
  <c r="BX108" i="172"/>
  <c r="BV108" i="172"/>
  <c r="BT108" i="172"/>
  <c r="BS108" i="172"/>
  <c r="BM108" i="172"/>
  <c r="Y108" i="172"/>
  <c r="ED107" i="172"/>
  <c r="EB107" i="172"/>
  <c r="DZ107" i="172"/>
  <c r="DY107" i="172"/>
  <c r="DX107" i="172"/>
  <c r="DW107" i="172"/>
  <c r="DV107" i="172"/>
  <c r="DT107" i="172"/>
  <c r="DS107" i="172"/>
  <c r="DQ107" i="172"/>
  <c r="DP107" i="172"/>
  <c r="DN107" i="172"/>
  <c r="DK107" i="172"/>
  <c r="CL107" i="172"/>
  <c r="CH107" i="172"/>
  <c r="CG107" i="172"/>
  <c r="CF107" i="172"/>
  <c r="CE107" i="172"/>
  <c r="CD107" i="172"/>
  <c r="BY107" i="172"/>
  <c r="BX107" i="172"/>
  <c r="BV107" i="172"/>
  <c r="BT107" i="172"/>
  <c r="BS107" i="172"/>
  <c r="BM107" i="172"/>
  <c r="CI107" i="172" s="1"/>
  <c r="Y107" i="172"/>
  <c r="ED106" i="172"/>
  <c r="EB106" i="172"/>
  <c r="DZ106" i="172"/>
  <c r="DY106" i="172"/>
  <c r="DX106" i="172"/>
  <c r="DW106" i="172"/>
  <c r="DV106" i="172"/>
  <c r="DT106" i="172"/>
  <c r="DS106" i="172"/>
  <c r="DQ106" i="172"/>
  <c r="DP106" i="172"/>
  <c r="DN106" i="172"/>
  <c r="DM106" i="172"/>
  <c r="DM206" i="172" s="1"/>
  <c r="DK106" i="172"/>
  <c r="CL106" i="172"/>
  <c r="CH106" i="172"/>
  <c r="CG106" i="172"/>
  <c r="CF106" i="172"/>
  <c r="CE106" i="172"/>
  <c r="CD106" i="172"/>
  <c r="BY106" i="172"/>
  <c r="BX106" i="172"/>
  <c r="BV106" i="172"/>
  <c r="BS106" i="172"/>
  <c r="BM106" i="172"/>
  <c r="CI106" i="172" s="1"/>
  <c r="AV106" i="172"/>
  <c r="AA106" i="172"/>
  <c r="DL106" i="172" s="1"/>
  <c r="EC104" i="172"/>
  <c r="DU104" i="172"/>
  <c r="DR104" i="172"/>
  <c r="DK104" i="172"/>
  <c r="DG104" i="172"/>
  <c r="DF104" i="172"/>
  <c r="DE104" i="172"/>
  <c r="DD104" i="172"/>
  <c r="DB104" i="172"/>
  <c r="CZ104" i="172"/>
  <c r="CY104" i="172"/>
  <c r="CX104" i="172"/>
  <c r="CW104" i="172"/>
  <c r="CP104" i="172"/>
  <c r="CO104" i="172"/>
  <c r="CK104" i="172"/>
  <c r="BZ104" i="172"/>
  <c r="BW104" i="172"/>
  <c r="BU104" i="172"/>
  <c r="BO104" i="172"/>
  <c r="BN104" i="172"/>
  <c r="BM104" i="172"/>
  <c r="BL104" i="172"/>
  <c r="BJ104" i="172"/>
  <c r="BH104" i="172"/>
  <c r="BG104" i="172"/>
  <c r="BF104" i="172"/>
  <c r="BE104" i="172"/>
  <c r="BD104" i="172"/>
  <c r="AX104" i="172"/>
  <c r="AW104" i="172"/>
  <c r="AR104" i="172"/>
  <c r="AQ104" i="172"/>
  <c r="AP104" i="172"/>
  <c r="AO104" i="172"/>
  <c r="AM104" i="172"/>
  <c r="AL104" i="172"/>
  <c r="AK104" i="172"/>
  <c r="AJ104" i="172"/>
  <c r="AI104" i="172"/>
  <c r="AH104" i="172"/>
  <c r="AG104" i="172"/>
  <c r="AD104" i="172"/>
  <c r="AB104" i="172"/>
  <c r="Z104" i="172"/>
  <c r="G104" i="172"/>
  <c r="EB103" i="172"/>
  <c r="EA103" i="172"/>
  <c r="DZ103" i="172"/>
  <c r="DY103" i="172"/>
  <c r="DX103" i="172"/>
  <c r="DW103" i="172"/>
  <c r="DV103" i="172"/>
  <c r="DT103" i="172"/>
  <c r="DS103" i="172"/>
  <c r="DQ103" i="172"/>
  <c r="DP103" i="172"/>
  <c r="DN103" i="172"/>
  <c r="CN103" i="172"/>
  <c r="CI103" i="172"/>
  <c r="CH103" i="172"/>
  <c r="CG103" i="172"/>
  <c r="CF103" i="172"/>
  <c r="CE103" i="172"/>
  <c r="CD103" i="172"/>
  <c r="CB103" i="172"/>
  <c r="CA103" i="172"/>
  <c r="BY103" i="172"/>
  <c r="BX103" i="172"/>
  <c r="BV103" i="172"/>
  <c r="BT103" i="172"/>
  <c r="BS103" i="172"/>
  <c r="BP103" i="172"/>
  <c r="AV103" i="172" s="1"/>
  <c r="AS103" i="172"/>
  <c r="H103" i="172"/>
  <c r="ED102" i="172"/>
  <c r="EB102" i="172"/>
  <c r="EA102" i="172"/>
  <c r="DZ102" i="172"/>
  <c r="DY102" i="172"/>
  <c r="DX102" i="172"/>
  <c r="DW102" i="172"/>
  <c r="DV102" i="172"/>
  <c r="DT102" i="172"/>
  <c r="DS102" i="172"/>
  <c r="DQ102" i="172"/>
  <c r="CT102" i="172"/>
  <c r="CN102" i="172" s="1"/>
  <c r="CL102" i="172"/>
  <c r="CI102" i="172"/>
  <c r="CH102" i="172"/>
  <c r="CG102" i="172"/>
  <c r="CF102" i="172"/>
  <c r="CE102" i="172"/>
  <c r="CD102" i="172"/>
  <c r="CB102" i="172"/>
  <c r="CA102" i="172"/>
  <c r="BY102" i="172"/>
  <c r="BT102" i="172"/>
  <c r="BS102" i="172"/>
  <c r="BB102" i="172"/>
  <c r="AZ102" i="172"/>
  <c r="AE102" i="172"/>
  <c r="AC102" i="172"/>
  <c r="DN102" i="172" s="1"/>
  <c r="ED101" i="172"/>
  <c r="EB101" i="172"/>
  <c r="EA101" i="172"/>
  <c r="DZ101" i="172"/>
  <c r="DX101" i="172"/>
  <c r="DW101" i="172"/>
  <c r="DV101" i="172"/>
  <c r="DT101" i="172"/>
  <c r="DS101" i="172"/>
  <c r="DQ101" i="172"/>
  <c r="DO101" i="172"/>
  <c r="DC101" i="172"/>
  <c r="DY101" i="172" s="1"/>
  <c r="CT101" i="172"/>
  <c r="CL101" i="172"/>
  <c r="CI101" i="172"/>
  <c r="CH101" i="172"/>
  <c r="CG101" i="172"/>
  <c r="CF101" i="172"/>
  <c r="CE101" i="172"/>
  <c r="CD101" i="172"/>
  <c r="CB101" i="172"/>
  <c r="CA101" i="172"/>
  <c r="BY101" i="172"/>
  <c r="BW101" i="172"/>
  <c r="BW204" i="172" s="1"/>
  <c r="BT101" i="172"/>
  <c r="BS101" i="172"/>
  <c r="BK101" i="172"/>
  <c r="BB101" i="172"/>
  <c r="AE101" i="172"/>
  <c r="AC101" i="172"/>
  <c r="ED99" i="172"/>
  <c r="EB99" i="172"/>
  <c r="EA99" i="172"/>
  <c r="DZ99" i="172"/>
  <c r="DX99" i="172"/>
  <c r="DW99" i="172"/>
  <c r="DV99" i="172"/>
  <c r="DT99" i="172"/>
  <c r="DS99" i="172"/>
  <c r="DQ99" i="172"/>
  <c r="DP99" i="172"/>
  <c r="DN99" i="172"/>
  <c r="CN99" i="172"/>
  <c r="CL99" i="172"/>
  <c r="CI99" i="172"/>
  <c r="CH99" i="172"/>
  <c r="CF99" i="172"/>
  <c r="CE99" i="172"/>
  <c r="CD99" i="172"/>
  <c r="CB99" i="172"/>
  <c r="CA99" i="172"/>
  <c r="BY99" i="172"/>
  <c r="BV99" i="172"/>
  <c r="BT99" i="172"/>
  <c r="BS99" i="172"/>
  <c r="BK99" i="172"/>
  <c r="CG99" i="172" s="1"/>
  <c r="BB99" i="172"/>
  <c r="AN99" i="172"/>
  <c r="DY99" i="172" s="1"/>
  <c r="AE99" i="172"/>
  <c r="H99" i="172"/>
  <c r="ED98" i="172"/>
  <c r="EB98" i="172"/>
  <c r="EA98" i="172"/>
  <c r="DZ98" i="172"/>
  <c r="DY98" i="172"/>
  <c r="DX98" i="172"/>
  <c r="DW98" i="172"/>
  <c r="DV98" i="172"/>
  <c r="DT98" i="172"/>
  <c r="DS98" i="172"/>
  <c r="DQ98" i="172"/>
  <c r="DN98" i="172"/>
  <c r="DM98" i="172"/>
  <c r="CT98" i="172"/>
  <c r="CL98" i="172"/>
  <c r="CI98" i="172"/>
  <c r="CH98" i="172"/>
  <c r="CG98" i="172"/>
  <c r="CF98" i="172"/>
  <c r="CE98" i="172"/>
  <c r="CD98" i="172"/>
  <c r="CB98" i="172"/>
  <c r="CA98" i="172"/>
  <c r="BY98" i="172"/>
  <c r="BV98" i="172"/>
  <c r="BT98" i="172"/>
  <c r="BS98" i="172"/>
  <c r="BB98" i="172"/>
  <c r="AV98" i="172" s="1"/>
  <c r="AE98" i="172"/>
  <c r="Y98" i="172" s="1"/>
  <c r="AA98" i="172"/>
  <c r="DL98" i="172" s="1"/>
  <c r="ED97" i="172"/>
  <c r="EB97" i="172"/>
  <c r="EA97" i="172"/>
  <c r="DZ97" i="172"/>
  <c r="DY97" i="172"/>
  <c r="DX97" i="172"/>
  <c r="DW97" i="172"/>
  <c r="DV97" i="172"/>
  <c r="DT97" i="172"/>
  <c r="DS97" i="172"/>
  <c r="DQ97" i="172"/>
  <c r="DN97" i="172"/>
  <c r="CN97" i="172"/>
  <c r="H97" i="172" s="1"/>
  <c r="CL97" i="172"/>
  <c r="CI97" i="172"/>
  <c r="CH97" i="172"/>
  <c r="CG97" i="172"/>
  <c r="CF97" i="172"/>
  <c r="CE97" i="172"/>
  <c r="CD97" i="172"/>
  <c r="CB97" i="172"/>
  <c r="CA97" i="172"/>
  <c r="BY97" i="172"/>
  <c r="BV97" i="172"/>
  <c r="BT97" i="172"/>
  <c r="BS97" i="172"/>
  <c r="BB97" i="172"/>
  <c r="AV97" i="172" s="1"/>
  <c r="AE97" i="172"/>
  <c r="ED96" i="172"/>
  <c r="EB96" i="172"/>
  <c r="EA96" i="172"/>
  <c r="DZ96" i="172"/>
  <c r="DY96" i="172"/>
  <c r="DX96" i="172"/>
  <c r="DW96" i="172"/>
  <c r="DV96" i="172"/>
  <c r="DT96" i="172"/>
  <c r="DS96" i="172"/>
  <c r="DQ96" i="172"/>
  <c r="DP96" i="172"/>
  <c r="DN96" i="172"/>
  <c r="DM96" i="172"/>
  <c r="DL96" i="172"/>
  <c r="CN96" i="172"/>
  <c r="H96" i="172" s="1"/>
  <c r="CL96" i="172"/>
  <c r="CI96" i="172"/>
  <c r="CH96" i="172"/>
  <c r="CG96" i="172"/>
  <c r="CF96" i="172"/>
  <c r="CE96" i="172"/>
  <c r="CD96" i="172"/>
  <c r="CB96" i="172"/>
  <c r="CA96" i="172"/>
  <c r="BY96" i="172"/>
  <c r="BV96" i="172"/>
  <c r="BT96" i="172"/>
  <c r="BS96" i="172"/>
  <c r="BB96" i="172"/>
  <c r="AV96" i="172" s="1"/>
  <c r="AA96" i="172"/>
  <c r="Y96" i="172"/>
  <c r="ED95" i="172"/>
  <c r="EB95" i="172"/>
  <c r="EA95" i="172"/>
  <c r="DZ95" i="172"/>
  <c r="DY95" i="172"/>
  <c r="DX95" i="172"/>
  <c r="DW95" i="172"/>
  <c r="DV95" i="172"/>
  <c r="DT95" i="172"/>
  <c r="DS95" i="172"/>
  <c r="DQ95" i="172"/>
  <c r="DP95" i="172"/>
  <c r="DN95" i="172"/>
  <c r="DM95" i="172"/>
  <c r="CN95" i="172"/>
  <c r="CL95" i="172"/>
  <c r="CI95" i="172"/>
  <c r="CH95" i="172"/>
  <c r="CG95" i="172"/>
  <c r="CF95" i="172"/>
  <c r="CE95" i="172"/>
  <c r="CD95" i="172"/>
  <c r="CB95" i="172"/>
  <c r="CA95" i="172"/>
  <c r="BY95" i="172"/>
  <c r="BX95" i="172"/>
  <c r="BV95" i="172"/>
  <c r="BS95" i="172"/>
  <c r="BB95" i="172"/>
  <c r="AV95" i="172" s="1"/>
  <c r="AE95" i="172"/>
  <c r="AA95" i="172"/>
  <c r="DL95" i="172" s="1"/>
  <c r="ED94" i="172"/>
  <c r="EB94" i="172"/>
  <c r="EA94" i="172"/>
  <c r="DZ94" i="172"/>
  <c r="DY94" i="172"/>
  <c r="DX94" i="172"/>
  <c r="DW94" i="172"/>
  <c r="DV94" i="172"/>
  <c r="DT94" i="172"/>
  <c r="DS94" i="172"/>
  <c r="DQ94" i="172"/>
  <c r="DP94" i="172"/>
  <c r="DN94" i="172"/>
  <c r="CN94" i="172"/>
  <c r="CL94" i="172"/>
  <c r="CI94" i="172"/>
  <c r="CH94" i="172"/>
  <c r="CG94" i="172"/>
  <c r="CF94" i="172"/>
  <c r="CE94" i="172"/>
  <c r="CD94" i="172"/>
  <c r="CB94" i="172"/>
  <c r="CA94" i="172"/>
  <c r="BY94" i="172"/>
  <c r="BV94" i="172"/>
  <c r="BT94" i="172"/>
  <c r="BS94" i="172"/>
  <c r="BB94" i="172"/>
  <c r="BX94" i="172" s="1"/>
  <c r="Y94" i="172"/>
  <c r="I94" i="172" s="1"/>
  <c r="H94" i="172"/>
  <c r="ED93" i="172"/>
  <c r="EB93" i="172"/>
  <c r="EA93" i="172"/>
  <c r="DZ93" i="172"/>
  <c r="DY93" i="172"/>
  <c r="DX93" i="172"/>
  <c r="DW93" i="172"/>
  <c r="DV93" i="172"/>
  <c r="DT93" i="172"/>
  <c r="DS93" i="172"/>
  <c r="DQ93" i="172"/>
  <c r="DN93" i="172"/>
  <c r="CT93" i="172"/>
  <c r="CL93" i="172"/>
  <c r="CI93" i="172"/>
  <c r="CH93" i="172"/>
  <c r="CG93" i="172"/>
  <c r="CF93" i="172"/>
  <c r="CE93" i="172"/>
  <c r="CD93" i="172"/>
  <c r="CB93" i="172"/>
  <c r="CA93" i="172"/>
  <c r="BY93" i="172"/>
  <c r="BV93" i="172"/>
  <c r="BT93" i="172"/>
  <c r="BS93" i="172"/>
  <c r="BB93" i="172"/>
  <c r="Y93" i="172"/>
  <c r="ED92" i="172"/>
  <c r="EB92" i="172"/>
  <c r="EA92" i="172"/>
  <c r="DZ92" i="172"/>
  <c r="DY92" i="172"/>
  <c r="DX92" i="172"/>
  <c r="DW92" i="172"/>
  <c r="DV92" i="172"/>
  <c r="DT92" i="172"/>
  <c r="DS92" i="172"/>
  <c r="DN92" i="172"/>
  <c r="CL92" i="172"/>
  <c r="CI92" i="172"/>
  <c r="CH92" i="172"/>
  <c r="CG92" i="172"/>
  <c r="CF92" i="172"/>
  <c r="CE92" i="172"/>
  <c r="CD92" i="172"/>
  <c r="CB92" i="172"/>
  <c r="CA92" i="172"/>
  <c r="BT92" i="172"/>
  <c r="BS92" i="172"/>
  <c r="BB92" i="172"/>
  <c r="BX92" i="172" s="1"/>
  <c r="AZ92" i="172"/>
  <c r="AF92" i="172"/>
  <c r="ED91" i="172"/>
  <c r="EB91" i="172"/>
  <c r="EA91" i="172"/>
  <c r="DZ91" i="172"/>
  <c r="DY91" i="172"/>
  <c r="DX91" i="172"/>
  <c r="DW91" i="172"/>
  <c r="DV91" i="172"/>
  <c r="DT91" i="172"/>
  <c r="DS91" i="172"/>
  <c r="DP91" i="172"/>
  <c r="DN91" i="172"/>
  <c r="CU91" i="172"/>
  <c r="CN91" i="172" s="1"/>
  <c r="CL91" i="172"/>
  <c r="CI91" i="172"/>
  <c r="CH91" i="172"/>
  <c r="CG91" i="172"/>
  <c r="CF91" i="172"/>
  <c r="CE91" i="172"/>
  <c r="CD91" i="172"/>
  <c r="CB91" i="172"/>
  <c r="CA91" i="172"/>
  <c r="BX91" i="172"/>
  <c r="BV91" i="172"/>
  <c r="BT91" i="172"/>
  <c r="BS91" i="172"/>
  <c r="BC91" i="172"/>
  <c r="AV91" i="172" s="1"/>
  <c r="AF91" i="172"/>
  <c r="Y91" i="172"/>
  <c r="ED90" i="172"/>
  <c r="EB90" i="172"/>
  <c r="EA90" i="172"/>
  <c r="DZ90" i="172"/>
  <c r="DX90" i="172"/>
  <c r="DW90" i="172"/>
  <c r="DV90" i="172"/>
  <c r="DT90" i="172"/>
  <c r="DS90" i="172"/>
  <c r="DQ90" i="172"/>
  <c r="DP90" i="172"/>
  <c r="DC90" i="172"/>
  <c r="DY90" i="172" s="1"/>
  <c r="CR90" i="172"/>
  <c r="DN90" i="172" s="1"/>
  <c r="CL90" i="172"/>
  <c r="CI90" i="172"/>
  <c r="CH90" i="172"/>
  <c r="CF90" i="172"/>
  <c r="CE90" i="172"/>
  <c r="CD90" i="172"/>
  <c r="CB90" i="172"/>
  <c r="CA90" i="172"/>
  <c r="BY90" i="172"/>
  <c r="BX90" i="172"/>
  <c r="BT90" i="172"/>
  <c r="BS90" i="172"/>
  <c r="BK90" i="172"/>
  <c r="CG90" i="172" s="1"/>
  <c r="AZ90" i="172"/>
  <c r="BV90" i="172" s="1"/>
  <c r="Y90" i="172"/>
  <c r="ED89" i="172"/>
  <c r="EB89" i="172"/>
  <c r="EA89" i="172"/>
  <c r="DZ89" i="172"/>
  <c r="DY89" i="172"/>
  <c r="DX89" i="172"/>
  <c r="DW89" i="172"/>
  <c r="DV89" i="172"/>
  <c r="DT89" i="172"/>
  <c r="DS89" i="172"/>
  <c r="DQ89" i="172"/>
  <c r="DP89" i="172"/>
  <c r="CN89" i="172"/>
  <c r="H89" i="172" s="1"/>
  <c r="CL89" i="172"/>
  <c r="CI89" i="172"/>
  <c r="CH89" i="172"/>
  <c r="CF89" i="172"/>
  <c r="CE89" i="172"/>
  <c r="CD89" i="172"/>
  <c r="CB89" i="172"/>
  <c r="CA89" i="172"/>
  <c r="BY89" i="172"/>
  <c r="BV89" i="172"/>
  <c r="BT89" i="172"/>
  <c r="BS89" i="172"/>
  <c r="BK89" i="172"/>
  <c r="CG89" i="172" s="1"/>
  <c r="BB89" i="172"/>
  <c r="BX89" i="172" s="1"/>
  <c r="AC89" i="172"/>
  <c r="ED88" i="172"/>
  <c r="EB88" i="172"/>
  <c r="EA88" i="172"/>
  <c r="DZ88" i="172"/>
  <c r="DY88" i="172"/>
  <c r="DX88" i="172"/>
  <c r="DW88" i="172"/>
  <c r="DV88" i="172"/>
  <c r="DT88" i="172"/>
  <c r="DS88" i="172"/>
  <c r="DQ88" i="172"/>
  <c r="DP88" i="172"/>
  <c r="DN88" i="172"/>
  <c r="DM88" i="172"/>
  <c r="CN88" i="172"/>
  <c r="CL88" i="172"/>
  <c r="CI88" i="172"/>
  <c r="CH88" i="172"/>
  <c r="CG88" i="172"/>
  <c r="CF88" i="172"/>
  <c r="CE88" i="172"/>
  <c r="CD88" i="172"/>
  <c r="CB88" i="172"/>
  <c r="CA88" i="172"/>
  <c r="BX88" i="172"/>
  <c r="BV88" i="172"/>
  <c r="BS88" i="172"/>
  <c r="BC88" i="172"/>
  <c r="BY88" i="172" s="1"/>
  <c r="AV88" i="172"/>
  <c r="AA88" i="172"/>
  <c r="ED87" i="172"/>
  <c r="EB87" i="172"/>
  <c r="EA87" i="172"/>
  <c r="DZ87" i="172"/>
  <c r="DY87" i="172"/>
  <c r="DX87" i="172"/>
  <c r="DV87" i="172"/>
  <c r="DT87" i="172"/>
  <c r="DS87" i="172"/>
  <c r="DQ87" i="172"/>
  <c r="DP87" i="172"/>
  <c r="DN87" i="172"/>
  <c r="CL87" i="172"/>
  <c r="CI87" i="172"/>
  <c r="CH87" i="172"/>
  <c r="CG87" i="172"/>
  <c r="CF87" i="172"/>
  <c r="CD87" i="172"/>
  <c r="CB87" i="172"/>
  <c r="CA87" i="172"/>
  <c r="BY87" i="172"/>
  <c r="BX87" i="172"/>
  <c r="BV87" i="172"/>
  <c r="BT87" i="172"/>
  <c r="BS87" i="172"/>
  <c r="AL87" i="172"/>
  <c r="EB86" i="172"/>
  <c r="EA86" i="172"/>
  <c r="DZ86" i="172"/>
  <c r="DY86" i="172"/>
  <c r="DX86" i="172"/>
  <c r="DW86" i="172"/>
  <c r="DV86" i="172"/>
  <c r="DT86" i="172"/>
  <c r="DS86" i="172"/>
  <c r="DQ86" i="172"/>
  <c r="DP86" i="172"/>
  <c r="DN86" i="172"/>
  <c r="DH86" i="172"/>
  <c r="CN86" i="172" s="1"/>
  <c r="CI86" i="172"/>
  <c r="CH86" i="172"/>
  <c r="CG86" i="172"/>
  <c r="CF86" i="172"/>
  <c r="CE86" i="172"/>
  <c r="CD86" i="172"/>
  <c r="CB86" i="172"/>
  <c r="CA86" i="172"/>
  <c r="BY86" i="172"/>
  <c r="BX86" i="172"/>
  <c r="BV86" i="172"/>
  <c r="BT86" i="172"/>
  <c r="BS86" i="172"/>
  <c r="AV86" i="172"/>
  <c r="AS86" i="172"/>
  <c r="Y86" i="172" s="1"/>
  <c r="EB85" i="172"/>
  <c r="EA85" i="172"/>
  <c r="DZ85" i="172"/>
  <c r="DY85" i="172"/>
  <c r="DX85" i="172"/>
  <c r="DW85" i="172"/>
  <c r="DV85" i="172"/>
  <c r="DT85" i="172"/>
  <c r="DS85" i="172"/>
  <c r="DQ85" i="172"/>
  <c r="DP85" i="172"/>
  <c r="DN85" i="172"/>
  <c r="CN85" i="172"/>
  <c r="CI85" i="172"/>
  <c r="CH85" i="172"/>
  <c r="CG85" i="172"/>
  <c r="CF85" i="172"/>
  <c r="CE85" i="172"/>
  <c r="CD85" i="172"/>
  <c r="CB85" i="172"/>
  <c r="CA85" i="172"/>
  <c r="BY85" i="172"/>
  <c r="BX85" i="172"/>
  <c r="BV85" i="172"/>
  <c r="BT85" i="172"/>
  <c r="BS85" i="172"/>
  <c r="AS85" i="172"/>
  <c r="H85" i="172"/>
  <c r="ED84" i="172"/>
  <c r="EB84" i="172"/>
  <c r="EA84" i="172"/>
  <c r="DZ84" i="172"/>
  <c r="DY84" i="172"/>
  <c r="DX84" i="172"/>
  <c r="DW84" i="172"/>
  <c r="DV84" i="172"/>
  <c r="DT84" i="172"/>
  <c r="DS84" i="172"/>
  <c r="DP84" i="172"/>
  <c r="DN84" i="172"/>
  <c r="DM84" i="172"/>
  <c r="DL84" i="172"/>
  <c r="CN84" i="172"/>
  <c r="H84" i="172" s="1"/>
  <c r="CL84" i="172"/>
  <c r="CI84" i="172"/>
  <c r="CH84" i="172"/>
  <c r="CG84" i="172"/>
  <c r="CF84" i="172"/>
  <c r="CE84" i="172"/>
  <c r="CD84" i="172"/>
  <c r="CC84" i="172"/>
  <c r="CB84" i="172"/>
  <c r="CA84" i="172"/>
  <c r="BX84" i="172"/>
  <c r="BV84" i="172"/>
  <c r="BS84" i="172"/>
  <c r="BC84" i="172"/>
  <c r="AV84" i="172" s="1"/>
  <c r="AF84" i="172"/>
  <c r="AA84" i="172"/>
  <c r="BT84" i="172" s="1"/>
  <c r="ED83" i="172"/>
  <c r="EB83" i="172"/>
  <c r="EA83" i="172"/>
  <c r="DZ83" i="172"/>
  <c r="DY83" i="172"/>
  <c r="DX83" i="172"/>
  <c r="DW83" i="172"/>
  <c r="DV83" i="172"/>
  <c r="DT83" i="172"/>
  <c r="DS83" i="172"/>
  <c r="DP83" i="172"/>
  <c r="DN83" i="172"/>
  <c r="DM83" i="172"/>
  <c r="CN83" i="172"/>
  <c r="H83" i="172" s="1"/>
  <c r="CL83" i="172"/>
  <c r="CI83" i="172"/>
  <c r="CH83" i="172"/>
  <c r="CG83" i="172"/>
  <c r="CF83" i="172"/>
  <c r="CE83" i="172"/>
  <c r="CD83" i="172"/>
  <c r="CC83" i="172"/>
  <c r="CB83" i="172"/>
  <c r="CA83" i="172"/>
  <c r="BX83" i="172"/>
  <c r="BV83" i="172"/>
  <c r="BS83" i="172"/>
  <c r="BC83" i="172"/>
  <c r="AA83" i="172"/>
  <c r="EB82" i="172"/>
  <c r="EA82" i="172"/>
  <c r="DZ82" i="172"/>
  <c r="DY82" i="172"/>
  <c r="DX82" i="172"/>
  <c r="DW82" i="172"/>
  <c r="DV82" i="172"/>
  <c r="DT82" i="172"/>
  <c r="DS82" i="172"/>
  <c r="DQ82" i="172"/>
  <c r="DP82" i="172"/>
  <c r="DN82" i="172"/>
  <c r="DH82" i="172"/>
  <c r="CN82" i="172" s="1"/>
  <c r="H82" i="172" s="1"/>
  <c r="CI82" i="172"/>
  <c r="CH82" i="172"/>
  <c r="CG82" i="172"/>
  <c r="CF82" i="172"/>
  <c r="CE82" i="172"/>
  <c r="CD82" i="172"/>
  <c r="CC82" i="172"/>
  <c r="CB82" i="172"/>
  <c r="CA82" i="172"/>
  <c r="BY82" i="172"/>
  <c r="BX82" i="172"/>
  <c r="BV82" i="172"/>
  <c r="BT82" i="172"/>
  <c r="BS82" i="172"/>
  <c r="AV82" i="172"/>
  <c r="AS82" i="172"/>
  <c r="Y82" i="172" s="1"/>
  <c r="ED81" i="172"/>
  <c r="EB81" i="172"/>
  <c r="EA81" i="172"/>
  <c r="DZ81" i="172"/>
  <c r="DY81" i="172"/>
  <c r="DX81" i="172"/>
  <c r="DW81" i="172"/>
  <c r="DV81" i="172"/>
  <c r="DT81" i="172"/>
  <c r="DS81" i="172"/>
  <c r="DP81" i="172"/>
  <c r="DN81" i="172"/>
  <c r="CN81" i="172"/>
  <c r="CL81" i="172"/>
  <c r="CJ81" i="172"/>
  <c r="CI81" i="172"/>
  <c r="CH81" i="172"/>
  <c r="CG81" i="172"/>
  <c r="CF81" i="172"/>
  <c r="CE81" i="172"/>
  <c r="CD81" i="172"/>
  <c r="CC81" i="172"/>
  <c r="CB81" i="172"/>
  <c r="CA81" i="172"/>
  <c r="BX81" i="172"/>
  <c r="BV81" i="172"/>
  <c r="BT81" i="172"/>
  <c r="BS81" i="172"/>
  <c r="BC81" i="172"/>
  <c r="AV81" i="172" s="1"/>
  <c r="AF81" i="172"/>
  <c r="EB80" i="172"/>
  <c r="EA80" i="172"/>
  <c r="DZ80" i="172"/>
  <c r="DY80" i="172"/>
  <c r="DX80" i="172"/>
  <c r="DW80" i="172"/>
  <c r="DV80" i="172"/>
  <c r="DT80" i="172"/>
  <c r="DS80" i="172"/>
  <c r="DQ80" i="172"/>
  <c r="DP80" i="172"/>
  <c r="DN80" i="172"/>
  <c r="DH80" i="172"/>
  <c r="ED80" i="172" s="1"/>
  <c r="CN80" i="172"/>
  <c r="H80" i="172" s="1"/>
  <c r="I80" i="172" s="1"/>
  <c r="CI80" i="172"/>
  <c r="CH80" i="172"/>
  <c r="CG80" i="172"/>
  <c r="CF80" i="172"/>
  <c r="CE80" i="172"/>
  <c r="CD80" i="172"/>
  <c r="CB80" i="172"/>
  <c r="CA80" i="172"/>
  <c r="BY80" i="172"/>
  <c r="BX80" i="172"/>
  <c r="BV80" i="172"/>
  <c r="BT80" i="172"/>
  <c r="BS80" i="172"/>
  <c r="BP80" i="172"/>
  <c r="AV80" i="172" s="1"/>
  <c r="AS80" i="172"/>
  <c r="Y80" i="172"/>
  <c r="EB79" i="172"/>
  <c r="EA79" i="172"/>
  <c r="DZ79" i="172"/>
  <c r="DY79" i="172"/>
  <c r="DX79" i="172"/>
  <c r="DW79" i="172"/>
  <c r="DV79" i="172"/>
  <c r="DT79" i="172"/>
  <c r="DS79" i="172"/>
  <c r="DQ79" i="172"/>
  <c r="DP79" i="172"/>
  <c r="DN79" i="172"/>
  <c r="DH79" i="172"/>
  <c r="CN79" i="172" s="1"/>
  <c r="H79" i="172" s="1"/>
  <c r="CI79" i="172"/>
  <c r="CH79" i="172"/>
  <c r="CG79" i="172"/>
  <c r="CF79" i="172"/>
  <c r="CE79" i="172"/>
  <c r="CD79" i="172"/>
  <c r="CC79" i="172"/>
  <c r="CB79" i="172"/>
  <c r="CA79" i="172"/>
  <c r="BY79" i="172"/>
  <c r="BX79" i="172"/>
  <c r="BV79" i="172"/>
  <c r="BT79" i="172"/>
  <c r="BS79" i="172"/>
  <c r="BP79" i="172"/>
  <c r="AV79" i="172" s="1"/>
  <c r="AU79" i="172" s="1"/>
  <c r="BQ79" i="172" s="1"/>
  <c r="AS79" i="172"/>
  <c r="Y79" i="172" s="1"/>
  <c r="ED78" i="172"/>
  <c r="EB78" i="172"/>
  <c r="EA78" i="172"/>
  <c r="DZ78" i="172"/>
  <c r="DY78" i="172"/>
  <c r="DX78" i="172"/>
  <c r="DW78" i="172"/>
  <c r="DV78" i="172"/>
  <c r="DT78" i="172"/>
  <c r="DS78" i="172"/>
  <c r="DP78" i="172"/>
  <c r="DN78" i="172"/>
  <c r="DM78" i="172"/>
  <c r="CL78" i="172"/>
  <c r="CI78" i="172"/>
  <c r="CH78" i="172"/>
  <c r="CG78" i="172"/>
  <c r="CF78" i="172"/>
  <c r="CE78" i="172"/>
  <c r="CD78" i="172"/>
  <c r="CC78" i="172"/>
  <c r="CB78" i="172"/>
  <c r="CA78" i="172"/>
  <c r="BX78" i="172"/>
  <c r="BV78" i="172"/>
  <c r="BT78" i="172"/>
  <c r="BS78" i="172"/>
  <c r="BC78" i="172"/>
  <c r="AF78" i="172"/>
  <c r="AA78" i="172"/>
  <c r="Y78" i="172"/>
  <c r="ED77" i="172"/>
  <c r="EB77" i="172"/>
  <c r="EA77" i="172"/>
  <c r="DZ77" i="172"/>
  <c r="DY77" i="172"/>
  <c r="DX77" i="172"/>
  <c r="DW77" i="172"/>
  <c r="DV77" i="172"/>
  <c r="DT77" i="172"/>
  <c r="DS77" i="172"/>
  <c r="DQ77" i="172"/>
  <c r="DP77" i="172"/>
  <c r="DN77" i="172"/>
  <c r="CN77" i="172"/>
  <c r="H77" i="172" s="1"/>
  <c r="CI77" i="172"/>
  <c r="CH77" i="172"/>
  <c r="CG77" i="172"/>
  <c r="CF77" i="172"/>
  <c r="CE77" i="172"/>
  <c r="CD77" i="172"/>
  <c r="CC77" i="172"/>
  <c r="CB77" i="172"/>
  <c r="CA77" i="172"/>
  <c r="BY77" i="172"/>
  <c r="BX77" i="172"/>
  <c r="BV77" i="172"/>
  <c r="BT77" i="172"/>
  <c r="BS77" i="172"/>
  <c r="BP77" i="172"/>
  <c r="AV77" i="172" s="1"/>
  <c r="AS77" i="172"/>
  <c r="Y77" i="172" s="1"/>
  <c r="CM77" i="172" s="1"/>
  <c r="DI77" i="172" s="1"/>
  <c r="ED76" i="172"/>
  <c r="EB76" i="172"/>
  <c r="EA76" i="172"/>
  <c r="DZ76" i="172"/>
  <c r="DY76" i="172"/>
  <c r="DX76" i="172"/>
  <c r="DW76" i="172"/>
  <c r="DV76" i="172"/>
  <c r="DT76" i="172"/>
  <c r="DS76" i="172"/>
  <c r="DQ76" i="172"/>
  <c r="DN76" i="172"/>
  <c r="CT76" i="172"/>
  <c r="DP76" i="172" s="1"/>
  <c r="CN76" i="172"/>
  <c r="H76" i="172" s="1"/>
  <c r="CL76" i="172"/>
  <c r="CJ76" i="172"/>
  <c r="CI76" i="172"/>
  <c r="CH76" i="172"/>
  <c r="CG76" i="172"/>
  <c r="CF76" i="172"/>
  <c r="CE76" i="172"/>
  <c r="CD76" i="172"/>
  <c r="CC76" i="172"/>
  <c r="CB76" i="172"/>
  <c r="CA76" i="172"/>
  <c r="BY76" i="172"/>
  <c r="BV76" i="172"/>
  <c r="BT76" i="172"/>
  <c r="BS76" i="172"/>
  <c r="BB76" i="172"/>
  <c r="BX76" i="172" s="1"/>
  <c r="Y76" i="172"/>
  <c r="ED75" i="172"/>
  <c r="EB75" i="172"/>
  <c r="EA75" i="172"/>
  <c r="DZ75" i="172"/>
  <c r="DX75" i="172"/>
  <c r="DW75" i="172"/>
  <c r="DV75" i="172"/>
  <c r="DT75" i="172"/>
  <c r="DS75" i="172"/>
  <c r="DQ75" i="172"/>
  <c r="DP75" i="172"/>
  <c r="DN75" i="172"/>
  <c r="CN75" i="172"/>
  <c r="CM75" i="172" s="1"/>
  <c r="DI75" i="172" s="1"/>
  <c r="CL75" i="172"/>
  <c r="CJ75" i="172"/>
  <c r="CI75" i="172"/>
  <c r="CH75" i="172"/>
  <c r="CF75" i="172"/>
  <c r="CE75" i="172"/>
  <c r="CD75" i="172"/>
  <c r="CC75" i="172"/>
  <c r="CB75" i="172"/>
  <c r="CA75" i="172"/>
  <c r="BY75" i="172"/>
  <c r="BV75" i="172"/>
  <c r="BT75" i="172"/>
  <c r="BS75" i="172"/>
  <c r="BK75" i="172"/>
  <c r="CG75" i="172" s="1"/>
  <c r="BB75" i="172"/>
  <c r="Y75" i="172"/>
  <c r="ED74" i="172"/>
  <c r="EB74" i="172"/>
  <c r="EA74" i="172"/>
  <c r="DZ74" i="172"/>
  <c r="DY74" i="172"/>
  <c r="DX74" i="172"/>
  <c r="DW74" i="172"/>
  <c r="DV74" i="172"/>
  <c r="DT74" i="172"/>
  <c r="DS74" i="172"/>
  <c r="DP74" i="172"/>
  <c r="DN74" i="172"/>
  <c r="CN74" i="172"/>
  <c r="H74" i="172" s="1"/>
  <c r="CL74" i="172"/>
  <c r="CJ74" i="172"/>
  <c r="CI74" i="172"/>
  <c r="CH74" i="172"/>
  <c r="CG74" i="172"/>
  <c r="CF74" i="172"/>
  <c r="CE74" i="172"/>
  <c r="CD74" i="172"/>
  <c r="CC74" i="172"/>
  <c r="CB74" i="172"/>
  <c r="CA74" i="172"/>
  <c r="BX74" i="172"/>
  <c r="BV74" i="172"/>
  <c r="BT74" i="172"/>
  <c r="BS74" i="172"/>
  <c r="AV74" i="172"/>
  <c r="AF74" i="172"/>
  <c r="Y74" i="172"/>
  <c r="EB73" i="172"/>
  <c r="EA73" i="172"/>
  <c r="DZ73" i="172"/>
  <c r="DY73" i="172"/>
  <c r="DX73" i="172"/>
  <c r="DW73" i="172"/>
  <c r="DV73" i="172"/>
  <c r="DT73" i="172"/>
  <c r="DS73" i="172"/>
  <c r="DQ73" i="172"/>
  <c r="DP73" i="172"/>
  <c r="DN73" i="172"/>
  <c r="DH73" i="172"/>
  <c r="CN73" i="172" s="1"/>
  <c r="CI73" i="172"/>
  <c r="CH73" i="172"/>
  <c r="CG73" i="172"/>
  <c r="CF73" i="172"/>
  <c r="CE73" i="172"/>
  <c r="CD73" i="172"/>
  <c r="CC73" i="172"/>
  <c r="CB73" i="172"/>
  <c r="BY73" i="172"/>
  <c r="BX73" i="172"/>
  <c r="BV73" i="172"/>
  <c r="BT73" i="172"/>
  <c r="BS73" i="172"/>
  <c r="BP73" i="172"/>
  <c r="AV73" i="172" s="1"/>
  <c r="AS73" i="172"/>
  <c r="EB72" i="172"/>
  <c r="EA72" i="172"/>
  <c r="DZ72" i="172"/>
  <c r="DY72" i="172"/>
  <c r="DX72" i="172"/>
  <c r="DW72" i="172"/>
  <c r="DV72" i="172"/>
  <c r="DT72" i="172"/>
  <c r="DS72" i="172"/>
  <c r="DQ72" i="172"/>
  <c r="DP72" i="172"/>
  <c r="DN72" i="172"/>
  <c r="CN72" i="172"/>
  <c r="H72" i="172" s="1"/>
  <c r="CJ72" i="172"/>
  <c r="CI72" i="172"/>
  <c r="CH72" i="172"/>
  <c r="CG72" i="172"/>
  <c r="CF72" i="172"/>
  <c r="CE72" i="172"/>
  <c r="CD72" i="172"/>
  <c r="CC72" i="172"/>
  <c r="CB72" i="172"/>
  <c r="CA72" i="172"/>
  <c r="BY72" i="172"/>
  <c r="BX72" i="172"/>
  <c r="BV72" i="172"/>
  <c r="BT72" i="172"/>
  <c r="BS72" i="172"/>
  <c r="AS72" i="172"/>
  <c r="EB71" i="172"/>
  <c r="EA71" i="172"/>
  <c r="DZ71" i="172"/>
  <c r="DX71" i="172"/>
  <c r="DW71" i="172"/>
  <c r="DV71" i="172"/>
  <c r="DT71" i="172"/>
  <c r="DS71" i="172"/>
  <c r="DQ71" i="172"/>
  <c r="DP71" i="172"/>
  <c r="DN71" i="172"/>
  <c r="CI71" i="172"/>
  <c r="CH71" i="172"/>
  <c r="CF71" i="172"/>
  <c r="CE71" i="172"/>
  <c r="CD71" i="172"/>
  <c r="CC71" i="172"/>
  <c r="CB71" i="172"/>
  <c r="CA71" i="172"/>
  <c r="BY71" i="172"/>
  <c r="BV71" i="172"/>
  <c r="BT71" i="172"/>
  <c r="BS71" i="172"/>
  <c r="BP71" i="172"/>
  <c r="BB71" i="172"/>
  <c r="AS71" i="172"/>
  <c r="AN71" i="172"/>
  <c r="DY71" i="172" s="1"/>
  <c r="ED70" i="172"/>
  <c r="EB70" i="172"/>
  <c r="EA70" i="172"/>
  <c r="DZ70" i="172"/>
  <c r="DY70" i="172"/>
  <c r="DX70" i="172"/>
  <c r="DW70" i="172"/>
  <c r="DV70" i="172"/>
  <c r="DT70" i="172"/>
  <c r="DS70" i="172"/>
  <c r="DQ70" i="172"/>
  <c r="DN70" i="172"/>
  <c r="CL70" i="172"/>
  <c r="CI70" i="172"/>
  <c r="CH70" i="172"/>
  <c r="CF70" i="172"/>
  <c r="CE70" i="172"/>
  <c r="CD70" i="172"/>
  <c r="CB70" i="172"/>
  <c r="BY70" i="172"/>
  <c r="BV70" i="172"/>
  <c r="BT70" i="172"/>
  <c r="BS70" i="172"/>
  <c r="BK70" i="172"/>
  <c r="CG70" i="172" s="1"/>
  <c r="BB70" i="172"/>
  <c r="AE70" i="172"/>
  <c r="Y70" i="172" s="1"/>
  <c r="ED69" i="172"/>
  <c r="EB69" i="172"/>
  <c r="EA69" i="172"/>
  <c r="DZ69" i="172"/>
  <c r="DY69" i="172"/>
  <c r="DX69" i="172"/>
  <c r="DW69" i="172"/>
  <c r="DV69" i="172"/>
  <c r="DT69" i="172"/>
  <c r="DS69" i="172"/>
  <c r="DQ69" i="172"/>
  <c r="DN69" i="172"/>
  <c r="CN69" i="172"/>
  <c r="H69" i="172" s="1"/>
  <c r="CL69" i="172"/>
  <c r="CI69" i="172"/>
  <c r="CH69" i="172"/>
  <c r="CG69" i="172"/>
  <c r="CF69" i="172"/>
  <c r="CE69" i="172"/>
  <c r="CD69" i="172"/>
  <c r="CB69" i="172"/>
  <c r="BY69" i="172"/>
  <c r="BV69" i="172"/>
  <c r="BT69" i="172"/>
  <c r="BS69" i="172"/>
  <c r="BB69" i="172"/>
  <c r="AV69" i="172"/>
  <c r="AE69" i="172"/>
  <c r="Y69" i="172" s="1"/>
  <c r="EB68" i="172"/>
  <c r="EA68" i="172"/>
  <c r="DZ68" i="172"/>
  <c r="DY68" i="172"/>
  <c r="DX68" i="172"/>
  <c r="DW68" i="172"/>
  <c r="DV68" i="172"/>
  <c r="DT68" i="172"/>
  <c r="DS68" i="172"/>
  <c r="DQ68" i="172"/>
  <c r="DP68" i="172"/>
  <c r="DN68" i="172"/>
  <c r="CI68" i="172"/>
  <c r="CH68" i="172"/>
  <c r="CG68" i="172"/>
  <c r="CF68" i="172"/>
  <c r="CE68" i="172"/>
  <c r="CD68" i="172"/>
  <c r="CC68" i="172"/>
  <c r="CB68" i="172"/>
  <c r="CA68" i="172"/>
  <c r="BY68" i="172"/>
  <c r="BX68" i="172"/>
  <c r="BV68" i="172"/>
  <c r="BT68" i="172"/>
  <c r="BS68" i="172"/>
  <c r="AS68" i="172"/>
  <c r="Y68" i="172"/>
  <c r="EC67" i="172"/>
  <c r="DU67" i="172"/>
  <c r="DO67" i="172"/>
  <c r="DK67" i="172"/>
  <c r="DG67" i="172"/>
  <c r="DE67" i="172"/>
  <c r="CZ67" i="172"/>
  <c r="CY67" i="172"/>
  <c r="CX67" i="172"/>
  <c r="CW67" i="172"/>
  <c r="CS67" i="172"/>
  <c r="CO67" i="172"/>
  <c r="BW67" i="172"/>
  <c r="BO67" i="172"/>
  <c r="BM67" i="172"/>
  <c r="BH67" i="172"/>
  <c r="BG67" i="172"/>
  <c r="BF67" i="172"/>
  <c r="BD67" i="172"/>
  <c r="BA67" i="172"/>
  <c r="AY67" i="172"/>
  <c r="AY197" i="172" s="1"/>
  <c r="AW67" i="172"/>
  <c r="AR67" i="172"/>
  <c r="AQ67" i="172"/>
  <c r="AP67" i="172"/>
  <c r="AK67" i="172"/>
  <c r="AJ67" i="172"/>
  <c r="AI67" i="172"/>
  <c r="AH67" i="172"/>
  <c r="AG67" i="172"/>
  <c r="AD67" i="172"/>
  <c r="AB67" i="172"/>
  <c r="Z67" i="172"/>
  <c r="G67" i="172"/>
  <c r="EB66" i="172"/>
  <c r="EA66" i="172"/>
  <c r="DZ66" i="172"/>
  <c r="DY66" i="172"/>
  <c r="DX66" i="172"/>
  <c r="DW66" i="172"/>
  <c r="DV66" i="172"/>
  <c r="DT66" i="172"/>
  <c r="DS66" i="172"/>
  <c r="DQ66" i="172"/>
  <c r="DP66" i="172"/>
  <c r="DN66" i="172"/>
  <c r="DL66" i="172"/>
  <c r="CN66" i="172"/>
  <c r="CK66" i="172"/>
  <c r="CJ66" i="172"/>
  <c r="CI66" i="172"/>
  <c r="CH66" i="172"/>
  <c r="CG66" i="172"/>
  <c r="CF66" i="172"/>
  <c r="CE66" i="172"/>
  <c r="CD66" i="172"/>
  <c r="CC66" i="172"/>
  <c r="CB66" i="172"/>
  <c r="CA66" i="172"/>
  <c r="BY66" i="172"/>
  <c r="BX66" i="172"/>
  <c r="BV66" i="172"/>
  <c r="BU66" i="172"/>
  <c r="BS66" i="172"/>
  <c r="AV66" i="172"/>
  <c r="AS66" i="172"/>
  <c r="CL66" i="172" s="1"/>
  <c r="ED65" i="172"/>
  <c r="EB65" i="172"/>
  <c r="EA65" i="172"/>
  <c r="DW65" i="172"/>
  <c r="DV65" i="172"/>
  <c r="DT65" i="172"/>
  <c r="DS65" i="172"/>
  <c r="DQ65" i="172"/>
  <c r="DP65" i="172"/>
  <c r="DN65" i="172"/>
  <c r="CL65" i="172"/>
  <c r="CI65" i="172"/>
  <c r="CE65" i="172"/>
  <c r="CD65" i="172"/>
  <c r="CB65" i="172"/>
  <c r="BY65" i="172"/>
  <c r="BX65" i="172"/>
  <c r="BV65" i="172"/>
  <c r="BU65" i="172"/>
  <c r="BS65" i="172"/>
  <c r="BK65" i="172"/>
  <c r="BJ65" i="172"/>
  <c r="CF65" i="172" s="1"/>
  <c r="AO65" i="172"/>
  <c r="Y65" i="172"/>
  <c r="EB64" i="172"/>
  <c r="EA64" i="172"/>
  <c r="DX64" i="172"/>
  <c r="DW64" i="172"/>
  <c r="DV64" i="172"/>
  <c r="DT64" i="172"/>
  <c r="DS64" i="172"/>
  <c r="DQ64" i="172"/>
  <c r="DP64" i="172"/>
  <c r="DN64" i="172"/>
  <c r="DD64" i="172"/>
  <c r="DC64" i="172"/>
  <c r="CI64" i="172"/>
  <c r="CF64" i="172"/>
  <c r="CE64" i="172"/>
  <c r="CD64" i="172"/>
  <c r="CB64" i="172"/>
  <c r="BY64" i="172"/>
  <c r="BX64" i="172"/>
  <c r="BV64" i="172"/>
  <c r="BU64" i="172"/>
  <c r="BS64" i="172"/>
  <c r="BL64" i="172"/>
  <c r="BK64" i="172"/>
  <c r="CG64" i="172" s="1"/>
  <c r="AS64" i="172"/>
  <c r="AO64" i="172"/>
  <c r="ED63" i="172"/>
  <c r="EB63" i="172"/>
  <c r="EA63" i="172"/>
  <c r="DY63" i="172"/>
  <c r="DX63" i="172"/>
  <c r="DW63" i="172"/>
  <c r="DV63" i="172"/>
  <c r="DT63" i="172"/>
  <c r="DS63" i="172"/>
  <c r="DQ63" i="172"/>
  <c r="DP63" i="172"/>
  <c r="DN63" i="172"/>
  <c r="DD63" i="172"/>
  <c r="DZ63" i="172" s="1"/>
  <c r="CL63" i="172"/>
  <c r="CI63" i="172"/>
  <c r="CH63" i="172"/>
  <c r="CG63" i="172"/>
  <c r="CF63" i="172"/>
  <c r="CE63" i="172"/>
  <c r="CD63" i="172"/>
  <c r="CB63" i="172"/>
  <c r="BY63" i="172"/>
  <c r="BX63" i="172"/>
  <c r="BV63" i="172"/>
  <c r="BU63" i="172"/>
  <c r="BS63" i="172"/>
  <c r="BL63" i="172"/>
  <c r="AV63" i="172" s="1"/>
  <c r="Y63" i="172"/>
  <c r="ED62" i="172"/>
  <c r="EB62" i="172"/>
  <c r="EA62" i="172"/>
  <c r="DX62" i="172"/>
  <c r="DW62" i="172"/>
  <c r="DV62" i="172"/>
  <c r="DT62" i="172"/>
  <c r="DS62" i="172"/>
  <c r="DQ62" i="172"/>
  <c r="DP62" i="172"/>
  <c r="DN62" i="172"/>
  <c r="DC62" i="172"/>
  <c r="CL62" i="172"/>
  <c r="CI62" i="172"/>
  <c r="CF62" i="172"/>
  <c r="CE62" i="172"/>
  <c r="CD62" i="172"/>
  <c r="CB62" i="172"/>
  <c r="BY62" i="172"/>
  <c r="BX62" i="172"/>
  <c r="BV62" i="172"/>
  <c r="BU62" i="172"/>
  <c r="BS62" i="172"/>
  <c r="BK62" i="172"/>
  <c r="AO62" i="172"/>
  <c r="Y62" i="172" s="1"/>
  <c r="EB61" i="172"/>
  <c r="EA61" i="172"/>
  <c r="DZ61" i="172"/>
  <c r="DY61" i="172"/>
  <c r="DX61" i="172"/>
  <c r="DW61" i="172"/>
  <c r="DV61" i="172"/>
  <c r="DT61" i="172"/>
  <c r="DS61" i="172"/>
  <c r="DQ61" i="172"/>
  <c r="DP61" i="172"/>
  <c r="DN61" i="172"/>
  <c r="CN61" i="172"/>
  <c r="H61" i="172" s="1"/>
  <c r="CI61" i="172"/>
  <c r="CH61" i="172"/>
  <c r="CG61" i="172"/>
  <c r="CF61" i="172"/>
  <c r="CE61" i="172"/>
  <c r="CD61" i="172"/>
  <c r="CB61" i="172"/>
  <c r="BY61" i="172"/>
  <c r="BX61" i="172"/>
  <c r="BV61" i="172"/>
  <c r="BU61" i="172"/>
  <c r="BS61" i="172"/>
  <c r="BP61" i="172"/>
  <c r="AV61" i="172" s="1"/>
  <c r="AS61" i="172"/>
  <c r="ED60" i="172"/>
  <c r="EB60" i="172"/>
  <c r="EA60" i="172"/>
  <c r="DZ60" i="172"/>
  <c r="DY60" i="172"/>
  <c r="DX60" i="172"/>
  <c r="DW60" i="172"/>
  <c r="DV60" i="172"/>
  <c r="DT60" i="172"/>
  <c r="DS60" i="172"/>
  <c r="DQ60" i="172"/>
  <c r="DM60" i="172"/>
  <c r="CR60" i="172"/>
  <c r="CL60" i="172"/>
  <c r="CI60" i="172"/>
  <c r="CH60" i="172"/>
  <c r="CG60" i="172"/>
  <c r="CF60" i="172"/>
  <c r="CE60" i="172"/>
  <c r="CD60" i="172"/>
  <c r="CB60" i="172"/>
  <c r="BY60" i="172"/>
  <c r="BV60" i="172"/>
  <c r="BU60" i="172"/>
  <c r="BS60" i="172"/>
  <c r="BB60" i="172"/>
  <c r="AZ60" i="172"/>
  <c r="AE60" i="172"/>
  <c r="AC60" i="172"/>
  <c r="AA60" i="172"/>
  <c r="DL60" i="172" s="1"/>
  <c r="CN59" i="172"/>
  <c r="BU59" i="172"/>
  <c r="BP59" i="172"/>
  <c r="AV59" i="172" s="1"/>
  <c r="AS59" i="172"/>
  <c r="EB58" i="172"/>
  <c r="EA58" i="172"/>
  <c r="DZ58" i="172"/>
  <c r="DY58" i="172"/>
  <c r="DX58" i="172"/>
  <c r="DW58" i="172"/>
  <c r="DV58" i="172"/>
  <c r="DT58" i="172"/>
  <c r="DS58" i="172"/>
  <c r="DQ58" i="172"/>
  <c r="CI58" i="172"/>
  <c r="CH58" i="172"/>
  <c r="CG58" i="172"/>
  <c r="CF58" i="172"/>
  <c r="CE58" i="172"/>
  <c r="CD58" i="172"/>
  <c r="CB58" i="172"/>
  <c r="BY58" i="172"/>
  <c r="BU58" i="172"/>
  <c r="BS58" i="172"/>
  <c r="AZ58" i="172"/>
  <c r="AV58" i="172" s="1"/>
  <c r="AS58" i="172"/>
  <c r="ED58" i="172" s="1"/>
  <c r="AE58" i="172"/>
  <c r="DP58" i="172" s="1"/>
  <c r="AC58" i="172"/>
  <c r="ED57" i="172"/>
  <c r="EB57" i="172"/>
  <c r="EA57" i="172"/>
  <c r="DZ57" i="172"/>
  <c r="DY57" i="172"/>
  <c r="DX57" i="172"/>
  <c r="DW57" i="172"/>
  <c r="DV57" i="172"/>
  <c r="DT57" i="172"/>
  <c r="DS57" i="172"/>
  <c r="DQ57" i="172"/>
  <c r="DN57" i="172"/>
  <c r="CL57" i="172"/>
  <c r="CI57" i="172"/>
  <c r="CH57" i="172"/>
  <c r="CG57" i="172"/>
  <c r="CF57" i="172"/>
  <c r="CE57" i="172"/>
  <c r="CD57" i="172"/>
  <c r="CB57" i="172"/>
  <c r="BY57" i="172"/>
  <c r="BX57" i="172"/>
  <c r="BV57" i="172"/>
  <c r="BU57" i="172"/>
  <c r="BS57" i="172"/>
  <c r="BB57" i="172"/>
  <c r="AV57" i="172" s="1"/>
  <c r="AU57" i="172" s="1"/>
  <c r="BQ57" i="172" s="1"/>
  <c r="Y57" i="172"/>
  <c r="ED56" i="172"/>
  <c r="EB56" i="172"/>
  <c r="EA56" i="172"/>
  <c r="DZ56" i="172"/>
  <c r="DY56" i="172"/>
  <c r="DX56" i="172"/>
  <c r="DW56" i="172"/>
  <c r="DV56" i="172"/>
  <c r="DT56" i="172"/>
  <c r="DS56" i="172"/>
  <c r="DQ56" i="172"/>
  <c r="DN56" i="172"/>
  <c r="CL56" i="172"/>
  <c r="CK56" i="172"/>
  <c r="CJ56" i="172"/>
  <c r="CI56" i="172"/>
  <c r="CH56" i="172"/>
  <c r="CG56" i="172"/>
  <c r="CF56" i="172"/>
  <c r="CE56" i="172"/>
  <c r="CD56" i="172"/>
  <c r="CC56" i="172"/>
  <c r="CB56" i="172"/>
  <c r="CA56" i="172"/>
  <c r="BY56" i="172"/>
  <c r="BV56" i="172"/>
  <c r="BU56" i="172"/>
  <c r="BR56" i="172" s="1"/>
  <c r="BT56" i="172"/>
  <c r="BS56" i="172"/>
  <c r="BB56" i="172"/>
  <c r="BX56" i="172" s="1"/>
  <c r="Y56" i="172"/>
  <c r="ED55" i="172"/>
  <c r="EB55" i="172"/>
  <c r="EA55" i="172"/>
  <c r="DZ55" i="172"/>
  <c r="DY55" i="172"/>
  <c r="DX55" i="172"/>
  <c r="DV55" i="172"/>
  <c r="DT55" i="172"/>
  <c r="DS55" i="172"/>
  <c r="DQ55" i="172"/>
  <c r="DP55" i="172"/>
  <c r="DN55" i="172"/>
  <c r="CL55" i="172"/>
  <c r="CI55" i="172"/>
  <c r="CH55" i="172"/>
  <c r="CF55" i="172"/>
  <c r="CD55" i="172"/>
  <c r="CB55" i="172"/>
  <c r="BY55" i="172"/>
  <c r="BX55" i="172"/>
  <c r="BV55" i="172"/>
  <c r="BU55" i="172"/>
  <c r="BT55" i="172"/>
  <c r="BS55" i="172"/>
  <c r="AL55" i="172"/>
  <c r="ED54" i="172"/>
  <c r="EB54" i="172"/>
  <c r="EA54" i="172"/>
  <c r="DY54" i="172"/>
  <c r="DX54" i="172"/>
  <c r="DW54" i="172"/>
  <c r="DV54" i="172"/>
  <c r="DT54" i="172"/>
  <c r="DS54" i="172"/>
  <c r="DQ54" i="172"/>
  <c r="DN54" i="172"/>
  <c r="DM54" i="172"/>
  <c r="DD54" i="172"/>
  <c r="DZ54" i="172" s="1"/>
  <c r="CT54" i="172"/>
  <c r="DP54" i="172" s="1"/>
  <c r="CP54" i="172"/>
  <c r="CL54" i="172"/>
  <c r="CK54" i="172"/>
  <c r="CJ54" i="172"/>
  <c r="CI54" i="172"/>
  <c r="CG54" i="172"/>
  <c r="CF54" i="172"/>
  <c r="CE54" i="172"/>
  <c r="CD54" i="172"/>
  <c r="CC54" i="172"/>
  <c r="CB54" i="172"/>
  <c r="CA54" i="172"/>
  <c r="BY54" i="172"/>
  <c r="BV54" i="172"/>
  <c r="BU54" i="172"/>
  <c r="BS54" i="172"/>
  <c r="BL54" i="172"/>
  <c r="CH54" i="172" s="1"/>
  <c r="BB54" i="172"/>
  <c r="BX54" i="172" s="1"/>
  <c r="AX54" i="172"/>
  <c r="AA54" i="172"/>
  <c r="EB53" i="172"/>
  <c r="EA53" i="172"/>
  <c r="DZ53" i="172"/>
  <c r="DY53" i="172"/>
  <c r="DX53" i="172"/>
  <c r="DW53" i="172"/>
  <c r="DV53" i="172"/>
  <c r="DT53" i="172"/>
  <c r="DS53" i="172"/>
  <c r="DQ53" i="172"/>
  <c r="DP53" i="172"/>
  <c r="DN53" i="172"/>
  <c r="DH53" i="172"/>
  <c r="CN53" i="172" s="1"/>
  <c r="H53" i="172" s="1"/>
  <c r="CK53" i="172"/>
  <c r="CJ53" i="172"/>
  <c r="CI53" i="172"/>
  <c r="CH53" i="172"/>
  <c r="CG53" i="172"/>
  <c r="CF53" i="172"/>
  <c r="CE53" i="172"/>
  <c r="CD53" i="172"/>
  <c r="CC53" i="172"/>
  <c r="CB53" i="172"/>
  <c r="CA53" i="172"/>
  <c r="BY53" i="172"/>
  <c r="BX53" i="172"/>
  <c r="BV53" i="172"/>
  <c r="BU53" i="172"/>
  <c r="BT53" i="172"/>
  <c r="BS53" i="172"/>
  <c r="BP53" i="172"/>
  <c r="AV53" i="172" s="1"/>
  <c r="AS53" i="172"/>
  <c r="ED52" i="172"/>
  <c r="EB52" i="172"/>
  <c r="EA52" i="172"/>
  <c r="DZ52" i="172"/>
  <c r="DY52" i="172"/>
  <c r="DX52" i="172"/>
  <c r="DV52" i="172"/>
  <c r="DT52" i="172"/>
  <c r="DS52" i="172"/>
  <c r="DQ52" i="172"/>
  <c r="DP52" i="172"/>
  <c r="DN52" i="172"/>
  <c r="DW52" i="172"/>
  <c r="CL52" i="172"/>
  <c r="CI52" i="172"/>
  <c r="CH52" i="172"/>
  <c r="CG52" i="172"/>
  <c r="CF52" i="172"/>
  <c r="CE52" i="172"/>
  <c r="CD52" i="172"/>
  <c r="CC52" i="172"/>
  <c r="CB52" i="172"/>
  <c r="CA52" i="172"/>
  <c r="BY52" i="172"/>
  <c r="BX52" i="172"/>
  <c r="BV52" i="172"/>
  <c r="BU52" i="172"/>
  <c r="BT52" i="172"/>
  <c r="BS52" i="172"/>
  <c r="AV52" i="172"/>
  <c r="Y52" i="172"/>
  <c r="EB51" i="172"/>
  <c r="EA51" i="172"/>
  <c r="DZ51" i="172"/>
  <c r="DY51" i="172"/>
  <c r="DX51" i="172"/>
  <c r="DW51" i="172"/>
  <c r="DV51" i="172"/>
  <c r="DT51" i="172"/>
  <c r="DS51" i="172"/>
  <c r="DQ51" i="172"/>
  <c r="DP51" i="172"/>
  <c r="DN51" i="172"/>
  <c r="CN51" i="172"/>
  <c r="CI51" i="172"/>
  <c r="CH51" i="172"/>
  <c r="CG51" i="172"/>
  <c r="CF51" i="172"/>
  <c r="CE51" i="172"/>
  <c r="CD51" i="172"/>
  <c r="CB51" i="172"/>
  <c r="BY51" i="172"/>
  <c r="BX51" i="172"/>
  <c r="BV51" i="172"/>
  <c r="BU51" i="172"/>
  <c r="BT51" i="172"/>
  <c r="BS51" i="172"/>
  <c r="BP51" i="172"/>
  <c r="AV51" i="172" s="1"/>
  <c r="AS51" i="172"/>
  <c r="Y51" i="172"/>
  <c r="EB50" i="172"/>
  <c r="EA50" i="172"/>
  <c r="DZ50" i="172"/>
  <c r="DX50" i="172"/>
  <c r="DW50" i="172"/>
  <c r="DV50" i="172"/>
  <c r="DT50" i="172"/>
  <c r="DS50" i="172"/>
  <c r="DQ50" i="172"/>
  <c r="DP50" i="172"/>
  <c r="DN50" i="172"/>
  <c r="DC50" i="172"/>
  <c r="CN50" i="172" s="1"/>
  <c r="CI50" i="172"/>
  <c r="CH50" i="172"/>
  <c r="CF50" i="172"/>
  <c r="CE50" i="172"/>
  <c r="CD50" i="172"/>
  <c r="CB50" i="172"/>
  <c r="BY50" i="172"/>
  <c r="BX50" i="172"/>
  <c r="BV50" i="172"/>
  <c r="BU50" i="172"/>
  <c r="BT50" i="172"/>
  <c r="BS50" i="172"/>
  <c r="BP50" i="172"/>
  <c r="CL50" i="172" s="1"/>
  <c r="AV50" i="172"/>
  <c r="AS50" i="172"/>
  <c r="ED50" i="172" s="1"/>
  <c r="AN50" i="172"/>
  <c r="ED49" i="172"/>
  <c r="EB49" i="172"/>
  <c r="EA49" i="172"/>
  <c r="DZ49" i="172"/>
  <c r="DY49" i="172"/>
  <c r="DX49" i="172"/>
  <c r="DW49" i="172"/>
  <c r="DV49" i="172"/>
  <c r="DT49" i="172"/>
  <c r="DS49" i="172"/>
  <c r="DQ49" i="172"/>
  <c r="DP49" i="172"/>
  <c r="DN49" i="172"/>
  <c r="DM49" i="172"/>
  <c r="DL49" i="172"/>
  <c r="DJ49" i="172" s="1"/>
  <c r="CP49" i="172"/>
  <c r="CN49" i="172" s="1"/>
  <c r="CL49" i="172"/>
  <c r="CI49" i="172"/>
  <c r="CG49" i="172"/>
  <c r="CF49" i="172"/>
  <c r="CE49" i="172"/>
  <c r="CD49" i="172"/>
  <c r="CB49" i="172"/>
  <c r="BY49" i="172"/>
  <c r="BX49" i="172"/>
  <c r="BV49" i="172"/>
  <c r="BU49" i="172"/>
  <c r="BS49" i="172"/>
  <c r="BL49" i="172"/>
  <c r="CH49" i="172" s="1"/>
  <c r="AA49" i="172"/>
  <c r="ED48" i="172"/>
  <c r="EB48" i="172"/>
  <c r="EA48" i="172"/>
  <c r="DW48" i="172"/>
  <c r="DV48" i="172"/>
  <c r="DT48" i="172"/>
  <c r="DN48" i="172"/>
  <c r="DM48" i="172"/>
  <c r="DC48" i="172"/>
  <c r="CV48" i="172"/>
  <c r="DR48" i="172" s="1"/>
  <c r="CP48" i="172"/>
  <c r="CL48" i="172"/>
  <c r="CI48" i="172"/>
  <c r="CE48" i="172"/>
  <c r="CD48" i="172"/>
  <c r="CC48" i="172"/>
  <c r="CB48" i="172"/>
  <c r="BV48" i="172"/>
  <c r="BU48" i="172"/>
  <c r="BS48" i="172"/>
  <c r="BL48" i="172"/>
  <c r="BK48" i="172"/>
  <c r="BJ48" i="172"/>
  <c r="BE48" i="172"/>
  <c r="BE202" i="172" s="1"/>
  <c r="BD48" i="172"/>
  <c r="BD202" i="172" s="1"/>
  <c r="BC48" i="172"/>
  <c r="BB48" i="172"/>
  <c r="AX48" i="172"/>
  <c r="AO48" i="172"/>
  <c r="AN48" i="172"/>
  <c r="AM48" i="172"/>
  <c r="DX48" i="172" s="1"/>
  <c r="AF48" i="172"/>
  <c r="AE48" i="172"/>
  <c r="AA48" i="172"/>
  <c r="ED47" i="172"/>
  <c r="EB47" i="172"/>
  <c r="EA47" i="172"/>
  <c r="DZ47" i="172"/>
  <c r="DY47" i="172"/>
  <c r="DW47" i="172"/>
  <c r="DV47" i="172"/>
  <c r="DT47" i="172"/>
  <c r="DS47" i="172"/>
  <c r="DQ47" i="172"/>
  <c r="DP47" i="172"/>
  <c r="DN47" i="172"/>
  <c r="DM47" i="172"/>
  <c r="DL47" i="172"/>
  <c r="DB47" i="172"/>
  <c r="CL47" i="172"/>
  <c r="CI47" i="172"/>
  <c r="CH47" i="172"/>
  <c r="CG47" i="172"/>
  <c r="CE47" i="172"/>
  <c r="CD47" i="172"/>
  <c r="CC47" i="172"/>
  <c r="CB47" i="172"/>
  <c r="CA47" i="172"/>
  <c r="BY47" i="172"/>
  <c r="BX47" i="172"/>
  <c r="BV47" i="172"/>
  <c r="BU47" i="172"/>
  <c r="BT47" i="172"/>
  <c r="BS47" i="172"/>
  <c r="BJ47" i="172"/>
  <c r="AM47" i="172"/>
  <c r="AA47" i="172"/>
  <c r="Y47" i="172"/>
  <c r="EB46" i="172"/>
  <c r="EA46" i="172"/>
  <c r="DZ46" i="172"/>
  <c r="DY46" i="172"/>
  <c r="DX46" i="172"/>
  <c r="DW46" i="172"/>
  <c r="DV46" i="172"/>
  <c r="DT46" i="172"/>
  <c r="DS46" i="172"/>
  <c r="DQ46" i="172"/>
  <c r="DP46" i="172"/>
  <c r="DN46" i="172"/>
  <c r="CI46" i="172"/>
  <c r="CH46" i="172"/>
  <c r="CG46" i="172"/>
  <c r="CF46" i="172"/>
  <c r="CE46" i="172"/>
  <c r="CD46" i="172"/>
  <c r="CC46" i="172"/>
  <c r="CB46" i="172"/>
  <c r="CA46" i="172"/>
  <c r="BY46" i="172"/>
  <c r="BX46" i="172"/>
  <c r="BV46" i="172"/>
  <c r="BU46" i="172"/>
  <c r="BS46" i="172"/>
  <c r="BP46" i="172"/>
  <c r="AV46" i="172" s="1"/>
  <c r="AS46" i="172"/>
  <c r="ED45" i="172"/>
  <c r="EB45" i="172"/>
  <c r="EA45" i="172"/>
  <c r="DY45" i="172"/>
  <c r="DX45" i="172"/>
  <c r="DW45" i="172"/>
  <c r="DV45" i="172"/>
  <c r="DT45" i="172"/>
  <c r="DS45" i="172"/>
  <c r="DP45" i="172"/>
  <c r="DN45" i="172"/>
  <c r="DM45" i="172"/>
  <c r="CP45" i="172"/>
  <c r="CL45" i="172"/>
  <c r="CI45" i="172"/>
  <c r="CG45" i="172"/>
  <c r="CF45" i="172"/>
  <c r="CE45" i="172"/>
  <c r="CD45" i="172"/>
  <c r="CC45" i="172"/>
  <c r="CB45" i="172"/>
  <c r="CA45" i="172"/>
  <c r="BX45" i="172"/>
  <c r="BV45" i="172"/>
  <c r="BU45" i="172"/>
  <c r="BS45" i="172"/>
  <c r="BL45" i="172"/>
  <c r="CH45" i="172" s="1"/>
  <c r="BC45" i="172"/>
  <c r="AX45" i="172"/>
  <c r="AF45" i="172"/>
  <c r="AA45" i="172"/>
  <c r="DL45" i="172" s="1"/>
  <c r="ED44" i="172"/>
  <c r="EB44" i="172"/>
  <c r="EA44" i="172"/>
  <c r="DY44" i="172"/>
  <c r="DX44" i="172"/>
  <c r="DW44" i="172"/>
  <c r="DV44" i="172"/>
  <c r="DT44" i="172"/>
  <c r="DS44" i="172"/>
  <c r="DP44" i="172"/>
  <c r="DN44" i="172"/>
  <c r="DM44" i="172"/>
  <c r="CU44" i="172"/>
  <c r="CP44" i="172"/>
  <c r="CL44" i="172"/>
  <c r="CI44" i="172"/>
  <c r="CG44" i="172"/>
  <c r="CF44" i="172"/>
  <c r="CE44" i="172"/>
  <c r="CD44" i="172"/>
  <c r="CC44" i="172"/>
  <c r="CB44" i="172"/>
  <c r="CA44" i="172"/>
  <c r="BX44" i="172"/>
  <c r="BV44" i="172"/>
  <c r="BU44" i="172"/>
  <c r="BS44" i="172"/>
  <c r="BL44" i="172"/>
  <c r="CH44" i="172" s="1"/>
  <c r="BC44" i="172"/>
  <c r="AX44" i="172"/>
  <c r="BT44" i="172" s="1"/>
  <c r="AF44" i="172"/>
  <c r="AA44" i="172"/>
  <c r="ED43" i="172"/>
  <c r="EB43" i="172"/>
  <c r="EA43" i="172"/>
  <c r="DZ43" i="172"/>
  <c r="DY43" i="172"/>
  <c r="DX43" i="172"/>
  <c r="DW43" i="172"/>
  <c r="DV43" i="172"/>
  <c r="DT43" i="172"/>
  <c r="DS43" i="172"/>
  <c r="DQ43" i="172"/>
  <c r="CN43" i="172"/>
  <c r="H43" i="172" s="1"/>
  <c r="CL43" i="172"/>
  <c r="CI43" i="172"/>
  <c r="CH43" i="172"/>
  <c r="CG43" i="172"/>
  <c r="CF43" i="172"/>
  <c r="CE43" i="172"/>
  <c r="CD43" i="172"/>
  <c r="BY43" i="172"/>
  <c r="BV43" i="172"/>
  <c r="BU43" i="172"/>
  <c r="BS43" i="172"/>
  <c r="BB43" i="172"/>
  <c r="AE43" i="172"/>
  <c r="ED42" i="172"/>
  <c r="EB42" i="172"/>
  <c r="EA42" i="172"/>
  <c r="DZ42" i="172"/>
  <c r="DY42" i="172"/>
  <c r="DX42" i="172"/>
  <c r="DW42" i="172"/>
  <c r="DV42" i="172"/>
  <c r="DT42" i="172"/>
  <c r="DS42" i="172"/>
  <c r="DQ42" i="172"/>
  <c r="CL42" i="172"/>
  <c r="CI42" i="172"/>
  <c r="CH42" i="172"/>
  <c r="CG42" i="172"/>
  <c r="CF42" i="172"/>
  <c r="CE42" i="172"/>
  <c r="CD42" i="172"/>
  <c r="CC42" i="172"/>
  <c r="CB42" i="172"/>
  <c r="CA42" i="172"/>
  <c r="BY42" i="172"/>
  <c r="BV42" i="172"/>
  <c r="BU42" i="172"/>
  <c r="BS42" i="172"/>
  <c r="BB42" i="172"/>
  <c r="AV42" i="172" s="1"/>
  <c r="AU42" i="172" s="1"/>
  <c r="BQ42" i="172" s="1"/>
  <c r="Y42" i="172"/>
  <c r="ED41" i="172"/>
  <c r="EB41" i="172"/>
  <c r="EA41" i="172"/>
  <c r="DZ41" i="172"/>
  <c r="DY41" i="172"/>
  <c r="DX41" i="172"/>
  <c r="DW41" i="172"/>
  <c r="DV41" i="172"/>
  <c r="DT41" i="172"/>
  <c r="DS41" i="172"/>
  <c r="DQ41" i="172"/>
  <c r="CT41" i="172"/>
  <c r="CL41" i="172"/>
  <c r="CI41" i="172"/>
  <c r="CH41" i="172"/>
  <c r="CG41" i="172"/>
  <c r="CF41" i="172"/>
  <c r="CE41" i="172"/>
  <c r="CD41" i="172"/>
  <c r="CC41" i="172"/>
  <c r="CB41" i="172"/>
  <c r="CA41" i="172"/>
  <c r="BY41" i="172"/>
  <c r="BV41" i="172"/>
  <c r="BU41" i="172"/>
  <c r="BS41" i="172"/>
  <c r="BB41" i="172"/>
  <c r="AE41" i="172"/>
  <c r="Y41" i="172" s="1"/>
  <c r="ED40" i="172"/>
  <c r="EB40" i="172"/>
  <c r="EA40" i="172"/>
  <c r="DZ40" i="172"/>
  <c r="DY40" i="172"/>
  <c r="DX40" i="172"/>
  <c r="DW40" i="172"/>
  <c r="DV40" i="172"/>
  <c r="DT40" i="172"/>
  <c r="DS40" i="172"/>
  <c r="DQ40" i="172"/>
  <c r="CT40" i="172"/>
  <c r="DP40" i="172" s="1"/>
  <c r="CN40" i="172"/>
  <c r="H40" i="172" s="1"/>
  <c r="CL40" i="172"/>
  <c r="CI40" i="172"/>
  <c r="CH40" i="172"/>
  <c r="CG40" i="172"/>
  <c r="CF40" i="172"/>
  <c r="CE40" i="172"/>
  <c r="CD40" i="172"/>
  <c r="CC40" i="172"/>
  <c r="CB40" i="172"/>
  <c r="CA40" i="172"/>
  <c r="BY40" i="172"/>
  <c r="BV40" i="172"/>
  <c r="BR40" i="172" s="1"/>
  <c r="BU40" i="172"/>
  <c r="BS40" i="172"/>
  <c r="BB40" i="172"/>
  <c r="BX40" i="172" s="1"/>
  <c r="AV40" i="172"/>
  <c r="Y40" i="172"/>
  <c r="ED39" i="172"/>
  <c r="EB39" i="172"/>
  <c r="EA39" i="172"/>
  <c r="DZ39" i="172"/>
  <c r="DX39" i="172"/>
  <c r="DW39" i="172"/>
  <c r="DV39" i="172"/>
  <c r="DT39" i="172"/>
  <c r="DS39" i="172"/>
  <c r="DQ39" i="172"/>
  <c r="DF202" i="172"/>
  <c r="CT39" i="172"/>
  <c r="DP39" i="172" s="1"/>
  <c r="CL39" i="172"/>
  <c r="CI39" i="172"/>
  <c r="CH39" i="172"/>
  <c r="CF39" i="172"/>
  <c r="CE39" i="172"/>
  <c r="CD39" i="172"/>
  <c r="CC39" i="172"/>
  <c r="CB39" i="172"/>
  <c r="CA39" i="172"/>
  <c r="BY39" i="172"/>
  <c r="BV39" i="172"/>
  <c r="BU39" i="172"/>
  <c r="BS39" i="172"/>
  <c r="BN39" i="172"/>
  <c r="BN202" i="172" s="1"/>
  <c r="BK39" i="172"/>
  <c r="BB39" i="172"/>
  <c r="BX39" i="172" s="1"/>
  <c r="AN39" i="172"/>
  <c r="Y39" i="172" s="1"/>
  <c r="ED38" i="172"/>
  <c r="EB38" i="172"/>
  <c r="EA38" i="172"/>
  <c r="DZ38" i="172"/>
  <c r="DY38" i="172"/>
  <c r="DX38" i="172"/>
  <c r="DW38" i="172"/>
  <c r="DV38" i="172"/>
  <c r="DT38" i="172"/>
  <c r="DS38" i="172"/>
  <c r="DQ38" i="172"/>
  <c r="DP38" i="172"/>
  <c r="CN38" i="172"/>
  <c r="H38" i="172" s="1"/>
  <c r="CL38" i="172"/>
  <c r="CI38" i="172"/>
  <c r="CH38" i="172"/>
  <c r="CG38" i="172"/>
  <c r="CF38" i="172"/>
  <c r="CE38" i="172"/>
  <c r="CD38" i="172"/>
  <c r="CC38" i="172"/>
  <c r="CB38" i="172"/>
  <c r="CA38" i="172"/>
  <c r="BY38" i="172"/>
  <c r="BV38" i="172"/>
  <c r="BU38" i="172"/>
  <c r="BS38" i="172"/>
  <c r="BB38" i="172"/>
  <c r="BX38" i="172" s="1"/>
  <c r="AV38" i="172"/>
  <c r="Y38" i="172"/>
  <c r="ED37" i="172"/>
  <c r="EB37" i="172"/>
  <c r="EA37" i="172"/>
  <c r="DY37" i="172"/>
  <c r="DX37" i="172"/>
  <c r="DW37" i="172"/>
  <c r="DV37" i="172"/>
  <c r="DT37" i="172"/>
  <c r="DS37" i="172"/>
  <c r="DQ37" i="172"/>
  <c r="DN37" i="172"/>
  <c r="DM37" i="172"/>
  <c r="CP37" i="172"/>
  <c r="CL37" i="172"/>
  <c r="CI37" i="172"/>
  <c r="CG37" i="172"/>
  <c r="CF37" i="172"/>
  <c r="CE37" i="172"/>
  <c r="CD37" i="172"/>
  <c r="CB37" i="172"/>
  <c r="BY37" i="172"/>
  <c r="BV37" i="172"/>
  <c r="BU37" i="172"/>
  <c r="BS37" i="172"/>
  <c r="BB37" i="172"/>
  <c r="BX37" i="172" s="1"/>
  <c r="AX37" i="172"/>
  <c r="AO37" i="172"/>
  <c r="AA37" i="172"/>
  <c r="ED36" i="172"/>
  <c r="EB36" i="172"/>
  <c r="EA36" i="172"/>
  <c r="DZ36" i="172"/>
  <c r="DY36" i="172"/>
  <c r="DX36" i="172"/>
  <c r="DW36" i="172"/>
  <c r="DV36" i="172"/>
  <c r="DT36" i="172"/>
  <c r="DS36" i="172"/>
  <c r="DQ36" i="172"/>
  <c r="DP36" i="172"/>
  <c r="DN36" i="172"/>
  <c r="DM36" i="172"/>
  <c r="CP36" i="172"/>
  <c r="CL36" i="172"/>
  <c r="CI36" i="172"/>
  <c r="CH36" i="172"/>
  <c r="CG36" i="172"/>
  <c r="CF36" i="172"/>
  <c r="CE36" i="172"/>
  <c r="CD36" i="172"/>
  <c r="CB36" i="172"/>
  <c r="BY36" i="172"/>
  <c r="BX36" i="172"/>
  <c r="BV36" i="172"/>
  <c r="BU36" i="172"/>
  <c r="BS36" i="172"/>
  <c r="AV36" i="172"/>
  <c r="AA36" i="172"/>
  <c r="ED35" i="172"/>
  <c r="EB35" i="172"/>
  <c r="EA35" i="172"/>
  <c r="DZ35" i="172"/>
  <c r="DY35" i="172"/>
  <c r="DX35" i="172"/>
  <c r="DW35" i="172"/>
  <c r="DV35" i="172"/>
  <c r="DT35" i="172"/>
  <c r="DS35" i="172"/>
  <c r="DM35" i="172"/>
  <c r="CT35" i="172"/>
  <c r="CR35" i="172"/>
  <c r="CQ35" i="172"/>
  <c r="CL35" i="172"/>
  <c r="CI35" i="172"/>
  <c r="CH35" i="172"/>
  <c r="CG35" i="172"/>
  <c r="CF35" i="172"/>
  <c r="CE35" i="172"/>
  <c r="CD35" i="172"/>
  <c r="CB35" i="172"/>
  <c r="BU35" i="172"/>
  <c r="BS35" i="172"/>
  <c r="BB35" i="172"/>
  <c r="BX35" i="172" s="1"/>
  <c r="AZ35" i="172"/>
  <c r="AF35" i="172"/>
  <c r="AE35" i="172"/>
  <c r="AC35" i="172"/>
  <c r="AA35" i="172"/>
  <c r="BT35" i="172" s="1"/>
  <c r="EC34" i="172"/>
  <c r="DU34" i="172"/>
  <c r="DR34" i="172"/>
  <c r="DG34" i="172"/>
  <c r="DF34" i="172"/>
  <c r="DE34" i="172"/>
  <c r="DA34" i="172"/>
  <c r="CZ34" i="172"/>
  <c r="CY34" i="172"/>
  <c r="CX34" i="172"/>
  <c r="CW34" i="172"/>
  <c r="CV34" i="172"/>
  <c r="CS34" i="172"/>
  <c r="CR34" i="172"/>
  <c r="CP34" i="172"/>
  <c r="CO34" i="172"/>
  <c r="CJ34" i="172"/>
  <c r="BZ34" i="172"/>
  <c r="BW34" i="172"/>
  <c r="BU34" i="172"/>
  <c r="BO34" i="172"/>
  <c r="BN34" i="172"/>
  <c r="BM34" i="172"/>
  <c r="BI34" i="172"/>
  <c r="BH34" i="172"/>
  <c r="BG34" i="172"/>
  <c r="BF34" i="172"/>
  <c r="BE34" i="172"/>
  <c r="BD34" i="172"/>
  <c r="BA34" i="172"/>
  <c r="AZ34" i="172"/>
  <c r="AX34" i="172"/>
  <c r="AW34" i="172"/>
  <c r="AR34" i="172"/>
  <c r="AQ34" i="172"/>
  <c r="AP34" i="172"/>
  <c r="AO34" i="172"/>
  <c r="AL34" i="172"/>
  <c r="AK34" i="172"/>
  <c r="AJ34" i="172"/>
  <c r="AI34" i="172"/>
  <c r="AH34" i="172"/>
  <c r="AG34" i="172"/>
  <c r="AD34" i="172"/>
  <c r="AC34" i="172"/>
  <c r="AB34" i="172"/>
  <c r="Z34" i="172"/>
  <c r="G34" i="172"/>
  <c r="ED33" i="172"/>
  <c r="EB33" i="172"/>
  <c r="EA33" i="172"/>
  <c r="DZ33" i="172"/>
  <c r="DY33" i="172"/>
  <c r="DW33" i="172"/>
  <c r="DV33" i="172"/>
  <c r="DT33" i="172"/>
  <c r="DS33" i="172"/>
  <c r="DQ33" i="172"/>
  <c r="DP33" i="172"/>
  <c r="DN33" i="172"/>
  <c r="DL33" i="172"/>
  <c r="DK33" i="172"/>
  <c r="DB33" i="172"/>
  <c r="CN33" i="172" s="1"/>
  <c r="CI33" i="172"/>
  <c r="CH33" i="172"/>
  <c r="CG33" i="172"/>
  <c r="CE33" i="172"/>
  <c r="CD33" i="172"/>
  <c r="BY33" i="172"/>
  <c r="BX33" i="172"/>
  <c r="BV33" i="172"/>
  <c r="BT33" i="172"/>
  <c r="BS33" i="172"/>
  <c r="BP33" i="172"/>
  <c r="CL33" i="172" s="1"/>
  <c r="Y33" i="172"/>
  <c r="ED32" i="172"/>
  <c r="EB32" i="172"/>
  <c r="EA32" i="172"/>
  <c r="DZ32" i="172"/>
  <c r="DW32" i="172"/>
  <c r="DV32" i="172"/>
  <c r="DT32" i="172"/>
  <c r="DS32" i="172"/>
  <c r="DQ32" i="172"/>
  <c r="DP32" i="172"/>
  <c r="DO32" i="172"/>
  <c r="DN32" i="172"/>
  <c r="DL32" i="172"/>
  <c r="DK32" i="172"/>
  <c r="DB32" i="172"/>
  <c r="DC32" i="172" s="1"/>
  <c r="DY32" i="172" s="1"/>
  <c r="CL32" i="172"/>
  <c r="CI32" i="172"/>
  <c r="CH32" i="172"/>
  <c r="CE32" i="172"/>
  <c r="CD32" i="172"/>
  <c r="BY32" i="172"/>
  <c r="BX32" i="172"/>
  <c r="BV32" i="172"/>
  <c r="BT32" i="172"/>
  <c r="BS32" i="172"/>
  <c r="BK32" i="172"/>
  <c r="CG32" i="172" s="1"/>
  <c r="BJ32" i="172"/>
  <c r="CF32" i="172" s="1"/>
  <c r="Y32" i="172"/>
  <c r="ED31" i="172"/>
  <c r="EB31" i="172"/>
  <c r="EA31" i="172"/>
  <c r="DZ31" i="172"/>
  <c r="DY31" i="172"/>
  <c r="DW31" i="172"/>
  <c r="DV31" i="172"/>
  <c r="DT31" i="172"/>
  <c r="DS31" i="172"/>
  <c r="DQ31" i="172"/>
  <c r="DP31" i="172"/>
  <c r="DO31" i="172"/>
  <c r="DN31" i="172"/>
  <c r="DL31" i="172"/>
  <c r="DK31" i="172"/>
  <c r="CN31" i="172"/>
  <c r="H31" i="172" s="1"/>
  <c r="CL31" i="172"/>
  <c r="CI31" i="172"/>
  <c r="CH31" i="172"/>
  <c r="CG31" i="172"/>
  <c r="CE31" i="172"/>
  <c r="CD31" i="172"/>
  <c r="BY31" i="172"/>
  <c r="BX31" i="172"/>
  <c r="BV31" i="172"/>
  <c r="BT31" i="172"/>
  <c r="BS31" i="172"/>
  <c r="Y31" i="172"/>
  <c r="ED30" i="172"/>
  <c r="EB30" i="172"/>
  <c r="EA30" i="172"/>
  <c r="DZ30" i="172"/>
  <c r="DY30" i="172"/>
  <c r="DW30" i="172"/>
  <c r="DV30" i="172"/>
  <c r="DT30" i="172"/>
  <c r="DS30" i="172"/>
  <c r="DQ30" i="172"/>
  <c r="DP30" i="172"/>
  <c r="DO30" i="172"/>
  <c r="DN30" i="172"/>
  <c r="DL30" i="172"/>
  <c r="DK30" i="172"/>
  <c r="DB30" i="172"/>
  <c r="CN30" i="172" s="1"/>
  <c r="CL30" i="172"/>
  <c r="CI30" i="172"/>
  <c r="CH30" i="172"/>
  <c r="CG30" i="172"/>
  <c r="CE30" i="172"/>
  <c r="CD30" i="172"/>
  <c r="BY30" i="172"/>
  <c r="BX30" i="172"/>
  <c r="BV30" i="172"/>
  <c r="BT30" i="172"/>
  <c r="BS30" i="172"/>
  <c r="BJ30" i="172"/>
  <c r="CF30" i="172" s="1"/>
  <c r="Y30" i="172"/>
  <c r="ED29" i="172"/>
  <c r="EB29" i="172"/>
  <c r="EA29" i="172"/>
  <c r="DZ29" i="172"/>
  <c r="DY29" i="172"/>
  <c r="DX29" i="172"/>
  <c r="DW29" i="172"/>
  <c r="DV29" i="172"/>
  <c r="DT29" i="172"/>
  <c r="DS29" i="172"/>
  <c r="DQ29" i="172"/>
  <c r="DP29" i="172"/>
  <c r="DO29" i="172"/>
  <c r="DN29" i="172"/>
  <c r="DL29" i="172"/>
  <c r="DK29" i="172"/>
  <c r="CN29" i="172"/>
  <c r="CL29" i="172"/>
  <c r="CI29" i="172"/>
  <c r="CH29" i="172"/>
  <c r="CG29" i="172"/>
  <c r="CF29" i="172"/>
  <c r="CE29" i="172"/>
  <c r="CD29" i="172"/>
  <c r="BY29" i="172"/>
  <c r="BX29" i="172"/>
  <c r="BV29" i="172"/>
  <c r="BT29" i="172"/>
  <c r="BS29" i="172"/>
  <c r="AV29" i="172"/>
  <c r="Y29" i="172"/>
  <c r="CM29" i="172" s="1"/>
  <c r="DI29" i="172" s="1"/>
  <c r="I29" i="172"/>
  <c r="H29" i="172"/>
  <c r="ED28" i="172"/>
  <c r="EB28" i="172"/>
  <c r="EA28" i="172"/>
  <c r="DZ28" i="172"/>
  <c r="DY28" i="172"/>
  <c r="DX28" i="172"/>
  <c r="DW28" i="172"/>
  <c r="DV28" i="172"/>
  <c r="DT28" i="172"/>
  <c r="DS28" i="172"/>
  <c r="DQ28" i="172"/>
  <c r="DP28" i="172"/>
  <c r="DO28" i="172"/>
  <c r="DN28" i="172"/>
  <c r="DL28" i="172"/>
  <c r="DK28" i="172"/>
  <c r="CN28" i="172"/>
  <c r="H28" i="172" s="1"/>
  <c r="CL28" i="172"/>
  <c r="CI28" i="172"/>
  <c r="CH28" i="172"/>
  <c r="CG28" i="172"/>
  <c r="CF28" i="172"/>
  <c r="CE28" i="172"/>
  <c r="CD28" i="172"/>
  <c r="BY28" i="172"/>
  <c r="BX28" i="172"/>
  <c r="BV28" i="172"/>
  <c r="BR28" i="172" s="1"/>
  <c r="BT28" i="172"/>
  <c r="BS28" i="172"/>
  <c r="AV28" i="172"/>
  <c r="AM28" i="172"/>
  <c r="Y28" i="172" s="1"/>
  <c r="I28" i="172" s="1"/>
  <c r="ED27" i="172"/>
  <c r="EB27" i="172"/>
  <c r="EA27" i="172"/>
  <c r="DZ27" i="172"/>
  <c r="DY27" i="172"/>
  <c r="DX27" i="172"/>
  <c r="DW27" i="172"/>
  <c r="DV27" i="172"/>
  <c r="DT27" i="172"/>
  <c r="DS27" i="172"/>
  <c r="DQ27" i="172"/>
  <c r="DP27" i="172"/>
  <c r="DO27" i="172"/>
  <c r="DN27" i="172"/>
  <c r="DL27" i="172"/>
  <c r="DK27" i="172"/>
  <c r="CN27" i="172"/>
  <c r="H27" i="172" s="1"/>
  <c r="CL27" i="172"/>
  <c r="CI27" i="172"/>
  <c r="CH27" i="172"/>
  <c r="CG27" i="172"/>
  <c r="CF27" i="172"/>
  <c r="CE27" i="172"/>
  <c r="CD27" i="172"/>
  <c r="BY27" i="172"/>
  <c r="BX27" i="172"/>
  <c r="BV27" i="172"/>
  <c r="BT27" i="172"/>
  <c r="BS27" i="172"/>
  <c r="AV27" i="172"/>
  <c r="AU27" i="172" s="1"/>
  <c r="BQ27" i="172" s="1"/>
  <c r="AM27" i="172"/>
  <c r="Y27" i="172" s="1"/>
  <c r="ED26" i="172"/>
  <c r="EB26" i="172"/>
  <c r="EA26" i="172"/>
  <c r="DZ26" i="172"/>
  <c r="DY26" i="172"/>
  <c r="DX26" i="172"/>
  <c r="DW26" i="172"/>
  <c r="DV26" i="172"/>
  <c r="DT26" i="172"/>
  <c r="DS26" i="172"/>
  <c r="DQ26" i="172"/>
  <c r="DP26" i="172"/>
  <c r="DO26" i="172"/>
  <c r="DN26" i="172"/>
  <c r="DL26" i="172"/>
  <c r="DK26" i="172"/>
  <c r="CN26" i="172"/>
  <c r="CL26" i="172"/>
  <c r="CI26" i="172"/>
  <c r="CH26" i="172"/>
  <c r="CG26" i="172"/>
  <c r="CF26" i="172"/>
  <c r="CE26" i="172"/>
  <c r="CD26" i="172"/>
  <c r="BY26" i="172"/>
  <c r="BX26" i="172"/>
  <c r="BV26" i="172"/>
  <c r="BT26" i="172"/>
  <c r="BS26" i="172"/>
  <c r="AV26" i="172"/>
  <c r="Y26" i="172"/>
  <c r="ED25" i="172"/>
  <c r="EB25" i="172"/>
  <c r="EA25" i="172"/>
  <c r="DZ25" i="172"/>
  <c r="DX25" i="172"/>
  <c r="DW25" i="172"/>
  <c r="DV25" i="172"/>
  <c r="DT25" i="172"/>
  <c r="DS25" i="172"/>
  <c r="DQ25" i="172"/>
  <c r="DO25" i="172"/>
  <c r="DN25" i="172"/>
  <c r="DL25" i="172"/>
  <c r="DK25" i="172"/>
  <c r="CL25" i="172"/>
  <c r="CI25" i="172"/>
  <c r="CH25" i="172"/>
  <c r="CF25" i="172"/>
  <c r="CE25" i="172"/>
  <c r="CD25" i="172"/>
  <c r="BY25" i="172"/>
  <c r="BV25" i="172"/>
  <c r="BT25" i="172"/>
  <c r="BS25" i="172"/>
  <c r="BK25" i="172"/>
  <c r="CG25" i="172" s="1"/>
  <c r="Y25" i="172"/>
  <c r="ED24" i="172"/>
  <c r="EB24" i="172"/>
  <c r="EA24" i="172"/>
  <c r="DZ24" i="172"/>
  <c r="DY24" i="172"/>
  <c r="DX24" i="172"/>
  <c r="DW24" i="172"/>
  <c r="DV24" i="172"/>
  <c r="DT24" i="172"/>
  <c r="DS24" i="172"/>
  <c r="DQ24" i="172"/>
  <c r="DO24" i="172"/>
  <c r="DN24" i="172"/>
  <c r="DL24" i="172"/>
  <c r="DK24" i="172"/>
  <c r="CT24" i="172"/>
  <c r="CN24" i="172" s="1"/>
  <c r="CL24" i="172"/>
  <c r="CK24" i="172"/>
  <c r="CJ24" i="172"/>
  <c r="CI24" i="172"/>
  <c r="CH24" i="172"/>
  <c r="CG24" i="172"/>
  <c r="CF24" i="172"/>
  <c r="CE24" i="172"/>
  <c r="CD24" i="172"/>
  <c r="CC24" i="172"/>
  <c r="CB24" i="172"/>
  <c r="CA24" i="172"/>
  <c r="BY24" i="172"/>
  <c r="BV24" i="172"/>
  <c r="BT24" i="172"/>
  <c r="BS24" i="172"/>
  <c r="Y24" i="172"/>
  <c r="ED23" i="172"/>
  <c r="EB23" i="172"/>
  <c r="EA23" i="172"/>
  <c r="DX23" i="172"/>
  <c r="DW23" i="172"/>
  <c r="DV23" i="172"/>
  <c r="DT23" i="172"/>
  <c r="DS23" i="172"/>
  <c r="DQ23" i="172"/>
  <c r="DP23" i="172"/>
  <c r="DO23" i="172"/>
  <c r="DN23" i="172"/>
  <c r="DL23" i="172"/>
  <c r="DK23" i="172"/>
  <c r="CL23" i="172"/>
  <c r="CI23" i="172"/>
  <c r="CF23" i="172"/>
  <c r="CE23" i="172"/>
  <c r="CD23" i="172"/>
  <c r="BY23" i="172"/>
  <c r="BX23" i="172"/>
  <c r="BV23" i="172"/>
  <c r="BT23" i="172"/>
  <c r="BS23" i="172"/>
  <c r="BL23" i="172"/>
  <c r="CH23" i="172" s="1"/>
  <c r="AV23" i="172"/>
  <c r="AN23" i="172"/>
  <c r="CG23" i="172" s="1"/>
  <c r="EB22" i="172"/>
  <c r="EA22" i="172"/>
  <c r="DY22" i="172"/>
  <c r="DX22" i="172"/>
  <c r="DW22" i="172"/>
  <c r="DV22" i="172"/>
  <c r="DT22" i="172"/>
  <c r="DS22" i="172"/>
  <c r="DQ22" i="172"/>
  <c r="DP22" i="172"/>
  <c r="DO22" i="172"/>
  <c r="DN22" i="172"/>
  <c r="DL22" i="172"/>
  <c r="DK22" i="172"/>
  <c r="CI22" i="172"/>
  <c r="CG22" i="172"/>
  <c r="CF22" i="172"/>
  <c r="CE22" i="172"/>
  <c r="CD22" i="172"/>
  <c r="BY22" i="172"/>
  <c r="BX22" i="172"/>
  <c r="BV22" i="172"/>
  <c r="BT22" i="172"/>
  <c r="BS22" i="172"/>
  <c r="BL22" i="172"/>
  <c r="AS22" i="172"/>
  <c r="Y22" i="172" s="1"/>
  <c r="ED21" i="172"/>
  <c r="EB21" i="172"/>
  <c r="EA21" i="172"/>
  <c r="DZ21" i="172"/>
  <c r="DY21" i="172"/>
  <c r="DX21" i="172"/>
  <c r="DW21" i="172"/>
  <c r="DV21" i="172"/>
  <c r="DT21" i="172"/>
  <c r="DS21" i="172"/>
  <c r="DP21" i="172"/>
  <c r="DO21" i="172"/>
  <c r="DN21" i="172"/>
  <c r="DK21" i="172"/>
  <c r="CN21" i="172"/>
  <c r="CL21" i="172"/>
  <c r="CI21" i="172"/>
  <c r="CH21" i="172"/>
  <c r="CG21" i="172"/>
  <c r="CF21" i="172"/>
  <c r="CE21" i="172"/>
  <c r="CD21" i="172"/>
  <c r="BX21" i="172"/>
  <c r="BV21" i="172"/>
  <c r="BS21" i="172"/>
  <c r="AV21" i="172"/>
  <c r="AF21" i="172"/>
  <c r="AA21" i="172"/>
  <c r="ED20" i="172"/>
  <c r="EB20" i="172"/>
  <c r="EA20" i="172"/>
  <c r="DZ20" i="172"/>
  <c r="DX20" i="172"/>
  <c r="DW20" i="172"/>
  <c r="DV20" i="172"/>
  <c r="DT20" i="172"/>
  <c r="DS20" i="172"/>
  <c r="DQ20" i="172"/>
  <c r="DP20" i="172"/>
  <c r="DO20" i="172"/>
  <c r="DN20" i="172"/>
  <c r="DL20" i="172"/>
  <c r="DK20" i="172"/>
  <c r="CN20" i="172"/>
  <c r="H20" i="172" s="1"/>
  <c r="CL20" i="172"/>
  <c r="CI20" i="172"/>
  <c r="CH20" i="172"/>
  <c r="CF20" i="172"/>
  <c r="CE20" i="172"/>
  <c r="CD20" i="172"/>
  <c r="BY20" i="172"/>
  <c r="BX20" i="172"/>
  <c r="BV20" i="172"/>
  <c r="BT20" i="172"/>
  <c r="BS20" i="172"/>
  <c r="AV20" i="172"/>
  <c r="AN20" i="172"/>
  <c r="AF20" i="172"/>
  <c r="Y20" i="172"/>
  <c r="I20" i="172" s="1"/>
  <c r="ED19" i="172"/>
  <c r="EB19" i="172"/>
  <c r="EA19" i="172"/>
  <c r="DZ19" i="172"/>
  <c r="DX19" i="172"/>
  <c r="DW19" i="172"/>
  <c r="DV19" i="172"/>
  <c r="DT19" i="172"/>
  <c r="DS19" i="172"/>
  <c r="DP19" i="172"/>
  <c r="DO19" i="172"/>
  <c r="DN19" i="172"/>
  <c r="DK19" i="172"/>
  <c r="CL19" i="172"/>
  <c r="CI19" i="172"/>
  <c r="CH19" i="172"/>
  <c r="CF19" i="172"/>
  <c r="CE19" i="172"/>
  <c r="CD19" i="172"/>
  <c r="BX19" i="172"/>
  <c r="BV19" i="172"/>
  <c r="BT19" i="172"/>
  <c r="BS19" i="172"/>
  <c r="BC19" i="172"/>
  <c r="AV19" i="172"/>
  <c r="AN19" i="172"/>
  <c r="CG19" i="172" s="1"/>
  <c r="AF19" i="172"/>
  <c r="AA19" i="172"/>
  <c r="EB18" i="172"/>
  <c r="EA18" i="172"/>
  <c r="DZ18" i="172"/>
  <c r="DY18" i="172"/>
  <c r="DX18" i="172"/>
  <c r="DW18" i="172"/>
  <c r="DV18" i="172"/>
  <c r="DT18" i="172"/>
  <c r="DS18" i="172"/>
  <c r="DO18" i="172"/>
  <c r="DN18" i="172"/>
  <c r="DL18" i="172"/>
  <c r="DK18" i="172"/>
  <c r="CI18" i="172"/>
  <c r="CH18" i="172"/>
  <c r="CG18" i="172"/>
  <c r="CF18" i="172"/>
  <c r="CE18" i="172"/>
  <c r="CD18" i="172"/>
  <c r="CC18" i="172"/>
  <c r="CC201" i="172" s="1"/>
  <c r="CB18" i="172"/>
  <c r="CB201" i="172" s="1"/>
  <c r="CA18" i="172"/>
  <c r="CA201" i="172" s="1"/>
  <c r="BV18" i="172"/>
  <c r="BT18" i="172"/>
  <c r="BS18" i="172"/>
  <c r="BB18" i="172"/>
  <c r="BX18" i="172" s="1"/>
  <c r="AS18" i="172"/>
  <c r="CL18" i="172" s="1"/>
  <c r="AF18" i="172"/>
  <c r="EB17" i="172"/>
  <c r="EA17" i="172"/>
  <c r="DZ17" i="172"/>
  <c r="DX17" i="172"/>
  <c r="DW17" i="172"/>
  <c r="DW201" i="172" s="1"/>
  <c r="DV17" i="172"/>
  <c r="DT17" i="172"/>
  <c r="DS17" i="172"/>
  <c r="DQ17" i="172"/>
  <c r="DO17" i="172"/>
  <c r="DN17" i="172"/>
  <c r="DL17" i="172"/>
  <c r="DK17" i="172"/>
  <c r="CI17" i="172"/>
  <c r="CH17" i="172"/>
  <c r="CF17" i="172"/>
  <c r="CE17" i="172"/>
  <c r="CD17" i="172"/>
  <c r="BY17" i="172"/>
  <c r="BV17" i="172"/>
  <c r="BV201" i="172" s="1"/>
  <c r="BT17" i="172"/>
  <c r="BS17" i="172"/>
  <c r="AS17" i="172"/>
  <c r="AN17" i="172"/>
  <c r="ED16" i="172"/>
  <c r="EB16" i="172"/>
  <c r="EA16" i="172"/>
  <c r="DZ16" i="172"/>
  <c r="DX16" i="172"/>
  <c r="DW16" i="172"/>
  <c r="DV16" i="172"/>
  <c r="DT16" i="172"/>
  <c r="DS16" i="172"/>
  <c r="DQ16" i="172"/>
  <c r="DP16" i="172"/>
  <c r="DO16" i="172"/>
  <c r="DN16" i="172"/>
  <c r="DL16" i="172"/>
  <c r="DK16" i="172"/>
  <c r="CN16" i="172"/>
  <c r="CL16" i="172"/>
  <c r="CI16" i="172"/>
  <c r="CH16" i="172"/>
  <c r="CG16" i="172"/>
  <c r="CF16" i="172"/>
  <c r="CE16" i="172"/>
  <c r="CD16" i="172"/>
  <c r="BY16" i="172"/>
  <c r="BX16" i="172"/>
  <c r="BV16" i="172"/>
  <c r="BT16" i="172"/>
  <c r="BS16" i="172"/>
  <c r="BR16" i="172"/>
  <c r="AV16" i="172"/>
  <c r="AN16" i="172"/>
  <c r="H16" i="172"/>
  <c r="ED15" i="172"/>
  <c r="EB15" i="172"/>
  <c r="EA15" i="172"/>
  <c r="DZ15" i="172"/>
  <c r="DY15" i="172"/>
  <c r="DX15" i="172"/>
  <c r="DW15" i="172"/>
  <c r="DV15" i="172"/>
  <c r="DT15" i="172"/>
  <c r="DS15" i="172"/>
  <c r="DQ15" i="172"/>
  <c r="DP15" i="172"/>
  <c r="DO15" i="172"/>
  <c r="DN15" i="172"/>
  <c r="DL15" i="172"/>
  <c r="DK15" i="172"/>
  <c r="CN15" i="172"/>
  <c r="CL15" i="172"/>
  <c r="CI15" i="172"/>
  <c r="CH15" i="172"/>
  <c r="CG15" i="172"/>
  <c r="CF15" i="172"/>
  <c r="CE15" i="172"/>
  <c r="CD15" i="172"/>
  <c r="BY15" i="172"/>
  <c r="BX15" i="172"/>
  <c r="BV15" i="172"/>
  <c r="BT15" i="172"/>
  <c r="BS15" i="172"/>
  <c r="AV15" i="172"/>
  <c r="Y15" i="172"/>
  <c r="ED14" i="172"/>
  <c r="EB14" i="172"/>
  <c r="EA14" i="172"/>
  <c r="DZ14" i="172"/>
  <c r="DY14" i="172"/>
  <c r="DX14" i="172"/>
  <c r="DW14" i="172"/>
  <c r="DV14" i="172"/>
  <c r="DT14" i="172"/>
  <c r="DS14" i="172"/>
  <c r="DQ14" i="172"/>
  <c r="DP14" i="172"/>
  <c r="DO14" i="172"/>
  <c r="DN14" i="172"/>
  <c r="DL14" i="172"/>
  <c r="DK14" i="172"/>
  <c r="CN14" i="172"/>
  <c r="H14" i="172" s="1"/>
  <c r="CM14" i="172"/>
  <c r="DI14" i="172" s="1"/>
  <c r="CL14" i="172"/>
  <c r="CI14" i="172"/>
  <c r="CH14" i="172"/>
  <c r="CG14" i="172"/>
  <c r="CF14" i="172"/>
  <c r="CE14" i="172"/>
  <c r="CD14" i="172"/>
  <c r="BY14" i="172"/>
  <c r="BX14" i="172"/>
  <c r="BV14" i="172"/>
  <c r="BT14" i="172"/>
  <c r="BS14" i="172"/>
  <c r="AV14" i="172"/>
  <c r="AU14" i="172" s="1"/>
  <c r="BQ14" i="172" s="1"/>
  <c r="Y14" i="172"/>
  <c r="I14" i="172" s="1"/>
  <c r="ED13" i="172"/>
  <c r="EB13" i="172"/>
  <c r="EA13" i="172"/>
  <c r="DZ13" i="172"/>
  <c r="DY13" i="172"/>
  <c r="DX13" i="172"/>
  <c r="DW13" i="172"/>
  <c r="DV13" i="172"/>
  <c r="DT13" i="172"/>
  <c r="DS13" i="172"/>
  <c r="DQ13" i="172"/>
  <c r="DO13" i="172"/>
  <c r="DN13" i="172"/>
  <c r="DL13" i="172"/>
  <c r="DK13" i="172"/>
  <c r="CL13" i="172"/>
  <c r="CI13" i="172"/>
  <c r="CH13" i="172"/>
  <c r="CG13" i="172"/>
  <c r="CF13" i="172"/>
  <c r="CE13" i="172"/>
  <c r="CD13" i="172"/>
  <c r="BY13" i="172"/>
  <c r="BV13" i="172"/>
  <c r="BT13" i="172"/>
  <c r="BS13" i="172"/>
  <c r="Y13" i="172"/>
  <c r="ED12" i="172"/>
  <c r="EB12" i="172"/>
  <c r="EA12" i="172"/>
  <c r="DZ12" i="172"/>
  <c r="DY12" i="172"/>
  <c r="DX12" i="172"/>
  <c r="DW12" i="172"/>
  <c r="DV12" i="172"/>
  <c r="DT12" i="172"/>
  <c r="DS12" i="172"/>
  <c r="DQ12" i="172"/>
  <c r="DO12" i="172"/>
  <c r="DN12" i="172"/>
  <c r="DL12" i="172"/>
  <c r="DK12" i="172"/>
  <c r="CT12" i="172"/>
  <c r="DP12" i="172" s="1"/>
  <c r="CL12" i="172"/>
  <c r="CI12" i="172"/>
  <c r="CH12" i="172"/>
  <c r="CG12" i="172"/>
  <c r="CF12" i="172"/>
  <c r="CE12" i="172"/>
  <c r="CD12" i="172"/>
  <c r="BY12" i="172"/>
  <c r="BV12" i="172"/>
  <c r="BT12" i="172"/>
  <c r="BS12" i="172"/>
  <c r="BB12" i="172"/>
  <c r="BX12" i="172" s="1"/>
  <c r="AV12" i="172"/>
  <c r="AU12" i="172" s="1"/>
  <c r="BQ12" i="172" s="1"/>
  <c r="Y12" i="172"/>
  <c r="ED11" i="172"/>
  <c r="EB11" i="172"/>
  <c r="EA11" i="172"/>
  <c r="DZ11" i="172"/>
  <c r="DY11" i="172"/>
  <c r="DX11" i="172"/>
  <c r="DW11" i="172"/>
  <c r="DV11" i="172"/>
  <c r="DT11" i="172"/>
  <c r="DS11" i="172"/>
  <c r="DQ11" i="172"/>
  <c r="DO11" i="172"/>
  <c r="DN11" i="172"/>
  <c r="DL11" i="172"/>
  <c r="DK11" i="172"/>
  <c r="CT11" i="172"/>
  <c r="CN11" i="172" s="1"/>
  <c r="CM11" i="172" s="1"/>
  <c r="DI11" i="172" s="1"/>
  <c r="CL11" i="172"/>
  <c r="CI11" i="172"/>
  <c r="CH11" i="172"/>
  <c r="CG11" i="172"/>
  <c r="CF11" i="172"/>
  <c r="CE11" i="172"/>
  <c r="CD11" i="172"/>
  <c r="BY11" i="172"/>
  <c r="BV11" i="172"/>
  <c r="BT11" i="172"/>
  <c r="BS11" i="172"/>
  <c r="BB11" i="172"/>
  <c r="AV11" i="172" s="1"/>
  <c r="AE11" i="172"/>
  <c r="Y11" i="172"/>
  <c r="EB10" i="172"/>
  <c r="EA10" i="172"/>
  <c r="DZ10" i="172"/>
  <c r="DY10" i="172"/>
  <c r="DX10" i="172"/>
  <c r="DW10" i="172"/>
  <c r="DV10" i="172"/>
  <c r="DT10" i="172"/>
  <c r="DS10" i="172"/>
  <c r="DQ10" i="172"/>
  <c r="DP10" i="172"/>
  <c r="DO10" i="172"/>
  <c r="DN10" i="172"/>
  <c r="DL10" i="172"/>
  <c r="DK10" i="172"/>
  <c r="CI10" i="172"/>
  <c r="CH10" i="172"/>
  <c r="CG10" i="172"/>
  <c r="CF10" i="172"/>
  <c r="CE10" i="172"/>
  <c r="CD10" i="172"/>
  <c r="CC10" i="172"/>
  <c r="CB10" i="172"/>
  <c r="CA10" i="172"/>
  <c r="BY10" i="172"/>
  <c r="BX10" i="172"/>
  <c r="BV10" i="172"/>
  <c r="BT10" i="172"/>
  <c r="BS10" i="172"/>
  <c r="AS10" i="172"/>
  <c r="Y10" i="172" s="1"/>
  <c r="ED9" i="172"/>
  <c r="EB9" i="172"/>
  <c r="EA9" i="172"/>
  <c r="DZ9" i="172"/>
  <c r="DY9" i="172"/>
  <c r="DW9" i="172"/>
  <c r="DV9" i="172"/>
  <c r="DT9" i="172"/>
  <c r="DS9" i="172"/>
  <c r="DQ9" i="172"/>
  <c r="DP9" i="172"/>
  <c r="DO9" i="172"/>
  <c r="DN9" i="172"/>
  <c r="DL9" i="172"/>
  <c r="DK9" i="172"/>
  <c r="CL9" i="172"/>
  <c r="CI9" i="172"/>
  <c r="CH9" i="172"/>
  <c r="CG9" i="172"/>
  <c r="CE9" i="172"/>
  <c r="CD9" i="172"/>
  <c r="BY9" i="172"/>
  <c r="BX9" i="172"/>
  <c r="BV9" i="172"/>
  <c r="BT9" i="172"/>
  <c r="BS9" i="172"/>
  <c r="AM9" i="172"/>
  <c r="ED8" i="172"/>
  <c r="EB8" i="172"/>
  <c r="EA8" i="172"/>
  <c r="DZ8" i="172"/>
  <c r="DY8" i="172"/>
  <c r="DX8" i="172"/>
  <c r="DW8" i="172"/>
  <c r="DV8" i="172"/>
  <c r="DT8" i="172"/>
  <c r="DS8" i="172"/>
  <c r="DQ8" i="172"/>
  <c r="DP8" i="172"/>
  <c r="DO8" i="172"/>
  <c r="DN8" i="172"/>
  <c r="DL8" i="172"/>
  <c r="DK8" i="172"/>
  <c r="CN8" i="172"/>
  <c r="CL8" i="172"/>
  <c r="CI8" i="172"/>
  <c r="CH8" i="172"/>
  <c r="CG8" i="172"/>
  <c r="CF8" i="172"/>
  <c r="CE8" i="172"/>
  <c r="CD8" i="172"/>
  <c r="BY8" i="172"/>
  <c r="BX8" i="172"/>
  <c r="BV8" i="172"/>
  <c r="BT8" i="172"/>
  <c r="BS8" i="172"/>
  <c r="AV8" i="172"/>
  <c r="AM8" i="172"/>
  <c r="Y8" i="172" s="1"/>
  <c r="H8" i="172"/>
  <c r="ED7" i="172"/>
  <c r="EB7" i="172"/>
  <c r="EA7" i="172"/>
  <c r="DZ7" i="172"/>
  <c r="DY7" i="172"/>
  <c r="DW7" i="172"/>
  <c r="DV7" i="172"/>
  <c r="DT7" i="172"/>
  <c r="DS7" i="172"/>
  <c r="DQ7" i="172"/>
  <c r="DP7" i="172"/>
  <c r="DO7" i="172"/>
  <c r="DN7" i="172"/>
  <c r="DL7" i="172"/>
  <c r="DK7" i="172"/>
  <c r="CN7" i="172"/>
  <c r="H7" i="172" s="1"/>
  <c r="CL7" i="172"/>
  <c r="CI7" i="172"/>
  <c r="CH7" i="172"/>
  <c r="CG7" i="172"/>
  <c r="CE7" i="172"/>
  <c r="CD7" i="172"/>
  <c r="BY7" i="172"/>
  <c r="BX7" i="172"/>
  <c r="BV7" i="172"/>
  <c r="BT7" i="172"/>
  <c r="BS7" i="172"/>
  <c r="AM7" i="172"/>
  <c r="AM203" i="172" s="1"/>
  <c r="ED6" i="172"/>
  <c r="EB6" i="172"/>
  <c r="EA6" i="172"/>
  <c r="DZ6" i="172"/>
  <c r="DY6" i="172"/>
  <c r="DX6" i="172"/>
  <c r="DW6" i="172"/>
  <c r="DV6" i="172"/>
  <c r="DT6" i="172"/>
  <c r="DS6" i="172"/>
  <c r="DQ6" i="172"/>
  <c r="DP6" i="172"/>
  <c r="DO6" i="172"/>
  <c r="DN6" i="172"/>
  <c r="DL6" i="172"/>
  <c r="DK6" i="172"/>
  <c r="CN6" i="172"/>
  <c r="CL6" i="172"/>
  <c r="CI6" i="172"/>
  <c r="CH6" i="172"/>
  <c r="CG6" i="172"/>
  <c r="CF6" i="172"/>
  <c r="CE6" i="172"/>
  <c r="CD6" i="172"/>
  <c r="BY6" i="172"/>
  <c r="BX6" i="172"/>
  <c r="BV6" i="172"/>
  <c r="BT6" i="172"/>
  <c r="BS6" i="172"/>
  <c r="AV6" i="172"/>
  <c r="Y6" i="172"/>
  <c r="CM6" i="172" s="1"/>
  <c r="DI6" i="172" s="1"/>
  <c r="H6" i="172"/>
  <c r="ED5" i="172"/>
  <c r="EB5" i="172"/>
  <c r="EA5" i="172"/>
  <c r="DZ5" i="172"/>
  <c r="DY5" i="172"/>
  <c r="DX5" i="172"/>
  <c r="DW5" i="172"/>
  <c r="DV5" i="172"/>
  <c r="DT5" i="172"/>
  <c r="DS5" i="172"/>
  <c r="DQ5" i="172"/>
  <c r="DP5" i="172"/>
  <c r="DO5" i="172"/>
  <c r="DN5" i="172"/>
  <c r="DL5" i="172"/>
  <c r="DK5" i="172"/>
  <c r="CN5" i="172"/>
  <c r="CL5" i="172"/>
  <c r="CI5" i="172"/>
  <c r="CH5" i="172"/>
  <c r="CG5" i="172"/>
  <c r="CF5" i="172"/>
  <c r="CE5" i="172"/>
  <c r="CD5" i="172"/>
  <c r="BY5" i="172"/>
  <c r="BX5" i="172"/>
  <c r="BV5" i="172"/>
  <c r="BT5" i="172"/>
  <c r="BS5" i="172"/>
  <c r="AV5" i="172"/>
  <c r="Y5" i="172"/>
  <c r="I5" i="172" s="1"/>
  <c r="H5" i="172"/>
  <c r="ED4" i="172"/>
  <c r="EB4" i="172"/>
  <c r="EA4" i="172"/>
  <c r="DZ4" i="172"/>
  <c r="DY4" i="172"/>
  <c r="DW4" i="172"/>
  <c r="DV4" i="172"/>
  <c r="DT4" i="172"/>
  <c r="DS4" i="172"/>
  <c r="DQ4" i="172"/>
  <c r="DP4" i="172"/>
  <c r="DO4" i="172"/>
  <c r="DN4" i="172"/>
  <c r="DL4" i="172"/>
  <c r="DK4" i="172"/>
  <c r="DB4" i="172"/>
  <c r="CN4" i="172" s="1"/>
  <c r="CL4" i="172"/>
  <c r="CJ4" i="172"/>
  <c r="CI4" i="172"/>
  <c r="CH4" i="172"/>
  <c r="CG4" i="172"/>
  <c r="CE4" i="172"/>
  <c r="CD4" i="172"/>
  <c r="CC4" i="172"/>
  <c r="CB4" i="172"/>
  <c r="CB34" i="172" s="1"/>
  <c r="CA4" i="172"/>
  <c r="BY4" i="172"/>
  <c r="BX4" i="172"/>
  <c r="BV4" i="172"/>
  <c r="BT4" i="172"/>
  <c r="BS4" i="172"/>
  <c r="BJ4" i="172"/>
  <c r="Y4" i="172"/>
  <c r="BL3" i="172"/>
  <c r="CH3" i="172" s="1"/>
  <c r="DD3" i="172" s="1"/>
  <c r="DZ3" i="172" s="1"/>
  <c r="CR170" i="172"/>
  <c r="DN170" i="172" s="1"/>
  <c r="BH161" i="172"/>
  <c r="DC124" i="172"/>
  <c r="DY124" i="172" s="1"/>
  <c r="BP168" i="172"/>
  <c r="CL168" i="172" s="1"/>
  <c r="DD124" i="172"/>
  <c r="DH118" i="172"/>
  <c r="DH115" i="172"/>
  <c r="DB124" i="172"/>
  <c r="DX124" i="172" s="1"/>
  <c r="DE108" i="172"/>
  <c r="BJ129" i="172" l="1"/>
  <c r="I205" i="173"/>
  <c r="I207" i="173" s="1"/>
  <c r="BR51" i="172"/>
  <c r="BY19" i="172"/>
  <c r="BR19" i="172" s="1"/>
  <c r="BN67" i="172"/>
  <c r="BN197" i="172" s="1"/>
  <c r="BX96" i="172"/>
  <c r="AV118" i="172"/>
  <c r="CL51" i="172"/>
  <c r="AV56" i="172"/>
  <c r="CN101" i="172"/>
  <c r="H101" i="172" s="1"/>
  <c r="AV30" i="172"/>
  <c r="AU30" i="172" s="1"/>
  <c r="BQ30" i="172" s="1"/>
  <c r="AV94" i="172"/>
  <c r="AV101" i="172"/>
  <c r="AV107" i="172"/>
  <c r="AU107" i="172" s="1"/>
  <c r="BQ107" i="172" s="1"/>
  <c r="DX30" i="172"/>
  <c r="DJ30" i="172" s="1"/>
  <c r="BR208" i="173"/>
  <c r="AV209" i="173"/>
  <c r="AU207" i="173"/>
  <c r="BQ207" i="173" s="1"/>
  <c r="CN209" i="173"/>
  <c r="CM207" i="173"/>
  <c r="DI207" i="173" s="1"/>
  <c r="I197" i="173"/>
  <c r="DJ208" i="173"/>
  <c r="AV171" i="172"/>
  <c r="CG48" i="172"/>
  <c r="DP11" i="172"/>
  <c r="DJ11" i="172" s="1"/>
  <c r="DN60" i="172"/>
  <c r="CF115" i="172"/>
  <c r="CL118" i="172"/>
  <c r="BR118" i="172" s="1"/>
  <c r="DQ44" i="172"/>
  <c r="BY45" i="172"/>
  <c r="AV49" i="172"/>
  <c r="AV153" i="172"/>
  <c r="CN39" i="172"/>
  <c r="H39" i="172" s="1"/>
  <c r="I39" i="172" s="1"/>
  <c r="BB24" i="172"/>
  <c r="BI87" i="172"/>
  <c r="BI104" i="172" s="1"/>
  <c r="AU86" i="172"/>
  <c r="BQ86" i="172" s="1"/>
  <c r="DQ48" i="172"/>
  <c r="BJ9" i="172"/>
  <c r="AV9" i="172" s="1"/>
  <c r="DB115" i="172"/>
  <c r="CN115" i="172" s="1"/>
  <c r="CU67" i="172"/>
  <c r="AZ135" i="172"/>
  <c r="BV135" i="172" s="1"/>
  <c r="AZ134" i="172"/>
  <c r="AV134" i="172" s="1"/>
  <c r="AU134" i="172" s="1"/>
  <c r="BQ134" i="172" s="1"/>
  <c r="AZ147" i="172"/>
  <c r="AV147" i="172" s="1"/>
  <c r="CN22" i="172"/>
  <c r="H22" i="172" s="1"/>
  <c r="I22" i="172" s="1"/>
  <c r="BL37" i="172"/>
  <c r="BL202" i="172" s="1"/>
  <c r="CN44" i="172"/>
  <c r="H44" i="172" s="1"/>
  <c r="DH193" i="172"/>
  <c r="CN193" i="172" s="1"/>
  <c r="H193" i="172" s="1"/>
  <c r="I193" i="172" s="1"/>
  <c r="BV147" i="172"/>
  <c r="BR147" i="172" s="1"/>
  <c r="AW124" i="172"/>
  <c r="BS124" i="172" s="1"/>
  <c r="DZ22" i="172"/>
  <c r="AU31" i="172"/>
  <c r="BQ31" i="172" s="1"/>
  <c r="EA107" i="172"/>
  <c r="CN178" i="172"/>
  <c r="H178" i="172" s="1"/>
  <c r="I178" i="172" s="1"/>
  <c r="CT185" i="172"/>
  <c r="CN185" i="172" s="1"/>
  <c r="CM185" i="172" s="1"/>
  <c r="DI185" i="172" s="1"/>
  <c r="DZ134" i="172"/>
  <c r="CN48" i="172"/>
  <c r="CM48" i="172" s="1"/>
  <c r="DI48" i="172" s="1"/>
  <c r="ED46" i="172"/>
  <c r="DJ46" i="172" s="1"/>
  <c r="AV25" i="172"/>
  <c r="AU25" i="172" s="1"/>
  <c r="BQ25" i="172" s="1"/>
  <c r="DY50" i="172"/>
  <c r="DJ50" i="172" s="1"/>
  <c r="DQ83" i="172"/>
  <c r="AV135" i="172"/>
  <c r="AU135" i="172" s="1"/>
  <c r="BQ135" i="172" s="1"/>
  <c r="BA195" i="172"/>
  <c r="BA197" i="172" s="1"/>
  <c r="BJ67" i="172"/>
  <c r="BW135" i="172"/>
  <c r="BW199" i="172" s="1"/>
  <c r="DP170" i="172"/>
  <c r="DP200" i="172" s="1"/>
  <c r="CN60" i="172"/>
  <c r="H60" i="172" s="1"/>
  <c r="CL64" i="172"/>
  <c r="CM76" i="172"/>
  <c r="DI76" i="172" s="1"/>
  <c r="CN134" i="172"/>
  <c r="H134" i="172" s="1"/>
  <c r="I134" i="172" s="1"/>
  <c r="CH170" i="172"/>
  <c r="DZ124" i="172"/>
  <c r="DZ206" i="172" s="1"/>
  <c r="DD206" i="172"/>
  <c r="CN108" i="172"/>
  <c r="CM108" i="172" s="1"/>
  <c r="DI108" i="172" s="1"/>
  <c r="EA108" i="172"/>
  <c r="DJ108" i="172" s="1"/>
  <c r="BL124" i="172"/>
  <c r="CH124" i="172" s="1"/>
  <c r="CH206" i="172" s="1"/>
  <c r="ED118" i="172"/>
  <c r="DB118" i="172"/>
  <c r="BP122" i="172"/>
  <c r="BP129" i="172" s="1"/>
  <c r="CN111" i="172"/>
  <c r="CM111" i="172" s="1"/>
  <c r="DI111" i="172" s="1"/>
  <c r="CO124" i="172"/>
  <c r="DK124" i="172" s="1"/>
  <c r="CO112" i="172"/>
  <c r="I69" i="172"/>
  <c r="H73" i="172"/>
  <c r="CM73" i="172"/>
  <c r="DI73" i="172" s="1"/>
  <c r="AU157" i="172"/>
  <c r="BQ157" i="172" s="1"/>
  <c r="AU28" i="172"/>
  <c r="BQ28" i="172" s="1"/>
  <c r="CA48" i="172"/>
  <c r="AV108" i="172"/>
  <c r="CI108" i="172"/>
  <c r="CI129" i="172" s="1"/>
  <c r="DY190" i="172"/>
  <c r="DJ190" i="172" s="1"/>
  <c r="CN190" i="172"/>
  <c r="BR5" i="172"/>
  <c r="EB34" i="172"/>
  <c r="I8" i="172"/>
  <c r="CM8" i="172"/>
  <c r="DI8" i="172" s="1"/>
  <c r="DJ12" i="172"/>
  <c r="DP24" i="172"/>
  <c r="DJ24" i="172" s="1"/>
  <c r="DJ29" i="172"/>
  <c r="AG197" i="172"/>
  <c r="AP197" i="172"/>
  <c r="CM50" i="172"/>
  <c r="DI50" i="172" s="1"/>
  <c r="BR52" i="172"/>
  <c r="CC67" i="172"/>
  <c r="AV65" i="172"/>
  <c r="AU65" i="172" s="1"/>
  <c r="BQ65" i="172" s="1"/>
  <c r="I74" i="172"/>
  <c r="H75" i="172"/>
  <c r="I75" i="172" s="1"/>
  <c r="DJ107" i="172"/>
  <c r="ED122" i="172"/>
  <c r="CF128" i="172"/>
  <c r="DJ149" i="172"/>
  <c r="BY163" i="172"/>
  <c r="AU179" i="172"/>
  <c r="BQ179" i="172" s="1"/>
  <c r="DJ8" i="172"/>
  <c r="Y9" i="172"/>
  <c r="BV34" i="172"/>
  <c r="Y23" i="172"/>
  <c r="AU23" i="172" s="1"/>
  <c r="BR26" i="172"/>
  <c r="BR29" i="172"/>
  <c r="CF31" i="172"/>
  <c r="BR31" i="172" s="1"/>
  <c r="AV32" i="172"/>
  <c r="AU32" i="172" s="1"/>
  <c r="BQ32" i="172" s="1"/>
  <c r="DP42" i="172"/>
  <c r="DJ42" i="172" s="1"/>
  <c r="AU50" i="172"/>
  <c r="BQ50" i="172" s="1"/>
  <c r="AU51" i="172"/>
  <c r="BQ51" i="172" s="1"/>
  <c r="CM51" i="172"/>
  <c r="DI51" i="172" s="1"/>
  <c r="BX58" i="172"/>
  <c r="BT60" i="172"/>
  <c r="Y66" i="172"/>
  <c r="ED73" i="172"/>
  <c r="DJ80" i="172"/>
  <c r="DY127" i="172"/>
  <c r="DJ127" i="172" s="1"/>
  <c r="CN127" i="172"/>
  <c r="CM127" i="172" s="1"/>
  <c r="DI127" i="172" s="1"/>
  <c r="BR128" i="172"/>
  <c r="CM139" i="172"/>
  <c r="DI139" i="172" s="1"/>
  <c r="H139" i="172"/>
  <c r="I139" i="172" s="1"/>
  <c r="DJ140" i="172"/>
  <c r="AU158" i="172"/>
  <c r="BQ158" i="172" s="1"/>
  <c r="Y160" i="172"/>
  <c r="AU160" i="172" s="1"/>
  <c r="BQ160" i="172" s="1"/>
  <c r="AS200" i="172"/>
  <c r="CM182" i="172"/>
  <c r="DI182" i="172" s="1"/>
  <c r="BT203" i="172"/>
  <c r="CE203" i="172"/>
  <c r="CD34" i="172"/>
  <c r="DJ5" i="172"/>
  <c r="DJ6" i="172"/>
  <c r="H11" i="172"/>
  <c r="CD201" i="172"/>
  <c r="DY19" i="172"/>
  <c r="DX31" i="172"/>
  <c r="DJ31" i="172" s="1"/>
  <c r="DX32" i="172"/>
  <c r="DJ32" i="172" s="1"/>
  <c r="CN37" i="172"/>
  <c r="H37" i="172" s="1"/>
  <c r="DQ45" i="172"/>
  <c r="DJ45" i="172" s="1"/>
  <c r="DZ48" i="172"/>
  <c r="CH48" i="172"/>
  <c r="CM53" i="172"/>
  <c r="DI53" i="172" s="1"/>
  <c r="AV54" i="172"/>
  <c r="CJ67" i="172"/>
  <c r="CN63" i="172"/>
  <c r="CG65" i="172"/>
  <c r="CM74" i="172"/>
  <c r="DI74" i="172" s="1"/>
  <c r="CL77" i="172"/>
  <c r="BR77" i="172" s="1"/>
  <c r="CM88" i="172"/>
  <c r="DI88" i="172" s="1"/>
  <c r="H88" i="172"/>
  <c r="AC104" i="172"/>
  <c r="Y95" i="172"/>
  <c r="BX206" i="172"/>
  <c r="CB206" i="172"/>
  <c r="CB129" i="172"/>
  <c r="DN147" i="172"/>
  <c r="DJ147" i="172" s="1"/>
  <c r="CM151" i="172"/>
  <c r="DI151" i="172" s="1"/>
  <c r="AU156" i="172"/>
  <c r="BQ156" i="172" s="1"/>
  <c r="BY171" i="172"/>
  <c r="Y171" i="172"/>
  <c r="AU171" i="172" s="1"/>
  <c r="BQ171" i="172" s="1"/>
  <c r="CM181" i="172"/>
  <c r="DI181" i="172" s="1"/>
  <c r="H181" i="172"/>
  <c r="I181" i="172" s="1"/>
  <c r="BV166" i="172"/>
  <c r="DN166" i="172"/>
  <c r="DL88" i="172"/>
  <c r="BT88" i="172"/>
  <c r="Y88" i="172"/>
  <c r="I88" i="172" s="1"/>
  <c r="DS129" i="172"/>
  <c r="DJ142" i="172"/>
  <c r="BY21" i="172"/>
  <c r="DQ21" i="172"/>
  <c r="AU8" i="172"/>
  <c r="BQ8" i="172" s="1"/>
  <c r="DV202" i="172"/>
  <c r="Y92" i="172"/>
  <c r="BY92" i="172"/>
  <c r="DQ92" i="172"/>
  <c r="BR94" i="172"/>
  <c r="AV183" i="172"/>
  <c r="BX183" i="172"/>
  <c r="BR183" i="172" s="1"/>
  <c r="CM187" i="172"/>
  <c r="DI187" i="172" s="1"/>
  <c r="H187" i="172"/>
  <c r="I187" i="172" s="1"/>
  <c r="AU5" i="172"/>
  <c r="BQ5" i="172" s="1"/>
  <c r="BR8" i="172"/>
  <c r="CG17" i="172"/>
  <c r="DY17" i="172"/>
  <c r="DJ63" i="172"/>
  <c r="CM66" i="172"/>
  <c r="DI66" i="172" s="1"/>
  <c r="AM67" i="172"/>
  <c r="BE67" i="172"/>
  <c r="BE197" i="172" s="1"/>
  <c r="AV78" i="172"/>
  <c r="AU78" i="172" s="1"/>
  <c r="BQ78" i="172" s="1"/>
  <c r="BY78" i="172"/>
  <c r="AU88" i="172"/>
  <c r="BQ88" i="172" s="1"/>
  <c r="AU91" i="172"/>
  <c r="BQ91" i="172" s="1"/>
  <c r="DN129" i="172"/>
  <c r="Y152" i="172"/>
  <c r="AU152" i="172" s="1"/>
  <c r="BQ152" i="172" s="1"/>
  <c r="BV152" i="172"/>
  <c r="I176" i="172"/>
  <c r="DJ180" i="172"/>
  <c r="DJ186" i="172"/>
  <c r="CN188" i="172"/>
  <c r="CM188" i="172" s="1"/>
  <c r="DI188" i="172" s="1"/>
  <c r="DP188" i="172"/>
  <c r="DJ188" i="172" s="1"/>
  <c r="BR6" i="172"/>
  <c r="AN34" i="172"/>
  <c r="DY23" i="172"/>
  <c r="BX25" i="172"/>
  <c r="BR25" i="172" s="1"/>
  <c r="CN35" i="172"/>
  <c r="H35" i="172" s="1"/>
  <c r="DL37" i="172"/>
  <c r="CN45" i="172"/>
  <c r="H45" i="172" s="1"/>
  <c r="CN54" i="172"/>
  <c r="BR63" i="172"/>
  <c r="AV64" i="172"/>
  <c r="BR66" i="172"/>
  <c r="ED66" i="172"/>
  <c r="DJ66" i="172" s="1"/>
  <c r="DF67" i="172"/>
  <c r="DF197" i="172" s="1"/>
  <c r="CN71" i="172"/>
  <c r="H71" i="172" s="1"/>
  <c r="BR78" i="172"/>
  <c r="CE87" i="172"/>
  <c r="BR87" i="172" s="1"/>
  <c r="CN93" i="172"/>
  <c r="H93" i="172" s="1"/>
  <c r="DP93" i="172"/>
  <c r="DJ93" i="172" s="1"/>
  <c r="AU96" i="172"/>
  <c r="BQ96" i="172" s="1"/>
  <c r="CN126" i="172"/>
  <c r="H126" i="172" s="1"/>
  <c r="I126" i="172" s="1"/>
  <c r="AV127" i="172"/>
  <c r="AU127" i="172" s="1"/>
  <c r="BQ127" i="172" s="1"/>
  <c r="CG127" i="172"/>
  <c r="BR127" i="172" s="1"/>
  <c r="DX128" i="172"/>
  <c r="DJ128" i="172" s="1"/>
  <c r="CN128" i="172"/>
  <c r="H128" i="172" s="1"/>
  <c r="I128" i="172" s="1"/>
  <c r="CM142" i="172"/>
  <c r="DI142" i="172" s="1"/>
  <c r="BV156" i="172"/>
  <c r="DN156" i="172"/>
  <c r="DN161" i="172"/>
  <c r="BY166" i="172"/>
  <c r="ED53" i="172"/>
  <c r="DJ53" i="172" s="1"/>
  <c r="CL53" i="172"/>
  <c r="BR53" i="172" s="1"/>
  <c r="CL86" i="172"/>
  <c r="BR86" i="172" s="1"/>
  <c r="Y193" i="172"/>
  <c r="CL193" i="172"/>
  <c r="BR193" i="172" s="1"/>
  <c r="BX13" i="172"/>
  <c r="BR13" i="172" s="1"/>
  <c r="DJ27" i="172"/>
  <c r="BR30" i="172"/>
  <c r="CM94" i="172"/>
  <c r="DI94" i="172" s="1"/>
  <c r="BR133" i="172"/>
  <c r="BX42" i="172"/>
  <c r="BR42" i="172" s="1"/>
  <c r="DM204" i="172"/>
  <c r="BY91" i="172"/>
  <c r="BR91" i="172" s="1"/>
  <c r="CM96" i="172"/>
  <c r="DI96" i="172" s="1"/>
  <c r="Y157" i="172"/>
  <c r="BV157" i="172"/>
  <c r="BR157" i="172" s="1"/>
  <c r="H162" i="172"/>
  <c r="I162" i="172" s="1"/>
  <c r="DJ179" i="172"/>
  <c r="CJ203" i="172"/>
  <c r="DJ13" i="172"/>
  <c r="I27" i="172"/>
  <c r="AM34" i="172"/>
  <c r="AM197" i="172" s="1"/>
  <c r="BZ48" i="172"/>
  <c r="BZ67" i="172" s="1"/>
  <c r="BZ197" i="172" s="1"/>
  <c r="Y50" i="172"/>
  <c r="H51" i="172"/>
  <c r="I51" i="172" s="1"/>
  <c r="AU52" i="172"/>
  <c r="BQ52" i="172" s="1"/>
  <c r="Y53" i="172"/>
  <c r="I53" i="172" s="1"/>
  <c r="DP57" i="172"/>
  <c r="DJ57" i="172" s="1"/>
  <c r="CL71" i="172"/>
  <c r="BI204" i="172"/>
  <c r="DJ90" i="172"/>
  <c r="DN136" i="172"/>
  <c r="DJ136" i="172" s="1"/>
  <c r="BV136" i="172"/>
  <c r="Y136" i="172"/>
  <c r="CM136" i="172" s="1"/>
  <c r="DI136" i="172" s="1"/>
  <c r="BR152" i="172"/>
  <c r="DV200" i="172"/>
  <c r="Y191" i="172"/>
  <c r="BX191" i="172"/>
  <c r="CF122" i="172"/>
  <c r="BR126" i="172"/>
  <c r="EA195" i="172"/>
  <c r="AU139" i="172"/>
  <c r="BQ139" i="172" s="1"/>
  <c r="DT200" i="172"/>
  <c r="BV155" i="172"/>
  <c r="BR155" i="172" s="1"/>
  <c r="EC195" i="172"/>
  <c r="DY158" i="172"/>
  <c r="CM175" i="172"/>
  <c r="DI175" i="172" s="1"/>
  <c r="DJ178" i="172"/>
  <c r="AU190" i="172"/>
  <c r="BQ190" i="172" s="1"/>
  <c r="Y71" i="172"/>
  <c r="ED71" i="172"/>
  <c r="DJ71" i="172" s="1"/>
  <c r="I76" i="172"/>
  <c r="AA104" i="172"/>
  <c r="AU80" i="172"/>
  <c r="BQ80" i="172" s="1"/>
  <c r="AV89" i="172"/>
  <c r="I93" i="172"/>
  <c r="AU94" i="172"/>
  <c r="BQ94" i="172" s="1"/>
  <c r="AU126" i="172"/>
  <c r="BQ126" i="172" s="1"/>
  <c r="DD129" i="172"/>
  <c r="DJ133" i="172"/>
  <c r="DN135" i="172"/>
  <c r="CM149" i="172"/>
  <c r="DI149" i="172" s="1"/>
  <c r="DN157" i="172"/>
  <c r="DJ157" i="172" s="1"/>
  <c r="DJ162" i="172"/>
  <c r="Y168" i="172"/>
  <c r="I184" i="172"/>
  <c r="BR12" i="172"/>
  <c r="CN25" i="172"/>
  <c r="H25" i="172" s="1"/>
  <c r="I25" i="172" s="1"/>
  <c r="BT37" i="172"/>
  <c r="DJ38" i="172"/>
  <c r="DY48" i="172"/>
  <c r="DL54" i="172"/>
  <c r="DJ54" i="172" s="1"/>
  <c r="AV60" i="172"/>
  <c r="Y73" i="172"/>
  <c r="DJ73" i="172"/>
  <c r="DC204" i="172"/>
  <c r="CL80" i="172"/>
  <c r="BR80" i="172" s="1"/>
  <c r="DJ94" i="172"/>
  <c r="Y106" i="172"/>
  <c r="AU106" i="172" s="1"/>
  <c r="BQ106" i="172" s="1"/>
  <c r="Y122" i="172"/>
  <c r="DX122" i="172"/>
  <c r="DN134" i="172"/>
  <c r="Y142" i="172"/>
  <c r="I142" i="172" s="1"/>
  <c r="BV149" i="172"/>
  <c r="BR149" i="172" s="1"/>
  <c r="DJ160" i="172"/>
  <c r="DJ171" i="172"/>
  <c r="CM173" i="172"/>
  <c r="DI173" i="172" s="1"/>
  <c r="CM179" i="172"/>
  <c r="DI179" i="172" s="1"/>
  <c r="DJ183" i="172"/>
  <c r="CL73" i="172"/>
  <c r="BR73" i="172" s="1"/>
  <c r="DJ76" i="172"/>
  <c r="I79" i="172"/>
  <c r="AV99" i="172"/>
  <c r="AU118" i="172"/>
  <c r="BQ118" i="172" s="1"/>
  <c r="Y132" i="172"/>
  <c r="I138" i="172"/>
  <c r="AU162" i="172"/>
  <c r="BQ162" i="172" s="1"/>
  <c r="ED165" i="172"/>
  <c r="DJ165" i="172" s="1"/>
  <c r="BV171" i="172"/>
  <c r="BR171" i="172" s="1"/>
  <c r="DJ173" i="172"/>
  <c r="AU187" i="172"/>
  <c r="BQ187" i="172" s="1"/>
  <c r="AR205" i="172"/>
  <c r="AR207" i="172" s="1"/>
  <c r="CY197" i="172"/>
  <c r="EC197" i="172"/>
  <c r="BD197" i="172"/>
  <c r="AI197" i="172"/>
  <c r="AR197" i="172"/>
  <c r="BG197" i="172"/>
  <c r="CW197" i="172"/>
  <c r="Z205" i="172"/>
  <c r="Z207" i="172" s="1"/>
  <c r="AK205" i="172"/>
  <c r="AK207" i="172" s="1"/>
  <c r="CX205" i="172"/>
  <c r="CX207" i="172" s="1"/>
  <c r="DG205" i="172"/>
  <c r="DG207" i="172" s="1"/>
  <c r="AQ197" i="172"/>
  <c r="BF197" i="172"/>
  <c r="DG197" i="172"/>
  <c r="G197" i="172"/>
  <c r="CS205" i="172"/>
  <c r="CS207" i="172" s="1"/>
  <c r="DE205" i="172"/>
  <c r="AI205" i="172"/>
  <c r="AI207" i="172" s="1"/>
  <c r="AI208" i="172" s="1"/>
  <c r="DF205" i="172"/>
  <c r="DF207" i="172" s="1"/>
  <c r="BA205" i="172"/>
  <c r="BA207" i="172" s="1"/>
  <c r="AJ205" i="172"/>
  <c r="AJ207" i="172" s="1"/>
  <c r="AP205" i="172"/>
  <c r="AP207" i="172" s="1"/>
  <c r="AP208" i="172" s="1"/>
  <c r="AD205" i="172"/>
  <c r="AD207" i="172" s="1"/>
  <c r="AG205" i="172"/>
  <c r="AG207" i="172" s="1"/>
  <c r="BF205" i="172"/>
  <c r="BF207" i="172" s="1"/>
  <c r="BP17" i="172"/>
  <c r="BP201" i="172" s="1"/>
  <c r="BC18" i="172"/>
  <c r="AV18" i="172" s="1"/>
  <c r="AU18" i="172" s="1"/>
  <c r="BQ18" i="172" s="1"/>
  <c r="BB17" i="172"/>
  <c r="BX17" i="172" s="1"/>
  <c r="BX201" i="172" s="1"/>
  <c r="ED193" i="172"/>
  <c r="DJ193" i="172" s="1"/>
  <c r="DH17" i="172"/>
  <c r="CT17" i="172" s="1"/>
  <c r="CT18" i="172"/>
  <c r="DP18" i="172" s="1"/>
  <c r="AZ167" i="172"/>
  <c r="AV167" i="172" s="1"/>
  <c r="DH168" i="172"/>
  <c r="CN168" i="172" s="1"/>
  <c r="CD161" i="172"/>
  <c r="CD200" i="172" s="1"/>
  <c r="AV161" i="172"/>
  <c r="AU161" i="172" s="1"/>
  <c r="BQ161" i="172" s="1"/>
  <c r="BH195" i="172"/>
  <c r="BH197" i="172" s="1"/>
  <c r="DH172" i="172"/>
  <c r="CN172" i="172" s="1"/>
  <c r="AZ168" i="172"/>
  <c r="AV168" i="172" s="1"/>
  <c r="AZ170" i="172"/>
  <c r="BV170" i="172" s="1"/>
  <c r="DH164" i="172"/>
  <c r="BH200" i="172"/>
  <c r="BH205" i="172" s="1"/>
  <c r="BH207" i="172" s="1"/>
  <c r="CR200" i="172"/>
  <c r="AV43" i="172"/>
  <c r="BX43" i="172"/>
  <c r="BR43" i="172" s="1"/>
  <c r="DL48" i="172"/>
  <c r="BT48" i="172"/>
  <c r="Y48" i="172"/>
  <c r="CM57" i="172"/>
  <c r="DI57" i="172" s="1"/>
  <c r="H57" i="172"/>
  <c r="I57" i="172" s="1"/>
  <c r="Y61" i="172"/>
  <c r="ED61" i="172"/>
  <c r="CL61" i="172"/>
  <c r="BR61" i="172" s="1"/>
  <c r="CG62" i="172"/>
  <c r="AV62" i="172"/>
  <c r="AU62" i="172" s="1"/>
  <c r="BQ62" i="172" s="1"/>
  <c r="DV67" i="172"/>
  <c r="CL103" i="172"/>
  <c r="BR103" i="172" s="1"/>
  <c r="ED103" i="172"/>
  <c r="DJ103" i="172" s="1"/>
  <c r="Y103" i="172"/>
  <c r="DL206" i="172"/>
  <c r="DL129" i="172"/>
  <c r="DW206" i="172"/>
  <c r="DW129" i="172"/>
  <c r="DU199" i="172"/>
  <c r="DU205" i="172" s="1"/>
  <c r="DU207" i="172" s="1"/>
  <c r="DU195" i="172"/>
  <c r="BL201" i="172"/>
  <c r="CH192" i="172"/>
  <c r="BR192" i="172" s="1"/>
  <c r="AV192" i="172"/>
  <c r="AU192" i="172" s="1"/>
  <c r="BQ192" i="172" s="1"/>
  <c r="CE201" i="172"/>
  <c r="CM30" i="172"/>
  <c r="DI30" i="172" s="1"/>
  <c r="BR32" i="172"/>
  <c r="BT36" i="172"/>
  <c r="DL36" i="172"/>
  <c r="DJ36" i="172" s="1"/>
  <c r="Y36" i="172"/>
  <c r="I40" i="172"/>
  <c r="CM40" i="172"/>
  <c r="DI40" i="172" s="1"/>
  <c r="CC203" i="172"/>
  <c r="CC34" i="172"/>
  <c r="CM4" i="172"/>
  <c r="DI4" i="172" s="1"/>
  <c r="H4" i="172"/>
  <c r="BP203" i="172"/>
  <c r="AV10" i="172"/>
  <c r="AU10" i="172" s="1"/>
  <c r="BQ10" i="172" s="1"/>
  <c r="BR15" i="172"/>
  <c r="DJ26" i="172"/>
  <c r="BR27" i="172"/>
  <c r="BS202" i="172"/>
  <c r="BS67" i="172"/>
  <c r="I38" i="172"/>
  <c r="AU38" i="172"/>
  <c r="BQ38" i="172" s="1"/>
  <c r="BC202" i="172"/>
  <c r="BC67" i="172"/>
  <c r="BY44" i="172"/>
  <c r="BR44" i="172" s="1"/>
  <c r="Y59" i="172"/>
  <c r="I59" i="172" s="1"/>
  <c r="CL59" i="172"/>
  <c r="ED59" i="172"/>
  <c r="DJ59" i="172" s="1"/>
  <c r="ED64" i="172"/>
  <c r="BS204" i="172"/>
  <c r="BS104" i="172"/>
  <c r="CD204" i="172"/>
  <c r="CD104" i="172"/>
  <c r="H81" i="172"/>
  <c r="DB203" i="172"/>
  <c r="DB34" i="172"/>
  <c r="DX4" i="172"/>
  <c r="DJ4" i="172" s="1"/>
  <c r="DT34" i="172"/>
  <c r="CL10" i="172"/>
  <c r="BR10" i="172" s="1"/>
  <c r="AU13" i="172"/>
  <c r="BQ13" i="172" s="1"/>
  <c r="H15" i="172"/>
  <c r="I15" i="172" s="1"/>
  <c r="CM15" i="172"/>
  <c r="DI15" i="172" s="1"/>
  <c r="AV24" i="172"/>
  <c r="AU24" i="172" s="1"/>
  <c r="BQ24" i="172" s="1"/>
  <c r="BX24" i="172"/>
  <c r="BR24" i="172" s="1"/>
  <c r="CK203" i="172"/>
  <c r="CK34" i="172"/>
  <c r="Z197" i="172"/>
  <c r="BU197" i="172"/>
  <c r="BU202" i="172"/>
  <c r="BU205" i="172" s="1"/>
  <c r="BU207" i="172" s="1"/>
  <c r="BU67" i="172"/>
  <c r="CI67" i="172"/>
  <c r="H54" i="172"/>
  <c r="CL58" i="172"/>
  <c r="BV141" i="172"/>
  <c r="BR141" i="172" s="1"/>
  <c r="Y141" i="172"/>
  <c r="DN141" i="172"/>
  <c r="DJ141" i="172" s="1"/>
  <c r="DW203" i="172"/>
  <c r="DW34" i="172"/>
  <c r="AU15" i="172"/>
  <c r="BQ15" i="172" s="1"/>
  <c r="CP202" i="172"/>
  <c r="CP205" i="172" s="1"/>
  <c r="CP207" i="172" s="1"/>
  <c r="CN36" i="172"/>
  <c r="CP67" i="172"/>
  <c r="CP197" i="172" s="1"/>
  <c r="DB202" i="172"/>
  <c r="DB67" i="172"/>
  <c r="CN47" i="172"/>
  <c r="BB104" i="172"/>
  <c r="BX71" i="172"/>
  <c r="AV71" i="172"/>
  <c r="AU71" i="172" s="1"/>
  <c r="BQ71" i="172" s="1"/>
  <c r="CM20" i="172"/>
  <c r="DI20" i="172" s="1"/>
  <c r="BT45" i="172"/>
  <c r="AV45" i="172"/>
  <c r="CK202" i="172"/>
  <c r="CK67" i="172"/>
  <c r="CN64" i="172"/>
  <c r="DY64" i="172"/>
  <c r="H156" i="172"/>
  <c r="I156" i="172" s="1"/>
  <c r="CM156" i="172"/>
  <c r="DI156" i="172" s="1"/>
  <c r="CM161" i="172"/>
  <c r="DI161" i="172" s="1"/>
  <c r="H161" i="172"/>
  <c r="I161" i="172" s="1"/>
  <c r="I180" i="172"/>
  <c r="AU180" i="172"/>
  <c r="BQ180" i="172" s="1"/>
  <c r="CM180" i="172"/>
  <c r="DI180" i="172" s="1"/>
  <c r="CI202" i="172"/>
  <c r="CI34" i="172"/>
  <c r="AE203" i="172"/>
  <c r="BX11" i="172"/>
  <c r="BR11" i="172" s="1"/>
  <c r="DJ14" i="172"/>
  <c r="Y21" i="172"/>
  <c r="AA34" i="172"/>
  <c r="DL21" i="172"/>
  <c r="BT21" i="172"/>
  <c r="BR21" i="172" s="1"/>
  <c r="CL22" i="172"/>
  <c r="BR22" i="172" s="1"/>
  <c r="ED22" i="172"/>
  <c r="I31" i="172"/>
  <c r="AE34" i="172"/>
  <c r="DC34" i="172"/>
  <c r="CT202" i="172"/>
  <c r="CT67" i="172"/>
  <c r="DP35" i="172"/>
  <c r="CC202" i="172"/>
  <c r="BX41" i="172"/>
  <c r="AV41" i="172"/>
  <c r="AU41" i="172" s="1"/>
  <c r="BQ41" i="172" s="1"/>
  <c r="CN41" i="172"/>
  <c r="DP41" i="172"/>
  <c r="DJ41" i="172" s="1"/>
  <c r="AS202" i="172"/>
  <c r="CL46" i="172"/>
  <c r="BR46" i="172" s="1"/>
  <c r="Y46" i="172"/>
  <c r="AU46" i="172" s="1"/>
  <c r="BQ46" i="172" s="1"/>
  <c r="AS67" i="172"/>
  <c r="DV204" i="172"/>
  <c r="DV104" i="172"/>
  <c r="CH104" i="172"/>
  <c r="ED79" i="172"/>
  <c r="DJ79" i="172" s="1"/>
  <c r="CM79" i="172"/>
  <c r="DI79" i="172" s="1"/>
  <c r="CM91" i="172"/>
  <c r="DI91" i="172" s="1"/>
  <c r="H91" i="172"/>
  <c r="AV92" i="172"/>
  <c r="BV92" i="172"/>
  <c r="AC202" i="172"/>
  <c r="BV35" i="172"/>
  <c r="AC67" i="172"/>
  <c r="DX9" i="172"/>
  <c r="DJ9" i="172" s="1"/>
  <c r="CN9" i="172"/>
  <c r="CM24" i="172"/>
  <c r="DI24" i="172" s="1"/>
  <c r="H24" i="172"/>
  <c r="I24" i="172" s="1"/>
  <c r="BK202" i="172"/>
  <c r="BK67" i="172"/>
  <c r="AV39" i="172"/>
  <c r="AU39" i="172" s="1"/>
  <c r="BQ39" i="172" s="1"/>
  <c r="BX48" i="172"/>
  <c r="DP48" i="172"/>
  <c r="H102" i="172"/>
  <c r="DS34" i="172"/>
  <c r="CF7" i="172"/>
  <c r="BR7" i="172" s="1"/>
  <c r="I11" i="172"/>
  <c r="AF201" i="172"/>
  <c r="AF34" i="172"/>
  <c r="Y18" i="172"/>
  <c r="DP56" i="172"/>
  <c r="DJ56" i="172" s="1"/>
  <c r="CN56" i="172"/>
  <c r="CC104" i="172"/>
  <c r="DJ130" i="172"/>
  <c r="CA203" i="172"/>
  <c r="CA34" i="172"/>
  <c r="EA203" i="172"/>
  <c r="AU11" i="172"/>
  <c r="BQ11" i="172" s="1"/>
  <c r="DJ15" i="172"/>
  <c r="DO201" i="172"/>
  <c r="CG20" i="172"/>
  <c r="CG201" i="172" s="1"/>
  <c r="DY20" i="172"/>
  <c r="DY201" i="172" s="1"/>
  <c r="CE34" i="172"/>
  <c r="EA34" i="172"/>
  <c r="DM202" i="172"/>
  <c r="DM67" i="172"/>
  <c r="EB67" i="172"/>
  <c r="DJ40" i="172"/>
  <c r="AV44" i="172"/>
  <c r="H46" i="172"/>
  <c r="DY62" i="172"/>
  <c r="CN62" i="172"/>
  <c r="DC67" i="172"/>
  <c r="H66" i="172"/>
  <c r="I66" i="172" s="1"/>
  <c r="DH204" i="172"/>
  <c r="DH104" i="172"/>
  <c r="CN68" i="172"/>
  <c r="CM113" i="172"/>
  <c r="DI113" i="172" s="1"/>
  <c r="H113" i="172"/>
  <c r="I113" i="172" s="1"/>
  <c r="Y19" i="172"/>
  <c r="DQ19" i="172"/>
  <c r="DL203" i="172"/>
  <c r="H21" i="172"/>
  <c r="AF202" i="172"/>
  <c r="AF67" i="172"/>
  <c r="BY35" i="172"/>
  <c r="DQ35" i="172"/>
  <c r="AV4" i="172"/>
  <c r="CF4" i="172"/>
  <c r="DQ203" i="172"/>
  <c r="BR14" i="172"/>
  <c r="ED18" i="172"/>
  <c r="AU20" i="172"/>
  <c r="BQ20" i="172" s="1"/>
  <c r="BL203" i="172"/>
  <c r="CH22" i="172"/>
  <c r="CH34" i="172" s="1"/>
  <c r="BL34" i="172"/>
  <c r="AV22" i="172"/>
  <c r="AU22" i="172" s="1"/>
  <c r="BR23" i="172"/>
  <c r="DD203" i="172"/>
  <c r="DZ23" i="172"/>
  <c r="CN23" i="172"/>
  <c r="DD34" i="172"/>
  <c r="CM26" i="172"/>
  <c r="DI26" i="172" s="1"/>
  <c r="H26" i="172"/>
  <c r="I26" i="172" s="1"/>
  <c r="DJ28" i="172"/>
  <c r="H33" i="172"/>
  <c r="I33" i="172" s="1"/>
  <c r="CM33" i="172"/>
  <c r="DI33" i="172" s="1"/>
  <c r="AH197" i="172"/>
  <c r="DN35" i="172"/>
  <c r="BP202" i="172"/>
  <c r="BP67" i="172"/>
  <c r="DR202" i="172"/>
  <c r="DR205" i="172" s="1"/>
  <c r="DR207" i="172" s="1"/>
  <c r="DR67" i="172"/>
  <c r="DR197" i="172" s="1"/>
  <c r="DJ52" i="172"/>
  <c r="BP204" i="172"/>
  <c r="AV68" i="172"/>
  <c r="BP104" i="172"/>
  <c r="CL68" i="172"/>
  <c r="BR68" i="172" s="1"/>
  <c r="I82" i="172"/>
  <c r="AU82" i="172"/>
  <c r="BQ82" i="172" s="1"/>
  <c r="CM82" i="172"/>
  <c r="DI82" i="172" s="1"/>
  <c r="Y84" i="172"/>
  <c r="DQ84" i="172"/>
  <c r="DJ84" i="172" s="1"/>
  <c r="BY84" i="172"/>
  <c r="BR84" i="172" s="1"/>
  <c r="CM84" i="172"/>
  <c r="DI84" i="172" s="1"/>
  <c r="CM86" i="172"/>
  <c r="DI86" i="172" s="1"/>
  <c r="H86" i="172"/>
  <c r="I86" i="172" s="1"/>
  <c r="DJ99" i="172"/>
  <c r="DO204" i="172"/>
  <c r="DO104" i="172"/>
  <c r="CM63" i="172"/>
  <c r="DI63" i="172" s="1"/>
  <c r="BK204" i="172"/>
  <c r="BK104" i="172"/>
  <c r="AV70" i="172"/>
  <c r="AU70" i="172" s="1"/>
  <c r="BQ70" i="172" s="1"/>
  <c r="BX75" i="172"/>
  <c r="BR75" i="172" s="1"/>
  <c r="AV75" i="172"/>
  <c r="AU75" i="172" s="1"/>
  <c r="BQ75" i="172" s="1"/>
  <c r="CU204" i="172"/>
  <c r="CU104" i="172"/>
  <c r="DQ78" i="172"/>
  <c r="DQ81" i="172"/>
  <c r="DJ81" i="172" s="1"/>
  <c r="BY81" i="172"/>
  <c r="BR81" i="172" s="1"/>
  <c r="AV83" i="172"/>
  <c r="BY83" i="172"/>
  <c r="DA204" i="172"/>
  <c r="CN87" i="172"/>
  <c r="BX102" i="172"/>
  <c r="DE206" i="172"/>
  <c r="CN106" i="172"/>
  <c r="H107" i="172"/>
  <c r="I107" i="172" s="1"/>
  <c r="CM107" i="172"/>
  <c r="DI107" i="172" s="1"/>
  <c r="DJ126" i="172"/>
  <c r="AC199" i="172"/>
  <c r="H150" i="172"/>
  <c r="BS200" i="172"/>
  <c r="CB203" i="172"/>
  <c r="DN203" i="172"/>
  <c r="CM5" i="172"/>
  <c r="DI5" i="172" s="1"/>
  <c r="DN201" i="172"/>
  <c r="DX201" i="172"/>
  <c r="CM27" i="172"/>
  <c r="DI27" i="172" s="1"/>
  <c r="H30" i="172"/>
  <c r="I30" i="172" s="1"/>
  <c r="BR33" i="172"/>
  <c r="DX33" i="172"/>
  <c r="DJ33" i="172" s="1"/>
  <c r="DN34" i="172"/>
  <c r="AE202" i="172"/>
  <c r="AE67" i="172"/>
  <c r="AX67" i="172"/>
  <c r="AX197" i="172" s="1"/>
  <c r="AV48" i="172"/>
  <c r="Y58" i="172"/>
  <c r="DN58" i="172"/>
  <c r="DJ58" i="172" s="1"/>
  <c r="BV58" i="172"/>
  <c r="BR58" i="172" s="1"/>
  <c r="AU63" i="172"/>
  <c r="BQ63" i="172" s="1"/>
  <c r="Y64" i="172"/>
  <c r="DZ64" i="172"/>
  <c r="CH64" i="172"/>
  <c r="AS104" i="172"/>
  <c r="CB204" i="172"/>
  <c r="DJ88" i="172"/>
  <c r="CN92" i="172"/>
  <c r="DP92" i="172"/>
  <c r="DJ92" i="172" s="1"/>
  <c r="BT95" i="172"/>
  <c r="BR95" i="172" s="1"/>
  <c r="DA104" i="172"/>
  <c r="AA129" i="172"/>
  <c r="BT106" i="172"/>
  <c r="BR106" i="172" s="1"/>
  <c r="AA206" i="172"/>
  <c r="I110" i="172"/>
  <c r="AV115" i="172"/>
  <c r="CG124" i="172"/>
  <c r="CG129" i="172" s="1"/>
  <c r="BK129" i="172"/>
  <c r="DJ131" i="172"/>
  <c r="I132" i="172"/>
  <c r="CM132" i="172"/>
  <c r="DI132" i="172" s="1"/>
  <c r="BV163" i="172"/>
  <c r="DN163" i="172"/>
  <c r="DJ163" i="172" s="1"/>
  <c r="BS195" i="172"/>
  <c r="CB202" i="172"/>
  <c r="CB67" i="172"/>
  <c r="DX204" i="172"/>
  <c r="DJ96" i="172"/>
  <c r="DE129" i="172"/>
  <c r="DE197" i="172" s="1"/>
  <c r="DS203" i="172"/>
  <c r="EB203" i="172"/>
  <c r="I6" i="172"/>
  <c r="Y7" i="172"/>
  <c r="AU7" i="172" s="1"/>
  <c r="BQ7" i="172" s="1"/>
  <c r="DX7" i="172"/>
  <c r="DJ7" i="172" s="1"/>
  <c r="DH203" i="172"/>
  <c r="CN10" i="172"/>
  <c r="BB203" i="172"/>
  <c r="CN12" i="172"/>
  <c r="CN13" i="172"/>
  <c r="BS201" i="172"/>
  <c r="DS201" i="172"/>
  <c r="EB201" i="172"/>
  <c r="AU29" i="172"/>
  <c r="BQ29" i="172" s="1"/>
  <c r="CN32" i="172"/>
  <c r="AV33" i="172"/>
  <c r="AU33" i="172" s="1"/>
  <c r="BQ33" i="172" s="1"/>
  <c r="AB197" i="172"/>
  <c r="AJ197" i="172"/>
  <c r="CD202" i="172"/>
  <c r="CD67" i="172"/>
  <c r="EA202" i="172"/>
  <c r="EA67" i="172"/>
  <c r="BR36" i="172"/>
  <c r="Y37" i="172"/>
  <c r="BR38" i="172"/>
  <c r="AN202" i="172"/>
  <c r="CG39" i="172"/>
  <c r="BR39" i="172" s="1"/>
  <c r="AN67" i="172"/>
  <c r="DY39" i="172"/>
  <c r="DP43" i="172"/>
  <c r="DJ43" i="172" s="1"/>
  <c r="Y43" i="172"/>
  <c r="I43" i="172" s="1"/>
  <c r="CM43" i="172"/>
  <c r="DI43" i="172" s="1"/>
  <c r="DL44" i="172"/>
  <c r="DJ44" i="172" s="1"/>
  <c r="Y44" i="172"/>
  <c r="CU202" i="172"/>
  <c r="Y45" i="172"/>
  <c r="CF48" i="172"/>
  <c r="CW202" i="172"/>
  <c r="CW205" i="172" s="1"/>
  <c r="CW207" i="172" s="1"/>
  <c r="DS48" i="172"/>
  <c r="DS67" i="172" s="1"/>
  <c r="BT49" i="172"/>
  <c r="BR49" i="172" s="1"/>
  <c r="Y49" i="172"/>
  <c r="CM49" i="172" s="1"/>
  <c r="DI49" i="172" s="1"/>
  <c r="DH67" i="172"/>
  <c r="AL202" i="172"/>
  <c r="AL67" i="172"/>
  <c r="AL197" i="172" s="1"/>
  <c r="DW55" i="172"/>
  <c r="DJ55" i="172" s="1"/>
  <c r="CE55" i="172"/>
  <c r="CE67" i="172" s="1"/>
  <c r="Y55" i="172"/>
  <c r="AU56" i="172"/>
  <c r="BQ56" i="172" s="1"/>
  <c r="BR57" i="172"/>
  <c r="BX60" i="172"/>
  <c r="BR60" i="172" s="1"/>
  <c r="Y60" i="172"/>
  <c r="AU60" i="172" s="1"/>
  <c r="BQ60" i="172" s="1"/>
  <c r="DP60" i="172"/>
  <c r="DZ65" i="172"/>
  <c r="CH65" i="172"/>
  <c r="CF204" i="172"/>
  <c r="CF104" i="172"/>
  <c r="AU69" i="172"/>
  <c r="BQ69" i="172" s="1"/>
  <c r="CL72" i="172"/>
  <c r="BR72" i="172" s="1"/>
  <c r="Y72" i="172"/>
  <c r="ED72" i="172"/>
  <c r="DJ72" i="172" s="1"/>
  <c r="AV76" i="172"/>
  <c r="AU76" i="172" s="1"/>
  <c r="BQ76" i="172" s="1"/>
  <c r="CM80" i="172"/>
  <c r="DI80" i="172" s="1"/>
  <c r="ED86" i="172"/>
  <c r="DJ86" i="172" s="1"/>
  <c r="BR88" i="172"/>
  <c r="BR96" i="172"/>
  <c r="DP97" i="172"/>
  <c r="DJ97" i="172" s="1"/>
  <c r="BX97" i="172"/>
  <c r="BR97" i="172" s="1"/>
  <c r="Y97" i="172"/>
  <c r="CN98" i="172"/>
  <c r="DP98" i="172"/>
  <c r="DJ98" i="172" s="1"/>
  <c r="Y99" i="172"/>
  <c r="BX99" i="172"/>
  <c r="BR99" i="172" s="1"/>
  <c r="CB104" i="172"/>
  <c r="DX104" i="172"/>
  <c r="BR107" i="172"/>
  <c r="AV111" i="172"/>
  <c r="AU111" i="172" s="1"/>
  <c r="BQ111" i="172" s="1"/>
  <c r="I122" i="172"/>
  <c r="CN124" i="172"/>
  <c r="CA195" i="172"/>
  <c r="CI195" i="172"/>
  <c r="DS195" i="172"/>
  <c r="BL199" i="172"/>
  <c r="BL195" i="172"/>
  <c r="CH134" i="172"/>
  <c r="AN199" i="172"/>
  <c r="AN195" i="172"/>
  <c r="CG147" i="172"/>
  <c r="DY147" i="172"/>
  <c r="Y147" i="172"/>
  <c r="AU26" i="172"/>
  <c r="BQ26" i="172" s="1"/>
  <c r="CM31" i="172"/>
  <c r="DI31" i="172" s="1"/>
  <c r="DA202" i="172"/>
  <c r="DA67" i="172"/>
  <c r="CN52" i="172"/>
  <c r="DJ61" i="172"/>
  <c r="BT104" i="172"/>
  <c r="ED82" i="172"/>
  <c r="DJ82" i="172" s="1"/>
  <c r="CL82" i="172"/>
  <c r="BR82" i="172" s="1"/>
  <c r="AC204" i="172"/>
  <c r="Y89" i="172"/>
  <c r="DN89" i="172"/>
  <c r="DJ89" i="172" s="1"/>
  <c r="DJ95" i="172"/>
  <c r="CM126" i="172"/>
  <c r="DI126" i="172" s="1"/>
  <c r="EB195" i="172"/>
  <c r="DT203" i="172"/>
  <c r="AN201" i="172"/>
  <c r="Y17" i="172"/>
  <c r="DT201" i="172"/>
  <c r="DP25" i="172"/>
  <c r="AK197" i="172"/>
  <c r="DU197" i="172"/>
  <c r="CQ202" i="172"/>
  <c r="CQ205" i="172" s="1"/>
  <c r="CQ207" i="172" s="1"/>
  <c r="CQ67" i="172"/>
  <c r="CQ197" i="172" s="1"/>
  <c r="DD202" i="172"/>
  <c r="DD67" i="172"/>
  <c r="H42" i="172"/>
  <c r="I42" i="172" s="1"/>
  <c r="CM42" i="172"/>
  <c r="DI42" i="172" s="1"/>
  <c r="AM202" i="172"/>
  <c r="AM205" i="172" s="1"/>
  <c r="AM207" i="172" s="1"/>
  <c r="CF47" i="172"/>
  <c r="BR47" i="172" s="1"/>
  <c r="DX47" i="172"/>
  <c r="H49" i="172"/>
  <c r="DX65" i="172"/>
  <c r="DJ65" i="172" s="1"/>
  <c r="CN65" i="172"/>
  <c r="DP70" i="172"/>
  <c r="DJ70" i="172" s="1"/>
  <c r="BX70" i="172"/>
  <c r="BR70" i="172" s="1"/>
  <c r="AU72" i="172"/>
  <c r="BQ72" i="172" s="1"/>
  <c r="I77" i="172"/>
  <c r="DJ77" i="172"/>
  <c r="BT83" i="172"/>
  <c r="DL83" i="172"/>
  <c r="Y83" i="172"/>
  <c r="CL85" i="172"/>
  <c r="BR85" i="172" s="1"/>
  <c r="Y85" i="172"/>
  <c r="ED85" i="172"/>
  <c r="DJ85" i="172" s="1"/>
  <c r="AZ104" i="172"/>
  <c r="AU95" i="172"/>
  <c r="BQ95" i="172" s="1"/>
  <c r="AU97" i="172"/>
  <c r="BQ97" i="172" s="1"/>
  <c r="DQ206" i="172"/>
  <c r="DQ129" i="172"/>
  <c r="EA106" i="172"/>
  <c r="DJ106" i="172" s="1"/>
  <c r="DJ111" i="172"/>
  <c r="BR130" i="172"/>
  <c r="CB195" i="172"/>
  <c r="DS199" i="172"/>
  <c r="AS195" i="172"/>
  <c r="CL150" i="172"/>
  <c r="CL199" i="172" s="1"/>
  <c r="AS199" i="172"/>
  <c r="Y150" i="172"/>
  <c r="ED150" i="172"/>
  <c r="DJ150" i="172" s="1"/>
  <c r="DD200" i="172"/>
  <c r="CN170" i="172"/>
  <c r="DZ170" i="172"/>
  <c r="DZ200" i="172" s="1"/>
  <c r="AZ202" i="172"/>
  <c r="AZ67" i="172"/>
  <c r="AV35" i="172"/>
  <c r="CM38" i="172"/>
  <c r="DI38" i="172" s="1"/>
  <c r="AU40" i="172"/>
  <c r="BQ40" i="172" s="1"/>
  <c r="BY48" i="172"/>
  <c r="CV202" i="172"/>
  <c r="CV205" i="172" s="1"/>
  <c r="CV207" i="172" s="1"/>
  <c r="CV67" i="172"/>
  <c r="CV197" i="172" s="1"/>
  <c r="Y54" i="172"/>
  <c r="BT54" i="172"/>
  <c r="BR54" i="172" s="1"/>
  <c r="CM69" i="172"/>
  <c r="DI69" i="172" s="1"/>
  <c r="EB104" i="172"/>
  <c r="BY203" i="172"/>
  <c r="DK203" i="172"/>
  <c r="DV203" i="172"/>
  <c r="DO34" i="172"/>
  <c r="AU6" i="172"/>
  <c r="BQ6" i="172" s="1"/>
  <c r="AS203" i="172"/>
  <c r="AS34" i="172"/>
  <c r="ED10" i="172"/>
  <c r="DJ10" i="172" s="1"/>
  <c r="AN203" i="172"/>
  <c r="Y16" i="172"/>
  <c r="DY16" i="172"/>
  <c r="DJ16" i="172" s="1"/>
  <c r="AS201" i="172"/>
  <c r="CI201" i="172"/>
  <c r="DK201" i="172"/>
  <c r="DV201" i="172"/>
  <c r="AA201" i="172"/>
  <c r="DL19" i="172"/>
  <c r="DL34" i="172" s="1"/>
  <c r="DC203" i="172"/>
  <c r="DY25" i="172"/>
  <c r="CM28" i="172"/>
  <c r="DI28" i="172" s="1"/>
  <c r="AD197" i="172"/>
  <c r="AD208" i="172" s="1"/>
  <c r="DK34" i="172"/>
  <c r="DV34" i="172"/>
  <c r="AA202" i="172"/>
  <c r="AA67" i="172"/>
  <c r="DL35" i="172"/>
  <c r="Y35" i="172"/>
  <c r="CR202" i="172"/>
  <c r="CR67" i="172"/>
  <c r="DT67" i="172"/>
  <c r="BJ202" i="172"/>
  <c r="AV47" i="172"/>
  <c r="AU47" i="172" s="1"/>
  <c r="BQ47" i="172" s="1"/>
  <c r="BZ202" i="172"/>
  <c r="BZ205" i="172" s="1"/>
  <c r="BZ207" i="172" s="1"/>
  <c r="H50" i="172"/>
  <c r="I50" i="172" s="1"/>
  <c r="BI202" i="172"/>
  <c r="AV55" i="172"/>
  <c r="BI67" i="172"/>
  <c r="H59" i="172"/>
  <c r="H63" i="172"/>
  <c r="I63" i="172" s="1"/>
  <c r="CT104" i="172"/>
  <c r="CN70" i="172"/>
  <c r="CJ204" i="172"/>
  <c r="CJ104" i="172"/>
  <c r="AU77" i="172"/>
  <c r="BQ77" i="172" s="1"/>
  <c r="CN78" i="172"/>
  <c r="Y81" i="172"/>
  <c r="CM81" i="172" s="1"/>
  <c r="DI81" i="172" s="1"/>
  <c r="DW87" i="172"/>
  <c r="DW104" i="172" s="1"/>
  <c r="I91" i="172"/>
  <c r="AU98" i="172"/>
  <c r="BQ98" i="172" s="1"/>
  <c r="DP101" i="172"/>
  <c r="BX101" i="172"/>
  <c r="BY206" i="172"/>
  <c r="BY129" i="172"/>
  <c r="EB129" i="172"/>
  <c r="BS112" i="172"/>
  <c r="BR112" i="172" s="1"/>
  <c r="CL115" i="172"/>
  <c r="Y115" i="172"/>
  <c r="ED115" i="172"/>
  <c r="BX131" i="172"/>
  <c r="BR131" i="172" s="1"/>
  <c r="AV131" i="172"/>
  <c r="AU131" i="172" s="1"/>
  <c r="BQ131" i="172" s="1"/>
  <c r="H131" i="172"/>
  <c r="I131" i="172" s="1"/>
  <c r="CM131" i="172"/>
  <c r="DI131" i="172" s="1"/>
  <c r="CG199" i="172"/>
  <c r="AU133" i="172"/>
  <c r="BQ133" i="172" s="1"/>
  <c r="DN148" i="172"/>
  <c r="DJ148" i="172" s="1"/>
  <c r="BV148" i="172"/>
  <c r="BR148" i="172" s="1"/>
  <c r="BS203" i="172"/>
  <c r="CD203" i="172"/>
  <c r="DO203" i="172"/>
  <c r="CF201" i="172"/>
  <c r="EA201" i="172"/>
  <c r="BK203" i="172"/>
  <c r="AC197" i="172"/>
  <c r="BK34" i="172"/>
  <c r="BS34" i="172"/>
  <c r="BB202" i="172"/>
  <c r="DW202" i="172"/>
  <c r="AX202" i="172"/>
  <c r="DH202" i="172"/>
  <c r="ED51" i="172"/>
  <c r="DJ51" i="172" s="1"/>
  <c r="CJ202" i="172"/>
  <c r="BB67" i="172"/>
  <c r="DT204" i="172"/>
  <c r="ED68" i="172"/>
  <c r="CT204" i="172"/>
  <c r="AF204" i="172"/>
  <c r="BY74" i="172"/>
  <c r="BR74" i="172" s="1"/>
  <c r="AF104" i="172"/>
  <c r="DQ74" i="172"/>
  <c r="DJ74" i="172" s="1"/>
  <c r="DY75" i="172"/>
  <c r="DY204" i="172" s="1"/>
  <c r="BC204" i="172"/>
  <c r="BC104" i="172"/>
  <c r="BR90" i="172"/>
  <c r="I96" i="172"/>
  <c r="AV102" i="172"/>
  <c r="DT104" i="172"/>
  <c r="BV206" i="172"/>
  <c r="BV129" i="172"/>
  <c r="CA129" i="172"/>
  <c r="DC206" i="172"/>
  <c r="DY113" i="172"/>
  <c r="DJ113" i="172" s="1"/>
  <c r="AU114" i="172"/>
  <c r="BQ114" i="172" s="1"/>
  <c r="DC129" i="172"/>
  <c r="BW203" i="172"/>
  <c r="BW195" i="172"/>
  <c r="BW197" i="172" s="1"/>
  <c r="CE199" i="172"/>
  <c r="CG200" i="172"/>
  <c r="DJ154" i="172"/>
  <c r="I158" i="172"/>
  <c r="CM158" i="172"/>
  <c r="DI158" i="172" s="1"/>
  <c r="AU184" i="172"/>
  <c r="BQ184" i="172" s="1"/>
  <c r="CS195" i="172"/>
  <c r="CS197" i="172" s="1"/>
  <c r="CG50" i="172"/>
  <c r="BR59" i="172"/>
  <c r="AS204" i="172"/>
  <c r="AE204" i="172"/>
  <c r="DP69" i="172"/>
  <c r="DJ69" i="172" s="1"/>
  <c r="AN204" i="172"/>
  <c r="AN104" i="172"/>
  <c r="BR76" i="172"/>
  <c r="AA204" i="172"/>
  <c r="DL78" i="172"/>
  <c r="AU81" i="172"/>
  <c r="BQ81" i="172" s="1"/>
  <c r="AL204" i="172"/>
  <c r="Y87" i="172"/>
  <c r="BX93" i="172"/>
  <c r="BR93" i="172" s="1"/>
  <c r="AV93" i="172"/>
  <c r="AU93" i="172" s="1"/>
  <c r="BQ93" i="172" s="1"/>
  <c r="CM103" i="172"/>
  <c r="DI103" i="172" s="1"/>
  <c r="AE104" i="172"/>
  <c r="DC104" i="172"/>
  <c r="CE206" i="172"/>
  <c r="CE129" i="172"/>
  <c r="DS206" i="172"/>
  <c r="AS206" i="172"/>
  <c r="AS129" i="172"/>
  <c r="AU113" i="172"/>
  <c r="BQ113" i="172" s="1"/>
  <c r="CC195" i="172"/>
  <c r="AO195" i="172"/>
  <c r="AO199" i="172"/>
  <c r="DZ132" i="172"/>
  <c r="CH132" i="172"/>
  <c r="DV199" i="172"/>
  <c r="BP199" i="172"/>
  <c r="AV150" i="172"/>
  <c r="AU150" i="172" s="1"/>
  <c r="BQ150" i="172" s="1"/>
  <c r="DN167" i="172"/>
  <c r="DJ167" i="172" s="1"/>
  <c r="Y167" i="172"/>
  <c r="I167" i="172" s="1"/>
  <c r="BO200" i="172"/>
  <c r="BO205" i="172" s="1"/>
  <c r="BO207" i="172" s="1"/>
  <c r="BO195" i="172"/>
  <c r="BO197" i="172" s="1"/>
  <c r="CK173" i="172"/>
  <c r="BR173" i="172" s="1"/>
  <c r="AV173" i="172"/>
  <c r="AU173" i="172" s="1"/>
  <c r="BQ173" i="172" s="1"/>
  <c r="I194" i="172"/>
  <c r="AU194" i="172"/>
  <c r="BQ194" i="172" s="1"/>
  <c r="CM194" i="172"/>
  <c r="DI194" i="172" s="1"/>
  <c r="EB202" i="172"/>
  <c r="AO202" i="172"/>
  <c r="DZ37" i="172"/>
  <c r="DC202" i="172"/>
  <c r="CH62" i="172"/>
  <c r="AU66" i="172"/>
  <c r="BQ66" i="172" s="1"/>
  <c r="AO67" i="172"/>
  <c r="AO197" i="172" s="1"/>
  <c r="CH204" i="172"/>
  <c r="DZ204" i="172"/>
  <c r="BX69" i="172"/>
  <c r="BR69" i="172" s="1"/>
  <c r="CL79" i="172"/>
  <c r="BR79" i="172" s="1"/>
  <c r="BR89" i="172"/>
  <c r="AV90" i="172"/>
  <c r="AU90" i="172" s="1"/>
  <c r="BQ90" i="172" s="1"/>
  <c r="BX98" i="172"/>
  <c r="BR98" i="172" s="1"/>
  <c r="Y102" i="172"/>
  <c r="I102" i="172" s="1"/>
  <c r="BV102" i="172"/>
  <c r="DP102" i="172"/>
  <c r="DJ102" i="172" s="1"/>
  <c r="DZ104" i="172"/>
  <c r="DT206" i="172"/>
  <c r="DT129" i="172"/>
  <c r="CL109" i="172"/>
  <c r="DV195" i="172"/>
  <c r="AU132" i="172"/>
  <c r="BQ132" i="172" s="1"/>
  <c r="CC199" i="172"/>
  <c r="DW199" i="172"/>
  <c r="BR136" i="172"/>
  <c r="DJ145" i="172"/>
  <c r="H148" i="172"/>
  <c r="I148" i="172" s="1"/>
  <c r="CM148" i="172"/>
  <c r="DI148" i="172" s="1"/>
  <c r="BB200" i="172"/>
  <c r="BX170" i="172"/>
  <c r="BX200" i="172" s="1"/>
  <c r="CX197" i="172"/>
  <c r="DT202" i="172"/>
  <c r="CA202" i="172"/>
  <c r="CA67" i="172"/>
  <c r="DZ62" i="172"/>
  <c r="CA204" i="172"/>
  <c r="CA104" i="172"/>
  <c r="CI203" i="172"/>
  <c r="CI104" i="172"/>
  <c r="EA204" i="172"/>
  <c r="EA104" i="172"/>
  <c r="CG71" i="172"/>
  <c r="CG204" i="172" s="1"/>
  <c r="AZ204" i="172"/>
  <c r="CM95" i="172"/>
  <c r="DI95" i="172" s="1"/>
  <c r="H95" i="172"/>
  <c r="I95" i="172" s="1"/>
  <c r="DN101" i="172"/>
  <c r="DJ101" i="172" s="1"/>
  <c r="Y101" i="172"/>
  <c r="BV101" i="172"/>
  <c r="CC129" i="172"/>
  <c r="CM109" i="172"/>
  <c r="DI109" i="172" s="1"/>
  <c r="H109" i="172"/>
  <c r="I109" i="172" s="1"/>
  <c r="ED109" i="172"/>
  <c r="DJ109" i="172" s="1"/>
  <c r="BJ206" i="172"/>
  <c r="CF111" i="172"/>
  <c r="BR113" i="172"/>
  <c r="AO206" i="172"/>
  <c r="Y124" i="172"/>
  <c r="CE195" i="172"/>
  <c r="DX199" i="172"/>
  <c r="Y137" i="172"/>
  <c r="CM137" i="172" s="1"/>
  <c r="DI137" i="172" s="1"/>
  <c r="BV137" i="172"/>
  <c r="DN137" i="172"/>
  <c r="DJ137" i="172" s="1"/>
  <c r="Y140" i="172"/>
  <c r="AU140" i="172" s="1"/>
  <c r="BQ140" i="172" s="1"/>
  <c r="BV140" i="172"/>
  <c r="BR140" i="172" s="1"/>
  <c r="BV146" i="172"/>
  <c r="BR146" i="172" s="1"/>
  <c r="Y146" i="172"/>
  <c r="DN146" i="172"/>
  <c r="DJ146" i="172" s="1"/>
  <c r="DH199" i="172"/>
  <c r="DO200" i="172"/>
  <c r="DY200" i="172"/>
  <c r="BK195" i="172"/>
  <c r="CG190" i="172"/>
  <c r="CG195" i="172" s="1"/>
  <c r="CC204" i="172"/>
  <c r="DS204" i="172"/>
  <c r="DS104" i="172"/>
  <c r="EB204" i="172"/>
  <c r="BB204" i="172"/>
  <c r="AU74" i="172"/>
  <c r="BQ74" i="172" s="1"/>
  <c r="CR204" i="172"/>
  <c r="CR104" i="172"/>
  <c r="CN90" i="172"/>
  <c r="DV206" i="172"/>
  <c r="AU108" i="172"/>
  <c r="BQ108" i="172" s="1"/>
  <c r="DH206" i="172"/>
  <c r="DH129" i="172"/>
  <c r="DJ110" i="172"/>
  <c r="BK206" i="172"/>
  <c r="AU128" i="172"/>
  <c r="BQ128" i="172" s="1"/>
  <c r="DV129" i="172"/>
  <c r="DJ139" i="172"/>
  <c r="BV143" i="172"/>
  <c r="BR143" i="172" s="1"/>
  <c r="Y143" i="172"/>
  <c r="DN143" i="172"/>
  <c r="DJ143" i="172" s="1"/>
  <c r="Y172" i="172"/>
  <c r="I175" i="172"/>
  <c r="AU175" i="172"/>
  <c r="BQ175" i="172" s="1"/>
  <c r="AV178" i="172"/>
  <c r="AU178" i="172" s="1"/>
  <c r="BQ178" i="172" s="1"/>
  <c r="CH178" i="172"/>
  <c r="I186" i="172"/>
  <c r="CM186" i="172"/>
  <c r="DI186" i="172" s="1"/>
  <c r="AU186" i="172"/>
  <c r="BQ186" i="172" s="1"/>
  <c r="BR194" i="172"/>
  <c r="BG205" i="172"/>
  <c r="BG207" i="172" s="1"/>
  <c r="DQ91" i="172"/>
  <c r="DJ91" i="172" s="1"/>
  <c r="BM206" i="172"/>
  <c r="BM129" i="172"/>
  <c r="BM197" i="172" s="1"/>
  <c r="CD206" i="172"/>
  <c r="CD129" i="172"/>
  <c r="DP206" i="172"/>
  <c r="DP129" i="172"/>
  <c r="AV109" i="172"/>
  <c r="AU109" i="172" s="1"/>
  <c r="BQ109" i="172" s="1"/>
  <c r="CA206" i="172"/>
  <c r="CT195" i="172"/>
  <c r="CN130" i="172"/>
  <c r="DT195" i="172"/>
  <c r="CM133" i="172"/>
  <c r="DI133" i="172" s="1"/>
  <c r="H133" i="172"/>
  <c r="I133" i="172" s="1"/>
  <c r="BR138" i="172"/>
  <c r="Y145" i="172"/>
  <c r="AU145" i="172" s="1"/>
  <c r="BQ145" i="172" s="1"/>
  <c r="BV145" i="172"/>
  <c r="BR145" i="172" s="1"/>
  <c r="AU148" i="172"/>
  <c r="BQ148" i="172" s="1"/>
  <c r="CN152" i="172"/>
  <c r="H160" i="172"/>
  <c r="CM167" i="172"/>
  <c r="DI167" i="172" s="1"/>
  <c r="H169" i="172"/>
  <c r="I169" i="172" s="1"/>
  <c r="CM169" i="172"/>
  <c r="DI169" i="172" s="1"/>
  <c r="ED169" i="172"/>
  <c r="DJ169" i="172" s="1"/>
  <c r="I189" i="172"/>
  <c r="CM189" i="172"/>
  <c r="DI189" i="172" s="1"/>
  <c r="AU189" i="172"/>
  <c r="BQ189" i="172" s="1"/>
  <c r="CF199" i="172"/>
  <c r="CK199" i="172"/>
  <c r="DJ144" i="172"/>
  <c r="CE200" i="172"/>
  <c r="DN153" i="172"/>
  <c r="DJ153" i="172" s="1"/>
  <c r="BV153" i="172"/>
  <c r="BR153" i="172" s="1"/>
  <c r="Y153" i="172"/>
  <c r="CH200" i="172"/>
  <c r="BR154" i="172"/>
  <c r="CN155" i="172"/>
  <c r="DN155" i="172"/>
  <c r="DJ155" i="172" s="1"/>
  <c r="BV159" i="172"/>
  <c r="BR159" i="172" s="1"/>
  <c r="H165" i="172"/>
  <c r="I165" i="172" s="1"/>
  <c r="CM165" i="172"/>
  <c r="DI165" i="172" s="1"/>
  <c r="BT166" i="172"/>
  <c r="Y166" i="172"/>
  <c r="AU166" i="172" s="1"/>
  <c r="BQ166" i="172" s="1"/>
  <c r="DL166" i="172"/>
  <c r="DJ166" i="172" s="1"/>
  <c r="AA200" i="172"/>
  <c r="CM174" i="172"/>
  <c r="DI174" i="172" s="1"/>
  <c r="H174" i="172"/>
  <c r="I174" i="172" s="1"/>
  <c r="DP177" i="172"/>
  <c r="DJ177" i="172" s="1"/>
  <c r="Y177" i="172"/>
  <c r="BX177" i="172"/>
  <c r="BR177" i="172" s="1"/>
  <c r="AU193" i="172"/>
  <c r="BQ193" i="172" s="1"/>
  <c r="DJ194" i="172"/>
  <c r="EB206" i="172"/>
  <c r="CC206" i="172"/>
  <c r="CF195" i="172"/>
  <c r="DW195" i="172"/>
  <c r="AE199" i="172"/>
  <c r="DP132" i="172"/>
  <c r="AE195" i="172"/>
  <c r="BX132" i="172"/>
  <c r="BX199" i="172" s="1"/>
  <c r="EB199" i="172"/>
  <c r="CN135" i="172"/>
  <c r="BR137" i="172"/>
  <c r="DN152" i="172"/>
  <c r="DX200" i="172"/>
  <c r="BN205" i="172"/>
  <c r="BN207" i="172" s="1"/>
  <c r="BR139" i="172"/>
  <c r="BV142" i="172"/>
  <c r="BR142" i="172" s="1"/>
  <c r="BR144" i="172"/>
  <c r="AC200" i="172"/>
  <c r="CF200" i="172"/>
  <c r="BR156" i="172"/>
  <c r="AU163" i="172"/>
  <c r="BQ163" i="172" s="1"/>
  <c r="EC203" i="172"/>
  <c r="BR182" i="172"/>
  <c r="BY199" i="172"/>
  <c r="DY199" i="172"/>
  <c r="I136" i="172"/>
  <c r="CA200" i="172"/>
  <c r="CI200" i="172"/>
  <c r="DJ156" i="172"/>
  <c r="H157" i="172"/>
  <c r="I157" i="172" s="1"/>
  <c r="CM157" i="172"/>
  <c r="DI157" i="172" s="1"/>
  <c r="DJ161" i="172"/>
  <c r="CM163" i="172"/>
  <c r="DI163" i="172" s="1"/>
  <c r="DN168" i="172"/>
  <c r="AU169" i="172"/>
  <c r="BQ169" i="172" s="1"/>
  <c r="AU177" i="172"/>
  <c r="BQ177" i="172" s="1"/>
  <c r="I182" i="172"/>
  <c r="DJ182" i="172"/>
  <c r="AU183" i="172"/>
  <c r="BQ183" i="172" s="1"/>
  <c r="CM184" i="172"/>
  <c r="DI184" i="172" s="1"/>
  <c r="DJ189" i="172"/>
  <c r="BX129" i="172"/>
  <c r="AV130" i="172"/>
  <c r="DX195" i="172"/>
  <c r="CA199" i="172"/>
  <c r="CI204" i="172"/>
  <c r="CI199" i="172"/>
  <c r="CR199" i="172"/>
  <c r="CR195" i="172"/>
  <c r="CM141" i="172"/>
  <c r="DI141" i="172" s="1"/>
  <c r="CM146" i="172"/>
  <c r="DI146" i="172" s="1"/>
  <c r="CB200" i="172"/>
  <c r="EA200" i="172"/>
  <c r="BV154" i="172"/>
  <c r="Y154" i="172"/>
  <c r="AU154" i="172" s="1"/>
  <c r="BQ154" i="172" s="1"/>
  <c r="H159" i="172"/>
  <c r="BV162" i="172"/>
  <c r="BR162" i="172" s="1"/>
  <c r="H163" i="172"/>
  <c r="CL165" i="172"/>
  <c r="BR165" i="172" s="1"/>
  <c r="DJ184" i="172"/>
  <c r="BX185" i="172"/>
  <c r="BR185" i="172" s="1"/>
  <c r="AV185" i="172"/>
  <c r="AU185" i="172" s="1"/>
  <c r="BQ185" i="172" s="1"/>
  <c r="BX188" i="172"/>
  <c r="BR188" i="172" s="1"/>
  <c r="AV188" i="172"/>
  <c r="AU188" i="172" s="1"/>
  <c r="BQ188" i="172" s="1"/>
  <c r="BR191" i="172"/>
  <c r="CM191" i="172"/>
  <c r="DI191" i="172" s="1"/>
  <c r="DM195" i="172"/>
  <c r="AB205" i="172"/>
  <c r="AB207" i="172" s="1"/>
  <c r="DN206" i="172"/>
  <c r="BB195" i="172"/>
  <c r="BY195" i="172"/>
  <c r="CB199" i="172"/>
  <c r="DQ199" i="172"/>
  <c r="EA199" i="172"/>
  <c r="DO135" i="172"/>
  <c r="DO195" i="172" s="1"/>
  <c r="CC200" i="172"/>
  <c r="BW157" i="172"/>
  <c r="BW200" i="172" s="1"/>
  <c r="DN158" i="172"/>
  <c r="DJ158" i="172" s="1"/>
  <c r="BV158" i="172"/>
  <c r="BR158" i="172" s="1"/>
  <c r="Y159" i="172"/>
  <c r="AU159" i="172" s="1"/>
  <c r="BQ159" i="172" s="1"/>
  <c r="DN159" i="172"/>
  <c r="DJ159" i="172" s="1"/>
  <c r="AF200" i="172"/>
  <c r="AF195" i="172"/>
  <c r="AA195" i="172"/>
  <c r="AU181" i="172"/>
  <c r="BQ181" i="172" s="1"/>
  <c r="BT199" i="172"/>
  <c r="CD199" i="172"/>
  <c r="DT199" i="172"/>
  <c r="CJ199" i="172"/>
  <c r="CJ195" i="172"/>
  <c r="BY200" i="172"/>
  <c r="DW200" i="172"/>
  <c r="EC200" i="172"/>
  <c r="CL169" i="172"/>
  <c r="BR169" i="172" s="1"/>
  <c r="BR181" i="172"/>
  <c r="DJ187" i="172"/>
  <c r="AC195" i="172"/>
  <c r="G205" i="172"/>
  <c r="G207" i="172" s="1"/>
  <c r="DQ200" i="172"/>
  <c r="Y155" i="172"/>
  <c r="H171" i="172"/>
  <c r="I171" i="172" s="1"/>
  <c r="CM176" i="172"/>
  <c r="BR179" i="172"/>
  <c r="CN183" i="172"/>
  <c r="BR184" i="172"/>
  <c r="DS200" i="172"/>
  <c r="CZ200" i="172"/>
  <c r="CZ205" i="172" s="1"/>
  <c r="CZ207" i="172" s="1"/>
  <c r="CZ195" i="172"/>
  <c r="CZ197" i="172" s="1"/>
  <c r="BV161" i="172"/>
  <c r="Y163" i="172"/>
  <c r="BT163" i="172"/>
  <c r="BR163" i="172" s="1"/>
  <c r="DQ168" i="172"/>
  <c r="DQ195" i="172" s="1"/>
  <c r="AC203" i="172"/>
  <c r="BV178" i="172"/>
  <c r="BR187" i="172"/>
  <c r="AY205" i="172"/>
  <c r="AY207" i="172" s="1"/>
  <c r="AY208" i="172" s="1"/>
  <c r="BR180" i="172"/>
  <c r="BW201" i="172"/>
  <c r="CO205" i="172"/>
  <c r="CY205" i="172"/>
  <c r="CY207" i="172" s="1"/>
  <c r="DP191" i="172"/>
  <c r="DJ191" i="172" s="1"/>
  <c r="DC195" i="172"/>
  <c r="BD205" i="172"/>
  <c r="BD207" i="172" s="1"/>
  <c r="AH205" i="172"/>
  <c r="AH207" i="172" s="1"/>
  <c r="AQ205" i="172"/>
  <c r="AQ207" i="172" s="1"/>
  <c r="AQ208" i="172" s="1"/>
  <c r="AW205" i="172"/>
  <c r="BE205" i="172"/>
  <c r="BE207" i="172" s="1"/>
  <c r="BM205" i="172"/>
  <c r="AU54" i="172" l="1"/>
  <c r="BQ54" i="172" s="1"/>
  <c r="CM35" i="172"/>
  <c r="DI35" i="172" s="1"/>
  <c r="DJ60" i="172"/>
  <c r="H188" i="172"/>
  <c r="I188" i="172" s="1"/>
  <c r="BR115" i="172"/>
  <c r="H127" i="172"/>
  <c r="I127" i="172" s="1"/>
  <c r="BR135" i="172"/>
  <c r="BR45" i="172"/>
  <c r="BR190" i="172"/>
  <c r="CM128" i="172"/>
  <c r="DI128" i="172" s="1"/>
  <c r="BR71" i="172"/>
  <c r="CK200" i="172"/>
  <c r="CM39" i="172"/>
  <c r="DI39" i="172" s="1"/>
  <c r="BR64" i="172"/>
  <c r="CK195" i="172"/>
  <c r="CK197" i="172" s="1"/>
  <c r="AZ199" i="172"/>
  <c r="AV199" i="172" s="1"/>
  <c r="AV87" i="172"/>
  <c r="AU87" i="172" s="1"/>
  <c r="BQ87" i="172" s="1"/>
  <c r="CE104" i="172"/>
  <c r="BJ34" i="172"/>
  <c r="BI197" i="172"/>
  <c r="CE204" i="172"/>
  <c r="BJ203" i="172"/>
  <c r="AV203" i="172" s="1"/>
  <c r="DA197" i="172"/>
  <c r="DJ83" i="172"/>
  <c r="I71" i="172"/>
  <c r="CM178" i="172"/>
  <c r="DI178" i="172" s="1"/>
  <c r="DP185" i="172"/>
  <c r="DJ185" i="172" s="1"/>
  <c r="DY195" i="172"/>
  <c r="CF9" i="172"/>
  <c r="BR9" i="172" s="1"/>
  <c r="BV134" i="172"/>
  <c r="BR134" i="172" s="1"/>
  <c r="CM22" i="172"/>
  <c r="DI22" i="172" s="1"/>
  <c r="DX115" i="172"/>
  <c r="DB206" i="172"/>
  <c r="AU9" i="172"/>
  <c r="BQ9" i="172" s="1"/>
  <c r="ED199" i="172"/>
  <c r="CH37" i="172"/>
  <c r="BR37" i="172" s="1"/>
  <c r="AV37" i="172"/>
  <c r="AU37" i="172" s="1"/>
  <c r="BQ37" i="172" s="1"/>
  <c r="BL67" i="172"/>
  <c r="AW129" i="172"/>
  <c r="AW197" i="172" s="1"/>
  <c r="DJ62" i="172"/>
  <c r="DH200" i="172"/>
  <c r="CN200" i="172" s="1"/>
  <c r="CO206" i="172"/>
  <c r="CO207" i="172" s="1"/>
  <c r="AW206" i="172"/>
  <c r="AW207" i="172" s="1"/>
  <c r="H108" i="172"/>
  <c r="I108" i="172" s="1"/>
  <c r="H48" i="172"/>
  <c r="I48" i="172" s="1"/>
  <c r="CT203" i="172"/>
  <c r="CN203" i="172" s="1"/>
  <c r="ED168" i="172"/>
  <c r="DJ168" i="172" s="1"/>
  <c r="DJ22" i="172"/>
  <c r="CO129" i="172"/>
  <c r="CO197" i="172" s="1"/>
  <c r="CM193" i="172"/>
  <c r="DI193" i="172" s="1"/>
  <c r="DS202" i="172"/>
  <c r="DS205" i="172" s="1"/>
  <c r="DS207" i="172" s="1"/>
  <c r="DZ34" i="172"/>
  <c r="DJ23" i="172"/>
  <c r="CE202" i="172"/>
  <c r="I37" i="172"/>
  <c r="BP206" i="172"/>
  <c r="CH195" i="172"/>
  <c r="CT201" i="172"/>
  <c r="DZ129" i="172"/>
  <c r="BR170" i="172"/>
  <c r="DZ199" i="172"/>
  <c r="CM134" i="172"/>
  <c r="DI134" i="172" s="1"/>
  <c r="DJ134" i="172"/>
  <c r="BV167" i="172"/>
  <c r="BR167" i="172" s="1"/>
  <c r="DJ124" i="172"/>
  <c r="CG206" i="172"/>
  <c r="DW67" i="172"/>
  <c r="DW197" i="172" s="1"/>
  <c r="I45" i="172"/>
  <c r="BR48" i="172"/>
  <c r="DQ204" i="172"/>
  <c r="DJ135" i="172"/>
  <c r="CG202" i="172"/>
  <c r="DB129" i="172"/>
  <c r="DB197" i="172" s="1"/>
  <c r="BR178" i="172"/>
  <c r="BJ197" i="172"/>
  <c r="AV170" i="172"/>
  <c r="AU170" i="172" s="1"/>
  <c r="BQ170" i="172" s="1"/>
  <c r="DJ115" i="172"/>
  <c r="DJ122" i="172"/>
  <c r="BL129" i="172"/>
  <c r="BL206" i="172"/>
  <c r="DE207" i="172"/>
  <c r="DE208" i="172" s="1"/>
  <c r="CH129" i="172"/>
  <c r="AV122" i="172"/>
  <c r="AU122" i="172" s="1"/>
  <c r="BQ122" i="172" s="1"/>
  <c r="CN118" i="172"/>
  <c r="DX118" i="172"/>
  <c r="DJ118" i="172" s="1"/>
  <c r="CN112" i="172"/>
  <c r="DK112" i="172"/>
  <c r="CL122" i="172"/>
  <c r="BR122" i="172" s="1"/>
  <c r="H111" i="172"/>
  <c r="I111" i="172" s="1"/>
  <c r="AV124" i="172"/>
  <c r="AU124" i="172" s="1"/>
  <c r="BQ124" i="172" s="1"/>
  <c r="BG208" i="172"/>
  <c r="BK205" i="172"/>
  <c r="BK207" i="172" s="1"/>
  <c r="CY208" i="172"/>
  <c r="AR208" i="172"/>
  <c r="AG208" i="172"/>
  <c r="DG208" i="172"/>
  <c r="BE208" i="172"/>
  <c r="ED202" i="172"/>
  <c r="BR102" i="172"/>
  <c r="DZ202" i="172"/>
  <c r="DJ25" i="172"/>
  <c r="CG34" i="172"/>
  <c r="AU83" i="172"/>
  <c r="BQ83" i="172" s="1"/>
  <c r="CM172" i="172"/>
  <c r="DI172" i="172" s="1"/>
  <c r="I191" i="172"/>
  <c r="AU191" i="172"/>
  <c r="BQ191" i="172" s="1"/>
  <c r="DP195" i="172"/>
  <c r="BR124" i="172"/>
  <c r="CF202" i="172"/>
  <c r="BR108" i="172"/>
  <c r="DX67" i="172"/>
  <c r="BC201" i="172"/>
  <c r="BC205" i="172" s="1"/>
  <c r="BC207" i="172" s="1"/>
  <c r="CB197" i="172"/>
  <c r="I44" i="172"/>
  <c r="CM71" i="172"/>
  <c r="DI71" i="172" s="1"/>
  <c r="CM93" i="172"/>
  <c r="DI93" i="172" s="1"/>
  <c r="DZ67" i="172"/>
  <c r="CN67" i="172"/>
  <c r="ED67" i="172"/>
  <c r="DJ21" i="172"/>
  <c r="BT202" i="172"/>
  <c r="CL202" i="172"/>
  <c r="AU43" i="172"/>
  <c r="BQ43" i="172" s="1"/>
  <c r="Y206" i="172"/>
  <c r="I21" i="172"/>
  <c r="BT195" i="172"/>
  <c r="BT204" i="172"/>
  <c r="BR20" i="172"/>
  <c r="H172" i="172"/>
  <c r="I172" i="172" s="1"/>
  <c r="CG104" i="172"/>
  <c r="CJ197" i="172"/>
  <c r="H185" i="172"/>
  <c r="I185" i="172" s="1"/>
  <c r="BR65" i="172"/>
  <c r="DM205" i="172"/>
  <c r="DM207" i="172" s="1"/>
  <c r="BR92" i="172"/>
  <c r="BX202" i="172"/>
  <c r="BT67" i="172"/>
  <c r="I73" i="172"/>
  <c r="CM159" i="172"/>
  <c r="DI159" i="172" s="1"/>
  <c r="CT34" i="172"/>
  <c r="CT197" i="172" s="1"/>
  <c r="BY204" i="172"/>
  <c r="CH201" i="172"/>
  <c r="BT201" i="172"/>
  <c r="CM160" i="172"/>
  <c r="DI160" i="172" s="1"/>
  <c r="CF206" i="172"/>
  <c r="BV204" i="172"/>
  <c r="AU55" i="172"/>
  <c r="BQ55" i="172" s="1"/>
  <c r="DY202" i="172"/>
  <c r="DH34" i="172"/>
  <c r="CM25" i="172"/>
  <c r="DI25" i="172" s="1"/>
  <c r="AU92" i="172"/>
  <c r="BQ92" i="172" s="1"/>
  <c r="CM122" i="172"/>
  <c r="DI122" i="172" s="1"/>
  <c r="CM190" i="172"/>
  <c r="DI190" i="172" s="1"/>
  <c r="H190" i="172"/>
  <c r="I190" i="172" s="1"/>
  <c r="I160" i="172"/>
  <c r="DW204" i="172"/>
  <c r="DW205" i="172" s="1"/>
  <c r="DW207" i="172" s="1"/>
  <c r="CI206" i="172"/>
  <c r="DY203" i="172"/>
  <c r="CM171" i="172"/>
  <c r="DI171" i="172" s="1"/>
  <c r="AU167" i="172"/>
  <c r="BQ167" i="172" s="1"/>
  <c r="I101" i="172"/>
  <c r="DY104" i="172"/>
  <c r="BX204" i="172"/>
  <c r="BI205" i="172"/>
  <c r="BI207" i="172" s="1"/>
  <c r="BI208" i="172" s="1"/>
  <c r="I150" i="172"/>
  <c r="AN197" i="172"/>
  <c r="BY104" i="172"/>
  <c r="CG67" i="172"/>
  <c r="DZ203" i="172"/>
  <c r="AU168" i="172"/>
  <c r="BQ168" i="172" s="1"/>
  <c r="AU142" i="172"/>
  <c r="BQ142" i="172" s="1"/>
  <c r="AU136" i="172"/>
  <c r="BQ136" i="172" s="1"/>
  <c r="AU53" i="172"/>
  <c r="BQ53" i="172" s="1"/>
  <c r="AU73" i="172"/>
  <c r="BQ73" i="172" s="1"/>
  <c r="AL205" i="172"/>
  <c r="AL207" i="172" s="1"/>
  <c r="AL208" i="172" s="1"/>
  <c r="DR208" i="172"/>
  <c r="BF208" i="172"/>
  <c r="BD208" i="172"/>
  <c r="DB205" i="172"/>
  <c r="EC205" i="172"/>
  <c r="EC207" i="172" s="1"/>
  <c r="EC208" i="172" s="1"/>
  <c r="BM207" i="172"/>
  <c r="BM208" i="172" s="1"/>
  <c r="AK208" i="172"/>
  <c r="BH208" i="172"/>
  <c r="EB197" i="172"/>
  <c r="AJ208" i="172"/>
  <c r="CX208" i="172"/>
  <c r="DC205" i="172"/>
  <c r="DC207" i="172" s="1"/>
  <c r="CV208" i="172"/>
  <c r="CA205" i="172"/>
  <c r="CA207" i="172" s="1"/>
  <c r="DA205" i="172"/>
  <c r="DA207" i="172" s="1"/>
  <c r="Z208" i="172"/>
  <c r="BA208" i="172"/>
  <c r="AO205" i="172"/>
  <c r="AO207" i="172" s="1"/>
  <c r="AO208" i="172" s="1"/>
  <c r="CS208" i="172"/>
  <c r="CW208" i="172"/>
  <c r="AF205" i="172"/>
  <c r="AF207" i="172" s="1"/>
  <c r="AB208" i="172"/>
  <c r="CZ208" i="172"/>
  <c r="CJ205" i="172"/>
  <c r="CJ207" i="172" s="1"/>
  <c r="BL205" i="172"/>
  <c r="DK205" i="172"/>
  <c r="DF208" i="172"/>
  <c r="BZ208" i="172"/>
  <c r="AA205" i="172"/>
  <c r="AA207" i="172" s="1"/>
  <c r="BO208" i="172"/>
  <c r="BB34" i="172"/>
  <c r="BB197" i="172" s="1"/>
  <c r="DD192" i="172"/>
  <c r="BP34" i="172"/>
  <c r="AV17" i="172"/>
  <c r="AU17" i="172" s="1"/>
  <c r="BQ17" i="172" s="1"/>
  <c r="BY18" i="172"/>
  <c r="BC34" i="172"/>
  <c r="BC197" i="172" s="1"/>
  <c r="BB201" i="172"/>
  <c r="BB205" i="172" s="1"/>
  <c r="BB207" i="172" s="1"/>
  <c r="ED17" i="172"/>
  <c r="ED201" i="172" s="1"/>
  <c r="DH201" i="172"/>
  <c r="CU18" i="172"/>
  <c r="DQ18" i="172" s="1"/>
  <c r="DQ34" i="172" s="1"/>
  <c r="CL17" i="172"/>
  <c r="CL201" i="172" s="1"/>
  <c r="DP17" i="172"/>
  <c r="DP34" i="172" s="1"/>
  <c r="CN17" i="172"/>
  <c r="H17" i="172" s="1"/>
  <c r="I17" i="172" s="1"/>
  <c r="CN202" i="172"/>
  <c r="AZ164" i="172"/>
  <c r="ED172" i="172"/>
  <c r="DJ172" i="172" s="1"/>
  <c r="BP172" i="172"/>
  <c r="BR161" i="172"/>
  <c r="CM168" i="172"/>
  <c r="DI168" i="172" s="1"/>
  <c r="H168" i="172"/>
  <c r="I168" i="172" s="1"/>
  <c r="DH195" i="172"/>
  <c r="CD195" i="172"/>
  <c r="CD197" i="172" s="1"/>
  <c r="BV168" i="172"/>
  <c r="BR168" i="172" s="1"/>
  <c r="CR197" i="172"/>
  <c r="ED164" i="172"/>
  <c r="CN164" i="172"/>
  <c r="AV202" i="172"/>
  <c r="CM78" i="172"/>
  <c r="DI78" i="172" s="1"/>
  <c r="H78" i="172"/>
  <c r="I78" i="172" s="1"/>
  <c r="DV197" i="172"/>
  <c r="I16" i="172"/>
  <c r="CM16" i="172"/>
  <c r="DI16" i="172" s="1"/>
  <c r="AU16" i="172"/>
  <c r="BQ16" i="172" s="1"/>
  <c r="H65" i="172"/>
  <c r="I65" i="172" s="1"/>
  <c r="CM65" i="172"/>
  <c r="DI65" i="172" s="1"/>
  <c r="Y201" i="172"/>
  <c r="I89" i="172"/>
  <c r="CM89" i="172"/>
  <c r="DI89" i="172" s="1"/>
  <c r="H52" i="172"/>
  <c r="I52" i="172" s="1"/>
  <c r="CM52" i="172"/>
  <c r="DI52" i="172" s="1"/>
  <c r="AC205" i="172"/>
  <c r="AC207" i="172" s="1"/>
  <c r="AC208" i="172" s="1"/>
  <c r="CM87" i="172"/>
  <c r="DI87" i="172" s="1"/>
  <c r="H87" i="172"/>
  <c r="I87" i="172" s="1"/>
  <c r="Y104" i="172"/>
  <c r="BY202" i="172"/>
  <c r="BY67" i="172"/>
  <c r="AF197" i="172"/>
  <c r="DS197" i="172"/>
  <c r="CM41" i="172"/>
  <c r="DI41" i="172" s="1"/>
  <c r="H41" i="172"/>
  <c r="I41" i="172" s="1"/>
  <c r="DL201" i="172"/>
  <c r="CM36" i="172"/>
  <c r="DI36" i="172" s="1"/>
  <c r="H36" i="172"/>
  <c r="I36" i="172" s="1"/>
  <c r="BR62" i="172"/>
  <c r="I61" i="172"/>
  <c r="CM61" i="172"/>
  <c r="DI61" i="172" s="1"/>
  <c r="AU61" i="172"/>
  <c r="BQ61" i="172" s="1"/>
  <c r="CB205" i="172"/>
  <c r="CB207" i="172" s="1"/>
  <c r="BR150" i="172"/>
  <c r="BR166" i="172"/>
  <c r="AE205" i="172"/>
  <c r="AE207" i="172" s="1"/>
  <c r="BW205" i="172"/>
  <c r="BW207" i="172" s="1"/>
  <c r="BW208" i="172" s="1"/>
  <c r="H130" i="172"/>
  <c r="CM130" i="172"/>
  <c r="DI130" i="172" s="1"/>
  <c r="I140" i="172"/>
  <c r="CM140" i="172"/>
  <c r="DI140" i="172" s="1"/>
  <c r="DP104" i="172"/>
  <c r="ED204" i="172"/>
  <c r="ED104" i="172"/>
  <c r="BK197" i="172"/>
  <c r="BR50" i="172"/>
  <c r="CH203" i="172"/>
  <c r="I54" i="172"/>
  <c r="AS205" i="172"/>
  <c r="AS207" i="172" s="1"/>
  <c r="BX195" i="172"/>
  <c r="BR83" i="172"/>
  <c r="DU208" i="172"/>
  <c r="AN205" i="172"/>
  <c r="AN207" i="172" s="1"/>
  <c r="I72" i="172"/>
  <c r="CM72" i="172"/>
  <c r="DI72" i="172" s="1"/>
  <c r="BR41" i="172"/>
  <c r="CP208" i="172"/>
  <c r="AU115" i="172"/>
  <c r="BQ115" i="172" s="1"/>
  <c r="I58" i="172"/>
  <c r="AU58" i="172"/>
  <c r="BQ58" i="172" s="1"/>
  <c r="CM58" i="172"/>
  <c r="DI58" i="172" s="1"/>
  <c r="Y204" i="172"/>
  <c r="DN202" i="172"/>
  <c r="DN67" i="172"/>
  <c r="AU4" i="172"/>
  <c r="BQ4" i="172" s="1"/>
  <c r="CN104" i="172"/>
  <c r="CM68" i="172"/>
  <c r="DI68" i="172" s="1"/>
  <c r="H68" i="172"/>
  <c r="CE197" i="172"/>
  <c r="I141" i="172"/>
  <c r="AU141" i="172"/>
  <c r="BQ141" i="172" s="1"/>
  <c r="CM54" i="172"/>
  <c r="DI54" i="172" s="1"/>
  <c r="CM7" i="172"/>
  <c r="DI7" i="172" s="1"/>
  <c r="BT34" i="172"/>
  <c r="BR4" i="172"/>
  <c r="DJ37" i="172"/>
  <c r="CM155" i="172"/>
  <c r="DI155" i="172" s="1"/>
  <c r="H155" i="172"/>
  <c r="I155" i="172" s="1"/>
  <c r="I145" i="172"/>
  <c r="CM145" i="172"/>
  <c r="DI145" i="172" s="1"/>
  <c r="AU143" i="172"/>
  <c r="BQ143" i="172" s="1"/>
  <c r="CM143" i="172"/>
  <c r="DI143" i="172" s="1"/>
  <c r="I143" i="172"/>
  <c r="Y195" i="172"/>
  <c r="BV202" i="172"/>
  <c r="BV67" i="172"/>
  <c r="DC197" i="172"/>
  <c r="AU45" i="172"/>
  <c r="BQ45" i="172" s="1"/>
  <c r="H135" i="172"/>
  <c r="I135" i="172" s="1"/>
  <c r="CM135" i="172"/>
  <c r="DI135" i="172" s="1"/>
  <c r="CM166" i="172"/>
  <c r="DI166" i="172" s="1"/>
  <c r="I166" i="172"/>
  <c r="ED203" i="172"/>
  <c r="CM124" i="172"/>
  <c r="DI124" i="172" s="1"/>
  <c r="H124" i="172"/>
  <c r="I124" i="172" s="1"/>
  <c r="CM60" i="172"/>
  <c r="DI60" i="172" s="1"/>
  <c r="I60" i="172"/>
  <c r="AU64" i="172"/>
  <c r="BQ64" i="172" s="1"/>
  <c r="H56" i="172"/>
  <c r="I56" i="172" s="1"/>
  <c r="CM56" i="172"/>
  <c r="DI56" i="172" s="1"/>
  <c r="DJ64" i="172"/>
  <c r="AU130" i="172"/>
  <c r="BQ130" i="172" s="1"/>
  <c r="DL204" i="172"/>
  <c r="DL104" i="172"/>
  <c r="DJ78" i="172"/>
  <c r="Y202" i="172"/>
  <c r="Y67" i="172"/>
  <c r="I35" i="172"/>
  <c r="BS129" i="172"/>
  <c r="BS197" i="172" s="1"/>
  <c r="BX67" i="172"/>
  <c r="CM102" i="172"/>
  <c r="DI102" i="172" s="1"/>
  <c r="H47" i="172"/>
  <c r="I47" i="172" s="1"/>
  <c r="CM47" i="172"/>
  <c r="DI47" i="172" s="1"/>
  <c r="BT200" i="172"/>
  <c r="DY206" i="172"/>
  <c r="CR205" i="172"/>
  <c r="CR207" i="172" s="1"/>
  <c r="EB205" i="172"/>
  <c r="EB207" i="172" s="1"/>
  <c r="I153" i="172"/>
  <c r="AU153" i="172"/>
  <c r="BQ153" i="172" s="1"/>
  <c r="CM153" i="172"/>
  <c r="DI153" i="172" s="1"/>
  <c r="DJ170" i="172"/>
  <c r="H90" i="172"/>
  <c r="I90" i="172" s="1"/>
  <c r="CM90" i="172"/>
  <c r="DI90" i="172" s="1"/>
  <c r="DV205" i="172"/>
  <c r="DV207" i="172" s="1"/>
  <c r="DN104" i="172"/>
  <c r="DY34" i="172"/>
  <c r="H70" i="172"/>
  <c r="I70" i="172" s="1"/>
  <c r="CM70" i="172"/>
  <c r="DI70" i="172" s="1"/>
  <c r="DL202" i="172"/>
  <c r="DL67" i="172"/>
  <c r="DL197" i="172" s="1"/>
  <c r="DJ35" i="172"/>
  <c r="EA206" i="172"/>
  <c r="EA129" i="172"/>
  <c r="EA197" i="172" s="1"/>
  <c r="AU85" i="172"/>
  <c r="BQ85" i="172" s="1"/>
  <c r="I85" i="172"/>
  <c r="BX34" i="172"/>
  <c r="BR109" i="172"/>
  <c r="I147" i="172"/>
  <c r="AU147" i="172"/>
  <c r="BQ147" i="172" s="1"/>
  <c r="CM147" i="172"/>
  <c r="DI147" i="172" s="1"/>
  <c r="AU49" i="172"/>
  <c r="BQ49" i="172" s="1"/>
  <c r="I49" i="172"/>
  <c r="BS206" i="172"/>
  <c r="ED129" i="172"/>
  <c r="AU101" i="172"/>
  <c r="BQ101" i="172" s="1"/>
  <c r="BR55" i="172"/>
  <c r="AH208" i="172"/>
  <c r="CM21" i="172"/>
  <c r="DI21" i="172" s="1"/>
  <c r="DJ87" i="172"/>
  <c r="DM197" i="172"/>
  <c r="DJ47" i="172"/>
  <c r="DY67" i="172"/>
  <c r="AM208" i="172"/>
  <c r="CF67" i="172"/>
  <c r="BR35" i="172"/>
  <c r="I4" i="172"/>
  <c r="DJ152" i="172"/>
  <c r="DN200" i="172"/>
  <c r="DP199" i="172"/>
  <c r="DJ132" i="172"/>
  <c r="CM13" i="172"/>
  <c r="DI13" i="172" s="1"/>
  <c r="H13" i="172"/>
  <c r="I13" i="172" s="1"/>
  <c r="I7" i="172"/>
  <c r="Y34" i="172"/>
  <c r="H183" i="172"/>
  <c r="I183" i="172" s="1"/>
  <c r="CM183" i="172"/>
  <c r="DI183" i="172" s="1"/>
  <c r="ED206" i="172"/>
  <c r="DJ75" i="172"/>
  <c r="AS197" i="172"/>
  <c r="CM12" i="172"/>
  <c r="DI12" i="172" s="1"/>
  <c r="H12" i="172"/>
  <c r="I12" i="172" s="1"/>
  <c r="I46" i="172"/>
  <c r="DJ39" i="172"/>
  <c r="AA197" i="172"/>
  <c r="CI197" i="172"/>
  <c r="CL67" i="172"/>
  <c r="DX203" i="172"/>
  <c r="DX34" i="172"/>
  <c r="DT205" i="172"/>
  <c r="DT207" i="172" s="1"/>
  <c r="I137" i="172"/>
  <c r="AU137" i="172"/>
  <c r="BQ137" i="172" s="1"/>
  <c r="CM59" i="172"/>
  <c r="DI59" i="172" s="1"/>
  <c r="CM170" i="172"/>
  <c r="DI170" i="172" s="1"/>
  <c r="H170" i="172"/>
  <c r="I170" i="172" s="1"/>
  <c r="I99" i="172"/>
  <c r="CM99" i="172"/>
  <c r="DI99" i="172" s="1"/>
  <c r="AU99" i="172"/>
  <c r="BQ99" i="172" s="1"/>
  <c r="H92" i="172"/>
  <c r="I92" i="172" s="1"/>
  <c r="CM92" i="172"/>
  <c r="DI92" i="172" s="1"/>
  <c r="AE197" i="172"/>
  <c r="BU208" i="172"/>
  <c r="AU36" i="172"/>
  <c r="BQ36" i="172" s="1"/>
  <c r="BS205" i="172"/>
  <c r="CN204" i="172"/>
  <c r="CD205" i="172"/>
  <c r="CD207" i="172" s="1"/>
  <c r="I163" i="172"/>
  <c r="EA205" i="172"/>
  <c r="DL195" i="172"/>
  <c r="CI205" i="172"/>
  <c r="DO199" i="172"/>
  <c r="DO205" i="172" s="1"/>
  <c r="DO207" i="172" s="1"/>
  <c r="CK205" i="172"/>
  <c r="CK207" i="172" s="1"/>
  <c r="DN199" i="172"/>
  <c r="I146" i="172"/>
  <c r="AU146" i="172"/>
  <c r="BQ146" i="172" s="1"/>
  <c r="BR132" i="172"/>
  <c r="AV204" i="172"/>
  <c r="CC205" i="172"/>
  <c r="CC207" i="172" s="1"/>
  <c r="CF129" i="172"/>
  <c r="DP204" i="172"/>
  <c r="CH199" i="172"/>
  <c r="BR101" i="172"/>
  <c r="DN204" i="172"/>
  <c r="CM85" i="172"/>
  <c r="DI85" i="172" s="1"/>
  <c r="DO197" i="172"/>
  <c r="CQ208" i="172"/>
  <c r="BN208" i="172"/>
  <c r="CG203" i="172"/>
  <c r="H98" i="172"/>
  <c r="I98" i="172" s="1"/>
  <c r="CM98" i="172"/>
  <c r="DI98" i="172" s="1"/>
  <c r="BV104" i="172"/>
  <c r="H10" i="172"/>
  <c r="I10" i="172" s="1"/>
  <c r="CM10" i="172"/>
  <c r="DI10" i="172" s="1"/>
  <c r="BV203" i="172"/>
  <c r="BT206" i="172"/>
  <c r="BT129" i="172"/>
  <c r="AU48" i="172"/>
  <c r="BQ48" i="172" s="1"/>
  <c r="CM150" i="172"/>
  <c r="DI150" i="172" s="1"/>
  <c r="H106" i="172"/>
  <c r="CM106" i="172"/>
  <c r="DI106" i="172" s="1"/>
  <c r="AU68" i="172"/>
  <c r="BQ68" i="172" s="1"/>
  <c r="AV104" i="172"/>
  <c r="H23" i="172"/>
  <c r="I23" i="172" s="1"/>
  <c r="CM23" i="172"/>
  <c r="DI23" i="172" s="1"/>
  <c r="DJ20" i="172"/>
  <c r="DJ19" i="172"/>
  <c r="CA197" i="172"/>
  <c r="DX202" i="172"/>
  <c r="DJ68" i="172"/>
  <c r="BR111" i="172"/>
  <c r="I103" i="172"/>
  <c r="AU103" i="172"/>
  <c r="BQ103" i="172" s="1"/>
  <c r="DJ48" i="172"/>
  <c r="CM37" i="172"/>
  <c r="DI37" i="172" s="1"/>
  <c r="Y199" i="172"/>
  <c r="DT197" i="172"/>
  <c r="DN195" i="172"/>
  <c r="CM101" i="172"/>
  <c r="DI101" i="172" s="1"/>
  <c r="CM45" i="172"/>
  <c r="DI45" i="172" s="1"/>
  <c r="I154" i="172"/>
  <c r="CM154" i="172"/>
  <c r="DI154" i="172" s="1"/>
  <c r="BV199" i="172"/>
  <c r="I177" i="172"/>
  <c r="CM177" i="172"/>
  <c r="DI177" i="172" s="1"/>
  <c r="BX104" i="172"/>
  <c r="Y200" i="172"/>
  <c r="AU102" i="172"/>
  <c r="BQ102" i="172" s="1"/>
  <c r="CM32" i="172"/>
  <c r="DI32" i="172" s="1"/>
  <c r="H32" i="172"/>
  <c r="I32" i="172" s="1"/>
  <c r="CM115" i="172"/>
  <c r="DI115" i="172" s="1"/>
  <c r="H115" i="172"/>
  <c r="I115" i="172" s="1"/>
  <c r="CL204" i="172"/>
  <c r="CL104" i="172"/>
  <c r="CM46" i="172"/>
  <c r="DI46" i="172" s="1"/>
  <c r="CN199" i="172"/>
  <c r="AX205" i="172"/>
  <c r="AX207" i="172" s="1"/>
  <c r="AX208" i="172" s="1"/>
  <c r="I159" i="172"/>
  <c r="DL200" i="172"/>
  <c r="CM152" i="172"/>
  <c r="DI152" i="172" s="1"/>
  <c r="H152" i="172"/>
  <c r="DQ104" i="172"/>
  <c r="AU155" i="172"/>
  <c r="BQ155" i="172" s="1"/>
  <c r="Y129" i="172"/>
  <c r="I81" i="172"/>
  <c r="AU35" i="172"/>
  <c r="BQ35" i="172" s="1"/>
  <c r="I83" i="172"/>
  <c r="CM83" i="172"/>
  <c r="DI83" i="172" s="1"/>
  <c r="BX203" i="172"/>
  <c r="DY129" i="172"/>
  <c r="CM97" i="172"/>
  <c r="DI97" i="172" s="1"/>
  <c r="I97" i="172"/>
  <c r="CM55" i="172"/>
  <c r="DI55" i="172" s="1"/>
  <c r="I55" i="172"/>
  <c r="Y203" i="172"/>
  <c r="I84" i="172"/>
  <c r="AU84" i="172"/>
  <c r="BQ84" i="172" s="1"/>
  <c r="CL203" i="172"/>
  <c r="DQ202" i="172"/>
  <c r="DQ67" i="172"/>
  <c r="I19" i="172"/>
  <c r="AU19" i="172"/>
  <c r="BQ19" i="172" s="1"/>
  <c r="CM19" i="172"/>
  <c r="DI19" i="172" s="1"/>
  <c r="H62" i="172"/>
  <c r="I62" i="172" s="1"/>
  <c r="CM62" i="172"/>
  <c r="DI62" i="172" s="1"/>
  <c r="AU44" i="172"/>
  <c r="BQ44" i="172" s="1"/>
  <c r="H9" i="172"/>
  <c r="I9" i="172" s="1"/>
  <c r="CM9" i="172"/>
  <c r="DI9" i="172" s="1"/>
  <c r="DP202" i="172"/>
  <c r="DP67" i="172"/>
  <c r="CM64" i="172"/>
  <c r="DI64" i="172" s="1"/>
  <c r="H64" i="172"/>
  <c r="I64" i="172" s="1"/>
  <c r="AU59" i="172"/>
  <c r="BQ59" i="172" s="1"/>
  <c r="AU89" i="172"/>
  <c r="BQ89" i="172" s="1"/>
  <c r="CM44" i="172"/>
  <c r="DI44" i="172" s="1"/>
  <c r="CC197" i="172"/>
  <c r="AU21" i="172"/>
  <c r="BQ23" i="172" s="1"/>
  <c r="DM208" i="172" l="1"/>
  <c r="BR104" i="172"/>
  <c r="H199" i="172"/>
  <c r="DB207" i="172"/>
  <c r="CG197" i="172"/>
  <c r="BJ205" i="172"/>
  <c r="BJ207" i="172" s="1"/>
  <c r="BJ208" i="172" s="1"/>
  <c r="BL197" i="172"/>
  <c r="DX129" i="172"/>
  <c r="DX197" i="172" s="1"/>
  <c r="AV34" i="172"/>
  <c r="DA208" i="172"/>
  <c r="DP203" i="172"/>
  <c r="DJ203" i="172" s="1"/>
  <c r="CE205" i="172"/>
  <c r="CE207" i="172" s="1"/>
  <c r="AU104" i="172"/>
  <c r="BQ104" i="172" s="1"/>
  <c r="CJ208" i="172"/>
  <c r="CH202" i="172"/>
  <c r="BR202" i="172" s="1"/>
  <c r="CH67" i="172"/>
  <c r="CF34" i="172"/>
  <c r="CF197" i="172" s="1"/>
  <c r="AV67" i="172"/>
  <c r="AU67" i="172" s="1"/>
  <c r="BQ67" i="172" s="1"/>
  <c r="CF203" i="172"/>
  <c r="BR203" i="172" s="1"/>
  <c r="CO208" i="172"/>
  <c r="AW208" i="172"/>
  <c r="CN206" i="172"/>
  <c r="CM206" i="172" s="1"/>
  <c r="DI206" i="172" s="1"/>
  <c r="DH205" i="172"/>
  <c r="DH207" i="172" s="1"/>
  <c r="CT205" i="172"/>
  <c r="CT207" i="172" s="1"/>
  <c r="CT208" i="172" s="1"/>
  <c r="DX206" i="172"/>
  <c r="AV206" i="172"/>
  <c r="AU206" i="172" s="1"/>
  <c r="BQ206" i="172" s="1"/>
  <c r="DH197" i="172"/>
  <c r="CU201" i="172"/>
  <c r="CU205" i="172" s="1"/>
  <c r="CU207" i="172" s="1"/>
  <c r="CM67" i="172"/>
  <c r="CG205" i="172"/>
  <c r="CG207" i="172" s="1"/>
  <c r="CG208" i="172" s="1"/>
  <c r="BL207" i="172"/>
  <c r="BL208" i="172" s="1"/>
  <c r="CH197" i="172"/>
  <c r="DQ197" i="172"/>
  <c r="CL129" i="172"/>
  <c r="H118" i="172"/>
  <c r="I118" i="172" s="1"/>
  <c r="CM118" i="172"/>
  <c r="DI118" i="172" s="1"/>
  <c r="AV129" i="172"/>
  <c r="AU129" i="172" s="1"/>
  <c r="BQ129" i="172" s="1"/>
  <c r="DK129" i="172"/>
  <c r="DK197" i="172" s="1"/>
  <c r="DJ112" i="172"/>
  <c r="DJ129" i="172" s="1"/>
  <c r="DK206" i="172"/>
  <c r="DK207" i="172" s="1"/>
  <c r="CM112" i="172"/>
  <c r="DI112" i="172" s="1"/>
  <c r="H112" i="172"/>
  <c r="I112" i="172" s="1"/>
  <c r="CN129" i="172"/>
  <c r="CM129" i="172" s="1"/>
  <c r="DI129" i="172" s="1"/>
  <c r="DY205" i="172"/>
  <c r="DY207" i="172" s="1"/>
  <c r="CL206" i="172"/>
  <c r="BR206" i="172" s="1"/>
  <c r="BR129" i="172"/>
  <c r="EB208" i="172"/>
  <c r="CB208" i="172"/>
  <c r="AN208" i="172"/>
  <c r="AU203" i="172"/>
  <c r="BQ203" i="172" s="1"/>
  <c r="BR204" i="172"/>
  <c r="I199" i="172"/>
  <c r="DI67" i="172"/>
  <c r="BR17" i="172"/>
  <c r="CL34" i="172"/>
  <c r="CI207" i="172"/>
  <c r="CI208" i="172" s="1"/>
  <c r="BX205" i="172"/>
  <c r="BX207" i="172" s="1"/>
  <c r="AF208" i="172"/>
  <c r="DB208" i="172"/>
  <c r="CC208" i="172"/>
  <c r="CE208" i="172"/>
  <c r="CM204" i="172"/>
  <c r="DI204" i="172" s="1"/>
  <c r="AA208" i="172"/>
  <c r="DX205" i="172"/>
  <c r="CD208" i="172"/>
  <c r="CA208" i="172"/>
  <c r="DC208" i="172"/>
  <c r="BK208" i="172"/>
  <c r="CM202" i="172"/>
  <c r="DI202" i="172" s="1"/>
  <c r="EA207" i="172"/>
  <c r="EA208" i="172" s="1"/>
  <c r="AE208" i="172"/>
  <c r="DO208" i="172"/>
  <c r="CK208" i="172"/>
  <c r="AV201" i="172"/>
  <c r="AU201" i="172" s="1"/>
  <c r="BQ201" i="172" s="1"/>
  <c r="DT208" i="172"/>
  <c r="BB208" i="172"/>
  <c r="BC208" i="172"/>
  <c r="BR18" i="172"/>
  <c r="BY201" i="172"/>
  <c r="BR201" i="172" s="1"/>
  <c r="BY34" i="172"/>
  <c r="BY197" i="172" s="1"/>
  <c r="DP201" i="172"/>
  <c r="DJ17" i="172"/>
  <c r="DJ18" i="172"/>
  <c r="DQ201" i="172"/>
  <c r="DQ205" i="172" s="1"/>
  <c r="DQ207" i="172" s="1"/>
  <c r="CM17" i="172"/>
  <c r="DI17" i="172" s="1"/>
  <c r="ED34" i="172"/>
  <c r="CN18" i="172"/>
  <c r="CN192" i="172"/>
  <c r="DZ192" i="172"/>
  <c r="DD201" i="172"/>
  <c r="DD205" i="172" s="1"/>
  <c r="DD207" i="172" s="1"/>
  <c r="DD195" i="172"/>
  <c r="DD197" i="172" s="1"/>
  <c r="DP197" i="172"/>
  <c r="CU34" i="172"/>
  <c r="CU197" i="172" s="1"/>
  <c r="AZ195" i="172"/>
  <c r="AZ197" i="172" s="1"/>
  <c r="BV164" i="172"/>
  <c r="AZ200" i="172"/>
  <c r="AV164" i="172"/>
  <c r="AV172" i="172"/>
  <c r="AU172" i="172" s="1"/>
  <c r="BQ172" i="172" s="1"/>
  <c r="BP200" i="172"/>
  <c r="BP205" i="172" s="1"/>
  <c r="BP207" i="172" s="1"/>
  <c r="BP195" i="172"/>
  <c r="BP197" i="172" s="1"/>
  <c r="CL172" i="172"/>
  <c r="DN197" i="172"/>
  <c r="H164" i="172"/>
  <c r="I164" i="172" s="1"/>
  <c r="CM164" i="172"/>
  <c r="DI164" i="172" s="1"/>
  <c r="ED195" i="172"/>
  <c r="DJ164" i="172"/>
  <c r="ED200" i="172"/>
  <c r="ED205" i="172" s="1"/>
  <c r="ED207" i="172" s="1"/>
  <c r="CR208" i="172"/>
  <c r="Y205" i="172"/>
  <c r="Y207" i="172" s="1"/>
  <c r="DN205" i="172"/>
  <c r="DN207" i="172" s="1"/>
  <c r="DJ199" i="172"/>
  <c r="BT205" i="172"/>
  <c r="BT207" i="172" s="1"/>
  <c r="AU199" i="172"/>
  <c r="BQ199" i="172" s="1"/>
  <c r="I202" i="172"/>
  <c r="I67" i="172"/>
  <c r="CM203" i="172"/>
  <c r="DI203" i="172" s="1"/>
  <c r="AU202" i="172"/>
  <c r="BQ202" i="172" s="1"/>
  <c r="H67" i="172"/>
  <c r="DJ104" i="172"/>
  <c r="H203" i="172"/>
  <c r="DJ67" i="172"/>
  <c r="CM200" i="172"/>
  <c r="DI200" i="172" s="1"/>
  <c r="H204" i="172"/>
  <c r="H104" i="172"/>
  <c r="I68" i="172"/>
  <c r="DS208" i="172"/>
  <c r="DY197" i="172"/>
  <c r="BX197" i="172"/>
  <c r="BR67" i="172"/>
  <c r="AU204" i="172"/>
  <c r="BQ204" i="172" s="1"/>
  <c r="BS207" i="172"/>
  <c r="BS208" i="172" s="1"/>
  <c r="Y197" i="172"/>
  <c r="DV208" i="172"/>
  <c r="I152" i="172"/>
  <c r="CM199" i="172"/>
  <c r="DI199" i="172" s="1"/>
  <c r="H202" i="172"/>
  <c r="BR199" i="172"/>
  <c r="I106" i="172"/>
  <c r="DJ202" i="172"/>
  <c r="BT197" i="172"/>
  <c r="CM104" i="172"/>
  <c r="DI104" i="172" s="1"/>
  <c r="DW208" i="172"/>
  <c r="AS208" i="172"/>
  <c r="DJ204" i="172"/>
  <c r="AU34" i="172"/>
  <c r="BQ34" i="172" s="1"/>
  <c r="DL205" i="172"/>
  <c r="DL207" i="172" s="1"/>
  <c r="DL208" i="172" s="1"/>
  <c r="I130" i="172"/>
  <c r="DP205" i="172" l="1"/>
  <c r="DP207" i="172" s="1"/>
  <c r="CH205" i="172"/>
  <c r="CH207" i="172" s="1"/>
  <c r="CH208" i="172" s="1"/>
  <c r="CF205" i="172"/>
  <c r="CF207" i="172" s="1"/>
  <c r="CF208" i="172" s="1"/>
  <c r="DQ208" i="172"/>
  <c r="DX207" i="172"/>
  <c r="DX208" i="172" s="1"/>
  <c r="DH208" i="172"/>
  <c r="I200" i="172"/>
  <c r="CU208" i="172"/>
  <c r="H129" i="172"/>
  <c r="H206" i="172"/>
  <c r="BX208" i="172"/>
  <c r="DK208" i="172"/>
  <c r="BR34" i="172"/>
  <c r="ED197" i="172"/>
  <c r="ED208" i="172" s="1"/>
  <c r="DY208" i="172"/>
  <c r="DJ206" i="172"/>
  <c r="BT208" i="172"/>
  <c r="DP208" i="172"/>
  <c r="DD208" i="172"/>
  <c r="DN208" i="172"/>
  <c r="BY205" i="172"/>
  <c r="BY207" i="172" s="1"/>
  <c r="BY208" i="172" s="1"/>
  <c r="CN201" i="172"/>
  <c r="CM201" i="172" s="1"/>
  <c r="DI201" i="172" s="1"/>
  <c r="DJ34" i="172"/>
  <c r="H192" i="172"/>
  <c r="I192" i="172" s="1"/>
  <c r="I195" i="172" s="1"/>
  <c r="CM192" i="172"/>
  <c r="DI192" i="172" s="1"/>
  <c r="CN195" i="172"/>
  <c r="CM195" i="172" s="1"/>
  <c r="DI195" i="172" s="1"/>
  <c r="DJ192" i="172"/>
  <c r="DJ195" i="172" s="1"/>
  <c r="DZ201" i="172"/>
  <c r="DZ205" i="172" s="1"/>
  <c r="DZ207" i="172" s="1"/>
  <c r="DZ195" i="172"/>
  <c r="DZ197" i="172" s="1"/>
  <c r="CM18" i="172"/>
  <c r="DI18" i="172" s="1"/>
  <c r="H18" i="172"/>
  <c r="CN34" i="172"/>
  <c r="DJ200" i="172"/>
  <c r="H200" i="172"/>
  <c r="AU164" i="172"/>
  <c r="BQ164" i="172" s="1"/>
  <c r="AV195" i="172"/>
  <c r="BP208" i="172"/>
  <c r="BR164" i="172"/>
  <c r="BV200" i="172"/>
  <c r="BV195" i="172"/>
  <c r="BV197" i="172" s="1"/>
  <c r="BR172" i="172"/>
  <c r="CL195" i="172"/>
  <c r="CL197" i="172" s="1"/>
  <c r="CL200" i="172"/>
  <c r="CL205" i="172" s="1"/>
  <c r="CL207" i="172" s="1"/>
  <c r="AV200" i="172"/>
  <c r="AZ205" i="172"/>
  <c r="AZ207" i="172" s="1"/>
  <c r="AZ208" i="172" s="1"/>
  <c r="I203" i="172"/>
  <c r="Y208" i="172"/>
  <c r="I206" i="172"/>
  <c r="I129" i="172"/>
  <c r="I204" i="172"/>
  <c r="I104" i="172"/>
  <c r="DJ197" i="172" l="1"/>
  <c r="H195" i="172"/>
  <c r="BR195" i="172"/>
  <c r="BR197" i="172" s="1"/>
  <c r="DZ208" i="172"/>
  <c r="CN205" i="172"/>
  <c r="H201" i="172"/>
  <c r="H205" i="172" s="1"/>
  <c r="H207" i="172" s="1"/>
  <c r="I18" i="172"/>
  <c r="H34" i="172"/>
  <c r="CN197" i="172"/>
  <c r="CM197" i="172" s="1"/>
  <c r="CM34" i="172"/>
  <c r="DI34" i="172" s="1"/>
  <c r="DI197" i="172" s="1"/>
  <c r="DJ201" i="172"/>
  <c r="DJ205" i="172" s="1"/>
  <c r="DJ207" i="172" s="1"/>
  <c r="BR200" i="172"/>
  <c r="BR205" i="172" s="1"/>
  <c r="BR207" i="172" s="1"/>
  <c r="BV205" i="172"/>
  <c r="BV207" i="172" s="1"/>
  <c r="BV208" i="172" s="1"/>
  <c r="CL208" i="172"/>
  <c r="AU195" i="172"/>
  <c r="BQ195" i="172" s="1"/>
  <c r="AV197" i="172"/>
  <c r="AU200" i="172"/>
  <c r="BQ200" i="172" s="1"/>
  <c r="AV205" i="172"/>
  <c r="BR208" i="172" l="1"/>
  <c r="H197" i="172"/>
  <c r="CM205" i="172"/>
  <c r="DI205" i="172" s="1"/>
  <c r="CN207" i="172"/>
  <c r="CM207" i="172" s="1"/>
  <c r="DI207" i="172" s="1"/>
  <c r="DJ208" i="172"/>
  <c r="I201" i="172"/>
  <c r="I205" i="172" s="1"/>
  <c r="I207" i="172" s="1"/>
  <c r="I34" i="172"/>
  <c r="I197" i="172" s="1"/>
  <c r="AV207" i="172"/>
  <c r="AV208" i="172" s="1"/>
  <c r="AU205" i="172"/>
  <c r="BQ205" i="172" s="1"/>
  <c r="AU197" i="172"/>
  <c r="BQ197" i="172" s="1"/>
  <c r="CN209" i="172" l="1"/>
  <c r="CN208" i="172"/>
  <c r="AU207" i="172"/>
  <c r="BQ207" i="172" s="1"/>
  <c r="AV209" i="172"/>
  <c r="G127" i="21" l="1"/>
  <c r="G126" i="21"/>
  <c r="G125" i="21"/>
  <c r="G124" i="21"/>
  <c r="G123" i="21"/>
  <c r="G122" i="21"/>
  <c r="G121" i="21"/>
  <c r="G120" i="21"/>
  <c r="G119" i="21"/>
  <c r="G117" i="21"/>
  <c r="G32" i="21"/>
  <c r="G21" i="21"/>
  <c r="G15" i="21"/>
  <c r="G78" i="11"/>
  <c r="G77" i="11"/>
  <c r="K51" i="11"/>
  <c r="K49" i="11"/>
  <c r="J49" i="11"/>
  <c r="K48" i="11"/>
  <c r="J48" i="11"/>
  <c r="K44" i="11"/>
  <c r="J44" i="11"/>
  <c r="K43" i="11"/>
  <c r="K42" i="11"/>
  <c r="K41" i="11"/>
  <c r="K32" i="11"/>
  <c r="K31" i="11"/>
  <c r="K30" i="11"/>
  <c r="G21" i="8"/>
  <c r="G20" i="8"/>
  <c r="G19" i="8"/>
  <c r="J12" i="8"/>
  <c r="AN75" i="48"/>
  <c r="AM75" i="48"/>
  <c r="AL75" i="48"/>
  <c r="AK75" i="48"/>
  <c r="AJ75" i="48"/>
  <c r="AH75" i="48"/>
  <c r="AE75" i="48"/>
  <c r="AD75" i="48"/>
  <c r="AC75" i="48"/>
  <c r="AB75" i="48"/>
  <c r="AA75" i="48"/>
  <c r="Z75" i="48"/>
  <c r="Y75" i="48"/>
  <c r="X75" i="48"/>
  <c r="W75" i="48"/>
  <c r="U75" i="48"/>
  <c r="T75" i="48"/>
  <c r="S75" i="48"/>
  <c r="R75" i="48"/>
  <c r="Q75" i="48"/>
  <c r="AN73" i="48"/>
  <c r="AM73" i="48"/>
  <c r="AL73" i="48"/>
  <c r="AK73" i="48"/>
  <c r="AJ73" i="48"/>
  <c r="AH73" i="48"/>
  <c r="AE73" i="48"/>
  <c r="AD73" i="48"/>
  <c r="AC73" i="48"/>
  <c r="AB73" i="48"/>
  <c r="AA73" i="48"/>
  <c r="Z73" i="48"/>
  <c r="Y73" i="48"/>
  <c r="X73" i="48"/>
  <c r="W73" i="48"/>
  <c r="U73" i="48"/>
  <c r="T73" i="48"/>
  <c r="S73" i="48"/>
  <c r="R73" i="48"/>
  <c r="Q73" i="48"/>
  <c r="AN72" i="48"/>
  <c r="AK72" i="48"/>
  <c r="AJ72" i="48"/>
  <c r="AI72" i="48"/>
  <c r="AH72" i="48"/>
  <c r="AG72" i="48"/>
  <c r="AF72" i="48"/>
  <c r="AE72" i="48"/>
  <c r="AD72" i="48"/>
  <c r="AC72" i="48"/>
  <c r="AB72" i="48"/>
  <c r="AA72" i="48"/>
  <c r="Z72" i="48"/>
  <c r="Y72" i="48"/>
  <c r="X72" i="48"/>
  <c r="W72" i="48"/>
  <c r="U72" i="48"/>
  <c r="AN71" i="48"/>
  <c r="AM71" i="48"/>
  <c r="AK71" i="48"/>
  <c r="AJ71" i="48"/>
  <c r="AI71" i="48"/>
  <c r="AH71" i="48"/>
  <c r="AG71" i="48"/>
  <c r="AF71" i="48"/>
  <c r="AE71" i="48"/>
  <c r="AD71" i="48"/>
  <c r="AC71" i="48"/>
  <c r="AB71" i="48"/>
  <c r="AA71" i="48"/>
  <c r="Z71" i="48"/>
  <c r="Y71" i="48"/>
  <c r="X71" i="48"/>
  <c r="W71" i="48"/>
  <c r="U71" i="48"/>
  <c r="AN70" i="48"/>
  <c r="AK70" i="48"/>
  <c r="AJ70" i="48"/>
  <c r="U70" i="48"/>
  <c r="AN69" i="48"/>
  <c r="AK69" i="48"/>
  <c r="AJ69" i="48"/>
  <c r="AI69" i="48"/>
  <c r="AH69" i="48"/>
  <c r="AG69" i="48"/>
  <c r="AF69" i="48"/>
  <c r="AE69" i="48"/>
  <c r="AD69" i="48"/>
  <c r="AC69" i="48"/>
  <c r="AB69" i="48"/>
  <c r="AA69" i="48"/>
  <c r="Z69" i="48"/>
  <c r="Y69" i="48"/>
  <c r="X69" i="48"/>
  <c r="W69" i="48"/>
  <c r="U69" i="48"/>
  <c r="R69" i="48"/>
  <c r="AN68" i="48"/>
  <c r="AK68" i="48"/>
  <c r="AJ68" i="48"/>
  <c r="U68" i="48"/>
  <c r="AN67" i="48"/>
  <c r="AK67" i="48"/>
  <c r="AJ67" i="48"/>
  <c r="AI67" i="48"/>
  <c r="AH67" i="48"/>
  <c r="AG67" i="48"/>
  <c r="AF67" i="48"/>
  <c r="AE67" i="48"/>
  <c r="AD67" i="48"/>
  <c r="AC67" i="48"/>
  <c r="AB67" i="48"/>
  <c r="AA67" i="48"/>
  <c r="Z67" i="48"/>
  <c r="Y67" i="48"/>
  <c r="X67" i="48"/>
  <c r="W67" i="48"/>
  <c r="U67" i="48"/>
  <c r="AN65" i="48"/>
  <c r="AM65" i="48"/>
  <c r="AL65" i="48"/>
  <c r="AK65" i="48"/>
  <c r="AJ65" i="48"/>
  <c r="AH65" i="48"/>
  <c r="AE65" i="48"/>
  <c r="AD65" i="48"/>
  <c r="AC65" i="48"/>
  <c r="AB65" i="48"/>
  <c r="AA65" i="48"/>
  <c r="Z65" i="48"/>
  <c r="Y65" i="48"/>
  <c r="X65" i="48"/>
  <c r="W65" i="48"/>
  <c r="U65" i="48"/>
  <c r="T65" i="48"/>
  <c r="S65" i="48"/>
  <c r="R65" i="48"/>
  <c r="Q65" i="48"/>
  <c r="AN64" i="48"/>
  <c r="AM64" i="48"/>
  <c r="AK64" i="48"/>
  <c r="AJ64" i="48"/>
  <c r="AI64" i="48"/>
  <c r="AH64" i="48"/>
  <c r="AG64" i="48"/>
  <c r="AF64" i="48"/>
  <c r="AE64" i="48"/>
  <c r="AD64" i="48"/>
  <c r="AC64" i="48"/>
  <c r="AB64" i="48"/>
  <c r="AA64" i="48"/>
  <c r="Z64" i="48"/>
  <c r="Y64" i="48"/>
  <c r="X64" i="48"/>
  <c r="W64" i="48"/>
  <c r="U64" i="48"/>
  <c r="R64" i="48"/>
  <c r="AN63" i="48"/>
  <c r="AK63" i="48"/>
  <c r="AJ63" i="48"/>
  <c r="AI63" i="48"/>
  <c r="AH63" i="48"/>
  <c r="AG63" i="48"/>
  <c r="AF63" i="48"/>
  <c r="AE63" i="48"/>
  <c r="AD63" i="48"/>
  <c r="AC63" i="48"/>
  <c r="AB63" i="48"/>
  <c r="AA63" i="48"/>
  <c r="Z63" i="48"/>
  <c r="Y63" i="48"/>
  <c r="X63" i="48"/>
  <c r="W63" i="48"/>
  <c r="U63" i="48"/>
  <c r="AN62" i="48"/>
  <c r="AK62" i="48"/>
  <c r="AJ62" i="48"/>
  <c r="AI62" i="48"/>
  <c r="AH62" i="48"/>
  <c r="AG62" i="48"/>
  <c r="AF62" i="48"/>
  <c r="AE62" i="48"/>
  <c r="AD62" i="48"/>
  <c r="AC62" i="48"/>
  <c r="AB62" i="48"/>
  <c r="AA62" i="48"/>
  <c r="Z62" i="48"/>
  <c r="Y62" i="48"/>
  <c r="X62" i="48"/>
  <c r="W62" i="48"/>
  <c r="U62" i="48"/>
  <c r="AN61" i="48"/>
  <c r="AM61" i="48"/>
  <c r="AK61" i="48"/>
  <c r="AJ61" i="48"/>
  <c r="AI61" i="48"/>
  <c r="AH61" i="48"/>
  <c r="AG61" i="48"/>
  <c r="AF61" i="48"/>
  <c r="AE61" i="48"/>
  <c r="AD61" i="48"/>
  <c r="AC61" i="48"/>
  <c r="AB61" i="48"/>
  <c r="AA61" i="48"/>
  <c r="Z61" i="48"/>
  <c r="Y61" i="48"/>
  <c r="X61" i="48"/>
  <c r="W61" i="48"/>
  <c r="U61" i="48"/>
  <c r="AN60" i="48"/>
  <c r="AM60" i="48"/>
  <c r="AK60" i="48"/>
  <c r="AJ60" i="48"/>
  <c r="AI60" i="48"/>
  <c r="AH60" i="48"/>
  <c r="AG60" i="48"/>
  <c r="AF60" i="48"/>
  <c r="AE60" i="48"/>
  <c r="AD60" i="48"/>
  <c r="AC60" i="48"/>
  <c r="AB60" i="48"/>
  <c r="AA60" i="48"/>
  <c r="Z60" i="48"/>
  <c r="Y60" i="48"/>
  <c r="X60" i="48"/>
  <c r="W60" i="48"/>
  <c r="U60" i="48"/>
  <c r="AN59" i="48"/>
  <c r="AM59" i="48"/>
  <c r="AK59" i="48"/>
  <c r="AJ59" i="48"/>
  <c r="AI59" i="48"/>
  <c r="AH59" i="48"/>
  <c r="AG59" i="48"/>
  <c r="AF59" i="48"/>
  <c r="AE59" i="48"/>
  <c r="AD59" i="48"/>
  <c r="AC59" i="48"/>
  <c r="AB59" i="48"/>
  <c r="AA59" i="48"/>
  <c r="Z59" i="48"/>
  <c r="Y59" i="48"/>
  <c r="X59" i="48"/>
  <c r="W59" i="48"/>
  <c r="U59" i="48"/>
  <c r="AN58" i="48"/>
  <c r="AM58" i="48"/>
  <c r="AK58" i="48"/>
  <c r="AJ58" i="48"/>
  <c r="AI58" i="48"/>
  <c r="AH58" i="48"/>
  <c r="AG58" i="48"/>
  <c r="AF58" i="48"/>
  <c r="AE58" i="48"/>
  <c r="AD58" i="48"/>
  <c r="AC58" i="48"/>
  <c r="AB58" i="48"/>
  <c r="AA58" i="48"/>
  <c r="Z58" i="48"/>
  <c r="Y58" i="48"/>
  <c r="X58" i="48"/>
  <c r="W58" i="48"/>
  <c r="U58" i="48"/>
  <c r="AN57" i="48"/>
  <c r="AM57" i="48"/>
  <c r="AK57" i="48"/>
  <c r="AJ57" i="48"/>
  <c r="AI57" i="48"/>
  <c r="AH57" i="48"/>
  <c r="AG57" i="48"/>
  <c r="AF57" i="48"/>
  <c r="AE57" i="48"/>
  <c r="AD57" i="48"/>
  <c r="AC57" i="48"/>
  <c r="AB57" i="48"/>
  <c r="AA57" i="48"/>
  <c r="Z57" i="48"/>
  <c r="Y57" i="48"/>
  <c r="X57" i="48"/>
  <c r="W57" i="48"/>
  <c r="U57" i="48"/>
  <c r="AN56" i="48"/>
  <c r="AM56" i="48"/>
  <c r="AK56" i="48"/>
  <c r="AJ56" i="48"/>
  <c r="AI56" i="48"/>
  <c r="AH56" i="48"/>
  <c r="AG56" i="48"/>
  <c r="AF56" i="48"/>
  <c r="AE56" i="48"/>
  <c r="AD56" i="48"/>
  <c r="AC56" i="48"/>
  <c r="AB56" i="48"/>
  <c r="AA56" i="48"/>
  <c r="Z56" i="48"/>
  <c r="Y56" i="48"/>
  <c r="X56" i="48"/>
  <c r="W56" i="48"/>
  <c r="U56" i="48"/>
  <c r="AN55" i="48"/>
  <c r="AK55" i="48"/>
  <c r="AJ55" i="48"/>
  <c r="AI55" i="48"/>
  <c r="AH55" i="48"/>
  <c r="AG55" i="48"/>
  <c r="AF55" i="48"/>
  <c r="AE55" i="48"/>
  <c r="AD55" i="48"/>
  <c r="AC55" i="48"/>
  <c r="AB55" i="48"/>
  <c r="AA55" i="48"/>
  <c r="Z55" i="48"/>
  <c r="Y55" i="48"/>
  <c r="X55" i="48"/>
  <c r="W55" i="48"/>
  <c r="U55" i="48"/>
  <c r="AN54" i="48"/>
  <c r="AM54" i="48"/>
  <c r="AK54" i="48"/>
  <c r="AJ54" i="48"/>
  <c r="AI54" i="48"/>
  <c r="AH54" i="48"/>
  <c r="AG54" i="48"/>
  <c r="AF54" i="48"/>
  <c r="AE54" i="48"/>
  <c r="AD54" i="48"/>
  <c r="AC54" i="48"/>
  <c r="AB54" i="48"/>
  <c r="AA54" i="48"/>
  <c r="Z54" i="48"/>
  <c r="Y54" i="48"/>
  <c r="X54" i="48"/>
  <c r="W54" i="48"/>
  <c r="U54" i="48"/>
  <c r="AN52" i="48"/>
  <c r="AM52" i="48"/>
  <c r="AL52" i="48"/>
  <c r="AK52" i="48"/>
  <c r="AJ52" i="48"/>
  <c r="AH52" i="48"/>
  <c r="AE52" i="48"/>
  <c r="AD52" i="48"/>
  <c r="AC52" i="48"/>
  <c r="AB52" i="48"/>
  <c r="AA52" i="48"/>
  <c r="Z52" i="48"/>
  <c r="Y52" i="48"/>
  <c r="X52" i="48"/>
  <c r="W52" i="48"/>
  <c r="U52" i="48"/>
  <c r="T52" i="48"/>
  <c r="S52" i="48"/>
  <c r="R52" i="48"/>
  <c r="Q52" i="48"/>
  <c r="AN51" i="48"/>
  <c r="AK51" i="48"/>
  <c r="AJ51" i="48"/>
  <c r="U51" i="48"/>
  <c r="AN50" i="48"/>
  <c r="AK50" i="48"/>
  <c r="AJ50" i="48"/>
  <c r="AI50" i="48"/>
  <c r="AH50" i="48"/>
  <c r="AG50" i="48"/>
  <c r="AF50" i="48"/>
  <c r="AE50" i="48"/>
  <c r="AD50" i="48"/>
  <c r="AC50" i="48"/>
  <c r="AB50" i="48"/>
  <c r="AA50" i="48"/>
  <c r="Z50" i="48"/>
  <c r="Y50" i="48"/>
  <c r="X50" i="48"/>
  <c r="W50" i="48"/>
  <c r="U50" i="48"/>
  <c r="AN49" i="48"/>
  <c r="AK49" i="48"/>
  <c r="AJ49" i="48"/>
  <c r="AI49" i="48"/>
  <c r="AH49" i="48"/>
  <c r="AG49" i="48"/>
  <c r="AF49" i="48"/>
  <c r="AE49" i="48"/>
  <c r="AD49" i="48"/>
  <c r="AC49" i="48"/>
  <c r="AB49" i="48"/>
  <c r="AA49" i="48"/>
  <c r="Z49" i="48"/>
  <c r="Y49" i="48"/>
  <c r="X49" i="48"/>
  <c r="W49" i="48"/>
  <c r="U49" i="48"/>
  <c r="AN48" i="48"/>
  <c r="AN47" i="48"/>
  <c r="AM47" i="48"/>
  <c r="AL47" i="48"/>
  <c r="AK47" i="48"/>
  <c r="AJ47" i="48"/>
  <c r="AH47" i="48"/>
  <c r="AE47" i="48"/>
  <c r="AD47" i="48"/>
  <c r="AC47" i="48"/>
  <c r="AB47" i="48"/>
  <c r="AA47" i="48"/>
  <c r="Z47" i="48"/>
  <c r="Y47" i="48"/>
  <c r="X47" i="48"/>
  <c r="W47" i="48"/>
  <c r="U47" i="48"/>
  <c r="T47" i="48"/>
  <c r="S47" i="48"/>
  <c r="R47" i="48"/>
  <c r="Q47" i="48"/>
  <c r="AN46" i="48"/>
  <c r="AK46" i="48"/>
  <c r="AJ46" i="48"/>
  <c r="AI46" i="48"/>
  <c r="AH46" i="48"/>
  <c r="AG46" i="48"/>
  <c r="AF46" i="48"/>
  <c r="AE46" i="48"/>
  <c r="AD46" i="48"/>
  <c r="AC46" i="48"/>
  <c r="AB46" i="48"/>
  <c r="AA46" i="48"/>
  <c r="Z46" i="48"/>
  <c r="Y46" i="48"/>
  <c r="X46" i="48"/>
  <c r="W46" i="48"/>
  <c r="U46" i="48"/>
  <c r="AN45" i="48"/>
  <c r="AK45" i="48"/>
  <c r="AJ45" i="48"/>
  <c r="U45" i="48"/>
  <c r="AN44" i="48"/>
  <c r="AK44" i="48"/>
  <c r="AJ44" i="48"/>
  <c r="AI44" i="48"/>
  <c r="AH44" i="48"/>
  <c r="AG44" i="48"/>
  <c r="AF44" i="48"/>
  <c r="AE44" i="48"/>
  <c r="AD44" i="48"/>
  <c r="AC44" i="48"/>
  <c r="AB44" i="48"/>
  <c r="AA44" i="48"/>
  <c r="Z44" i="48"/>
  <c r="Y44" i="48"/>
  <c r="X44" i="48"/>
  <c r="W44" i="48"/>
  <c r="U44" i="48"/>
  <c r="AN43" i="48"/>
  <c r="AM43" i="48"/>
  <c r="AK43" i="48"/>
  <c r="AJ43" i="48"/>
  <c r="AI43" i="48"/>
  <c r="AH43" i="48"/>
  <c r="AG43" i="48"/>
  <c r="AF43" i="48"/>
  <c r="AE43" i="48"/>
  <c r="AD43" i="48"/>
  <c r="AC43" i="48"/>
  <c r="AB43" i="48"/>
  <c r="AA43" i="48"/>
  <c r="Z43" i="48"/>
  <c r="Y43" i="48"/>
  <c r="X43" i="48"/>
  <c r="W43" i="48"/>
  <c r="U43" i="48"/>
  <c r="AN42" i="48"/>
  <c r="AM42" i="48"/>
  <c r="AK42" i="48"/>
  <c r="AJ42" i="48"/>
  <c r="AI42" i="48"/>
  <c r="AH42" i="48"/>
  <c r="AG42" i="48"/>
  <c r="AF42" i="48"/>
  <c r="AE42" i="48"/>
  <c r="AD42" i="48"/>
  <c r="AC42" i="48"/>
  <c r="AB42" i="48"/>
  <c r="AA42" i="48"/>
  <c r="Z42" i="48"/>
  <c r="Y42" i="48"/>
  <c r="X42" i="48"/>
  <c r="W42" i="48"/>
  <c r="U42" i="48"/>
  <c r="AN41" i="48"/>
  <c r="AK41" i="48"/>
  <c r="AJ41" i="48"/>
  <c r="U41" i="48"/>
  <c r="AN40" i="48"/>
  <c r="AK40" i="48"/>
  <c r="AJ40" i="48"/>
  <c r="AI40" i="48"/>
  <c r="AH40" i="48"/>
  <c r="AG40" i="48"/>
  <c r="AF40" i="48"/>
  <c r="AE40" i="48"/>
  <c r="AD40" i="48"/>
  <c r="AC40" i="48"/>
  <c r="AB40" i="48"/>
  <c r="AA40" i="48"/>
  <c r="Z40" i="48"/>
  <c r="Y40" i="48"/>
  <c r="X40" i="48"/>
  <c r="W40" i="48"/>
  <c r="U40" i="48"/>
  <c r="AN38" i="48"/>
  <c r="AM38" i="48"/>
  <c r="AL38" i="48"/>
  <c r="AK38" i="48"/>
  <c r="AJ38" i="48"/>
  <c r="AH38" i="48"/>
  <c r="AE38" i="48"/>
  <c r="AD38" i="48"/>
  <c r="AC38" i="48"/>
  <c r="AB38" i="48"/>
  <c r="AA38" i="48"/>
  <c r="Z38" i="48"/>
  <c r="Y38" i="48"/>
  <c r="X38" i="48"/>
  <c r="W38" i="48"/>
  <c r="U38" i="48"/>
  <c r="T38" i="48"/>
  <c r="S38" i="48"/>
  <c r="R38" i="48"/>
  <c r="Q38" i="48"/>
  <c r="AN37" i="48"/>
  <c r="AM37" i="48"/>
  <c r="AK37" i="48"/>
  <c r="AJ37" i="48"/>
  <c r="AI37" i="48"/>
  <c r="AH37" i="48"/>
  <c r="AG37" i="48"/>
  <c r="AF37" i="48"/>
  <c r="AE37" i="48"/>
  <c r="AD37" i="48"/>
  <c r="AC37" i="48"/>
  <c r="AB37" i="48"/>
  <c r="AA37" i="48"/>
  <c r="Z37" i="48"/>
  <c r="Y37" i="48"/>
  <c r="X37" i="48"/>
  <c r="W37" i="48"/>
  <c r="U37" i="48"/>
  <c r="AN36" i="48"/>
  <c r="AK36" i="48"/>
  <c r="AJ36" i="48"/>
  <c r="AI36" i="48"/>
  <c r="AH36" i="48"/>
  <c r="AG36" i="48"/>
  <c r="AF36" i="48"/>
  <c r="AE36" i="48"/>
  <c r="AD36" i="48"/>
  <c r="AC36" i="48"/>
  <c r="AB36" i="48"/>
  <c r="AA36" i="48"/>
  <c r="Z36" i="48"/>
  <c r="Y36" i="48"/>
  <c r="X36" i="48"/>
  <c r="W36" i="48"/>
  <c r="U36" i="48"/>
  <c r="AN35" i="48"/>
  <c r="AK35" i="48"/>
  <c r="AJ35" i="48"/>
  <c r="AI35" i="48"/>
  <c r="AH35" i="48"/>
  <c r="AG35" i="48"/>
  <c r="AF35" i="48"/>
  <c r="AE35" i="48"/>
  <c r="AD35" i="48"/>
  <c r="AC35" i="48"/>
  <c r="AB35" i="48"/>
  <c r="AA35" i="48"/>
  <c r="Z35" i="48"/>
  <c r="Y35" i="48"/>
  <c r="X35" i="48"/>
  <c r="W35" i="48"/>
  <c r="U35" i="48"/>
  <c r="AN34" i="48"/>
  <c r="AK34" i="48"/>
  <c r="AJ34" i="48"/>
  <c r="AI34" i="48"/>
  <c r="AH34" i="48"/>
  <c r="AG34" i="48"/>
  <c r="AF34" i="48"/>
  <c r="AE34" i="48"/>
  <c r="AD34" i="48"/>
  <c r="AC34" i="48"/>
  <c r="AB34" i="48"/>
  <c r="AA34" i="48"/>
  <c r="Z34" i="48"/>
  <c r="Y34" i="48"/>
  <c r="X34" i="48"/>
  <c r="W34" i="48"/>
  <c r="U34" i="48"/>
  <c r="AN33" i="48"/>
  <c r="AK33" i="48"/>
  <c r="AJ33" i="48"/>
  <c r="AI33" i="48"/>
  <c r="AH33" i="48"/>
  <c r="AG33" i="48"/>
  <c r="AF33" i="48"/>
  <c r="AE33" i="48"/>
  <c r="AD33" i="48"/>
  <c r="AC33" i="48"/>
  <c r="AB33" i="48"/>
  <c r="AA33" i="48"/>
  <c r="Z33" i="48"/>
  <c r="Y33" i="48"/>
  <c r="X33" i="48"/>
  <c r="W33" i="48"/>
  <c r="U33" i="48"/>
  <c r="AN32" i="48"/>
  <c r="AM32" i="48"/>
  <c r="AK32" i="48"/>
  <c r="AJ32" i="48"/>
  <c r="AI32" i="48"/>
  <c r="AH32" i="48"/>
  <c r="AG32" i="48"/>
  <c r="AF32" i="48"/>
  <c r="AE32" i="48"/>
  <c r="AD32" i="48"/>
  <c r="AC32" i="48"/>
  <c r="AB32" i="48"/>
  <c r="AA32" i="48"/>
  <c r="Z32" i="48"/>
  <c r="Y32" i="48"/>
  <c r="X32" i="48"/>
  <c r="W32" i="48"/>
  <c r="U32" i="48"/>
  <c r="AN31" i="48"/>
  <c r="AM31" i="48"/>
  <c r="AL31" i="48"/>
  <c r="AK31" i="48"/>
  <c r="AJ31" i="48"/>
  <c r="AI31" i="48"/>
  <c r="AH31" i="48"/>
  <c r="AG31" i="48"/>
  <c r="AF31" i="48"/>
  <c r="AE31" i="48"/>
  <c r="AD31" i="48"/>
  <c r="AC31" i="48"/>
  <c r="AB31" i="48"/>
  <c r="AA31" i="48"/>
  <c r="Z31" i="48"/>
  <c r="Y31" i="48"/>
  <c r="X31" i="48"/>
  <c r="W31" i="48"/>
  <c r="U31" i="48"/>
  <c r="AN30" i="48"/>
  <c r="AK30" i="48"/>
  <c r="AJ30" i="48"/>
  <c r="AI30" i="48"/>
  <c r="AH30" i="48"/>
  <c r="AG30" i="48"/>
  <c r="AF30" i="48"/>
  <c r="AE30" i="48"/>
  <c r="AD30" i="48"/>
  <c r="AC30" i="48"/>
  <c r="AB30" i="48"/>
  <c r="AA30" i="48"/>
  <c r="Z30" i="48"/>
  <c r="Y30" i="48"/>
  <c r="X30" i="48"/>
  <c r="W30" i="48"/>
  <c r="U30" i="48"/>
  <c r="AN29" i="48"/>
  <c r="AM29" i="48"/>
  <c r="AK29" i="48"/>
  <c r="AJ29" i="48"/>
  <c r="AI29" i="48"/>
  <c r="AH29" i="48"/>
  <c r="AG29" i="48"/>
  <c r="AF29" i="48"/>
  <c r="AE29" i="48"/>
  <c r="AD29" i="48"/>
  <c r="AC29" i="48"/>
  <c r="AB29" i="48"/>
  <c r="AA29" i="48"/>
  <c r="Z29" i="48"/>
  <c r="Y29" i="48"/>
  <c r="X29" i="48"/>
  <c r="W29" i="48"/>
  <c r="U29" i="48"/>
  <c r="AN28" i="48"/>
  <c r="AK28" i="48"/>
  <c r="AJ28" i="48"/>
  <c r="AI28" i="48"/>
  <c r="AH28" i="48"/>
  <c r="AG28" i="48"/>
  <c r="AF28" i="48"/>
  <c r="AE28" i="48"/>
  <c r="AD28" i="48"/>
  <c r="AC28" i="48"/>
  <c r="AB28" i="48"/>
  <c r="AA28" i="48"/>
  <c r="Z28" i="48"/>
  <c r="Y28" i="48"/>
  <c r="X28" i="48"/>
  <c r="W28" i="48"/>
  <c r="U28" i="48"/>
  <c r="AN27" i="48"/>
  <c r="AK27" i="48"/>
  <c r="AJ27" i="48"/>
  <c r="AI27" i="48"/>
  <c r="AH27" i="48"/>
  <c r="AG27" i="48"/>
  <c r="AF27" i="48"/>
  <c r="AE27" i="48"/>
  <c r="AD27" i="48"/>
  <c r="AC27" i="48"/>
  <c r="AB27" i="48"/>
  <c r="AA27" i="48"/>
  <c r="Z27" i="48"/>
  <c r="Y27" i="48"/>
  <c r="X27" i="48"/>
  <c r="W27" i="48"/>
  <c r="U27" i="48"/>
  <c r="AN26" i="48"/>
  <c r="AK26" i="48"/>
  <c r="AJ26" i="48"/>
  <c r="AI26" i="48"/>
  <c r="AH26" i="48"/>
  <c r="AG26" i="48"/>
  <c r="AF26" i="48"/>
  <c r="AE26" i="48"/>
  <c r="AD26" i="48"/>
  <c r="AC26" i="48"/>
  <c r="AB26" i="48"/>
  <c r="AA26" i="48"/>
  <c r="Z26" i="48"/>
  <c r="Y26" i="48"/>
  <c r="X26" i="48"/>
  <c r="W26" i="48"/>
  <c r="U26" i="48"/>
  <c r="AN25" i="48"/>
  <c r="AK25" i="48"/>
  <c r="AJ25" i="48"/>
  <c r="AI25" i="48"/>
  <c r="AH25" i="48"/>
  <c r="AG25" i="48"/>
  <c r="AF25" i="48"/>
  <c r="AE25" i="48"/>
  <c r="AD25" i="48"/>
  <c r="AC25" i="48"/>
  <c r="AB25" i="48"/>
  <c r="AA25" i="48"/>
  <c r="Z25" i="48"/>
  <c r="Y25" i="48"/>
  <c r="X25" i="48"/>
  <c r="W25" i="48"/>
  <c r="U25" i="48"/>
  <c r="T25" i="48"/>
  <c r="S25" i="48"/>
  <c r="AN24" i="48"/>
  <c r="AM24" i="48"/>
  <c r="AK24" i="48"/>
  <c r="AJ24" i="48"/>
  <c r="AI24" i="48"/>
  <c r="AH24" i="48"/>
  <c r="AG24" i="48"/>
  <c r="AF24" i="48"/>
  <c r="AE24" i="48"/>
  <c r="AD24" i="48"/>
  <c r="AC24" i="48"/>
  <c r="AB24" i="48"/>
  <c r="AA24" i="48"/>
  <c r="Z24" i="48"/>
  <c r="Y24" i="48"/>
  <c r="X24" i="48"/>
  <c r="W24" i="48"/>
  <c r="U24" i="48"/>
  <c r="AN23" i="48"/>
  <c r="AK23" i="48"/>
  <c r="AJ23" i="48"/>
  <c r="AE23" i="48"/>
  <c r="W23" i="48"/>
  <c r="U23" i="48"/>
  <c r="AN22" i="48"/>
  <c r="AK22" i="48"/>
  <c r="AJ22" i="48"/>
  <c r="U22" i="48"/>
  <c r="AN21" i="48"/>
  <c r="AK21" i="48"/>
  <c r="AJ21" i="48"/>
  <c r="AI21" i="48"/>
  <c r="AH21" i="48"/>
  <c r="AG21" i="48"/>
  <c r="AF21" i="48"/>
  <c r="AE21" i="48"/>
  <c r="AD21" i="48"/>
  <c r="AC21" i="48"/>
  <c r="AB21" i="48"/>
  <c r="AA21" i="48"/>
  <c r="Z21" i="48"/>
  <c r="Y21" i="48"/>
  <c r="X21" i="48"/>
  <c r="W21" i="48"/>
  <c r="U21" i="48"/>
  <c r="AN20" i="48"/>
  <c r="AK20" i="48"/>
  <c r="AJ20" i="48"/>
  <c r="AI20" i="48"/>
  <c r="AH20" i="48"/>
  <c r="AG20" i="48"/>
  <c r="AF20" i="48"/>
  <c r="AE20" i="48"/>
  <c r="AD20" i="48"/>
  <c r="AC20" i="48"/>
  <c r="AB20" i="48"/>
  <c r="AA20" i="48"/>
  <c r="Z20" i="48"/>
  <c r="Y20" i="48"/>
  <c r="X20" i="48"/>
  <c r="W20" i="48"/>
  <c r="U20" i="48"/>
  <c r="AN19" i="48"/>
  <c r="AK19" i="48"/>
  <c r="AJ19" i="48"/>
  <c r="AI19" i="48"/>
  <c r="AH19" i="48"/>
  <c r="AG19" i="48"/>
  <c r="AF19" i="48"/>
  <c r="AE19" i="48"/>
  <c r="AD19" i="48"/>
  <c r="AC19" i="48"/>
  <c r="AB19" i="48"/>
  <c r="AA19" i="48"/>
  <c r="Z19" i="48"/>
  <c r="Y19" i="48"/>
  <c r="X19" i="48"/>
  <c r="W19" i="48"/>
  <c r="U19" i="48"/>
  <c r="AN18" i="48"/>
  <c r="AK18" i="48"/>
  <c r="AJ18" i="48"/>
  <c r="AI18" i="48"/>
  <c r="AH18" i="48"/>
  <c r="AG18" i="48"/>
  <c r="AF18" i="48"/>
  <c r="AE18" i="48"/>
  <c r="AD18" i="48"/>
  <c r="AC18" i="48"/>
  <c r="AB18" i="48"/>
  <c r="AA18" i="48"/>
  <c r="Z18" i="48"/>
  <c r="Y18" i="48"/>
  <c r="X18" i="48"/>
  <c r="W18" i="48"/>
  <c r="U18" i="48"/>
  <c r="AN17" i="48"/>
  <c r="AK17" i="48"/>
  <c r="AJ17" i="48"/>
  <c r="U17" i="48"/>
  <c r="AN16" i="48"/>
  <c r="AM16" i="48"/>
  <c r="AK16" i="48"/>
  <c r="AJ16" i="48"/>
  <c r="AI16" i="48"/>
  <c r="AH16" i="48"/>
  <c r="AG16" i="48"/>
  <c r="AF16" i="48"/>
  <c r="AE16" i="48"/>
  <c r="AD16" i="48"/>
  <c r="AC16" i="48"/>
  <c r="AB16" i="48"/>
  <c r="AA16" i="48"/>
  <c r="Z16" i="48"/>
  <c r="Y16" i="48"/>
  <c r="X16" i="48"/>
  <c r="W16" i="48"/>
  <c r="U16" i="48"/>
  <c r="AN15" i="48"/>
  <c r="AM15" i="48"/>
  <c r="AK15" i="48"/>
  <c r="AJ15" i="48"/>
  <c r="AI15" i="48"/>
  <c r="AH15" i="48"/>
  <c r="AG15" i="48"/>
  <c r="AF15" i="48"/>
  <c r="AE15" i="48"/>
  <c r="AD15" i="48"/>
  <c r="AC15" i="48"/>
  <c r="AB15" i="48"/>
  <c r="AA15" i="48"/>
  <c r="Z15" i="48"/>
  <c r="Y15" i="48"/>
  <c r="X15" i="48"/>
  <c r="W15" i="48"/>
  <c r="U15" i="48"/>
  <c r="AN13" i="48"/>
  <c r="AM13" i="48"/>
  <c r="AL13" i="48"/>
  <c r="AK13" i="48"/>
  <c r="AJ13" i="48"/>
  <c r="AH13" i="48"/>
  <c r="AE13" i="48"/>
  <c r="AD13" i="48"/>
  <c r="AC13" i="48"/>
  <c r="AB13" i="48"/>
  <c r="AA13" i="48"/>
  <c r="Z13" i="48"/>
  <c r="Y13" i="48"/>
  <c r="X13" i="48"/>
  <c r="W13" i="48"/>
  <c r="U13" i="48"/>
  <c r="T13" i="48"/>
  <c r="S13" i="48"/>
  <c r="R13" i="48"/>
  <c r="Q13" i="48"/>
  <c r="AN12" i="48"/>
  <c r="AM12" i="48"/>
  <c r="AK12" i="48"/>
  <c r="AJ12" i="48"/>
  <c r="AI12" i="48"/>
  <c r="AH12" i="48"/>
  <c r="AG12" i="48"/>
  <c r="AF12" i="48"/>
  <c r="AE12" i="48"/>
  <c r="AD12" i="48"/>
  <c r="AC12" i="48"/>
  <c r="AB12" i="48"/>
  <c r="AA12" i="48"/>
  <c r="Z12" i="48"/>
  <c r="Y12" i="48"/>
  <c r="X12" i="48"/>
  <c r="W12" i="48"/>
  <c r="U12" i="48"/>
  <c r="AN11" i="48"/>
  <c r="AK11" i="48"/>
  <c r="AJ11" i="48"/>
  <c r="U11" i="48"/>
  <c r="AN10" i="48"/>
  <c r="AM10" i="48"/>
  <c r="AL10" i="48"/>
  <c r="AK10" i="48"/>
  <c r="AJ10" i="48"/>
  <c r="AI10" i="48"/>
  <c r="AH10" i="48"/>
  <c r="AG10" i="48"/>
  <c r="AF10" i="48"/>
  <c r="AE10" i="48"/>
  <c r="AD10" i="48"/>
  <c r="AC10" i="48"/>
  <c r="AB10" i="48"/>
  <c r="AA10" i="48"/>
  <c r="Z10" i="48"/>
  <c r="Y10" i="48"/>
  <c r="X10" i="48"/>
  <c r="W10" i="48"/>
  <c r="U10" i="48"/>
  <c r="AN9" i="48"/>
  <c r="AL9" i="48"/>
  <c r="AK9" i="48"/>
  <c r="AJ9" i="48"/>
  <c r="AI9" i="48"/>
  <c r="AH9" i="48"/>
  <c r="AG9" i="48"/>
  <c r="AF9" i="48"/>
  <c r="AE9" i="48"/>
  <c r="AD9" i="48"/>
  <c r="AC9" i="48"/>
  <c r="AB9" i="48"/>
  <c r="AA9" i="48"/>
  <c r="Z9" i="48"/>
  <c r="Y9" i="48"/>
  <c r="X9" i="48"/>
  <c r="W9" i="48"/>
  <c r="U9" i="48"/>
  <c r="AN8" i="48"/>
  <c r="AK8" i="48"/>
  <c r="AJ8" i="48"/>
  <c r="AI8" i="48"/>
  <c r="AH8" i="48"/>
  <c r="AG8" i="48"/>
  <c r="AF8" i="48"/>
  <c r="AE8" i="48"/>
  <c r="AD8" i="48"/>
  <c r="AC8" i="48"/>
  <c r="AB8" i="48"/>
  <c r="AA8" i="48"/>
  <c r="Z8" i="48"/>
  <c r="Y8" i="48"/>
  <c r="X8" i="48"/>
  <c r="W8" i="48"/>
  <c r="U8" i="48"/>
  <c r="AN6" i="48"/>
  <c r="AM6" i="48"/>
  <c r="AL6" i="48"/>
  <c r="AK6" i="48"/>
  <c r="AJ6" i="48"/>
  <c r="AI6" i="48"/>
  <c r="AH6" i="48"/>
  <c r="AG6" i="48"/>
  <c r="AF6" i="48"/>
  <c r="AE6" i="48"/>
  <c r="AD6" i="48"/>
  <c r="AC6" i="48"/>
  <c r="AB6" i="48"/>
  <c r="AA6" i="48"/>
  <c r="Z6" i="48"/>
  <c r="Y6" i="48"/>
  <c r="X6" i="48"/>
  <c r="W6" i="48"/>
  <c r="U6" i="48"/>
  <c r="T6" i="48"/>
  <c r="S6" i="48"/>
  <c r="R6" i="48"/>
  <c r="Q6" i="48"/>
  <c r="AN5" i="48"/>
  <c r="AM5" i="48"/>
  <c r="AK5" i="48"/>
  <c r="AJ5" i="48"/>
  <c r="AI5" i="48"/>
  <c r="AH5" i="48"/>
  <c r="AG5" i="48"/>
  <c r="AF5" i="48"/>
  <c r="AE5" i="48"/>
  <c r="AD5" i="48"/>
  <c r="AC5" i="48"/>
  <c r="AB5" i="48"/>
  <c r="AA5" i="48"/>
  <c r="Z5" i="48"/>
  <c r="Y5" i="48"/>
  <c r="X5" i="48"/>
  <c r="W5" i="48"/>
  <c r="U5" i="48"/>
  <c r="AN4" i="48"/>
  <c r="AK4" i="48"/>
  <c r="AJ4" i="48"/>
  <c r="U4" i="48"/>
  <c r="AN3" i="48"/>
  <c r="AK3" i="48"/>
  <c r="AJ3" i="48"/>
  <c r="AI3" i="48"/>
  <c r="AH3" i="48"/>
  <c r="AG3" i="48"/>
  <c r="AF3" i="48"/>
  <c r="AE3" i="48"/>
  <c r="AD3" i="48"/>
  <c r="AC3" i="48"/>
  <c r="AB3" i="48"/>
  <c r="AA3" i="48"/>
  <c r="Z3" i="48"/>
  <c r="Y3" i="48"/>
  <c r="X3" i="48"/>
  <c r="W3" i="48"/>
  <c r="U3" i="48"/>
  <c r="Q299" i="45"/>
  <c r="Q298" i="45"/>
  <c r="AC297" i="45"/>
  <c r="AB297" i="45"/>
  <c r="AA297" i="45"/>
  <c r="Z297" i="45"/>
  <c r="Y297" i="45"/>
  <c r="X297" i="45"/>
  <c r="W297" i="45"/>
  <c r="V297" i="45"/>
  <c r="U297" i="45"/>
  <c r="T297" i="45"/>
  <c r="S297" i="45"/>
  <c r="R297" i="45"/>
  <c r="Q297" i="45"/>
  <c r="AC296" i="45"/>
  <c r="AB296" i="45"/>
  <c r="AA296" i="45"/>
  <c r="Z296" i="45"/>
  <c r="Y296" i="45"/>
  <c r="X296" i="45"/>
  <c r="W296" i="45"/>
  <c r="V296" i="45"/>
  <c r="U296" i="45"/>
  <c r="T296" i="45"/>
  <c r="S296" i="45"/>
  <c r="R296" i="45"/>
  <c r="Q296" i="45"/>
  <c r="AC295" i="45"/>
  <c r="AB295" i="45"/>
  <c r="AA295" i="45"/>
  <c r="Z295" i="45"/>
  <c r="Y295" i="45"/>
  <c r="X295" i="45"/>
  <c r="W295" i="45"/>
  <c r="V295" i="45"/>
  <c r="U295" i="45"/>
  <c r="T295" i="45"/>
  <c r="S295" i="45"/>
  <c r="R295" i="45"/>
  <c r="Q295" i="45"/>
  <c r="AC294" i="45"/>
  <c r="AB294" i="45"/>
  <c r="AA294" i="45"/>
  <c r="Z294" i="45"/>
  <c r="Y294" i="45"/>
  <c r="X294" i="45"/>
  <c r="W294" i="45"/>
  <c r="V294" i="45"/>
  <c r="U294" i="45"/>
  <c r="T294" i="45"/>
  <c r="S294" i="45"/>
  <c r="R294" i="45"/>
  <c r="Q294" i="45"/>
  <c r="AC293" i="45"/>
  <c r="AB293" i="45"/>
  <c r="AA293" i="45"/>
  <c r="Z293" i="45"/>
  <c r="Y293" i="45"/>
  <c r="X293" i="45"/>
  <c r="W293" i="45"/>
  <c r="V293" i="45"/>
  <c r="U293" i="45"/>
  <c r="T293" i="45"/>
  <c r="S293" i="45"/>
  <c r="R293" i="45"/>
  <c r="Q293" i="45"/>
  <c r="AC292" i="45"/>
  <c r="AB292" i="45"/>
  <c r="AA292" i="45"/>
  <c r="Z292" i="45"/>
  <c r="Y292" i="45"/>
  <c r="X292" i="45"/>
  <c r="W292" i="45"/>
  <c r="V292" i="45"/>
  <c r="U292" i="45"/>
  <c r="T292" i="45"/>
  <c r="S292" i="45"/>
  <c r="R292" i="45"/>
  <c r="Q292" i="45"/>
  <c r="AC291" i="45"/>
  <c r="AB291" i="45"/>
  <c r="AA291" i="45"/>
  <c r="Z291" i="45"/>
  <c r="Y291" i="45"/>
  <c r="X291" i="45"/>
  <c r="W291" i="45"/>
  <c r="V291" i="45"/>
  <c r="U291" i="45"/>
  <c r="T291" i="45"/>
  <c r="S291" i="45"/>
  <c r="R291" i="45"/>
  <c r="Q291" i="45"/>
  <c r="AC290" i="45"/>
  <c r="AB290" i="45"/>
  <c r="AA290" i="45"/>
  <c r="Z290" i="45"/>
  <c r="Y290" i="45"/>
  <c r="X290" i="45"/>
  <c r="W290" i="45"/>
  <c r="V290" i="45"/>
  <c r="U290" i="45"/>
  <c r="T290" i="45"/>
  <c r="S290" i="45"/>
  <c r="R290" i="45"/>
  <c r="Q290" i="45"/>
  <c r="AC289" i="45"/>
  <c r="AB289" i="45"/>
  <c r="AA289" i="45"/>
  <c r="Z289" i="45"/>
  <c r="Y289" i="45"/>
  <c r="X289" i="45"/>
  <c r="W289" i="45"/>
  <c r="V289" i="45"/>
  <c r="U289" i="45"/>
  <c r="T289" i="45"/>
  <c r="S289" i="45"/>
  <c r="R289" i="45"/>
  <c r="Q289" i="45"/>
  <c r="AC288" i="45"/>
  <c r="AB288" i="45"/>
  <c r="AA288" i="45"/>
  <c r="Z288" i="45"/>
  <c r="Y288" i="45"/>
  <c r="X288" i="45"/>
  <c r="W288" i="45"/>
  <c r="V288" i="45"/>
  <c r="U288" i="45"/>
  <c r="T288" i="45"/>
  <c r="S288" i="45"/>
  <c r="R288" i="45"/>
  <c r="Q288" i="45"/>
  <c r="Q287" i="45"/>
  <c r="AC286" i="45"/>
  <c r="AB286" i="45"/>
  <c r="AA286" i="45"/>
  <c r="Z286" i="45"/>
  <c r="Y286" i="45"/>
  <c r="X286" i="45"/>
  <c r="W286" i="45"/>
  <c r="V286" i="45"/>
  <c r="U286" i="45"/>
  <c r="T286" i="45"/>
  <c r="S286" i="45"/>
  <c r="R286" i="45"/>
  <c r="Q286" i="45"/>
  <c r="AC284" i="45"/>
  <c r="AB284" i="45"/>
  <c r="AA284" i="45"/>
  <c r="Z284" i="45"/>
  <c r="Y284" i="45"/>
  <c r="X284" i="45"/>
  <c r="W284" i="45"/>
  <c r="V284" i="45"/>
  <c r="U284" i="45"/>
  <c r="T284" i="45"/>
  <c r="S284" i="45"/>
  <c r="R284" i="45"/>
  <c r="Q284" i="45"/>
  <c r="AC283" i="45"/>
  <c r="AB283" i="45"/>
  <c r="AA283" i="45"/>
  <c r="Z283" i="45"/>
  <c r="Y283" i="45"/>
  <c r="X283" i="45"/>
  <c r="W283" i="45"/>
  <c r="V283" i="45"/>
  <c r="U283" i="45"/>
  <c r="T283" i="45"/>
  <c r="S283" i="45"/>
  <c r="R283" i="45"/>
  <c r="Q283" i="45"/>
  <c r="AC282" i="45"/>
  <c r="AB282" i="45"/>
  <c r="AA282" i="45"/>
  <c r="Z282" i="45"/>
  <c r="Y282" i="45"/>
  <c r="X282" i="45"/>
  <c r="W282" i="45"/>
  <c r="V282" i="45"/>
  <c r="U282" i="45"/>
  <c r="T282" i="45"/>
  <c r="S282" i="45"/>
  <c r="R282" i="45"/>
  <c r="Q282" i="45"/>
  <c r="AC281" i="45"/>
  <c r="AB281" i="45"/>
  <c r="AA281" i="45"/>
  <c r="Z281" i="45"/>
  <c r="Y281" i="45"/>
  <c r="X281" i="45"/>
  <c r="W281" i="45"/>
  <c r="V281" i="45"/>
  <c r="U281" i="45"/>
  <c r="T281" i="45"/>
  <c r="S281" i="45"/>
  <c r="R281" i="45"/>
  <c r="Q281" i="45"/>
  <c r="AC280" i="45"/>
  <c r="AB280" i="45"/>
  <c r="AA280" i="45"/>
  <c r="Z280" i="45"/>
  <c r="Y280" i="45"/>
  <c r="X280" i="45"/>
  <c r="W280" i="45"/>
  <c r="V280" i="45"/>
  <c r="U280" i="45"/>
  <c r="T280" i="45"/>
  <c r="S280" i="45"/>
  <c r="R280" i="45"/>
  <c r="Q280" i="45"/>
  <c r="AC279" i="45"/>
  <c r="AB279" i="45"/>
  <c r="AA279" i="45"/>
  <c r="Z279" i="45"/>
  <c r="Y279" i="45"/>
  <c r="X279" i="45"/>
  <c r="W279" i="45"/>
  <c r="V279" i="45"/>
  <c r="U279" i="45"/>
  <c r="T279" i="45"/>
  <c r="S279" i="45"/>
  <c r="R279" i="45"/>
  <c r="Q279" i="45"/>
  <c r="F279" i="45"/>
  <c r="D279" i="45"/>
  <c r="C279" i="45"/>
  <c r="B279" i="45"/>
  <c r="AE278" i="45"/>
  <c r="AC278" i="45"/>
  <c r="AB278" i="45"/>
  <c r="AA278" i="45"/>
  <c r="Z278" i="45"/>
  <c r="Y278" i="45"/>
  <c r="X278" i="45"/>
  <c r="W278" i="45"/>
  <c r="V278" i="45"/>
  <c r="U278" i="45"/>
  <c r="T278" i="45"/>
  <c r="S278" i="45"/>
  <c r="R278" i="45"/>
  <c r="Q278" i="45"/>
  <c r="AC277" i="45"/>
  <c r="AB277" i="45"/>
  <c r="AA277" i="45"/>
  <c r="Z277" i="45"/>
  <c r="Y277" i="45"/>
  <c r="X277" i="45"/>
  <c r="W277" i="45"/>
  <c r="V277" i="45"/>
  <c r="U277" i="45"/>
  <c r="T277" i="45"/>
  <c r="S277" i="45"/>
  <c r="R277" i="45"/>
  <c r="Q277" i="45"/>
  <c r="AC276" i="45"/>
  <c r="AB276" i="45"/>
  <c r="AA276" i="45"/>
  <c r="Z276" i="45"/>
  <c r="Y276" i="45"/>
  <c r="X276" i="45"/>
  <c r="W276" i="45"/>
  <c r="V276" i="45"/>
  <c r="U276" i="45"/>
  <c r="T276" i="45"/>
  <c r="S276" i="45"/>
  <c r="R276" i="45"/>
  <c r="Q276" i="45"/>
  <c r="AC275" i="45"/>
  <c r="AB275" i="45"/>
  <c r="AA275" i="45"/>
  <c r="Z275" i="45"/>
  <c r="Y275" i="45"/>
  <c r="X275" i="45"/>
  <c r="W275" i="45"/>
  <c r="V275" i="45"/>
  <c r="U275" i="45"/>
  <c r="T275" i="45"/>
  <c r="S275" i="45"/>
  <c r="R275" i="45"/>
  <c r="Q275" i="45"/>
  <c r="AC274" i="45"/>
  <c r="AB274" i="45"/>
  <c r="AA274" i="45"/>
  <c r="Z274" i="45"/>
  <c r="Y274" i="45"/>
  <c r="X274" i="45"/>
  <c r="W274" i="45"/>
  <c r="V274" i="45"/>
  <c r="U274" i="45"/>
  <c r="T274" i="45"/>
  <c r="S274" i="45"/>
  <c r="R274" i="45"/>
  <c r="Q274" i="45"/>
  <c r="F274" i="45"/>
  <c r="D274" i="45"/>
  <c r="C274" i="45"/>
  <c r="B274" i="45"/>
  <c r="A274" i="45"/>
  <c r="AC273" i="45"/>
  <c r="AB273" i="45"/>
  <c r="AA273" i="45"/>
  <c r="Z273" i="45"/>
  <c r="Y273" i="45"/>
  <c r="X273" i="45"/>
  <c r="W273" i="45"/>
  <c r="V273" i="45"/>
  <c r="U273" i="45"/>
  <c r="T273" i="45"/>
  <c r="S273" i="45"/>
  <c r="R273" i="45"/>
  <c r="Q273" i="45"/>
  <c r="F273" i="45"/>
  <c r="D273" i="45"/>
  <c r="C273" i="45"/>
  <c r="B273" i="45"/>
  <c r="A273" i="45"/>
  <c r="AC272" i="45"/>
  <c r="AB272" i="45"/>
  <c r="AA272" i="45"/>
  <c r="Z272" i="45"/>
  <c r="Y272" i="45"/>
  <c r="X272" i="45"/>
  <c r="W272" i="45"/>
  <c r="V272" i="45"/>
  <c r="U272" i="45"/>
  <c r="T272" i="45"/>
  <c r="S272" i="45"/>
  <c r="R272" i="45"/>
  <c r="Q272" i="45"/>
  <c r="AC271" i="45"/>
  <c r="AB271" i="45"/>
  <c r="AA271" i="45"/>
  <c r="Z271" i="45"/>
  <c r="Y271" i="45"/>
  <c r="X271" i="45"/>
  <c r="W271" i="45"/>
  <c r="V271" i="45"/>
  <c r="U271" i="45"/>
  <c r="T271" i="45"/>
  <c r="S271" i="45"/>
  <c r="R271" i="45"/>
  <c r="Q271" i="45"/>
  <c r="AC270" i="45"/>
  <c r="AB270" i="45"/>
  <c r="AA270" i="45"/>
  <c r="Z270" i="45"/>
  <c r="Y270" i="45"/>
  <c r="X270" i="45"/>
  <c r="W270" i="45"/>
  <c r="V270" i="45"/>
  <c r="U270" i="45"/>
  <c r="T270" i="45"/>
  <c r="S270" i="45"/>
  <c r="R270" i="45"/>
  <c r="Q270" i="45"/>
  <c r="F270" i="45"/>
  <c r="D270" i="45"/>
  <c r="C270" i="45"/>
  <c r="B270" i="45"/>
  <c r="AE265" i="45"/>
  <c r="AC265" i="45"/>
  <c r="AB265" i="45"/>
  <c r="AA265" i="45"/>
  <c r="Z265" i="45"/>
  <c r="Y265" i="45"/>
  <c r="X265" i="45"/>
  <c r="W265" i="45"/>
  <c r="V265" i="45"/>
  <c r="U265" i="45"/>
  <c r="T265" i="45"/>
  <c r="S265" i="45"/>
  <c r="R265" i="45"/>
  <c r="Q265" i="45"/>
  <c r="AE264" i="45"/>
  <c r="AC264" i="45"/>
  <c r="AB264" i="45"/>
  <c r="AA264" i="45"/>
  <c r="Z264" i="45"/>
  <c r="Y264" i="45"/>
  <c r="X264" i="45"/>
  <c r="W264" i="45"/>
  <c r="V264" i="45"/>
  <c r="U264" i="45"/>
  <c r="T264" i="45"/>
  <c r="S264" i="45"/>
  <c r="R264" i="45"/>
  <c r="Q264" i="45"/>
  <c r="AC263" i="45"/>
  <c r="AB263" i="45"/>
  <c r="AA263" i="45"/>
  <c r="Z263" i="45"/>
  <c r="Y263" i="45"/>
  <c r="X263" i="45"/>
  <c r="W263" i="45"/>
  <c r="V263" i="45"/>
  <c r="U263" i="45"/>
  <c r="T263" i="45"/>
  <c r="S263" i="45"/>
  <c r="R263" i="45"/>
  <c r="Q263" i="45"/>
  <c r="F263" i="45"/>
  <c r="D263" i="45"/>
  <c r="C263" i="45"/>
  <c r="B263" i="45"/>
  <c r="AE258" i="45"/>
  <c r="AC258" i="45"/>
  <c r="AB258" i="45"/>
  <c r="AA258" i="45"/>
  <c r="Z258" i="45"/>
  <c r="Y258" i="45"/>
  <c r="X258" i="45"/>
  <c r="W258" i="45"/>
  <c r="V258" i="45"/>
  <c r="U258" i="45"/>
  <c r="T258" i="45"/>
  <c r="S258" i="45"/>
  <c r="R258" i="45"/>
  <c r="Q258" i="45"/>
  <c r="AE257" i="45"/>
  <c r="AC257" i="45"/>
  <c r="AB257" i="45"/>
  <c r="AA257" i="45"/>
  <c r="Z257" i="45"/>
  <c r="Y257" i="45"/>
  <c r="X257" i="45"/>
  <c r="W257" i="45"/>
  <c r="V257" i="45"/>
  <c r="U257" i="45"/>
  <c r="T257" i="45"/>
  <c r="S257" i="45"/>
  <c r="R257" i="45"/>
  <c r="Q257" i="45"/>
  <c r="AE256" i="45"/>
  <c r="AC256" i="45"/>
  <c r="AB256" i="45"/>
  <c r="AA256" i="45"/>
  <c r="Z256" i="45"/>
  <c r="Y256" i="45"/>
  <c r="X256" i="45"/>
  <c r="W256" i="45"/>
  <c r="V256" i="45"/>
  <c r="U256" i="45"/>
  <c r="T256" i="45"/>
  <c r="S256" i="45"/>
  <c r="R256" i="45"/>
  <c r="Q256" i="45"/>
  <c r="AC255" i="45"/>
  <c r="AB255" i="45"/>
  <c r="AA255" i="45"/>
  <c r="Z255" i="45"/>
  <c r="Y255" i="45"/>
  <c r="X255" i="45"/>
  <c r="W255" i="45"/>
  <c r="V255" i="45"/>
  <c r="U255" i="45"/>
  <c r="T255" i="45"/>
  <c r="S255" i="45"/>
  <c r="R255" i="45"/>
  <c r="Q255" i="45"/>
  <c r="AC254" i="45"/>
  <c r="AB254" i="45"/>
  <c r="AA254" i="45"/>
  <c r="Z254" i="45"/>
  <c r="Y254" i="45"/>
  <c r="X254" i="45"/>
  <c r="W254" i="45"/>
  <c r="V254" i="45"/>
  <c r="U254" i="45"/>
  <c r="T254" i="45"/>
  <c r="S254" i="45"/>
  <c r="R254" i="45"/>
  <c r="Q254" i="45"/>
  <c r="F254" i="45"/>
  <c r="D254" i="45"/>
  <c r="C254" i="45"/>
  <c r="AC253" i="45"/>
  <c r="AB253" i="45"/>
  <c r="AA253" i="45"/>
  <c r="Z253" i="45"/>
  <c r="Y253" i="45"/>
  <c r="X253" i="45"/>
  <c r="W253" i="45"/>
  <c r="V253" i="45"/>
  <c r="U253" i="45"/>
  <c r="T253" i="45"/>
  <c r="S253" i="45"/>
  <c r="R253" i="45"/>
  <c r="Q253" i="45"/>
  <c r="F253" i="45"/>
  <c r="D253" i="45"/>
  <c r="C253" i="45"/>
  <c r="B253" i="45"/>
  <c r="AE252" i="45"/>
  <c r="AC252" i="45"/>
  <c r="AB252" i="45"/>
  <c r="AA252" i="45"/>
  <c r="Z252" i="45"/>
  <c r="Y252" i="45"/>
  <c r="X252" i="45"/>
  <c r="W252" i="45"/>
  <c r="V252" i="45"/>
  <c r="U252" i="45"/>
  <c r="T252" i="45"/>
  <c r="S252" i="45"/>
  <c r="R252" i="45"/>
  <c r="Q252" i="45"/>
  <c r="AC251" i="45"/>
  <c r="AB251" i="45"/>
  <c r="AA251" i="45"/>
  <c r="Z251" i="45"/>
  <c r="Y251" i="45"/>
  <c r="X251" i="45"/>
  <c r="W251" i="45"/>
  <c r="V251" i="45"/>
  <c r="U251" i="45"/>
  <c r="T251" i="45"/>
  <c r="S251" i="45"/>
  <c r="R251" i="45"/>
  <c r="Q251" i="45"/>
  <c r="F251" i="45"/>
  <c r="D251" i="45"/>
  <c r="C251" i="45"/>
  <c r="B251" i="45"/>
  <c r="AE250" i="45"/>
  <c r="AC250" i="45"/>
  <c r="AB250" i="45"/>
  <c r="AA250" i="45"/>
  <c r="Z250" i="45"/>
  <c r="Y250" i="45"/>
  <c r="X250" i="45"/>
  <c r="W250" i="45"/>
  <c r="V250" i="45"/>
  <c r="U250" i="45"/>
  <c r="T250" i="45"/>
  <c r="S250" i="45"/>
  <c r="R250" i="45"/>
  <c r="Q250" i="45"/>
  <c r="AC249" i="45"/>
  <c r="AB249" i="45"/>
  <c r="AA249" i="45"/>
  <c r="Z249" i="45"/>
  <c r="Y249" i="45"/>
  <c r="X249" i="45"/>
  <c r="W249" i="45"/>
  <c r="V249" i="45"/>
  <c r="U249" i="45"/>
  <c r="T249" i="45"/>
  <c r="S249" i="45"/>
  <c r="R249" i="45"/>
  <c r="Q249" i="45"/>
  <c r="F249" i="45"/>
  <c r="D249" i="45"/>
  <c r="C249" i="45"/>
  <c r="B249" i="45"/>
  <c r="A249" i="45"/>
  <c r="AC248" i="45"/>
  <c r="AB248" i="45"/>
  <c r="AA248" i="45"/>
  <c r="Z248" i="45"/>
  <c r="Y248" i="45"/>
  <c r="X248" i="45"/>
  <c r="W248" i="45"/>
  <c r="V248" i="45"/>
  <c r="U248" i="45"/>
  <c r="T248" i="45"/>
  <c r="S248" i="45"/>
  <c r="R248" i="45"/>
  <c r="Q248" i="45"/>
  <c r="F248" i="45"/>
  <c r="D248" i="45"/>
  <c r="C248" i="45"/>
  <c r="AC247" i="45"/>
  <c r="AB247" i="45"/>
  <c r="AA247" i="45"/>
  <c r="Z247" i="45"/>
  <c r="Y247" i="45"/>
  <c r="X247" i="45"/>
  <c r="W247" i="45"/>
  <c r="V247" i="45"/>
  <c r="U247" i="45"/>
  <c r="T247" i="45"/>
  <c r="S247" i="45"/>
  <c r="R247" i="45"/>
  <c r="Q247" i="45"/>
  <c r="F247" i="45"/>
  <c r="D247" i="45"/>
  <c r="C247" i="45"/>
  <c r="AC246" i="45"/>
  <c r="AB246" i="45"/>
  <c r="AA246" i="45"/>
  <c r="Z246" i="45"/>
  <c r="Y246" i="45"/>
  <c r="X246" i="45"/>
  <c r="W246" i="45"/>
  <c r="V246" i="45"/>
  <c r="U246" i="45"/>
  <c r="T246" i="45"/>
  <c r="S246" i="45"/>
  <c r="R246" i="45"/>
  <c r="Q246" i="45"/>
  <c r="F246" i="45"/>
  <c r="D246" i="45"/>
  <c r="C246" i="45"/>
  <c r="AC245" i="45"/>
  <c r="AB245" i="45"/>
  <c r="AA245" i="45"/>
  <c r="Z245" i="45"/>
  <c r="Y245" i="45"/>
  <c r="X245" i="45"/>
  <c r="W245" i="45"/>
  <c r="V245" i="45"/>
  <c r="U245" i="45"/>
  <c r="T245" i="45"/>
  <c r="S245" i="45"/>
  <c r="R245" i="45"/>
  <c r="Q245" i="45"/>
  <c r="F245" i="45"/>
  <c r="D245" i="45"/>
  <c r="C245" i="45"/>
  <c r="AC244" i="45"/>
  <c r="AB244" i="45"/>
  <c r="AA244" i="45"/>
  <c r="Z244" i="45"/>
  <c r="Y244" i="45"/>
  <c r="X244" i="45"/>
  <c r="W244" i="45"/>
  <c r="V244" i="45"/>
  <c r="U244" i="45"/>
  <c r="T244" i="45"/>
  <c r="S244" i="45"/>
  <c r="R244" i="45"/>
  <c r="Q244" i="45"/>
  <c r="F244" i="45"/>
  <c r="D244" i="45"/>
  <c r="C244" i="45"/>
  <c r="B244" i="45"/>
  <c r="AE239" i="45"/>
  <c r="AC239" i="45"/>
  <c r="AB239" i="45"/>
  <c r="AA239" i="45"/>
  <c r="Z239" i="45"/>
  <c r="Y239" i="45"/>
  <c r="X239" i="45"/>
  <c r="W239" i="45"/>
  <c r="V239" i="45"/>
  <c r="U239" i="45"/>
  <c r="T239" i="45"/>
  <c r="S239" i="45"/>
  <c r="R239" i="45"/>
  <c r="Q239" i="45"/>
  <c r="AE238" i="45"/>
  <c r="AC238" i="45"/>
  <c r="AB238" i="45"/>
  <c r="AA238" i="45"/>
  <c r="Z238" i="45"/>
  <c r="Y238" i="45"/>
  <c r="X238" i="45"/>
  <c r="W238" i="45"/>
  <c r="V238" i="45"/>
  <c r="U238" i="45"/>
  <c r="T238" i="45"/>
  <c r="S238" i="45"/>
  <c r="R238" i="45"/>
  <c r="Q238" i="45"/>
  <c r="AC237" i="45"/>
  <c r="AB237" i="45"/>
  <c r="AA237" i="45"/>
  <c r="Z237" i="45"/>
  <c r="Y237" i="45"/>
  <c r="X237" i="45"/>
  <c r="W237" i="45"/>
  <c r="V237" i="45"/>
  <c r="U237" i="45"/>
  <c r="T237" i="45"/>
  <c r="S237" i="45"/>
  <c r="R237" i="45"/>
  <c r="Q237" i="45"/>
  <c r="F237" i="45"/>
  <c r="D237" i="45"/>
  <c r="C237" i="45"/>
  <c r="B237" i="45"/>
  <c r="AE236" i="45"/>
  <c r="AC236" i="45"/>
  <c r="AB236" i="45"/>
  <c r="AA236" i="45"/>
  <c r="Z236" i="45"/>
  <c r="Y236" i="45"/>
  <c r="X236" i="45"/>
  <c r="W236" i="45"/>
  <c r="V236" i="45"/>
  <c r="U236" i="45"/>
  <c r="T236" i="45"/>
  <c r="S236" i="45"/>
  <c r="R236" i="45"/>
  <c r="Q236" i="45"/>
  <c r="AC235" i="45"/>
  <c r="AB235" i="45"/>
  <c r="AA235" i="45"/>
  <c r="Z235" i="45"/>
  <c r="Y235" i="45"/>
  <c r="X235" i="45"/>
  <c r="W235" i="45"/>
  <c r="V235" i="45"/>
  <c r="U235" i="45"/>
  <c r="T235" i="45"/>
  <c r="S235" i="45"/>
  <c r="R235" i="45"/>
  <c r="Q235" i="45"/>
  <c r="AC234" i="45"/>
  <c r="AB234" i="45"/>
  <c r="AA234" i="45"/>
  <c r="Z234" i="45"/>
  <c r="Y234" i="45"/>
  <c r="X234" i="45"/>
  <c r="W234" i="45"/>
  <c r="V234" i="45"/>
  <c r="U234" i="45"/>
  <c r="T234" i="45"/>
  <c r="S234" i="45"/>
  <c r="R234" i="45"/>
  <c r="Q234" i="45"/>
  <c r="AC233" i="45"/>
  <c r="AB233" i="45"/>
  <c r="AA233" i="45"/>
  <c r="Z233" i="45"/>
  <c r="Y233" i="45"/>
  <c r="X233" i="45"/>
  <c r="W233" i="45"/>
  <c r="V233" i="45"/>
  <c r="U233" i="45"/>
  <c r="T233" i="45"/>
  <c r="S233" i="45"/>
  <c r="R233" i="45"/>
  <c r="Q233" i="45"/>
  <c r="AC232" i="45"/>
  <c r="AB232" i="45"/>
  <c r="AA232" i="45"/>
  <c r="Z232" i="45"/>
  <c r="Y232" i="45"/>
  <c r="X232" i="45"/>
  <c r="W232" i="45"/>
  <c r="V232" i="45"/>
  <c r="U232" i="45"/>
  <c r="T232" i="45"/>
  <c r="S232" i="45"/>
  <c r="R232" i="45"/>
  <c r="Q232" i="45"/>
  <c r="F232" i="45"/>
  <c r="D232" i="45"/>
  <c r="C232" i="45"/>
  <c r="B232" i="45"/>
  <c r="AE227" i="45"/>
  <c r="AC227" i="45"/>
  <c r="AB227" i="45"/>
  <c r="AA227" i="45"/>
  <c r="Z227" i="45"/>
  <c r="Y227" i="45"/>
  <c r="X227" i="45"/>
  <c r="W227" i="45"/>
  <c r="V227" i="45"/>
  <c r="U227" i="45"/>
  <c r="T227" i="45"/>
  <c r="S227" i="45"/>
  <c r="R227" i="45"/>
  <c r="Q227" i="45"/>
  <c r="AE226" i="45"/>
  <c r="AC226" i="45"/>
  <c r="AB226" i="45"/>
  <c r="AA226" i="45"/>
  <c r="Z226" i="45"/>
  <c r="Y226" i="45"/>
  <c r="X226" i="45"/>
  <c r="W226" i="45"/>
  <c r="V226" i="45"/>
  <c r="U226" i="45"/>
  <c r="T226" i="45"/>
  <c r="S226" i="45"/>
  <c r="R226" i="45"/>
  <c r="Q226" i="45"/>
  <c r="AE225" i="45"/>
  <c r="AC225" i="45"/>
  <c r="AB225" i="45"/>
  <c r="AA225" i="45"/>
  <c r="Z225" i="45"/>
  <c r="Y225" i="45"/>
  <c r="X225" i="45"/>
  <c r="W225" i="45"/>
  <c r="V225" i="45"/>
  <c r="U225" i="45"/>
  <c r="T225" i="45"/>
  <c r="S225" i="45"/>
  <c r="R225" i="45"/>
  <c r="Q225" i="45"/>
  <c r="AC224" i="45"/>
  <c r="AB224" i="45"/>
  <c r="AA224" i="45"/>
  <c r="Z224" i="45"/>
  <c r="Y224" i="45"/>
  <c r="X224" i="45"/>
  <c r="W224" i="45"/>
  <c r="V224" i="45"/>
  <c r="U224" i="45"/>
  <c r="T224" i="45"/>
  <c r="S224" i="45"/>
  <c r="R224" i="45"/>
  <c r="Q224" i="45"/>
  <c r="F224" i="45"/>
  <c r="D224" i="45"/>
  <c r="C224" i="45"/>
  <c r="B224" i="45"/>
  <c r="AE223" i="45"/>
  <c r="AC223" i="45"/>
  <c r="AB223" i="45"/>
  <c r="AA223" i="45"/>
  <c r="Z223" i="45"/>
  <c r="Y223" i="45"/>
  <c r="X223" i="45"/>
  <c r="W223" i="45"/>
  <c r="V223" i="45"/>
  <c r="U223" i="45"/>
  <c r="T223" i="45"/>
  <c r="S223" i="45"/>
  <c r="R223" i="45"/>
  <c r="Q223" i="45"/>
  <c r="AC222" i="45"/>
  <c r="AB222" i="45"/>
  <c r="AA222" i="45"/>
  <c r="Z222" i="45"/>
  <c r="Y222" i="45"/>
  <c r="X222" i="45"/>
  <c r="W222" i="45"/>
  <c r="V222" i="45"/>
  <c r="U222" i="45"/>
  <c r="T222" i="45"/>
  <c r="S222" i="45"/>
  <c r="R222" i="45"/>
  <c r="Q222" i="45"/>
  <c r="F222" i="45"/>
  <c r="D222" i="45"/>
  <c r="C222" i="45"/>
  <c r="B222" i="45"/>
  <c r="AC219" i="45"/>
  <c r="AB219" i="45"/>
  <c r="AA219" i="45"/>
  <c r="Z219" i="45"/>
  <c r="Y219" i="45"/>
  <c r="X219" i="45"/>
  <c r="W219" i="45"/>
  <c r="V219" i="45"/>
  <c r="U219" i="45"/>
  <c r="T219" i="45"/>
  <c r="S219" i="45"/>
  <c r="R219" i="45"/>
  <c r="Q219" i="45"/>
  <c r="AE218" i="45"/>
  <c r="AC218" i="45"/>
  <c r="AB218" i="45"/>
  <c r="AA218" i="45"/>
  <c r="Z218" i="45"/>
  <c r="Y218" i="45"/>
  <c r="X218" i="45"/>
  <c r="W218" i="45"/>
  <c r="V218" i="45"/>
  <c r="U218" i="45"/>
  <c r="T218" i="45"/>
  <c r="S218" i="45"/>
  <c r="R218" i="45"/>
  <c r="Q218" i="45"/>
  <c r="AC217" i="45"/>
  <c r="AB217" i="45"/>
  <c r="AA217" i="45"/>
  <c r="Z217" i="45"/>
  <c r="Y217" i="45"/>
  <c r="X217" i="45"/>
  <c r="W217" i="45"/>
  <c r="V217" i="45"/>
  <c r="U217" i="45"/>
  <c r="T217" i="45"/>
  <c r="S217" i="45"/>
  <c r="R217" i="45"/>
  <c r="Q217" i="45"/>
  <c r="AC216" i="45"/>
  <c r="AB216" i="45"/>
  <c r="AA216" i="45"/>
  <c r="Z216" i="45"/>
  <c r="Y216" i="45"/>
  <c r="X216" i="45"/>
  <c r="W216" i="45"/>
  <c r="V216" i="45"/>
  <c r="U216" i="45"/>
  <c r="T216" i="45"/>
  <c r="S216" i="45"/>
  <c r="R216" i="45"/>
  <c r="Q216" i="45"/>
  <c r="F216" i="45"/>
  <c r="E216" i="45"/>
  <c r="D216" i="45"/>
  <c r="C216" i="45"/>
  <c r="B216" i="45"/>
  <c r="AE215" i="45"/>
  <c r="AC215" i="45"/>
  <c r="AB215" i="45"/>
  <c r="AA215" i="45"/>
  <c r="Z215" i="45"/>
  <c r="Y215" i="45"/>
  <c r="X215" i="45"/>
  <c r="W215" i="45"/>
  <c r="V215" i="45"/>
  <c r="U215" i="45"/>
  <c r="T215" i="45"/>
  <c r="S215" i="45"/>
  <c r="R215" i="45"/>
  <c r="Q215" i="45"/>
  <c r="AC214" i="45"/>
  <c r="AB214" i="45"/>
  <c r="AA214" i="45"/>
  <c r="Z214" i="45"/>
  <c r="Y214" i="45"/>
  <c r="X214" i="45"/>
  <c r="W214" i="45"/>
  <c r="V214" i="45"/>
  <c r="U214" i="45"/>
  <c r="T214" i="45"/>
  <c r="S214" i="45"/>
  <c r="R214" i="45"/>
  <c r="Q214" i="45"/>
  <c r="F214" i="45"/>
  <c r="C214" i="45"/>
  <c r="AE213" i="45"/>
  <c r="AC213" i="45"/>
  <c r="AB213" i="45"/>
  <c r="AA213" i="45"/>
  <c r="Z213" i="45"/>
  <c r="Y213" i="45"/>
  <c r="X213" i="45"/>
  <c r="W213" i="45"/>
  <c r="V213" i="45"/>
  <c r="U213" i="45"/>
  <c r="T213" i="45"/>
  <c r="S213" i="45"/>
  <c r="R213" i="45"/>
  <c r="Q213" i="45"/>
  <c r="AC212" i="45"/>
  <c r="AB212" i="45"/>
  <c r="AA212" i="45"/>
  <c r="Z212" i="45"/>
  <c r="Y212" i="45"/>
  <c r="X212" i="45"/>
  <c r="W212" i="45"/>
  <c r="V212" i="45"/>
  <c r="U212" i="45"/>
  <c r="T212" i="45"/>
  <c r="S212" i="45"/>
  <c r="R212" i="45"/>
  <c r="Q212" i="45"/>
  <c r="AC211" i="45"/>
  <c r="AB211" i="45"/>
  <c r="AA211" i="45"/>
  <c r="Z211" i="45"/>
  <c r="Y211" i="45"/>
  <c r="X211" i="45"/>
  <c r="W211" i="45"/>
  <c r="V211" i="45"/>
  <c r="U211" i="45"/>
  <c r="T211" i="45"/>
  <c r="S211" i="45"/>
  <c r="R211" i="45"/>
  <c r="Q211" i="45"/>
  <c r="AC210" i="45"/>
  <c r="AB210" i="45"/>
  <c r="AA210" i="45"/>
  <c r="Z210" i="45"/>
  <c r="Y210" i="45"/>
  <c r="X210" i="45"/>
  <c r="W210" i="45"/>
  <c r="V210" i="45"/>
  <c r="U210" i="45"/>
  <c r="T210" i="45"/>
  <c r="S210" i="45"/>
  <c r="R210" i="45"/>
  <c r="Q210" i="45"/>
  <c r="AC209" i="45"/>
  <c r="AB209" i="45"/>
  <c r="AA209" i="45"/>
  <c r="Z209" i="45"/>
  <c r="Y209" i="45"/>
  <c r="X209" i="45"/>
  <c r="W209" i="45"/>
  <c r="V209" i="45"/>
  <c r="U209" i="45"/>
  <c r="T209" i="45"/>
  <c r="S209" i="45"/>
  <c r="R209" i="45"/>
  <c r="Q209" i="45"/>
  <c r="F209" i="45"/>
  <c r="D209" i="45"/>
  <c r="C209" i="45"/>
  <c r="B209" i="45"/>
  <c r="A209" i="45"/>
  <c r="AC208" i="45"/>
  <c r="AB208" i="45"/>
  <c r="AA208" i="45"/>
  <c r="Z208" i="45"/>
  <c r="Y208" i="45"/>
  <c r="X208" i="45"/>
  <c r="W208" i="45"/>
  <c r="V208" i="45"/>
  <c r="U208" i="45"/>
  <c r="T208" i="45"/>
  <c r="S208" i="45"/>
  <c r="R208" i="45"/>
  <c r="Q208" i="45"/>
  <c r="AC207" i="45"/>
  <c r="AB207" i="45"/>
  <c r="AA207" i="45"/>
  <c r="Z207" i="45"/>
  <c r="Y207" i="45"/>
  <c r="X207" i="45"/>
  <c r="W207" i="45"/>
  <c r="V207" i="45"/>
  <c r="U207" i="45"/>
  <c r="T207" i="45"/>
  <c r="S207" i="45"/>
  <c r="R207" i="45"/>
  <c r="Q207" i="45"/>
  <c r="AC206" i="45"/>
  <c r="AB206" i="45"/>
  <c r="AA206" i="45"/>
  <c r="Z206" i="45"/>
  <c r="Y206" i="45"/>
  <c r="X206" i="45"/>
  <c r="W206" i="45"/>
  <c r="V206" i="45"/>
  <c r="U206" i="45"/>
  <c r="T206" i="45"/>
  <c r="S206" i="45"/>
  <c r="R206" i="45"/>
  <c r="Q206" i="45"/>
  <c r="AC205" i="45"/>
  <c r="AB205" i="45"/>
  <c r="AA205" i="45"/>
  <c r="Z205" i="45"/>
  <c r="Y205" i="45"/>
  <c r="X205" i="45"/>
  <c r="W205" i="45"/>
  <c r="V205" i="45"/>
  <c r="U205" i="45"/>
  <c r="T205" i="45"/>
  <c r="S205" i="45"/>
  <c r="R205" i="45"/>
  <c r="Q205" i="45"/>
  <c r="F205" i="45"/>
  <c r="D205" i="45"/>
  <c r="C205" i="45"/>
  <c r="B205" i="45"/>
  <c r="A205" i="45"/>
  <c r="AC204" i="45"/>
  <c r="AB204" i="45"/>
  <c r="AA204" i="45"/>
  <c r="Z204" i="45"/>
  <c r="Y204" i="45"/>
  <c r="X204" i="45"/>
  <c r="W204" i="45"/>
  <c r="V204" i="45"/>
  <c r="U204" i="45"/>
  <c r="T204" i="45"/>
  <c r="S204" i="45"/>
  <c r="R204" i="45"/>
  <c r="Q204" i="45"/>
  <c r="AC203" i="45"/>
  <c r="AB203" i="45"/>
  <c r="AA203" i="45"/>
  <c r="Z203" i="45"/>
  <c r="Y203" i="45"/>
  <c r="X203" i="45"/>
  <c r="W203" i="45"/>
  <c r="V203" i="45"/>
  <c r="U203" i="45"/>
  <c r="T203" i="45"/>
  <c r="S203" i="45"/>
  <c r="R203" i="45"/>
  <c r="Q203" i="45"/>
  <c r="AC202" i="45"/>
  <c r="AB202" i="45"/>
  <c r="AA202" i="45"/>
  <c r="Z202" i="45"/>
  <c r="Y202" i="45"/>
  <c r="X202" i="45"/>
  <c r="W202" i="45"/>
  <c r="V202" i="45"/>
  <c r="U202" i="45"/>
  <c r="T202" i="45"/>
  <c r="S202" i="45"/>
  <c r="R202" i="45"/>
  <c r="Q202" i="45"/>
  <c r="AC201" i="45"/>
  <c r="AB201" i="45"/>
  <c r="AA201" i="45"/>
  <c r="Z201" i="45"/>
  <c r="Y201" i="45"/>
  <c r="X201" i="45"/>
  <c r="W201" i="45"/>
  <c r="V201" i="45"/>
  <c r="U201" i="45"/>
  <c r="T201" i="45"/>
  <c r="S201" i="45"/>
  <c r="R201" i="45"/>
  <c r="Q201" i="45"/>
  <c r="AC200" i="45"/>
  <c r="AB200" i="45"/>
  <c r="AA200" i="45"/>
  <c r="Z200" i="45"/>
  <c r="Y200" i="45"/>
  <c r="X200" i="45"/>
  <c r="W200" i="45"/>
  <c r="V200" i="45"/>
  <c r="U200" i="45"/>
  <c r="T200" i="45"/>
  <c r="S200" i="45"/>
  <c r="R200" i="45"/>
  <c r="Q200" i="45"/>
  <c r="AC199" i="45"/>
  <c r="AB199" i="45"/>
  <c r="AA199" i="45"/>
  <c r="Z199" i="45"/>
  <c r="Y199" i="45"/>
  <c r="X199" i="45"/>
  <c r="W199" i="45"/>
  <c r="V199" i="45"/>
  <c r="U199" i="45"/>
  <c r="T199" i="45"/>
  <c r="S199" i="45"/>
  <c r="R199" i="45"/>
  <c r="Q199" i="45"/>
  <c r="F199" i="45"/>
  <c r="D199" i="45"/>
  <c r="C199" i="45"/>
  <c r="B199" i="45"/>
  <c r="A199" i="45"/>
  <c r="AC198" i="45"/>
  <c r="AB198" i="45"/>
  <c r="AA198" i="45"/>
  <c r="Z198" i="45"/>
  <c r="Y198" i="45"/>
  <c r="X198" i="45"/>
  <c r="W198" i="45"/>
  <c r="V198" i="45"/>
  <c r="U198" i="45"/>
  <c r="T198" i="45"/>
  <c r="S198" i="45"/>
  <c r="R198" i="45"/>
  <c r="Q198" i="45"/>
  <c r="AC197" i="45"/>
  <c r="AB197" i="45"/>
  <c r="AA197" i="45"/>
  <c r="Z197" i="45"/>
  <c r="Y197" i="45"/>
  <c r="X197" i="45"/>
  <c r="W197" i="45"/>
  <c r="V197" i="45"/>
  <c r="U197" i="45"/>
  <c r="T197" i="45"/>
  <c r="S197" i="45"/>
  <c r="R197" i="45"/>
  <c r="Q197" i="45"/>
  <c r="AC196" i="45"/>
  <c r="AB196" i="45"/>
  <c r="AA196" i="45"/>
  <c r="Z196" i="45"/>
  <c r="Y196" i="45"/>
  <c r="X196" i="45"/>
  <c r="W196" i="45"/>
  <c r="V196" i="45"/>
  <c r="U196" i="45"/>
  <c r="T196" i="45"/>
  <c r="S196" i="45"/>
  <c r="R196" i="45"/>
  <c r="Q196" i="45"/>
  <c r="AC195" i="45"/>
  <c r="AB195" i="45"/>
  <c r="AA195" i="45"/>
  <c r="Z195" i="45"/>
  <c r="Y195" i="45"/>
  <c r="X195" i="45"/>
  <c r="W195" i="45"/>
  <c r="V195" i="45"/>
  <c r="U195" i="45"/>
  <c r="T195" i="45"/>
  <c r="S195" i="45"/>
  <c r="R195" i="45"/>
  <c r="Q195" i="45"/>
  <c r="F195" i="45"/>
  <c r="D195" i="45"/>
  <c r="C195" i="45"/>
  <c r="B195" i="45"/>
  <c r="A195" i="45"/>
  <c r="AC194" i="45"/>
  <c r="AB194" i="45"/>
  <c r="AA194" i="45"/>
  <c r="Z194" i="45"/>
  <c r="Y194" i="45"/>
  <c r="X194" i="45"/>
  <c r="W194" i="45"/>
  <c r="V194" i="45"/>
  <c r="U194" i="45"/>
  <c r="T194" i="45"/>
  <c r="S194" i="45"/>
  <c r="R194" i="45"/>
  <c r="Q194" i="45"/>
  <c r="AC193" i="45"/>
  <c r="AB193" i="45"/>
  <c r="AA193" i="45"/>
  <c r="Z193" i="45"/>
  <c r="Y193" i="45"/>
  <c r="X193" i="45"/>
  <c r="W193" i="45"/>
  <c r="V193" i="45"/>
  <c r="U193" i="45"/>
  <c r="T193" i="45"/>
  <c r="S193" i="45"/>
  <c r="R193" i="45"/>
  <c r="Q193" i="45"/>
  <c r="AC192" i="45"/>
  <c r="AB192" i="45"/>
  <c r="AA192" i="45"/>
  <c r="Z192" i="45"/>
  <c r="Y192" i="45"/>
  <c r="X192" i="45"/>
  <c r="W192" i="45"/>
  <c r="V192" i="45"/>
  <c r="U192" i="45"/>
  <c r="T192" i="45"/>
  <c r="S192" i="45"/>
  <c r="R192" i="45"/>
  <c r="Q192" i="45"/>
  <c r="F192" i="45"/>
  <c r="D192" i="45"/>
  <c r="C192" i="45"/>
  <c r="B192" i="45"/>
  <c r="A192" i="45"/>
  <c r="AC191" i="45"/>
  <c r="AB191" i="45"/>
  <c r="AA191" i="45"/>
  <c r="Z191" i="45"/>
  <c r="Y191" i="45"/>
  <c r="X191" i="45"/>
  <c r="W191" i="45"/>
  <c r="V191" i="45"/>
  <c r="U191" i="45"/>
  <c r="T191" i="45"/>
  <c r="S191" i="45"/>
  <c r="R191" i="45"/>
  <c r="Q191" i="45"/>
  <c r="AC190" i="45"/>
  <c r="AB190" i="45"/>
  <c r="AA190" i="45"/>
  <c r="Z190" i="45"/>
  <c r="Y190" i="45"/>
  <c r="X190" i="45"/>
  <c r="W190" i="45"/>
  <c r="V190" i="45"/>
  <c r="U190" i="45"/>
  <c r="T190" i="45"/>
  <c r="S190" i="45"/>
  <c r="R190" i="45"/>
  <c r="Q190" i="45"/>
  <c r="AC189" i="45"/>
  <c r="AB189" i="45"/>
  <c r="AA189" i="45"/>
  <c r="Z189" i="45"/>
  <c r="Y189" i="45"/>
  <c r="X189" i="45"/>
  <c r="W189" i="45"/>
  <c r="V189" i="45"/>
  <c r="U189" i="45"/>
  <c r="T189" i="45"/>
  <c r="S189" i="45"/>
  <c r="R189" i="45"/>
  <c r="Q189" i="45"/>
  <c r="F189" i="45"/>
  <c r="D189" i="45"/>
  <c r="C189" i="45"/>
  <c r="B189" i="45"/>
  <c r="A189" i="45"/>
  <c r="AC188" i="45"/>
  <c r="AB188" i="45"/>
  <c r="AA188" i="45"/>
  <c r="Z188" i="45"/>
  <c r="Y188" i="45"/>
  <c r="X188" i="45"/>
  <c r="W188" i="45"/>
  <c r="V188" i="45"/>
  <c r="U188" i="45"/>
  <c r="T188" i="45"/>
  <c r="S188" i="45"/>
  <c r="R188" i="45"/>
  <c r="Q188" i="45"/>
  <c r="AC187" i="45"/>
  <c r="AB187" i="45"/>
  <c r="AA187" i="45"/>
  <c r="Z187" i="45"/>
  <c r="Y187" i="45"/>
  <c r="X187" i="45"/>
  <c r="W187" i="45"/>
  <c r="V187" i="45"/>
  <c r="U187" i="45"/>
  <c r="T187" i="45"/>
  <c r="S187" i="45"/>
  <c r="R187" i="45"/>
  <c r="Q187" i="45"/>
  <c r="AC186" i="45"/>
  <c r="AB186" i="45"/>
  <c r="AA186" i="45"/>
  <c r="Z186" i="45"/>
  <c r="Y186" i="45"/>
  <c r="X186" i="45"/>
  <c r="W186" i="45"/>
  <c r="V186" i="45"/>
  <c r="U186" i="45"/>
  <c r="T186" i="45"/>
  <c r="S186" i="45"/>
  <c r="R186" i="45"/>
  <c r="Q186" i="45"/>
  <c r="AC185" i="45"/>
  <c r="AB185" i="45"/>
  <c r="AA185" i="45"/>
  <c r="Z185" i="45"/>
  <c r="Y185" i="45"/>
  <c r="X185" i="45"/>
  <c r="W185" i="45"/>
  <c r="V185" i="45"/>
  <c r="U185" i="45"/>
  <c r="T185" i="45"/>
  <c r="S185" i="45"/>
  <c r="R185" i="45"/>
  <c r="Q185" i="45"/>
  <c r="F185" i="45"/>
  <c r="D185" i="45"/>
  <c r="C185" i="45"/>
  <c r="B185" i="45"/>
  <c r="A185" i="45"/>
  <c r="AC184" i="45"/>
  <c r="AB184" i="45"/>
  <c r="AA184" i="45"/>
  <c r="Z184" i="45"/>
  <c r="Y184" i="45"/>
  <c r="X184" i="45"/>
  <c r="W184" i="45"/>
  <c r="V184" i="45"/>
  <c r="U184" i="45"/>
  <c r="T184" i="45"/>
  <c r="S184" i="45"/>
  <c r="R184" i="45"/>
  <c r="Q184" i="45"/>
  <c r="AC183" i="45"/>
  <c r="AB183" i="45"/>
  <c r="AA183" i="45"/>
  <c r="Z183" i="45"/>
  <c r="Y183" i="45"/>
  <c r="X183" i="45"/>
  <c r="W183" i="45"/>
  <c r="V183" i="45"/>
  <c r="U183" i="45"/>
  <c r="T183" i="45"/>
  <c r="S183" i="45"/>
  <c r="R183" i="45"/>
  <c r="Q183" i="45"/>
  <c r="AC182" i="45"/>
  <c r="AB182" i="45"/>
  <c r="AA182" i="45"/>
  <c r="Z182" i="45"/>
  <c r="Y182" i="45"/>
  <c r="X182" i="45"/>
  <c r="W182" i="45"/>
  <c r="V182" i="45"/>
  <c r="U182" i="45"/>
  <c r="T182" i="45"/>
  <c r="S182" i="45"/>
  <c r="R182" i="45"/>
  <c r="Q182" i="45"/>
  <c r="AC181" i="45"/>
  <c r="AB181" i="45"/>
  <c r="AA181" i="45"/>
  <c r="Z181" i="45"/>
  <c r="Y181" i="45"/>
  <c r="X181" i="45"/>
  <c r="W181" i="45"/>
  <c r="V181" i="45"/>
  <c r="U181" i="45"/>
  <c r="T181" i="45"/>
  <c r="S181" i="45"/>
  <c r="R181" i="45"/>
  <c r="Q181" i="45"/>
  <c r="AC180" i="45"/>
  <c r="AB180" i="45"/>
  <c r="AA180" i="45"/>
  <c r="Z180" i="45"/>
  <c r="Y180" i="45"/>
  <c r="X180" i="45"/>
  <c r="W180" i="45"/>
  <c r="V180" i="45"/>
  <c r="U180" i="45"/>
  <c r="T180" i="45"/>
  <c r="S180" i="45"/>
  <c r="R180" i="45"/>
  <c r="Q180" i="45"/>
  <c r="AC179" i="45"/>
  <c r="AB179" i="45"/>
  <c r="AA179" i="45"/>
  <c r="Z179" i="45"/>
  <c r="Y179" i="45"/>
  <c r="X179" i="45"/>
  <c r="W179" i="45"/>
  <c r="V179" i="45"/>
  <c r="U179" i="45"/>
  <c r="T179" i="45"/>
  <c r="S179" i="45"/>
  <c r="R179" i="45"/>
  <c r="Q179" i="45"/>
  <c r="AC178" i="45"/>
  <c r="AB178" i="45"/>
  <c r="AA178" i="45"/>
  <c r="Z178" i="45"/>
  <c r="Y178" i="45"/>
  <c r="X178" i="45"/>
  <c r="W178" i="45"/>
  <c r="V178" i="45"/>
  <c r="U178" i="45"/>
  <c r="T178" i="45"/>
  <c r="S178" i="45"/>
  <c r="R178" i="45"/>
  <c r="Q178" i="45"/>
  <c r="AC177" i="45"/>
  <c r="AB177" i="45"/>
  <c r="AA177" i="45"/>
  <c r="Z177" i="45"/>
  <c r="Y177" i="45"/>
  <c r="X177" i="45"/>
  <c r="W177" i="45"/>
  <c r="V177" i="45"/>
  <c r="U177" i="45"/>
  <c r="T177" i="45"/>
  <c r="S177" i="45"/>
  <c r="R177" i="45"/>
  <c r="Q177" i="45"/>
  <c r="F177" i="45"/>
  <c r="D177" i="45"/>
  <c r="C177" i="45"/>
  <c r="B177" i="45"/>
  <c r="A177" i="45"/>
  <c r="AC176" i="45"/>
  <c r="AB176" i="45"/>
  <c r="AA176" i="45"/>
  <c r="Z176" i="45"/>
  <c r="Y176" i="45"/>
  <c r="X176" i="45"/>
  <c r="W176" i="45"/>
  <c r="V176" i="45"/>
  <c r="U176" i="45"/>
  <c r="T176" i="45"/>
  <c r="S176" i="45"/>
  <c r="R176" i="45"/>
  <c r="Q176" i="45"/>
  <c r="AC175" i="45"/>
  <c r="AB175" i="45"/>
  <c r="AA175" i="45"/>
  <c r="Z175" i="45"/>
  <c r="Y175" i="45"/>
  <c r="X175" i="45"/>
  <c r="W175" i="45"/>
  <c r="V175" i="45"/>
  <c r="U175" i="45"/>
  <c r="T175" i="45"/>
  <c r="S175" i="45"/>
  <c r="R175" i="45"/>
  <c r="Q175" i="45"/>
  <c r="AC174" i="45"/>
  <c r="AB174" i="45"/>
  <c r="AA174" i="45"/>
  <c r="Z174" i="45"/>
  <c r="Y174" i="45"/>
  <c r="X174" i="45"/>
  <c r="W174" i="45"/>
  <c r="V174" i="45"/>
  <c r="U174" i="45"/>
  <c r="T174" i="45"/>
  <c r="S174" i="45"/>
  <c r="R174" i="45"/>
  <c r="Q174" i="45"/>
  <c r="F174" i="45"/>
  <c r="D174" i="45"/>
  <c r="C174" i="45"/>
  <c r="B174" i="45"/>
  <c r="A174" i="45"/>
  <c r="AC173" i="45"/>
  <c r="AB173" i="45"/>
  <c r="AA173" i="45"/>
  <c r="Z173" i="45"/>
  <c r="Y173" i="45"/>
  <c r="X173" i="45"/>
  <c r="W173" i="45"/>
  <c r="V173" i="45"/>
  <c r="U173" i="45"/>
  <c r="T173" i="45"/>
  <c r="S173" i="45"/>
  <c r="R173" i="45"/>
  <c r="Q173" i="45"/>
  <c r="AC172" i="45"/>
  <c r="AB172" i="45"/>
  <c r="AA172" i="45"/>
  <c r="Z172" i="45"/>
  <c r="Y172" i="45"/>
  <c r="X172" i="45"/>
  <c r="W172" i="45"/>
  <c r="V172" i="45"/>
  <c r="U172" i="45"/>
  <c r="T172" i="45"/>
  <c r="S172" i="45"/>
  <c r="R172" i="45"/>
  <c r="Q172" i="45"/>
  <c r="AC171" i="45"/>
  <c r="AB171" i="45"/>
  <c r="AA171" i="45"/>
  <c r="Z171" i="45"/>
  <c r="Y171" i="45"/>
  <c r="X171" i="45"/>
  <c r="W171" i="45"/>
  <c r="V171" i="45"/>
  <c r="U171" i="45"/>
  <c r="T171" i="45"/>
  <c r="S171" i="45"/>
  <c r="R171" i="45"/>
  <c r="Q171" i="45"/>
  <c r="AC170" i="45"/>
  <c r="AB170" i="45"/>
  <c r="AA170" i="45"/>
  <c r="Z170" i="45"/>
  <c r="Y170" i="45"/>
  <c r="X170" i="45"/>
  <c r="W170" i="45"/>
  <c r="V170" i="45"/>
  <c r="U170" i="45"/>
  <c r="T170" i="45"/>
  <c r="S170" i="45"/>
  <c r="R170" i="45"/>
  <c r="Q170" i="45"/>
  <c r="AC169" i="45"/>
  <c r="AB169" i="45"/>
  <c r="AA169" i="45"/>
  <c r="Z169" i="45"/>
  <c r="Y169" i="45"/>
  <c r="X169" i="45"/>
  <c r="W169" i="45"/>
  <c r="V169" i="45"/>
  <c r="U169" i="45"/>
  <c r="T169" i="45"/>
  <c r="S169" i="45"/>
  <c r="R169" i="45"/>
  <c r="Q169" i="45"/>
  <c r="F169" i="45"/>
  <c r="D169" i="45"/>
  <c r="C169" i="45"/>
  <c r="B169" i="45"/>
  <c r="A169" i="45"/>
  <c r="AC168" i="45"/>
  <c r="AB168" i="45"/>
  <c r="AA168" i="45"/>
  <c r="Z168" i="45"/>
  <c r="Y168" i="45"/>
  <c r="X168" i="45"/>
  <c r="W168" i="45"/>
  <c r="V168" i="45"/>
  <c r="U168" i="45"/>
  <c r="T168" i="45"/>
  <c r="S168" i="45"/>
  <c r="R168" i="45"/>
  <c r="Q168" i="45"/>
  <c r="AC167" i="45"/>
  <c r="AB167" i="45"/>
  <c r="AA167" i="45"/>
  <c r="Z167" i="45"/>
  <c r="Y167" i="45"/>
  <c r="X167" i="45"/>
  <c r="W167" i="45"/>
  <c r="V167" i="45"/>
  <c r="U167" i="45"/>
  <c r="T167" i="45"/>
  <c r="S167" i="45"/>
  <c r="R167" i="45"/>
  <c r="Q167" i="45"/>
  <c r="AC166" i="45"/>
  <c r="AB166" i="45"/>
  <c r="AA166" i="45"/>
  <c r="Z166" i="45"/>
  <c r="Y166" i="45"/>
  <c r="X166" i="45"/>
  <c r="W166" i="45"/>
  <c r="V166" i="45"/>
  <c r="U166" i="45"/>
  <c r="T166" i="45"/>
  <c r="S166" i="45"/>
  <c r="R166" i="45"/>
  <c r="Q166" i="45"/>
  <c r="AC165" i="45"/>
  <c r="AB165" i="45"/>
  <c r="AA165" i="45"/>
  <c r="Z165" i="45"/>
  <c r="Y165" i="45"/>
  <c r="X165" i="45"/>
  <c r="W165" i="45"/>
  <c r="V165" i="45"/>
  <c r="U165" i="45"/>
  <c r="T165" i="45"/>
  <c r="S165" i="45"/>
  <c r="R165" i="45"/>
  <c r="Q165" i="45"/>
  <c r="AC164" i="45"/>
  <c r="AB164" i="45"/>
  <c r="AA164" i="45"/>
  <c r="Z164" i="45"/>
  <c r="Y164" i="45"/>
  <c r="X164" i="45"/>
  <c r="W164" i="45"/>
  <c r="V164" i="45"/>
  <c r="U164" i="45"/>
  <c r="T164" i="45"/>
  <c r="S164" i="45"/>
  <c r="R164" i="45"/>
  <c r="Q164" i="45"/>
  <c r="AC163" i="45"/>
  <c r="AB163" i="45"/>
  <c r="AA163" i="45"/>
  <c r="Z163" i="45"/>
  <c r="Y163" i="45"/>
  <c r="X163" i="45"/>
  <c r="W163" i="45"/>
  <c r="V163" i="45"/>
  <c r="U163" i="45"/>
  <c r="T163" i="45"/>
  <c r="S163" i="45"/>
  <c r="R163" i="45"/>
  <c r="Q163" i="45"/>
  <c r="F163" i="45"/>
  <c r="D163" i="45"/>
  <c r="C163" i="45"/>
  <c r="B163" i="45"/>
  <c r="A163" i="45"/>
  <c r="AC162" i="45"/>
  <c r="AB162" i="45"/>
  <c r="AA162" i="45"/>
  <c r="Z162" i="45"/>
  <c r="Y162" i="45"/>
  <c r="X162" i="45"/>
  <c r="W162" i="45"/>
  <c r="V162" i="45"/>
  <c r="U162" i="45"/>
  <c r="T162" i="45"/>
  <c r="S162" i="45"/>
  <c r="R162" i="45"/>
  <c r="Q162" i="45"/>
  <c r="AC161" i="45"/>
  <c r="AB161" i="45"/>
  <c r="AA161" i="45"/>
  <c r="Z161" i="45"/>
  <c r="Y161" i="45"/>
  <c r="X161" i="45"/>
  <c r="W161" i="45"/>
  <c r="V161" i="45"/>
  <c r="U161" i="45"/>
  <c r="T161" i="45"/>
  <c r="S161" i="45"/>
  <c r="R161" i="45"/>
  <c r="Q161" i="45"/>
  <c r="AC160" i="45"/>
  <c r="AB160" i="45"/>
  <c r="AA160" i="45"/>
  <c r="Z160" i="45"/>
  <c r="Y160" i="45"/>
  <c r="X160" i="45"/>
  <c r="W160" i="45"/>
  <c r="V160" i="45"/>
  <c r="U160" i="45"/>
  <c r="T160" i="45"/>
  <c r="S160" i="45"/>
  <c r="R160" i="45"/>
  <c r="Q160" i="45"/>
  <c r="F160" i="45"/>
  <c r="D160" i="45"/>
  <c r="C160" i="45"/>
  <c r="B160" i="45"/>
  <c r="AC159" i="45"/>
  <c r="AB159" i="45"/>
  <c r="AA159" i="45"/>
  <c r="Z159" i="45"/>
  <c r="Y159" i="45"/>
  <c r="X159" i="45"/>
  <c r="W159" i="45"/>
  <c r="V159" i="45"/>
  <c r="U159" i="45"/>
  <c r="T159" i="45"/>
  <c r="S159" i="45"/>
  <c r="R159" i="45"/>
  <c r="Q159" i="45"/>
  <c r="AC158" i="45"/>
  <c r="AB158" i="45"/>
  <c r="AA158" i="45"/>
  <c r="Z158" i="45"/>
  <c r="Y158" i="45"/>
  <c r="X158" i="45"/>
  <c r="W158" i="45"/>
  <c r="V158" i="45"/>
  <c r="U158" i="45"/>
  <c r="T158" i="45"/>
  <c r="S158" i="45"/>
  <c r="R158" i="45"/>
  <c r="Q158" i="45"/>
  <c r="F158" i="45"/>
  <c r="D158" i="45"/>
  <c r="C158" i="45"/>
  <c r="B158" i="45"/>
  <c r="A158" i="45"/>
  <c r="AC157" i="45"/>
  <c r="AB157" i="45"/>
  <c r="AA157" i="45"/>
  <c r="Z157" i="45"/>
  <c r="Y157" i="45"/>
  <c r="X157" i="45"/>
  <c r="W157" i="45"/>
  <c r="V157" i="45"/>
  <c r="U157" i="45"/>
  <c r="T157" i="45"/>
  <c r="S157" i="45"/>
  <c r="R157" i="45"/>
  <c r="Q157" i="45"/>
  <c r="AC156" i="45"/>
  <c r="AB156" i="45"/>
  <c r="AA156" i="45"/>
  <c r="Z156" i="45"/>
  <c r="Y156" i="45"/>
  <c r="X156" i="45"/>
  <c r="W156" i="45"/>
  <c r="V156" i="45"/>
  <c r="U156" i="45"/>
  <c r="T156" i="45"/>
  <c r="S156" i="45"/>
  <c r="R156" i="45"/>
  <c r="Q156" i="45"/>
  <c r="AC155" i="45"/>
  <c r="AB155" i="45"/>
  <c r="AA155" i="45"/>
  <c r="Z155" i="45"/>
  <c r="Y155" i="45"/>
  <c r="X155" i="45"/>
  <c r="W155" i="45"/>
  <c r="V155" i="45"/>
  <c r="U155" i="45"/>
  <c r="T155" i="45"/>
  <c r="S155" i="45"/>
  <c r="R155" i="45"/>
  <c r="Q155" i="45"/>
  <c r="AC154" i="45"/>
  <c r="AB154" i="45"/>
  <c r="AA154" i="45"/>
  <c r="Z154" i="45"/>
  <c r="Y154" i="45"/>
  <c r="X154" i="45"/>
  <c r="W154" i="45"/>
  <c r="V154" i="45"/>
  <c r="U154" i="45"/>
  <c r="T154" i="45"/>
  <c r="S154" i="45"/>
  <c r="R154" i="45"/>
  <c r="Q154" i="45"/>
  <c r="F154" i="45"/>
  <c r="D154" i="45"/>
  <c r="C154" i="45"/>
  <c r="B154" i="45"/>
  <c r="AE149" i="45"/>
  <c r="AC149" i="45"/>
  <c r="AB149" i="45"/>
  <c r="AA149" i="45"/>
  <c r="Z149" i="45"/>
  <c r="Y149" i="45"/>
  <c r="X149" i="45"/>
  <c r="W149" i="45"/>
  <c r="V149" i="45"/>
  <c r="U149" i="45"/>
  <c r="T149" i="45"/>
  <c r="S149" i="45"/>
  <c r="R149" i="45"/>
  <c r="Q149" i="45"/>
  <c r="AE148" i="45"/>
  <c r="AC148" i="45"/>
  <c r="AB148" i="45"/>
  <c r="AA148" i="45"/>
  <c r="Z148" i="45"/>
  <c r="Y148" i="45"/>
  <c r="X148" i="45"/>
  <c r="W148" i="45"/>
  <c r="V148" i="45"/>
  <c r="U148" i="45"/>
  <c r="T148" i="45"/>
  <c r="S148" i="45"/>
  <c r="R148" i="45"/>
  <c r="Q148" i="45"/>
  <c r="AC147" i="45"/>
  <c r="AB147" i="45"/>
  <c r="AA147" i="45"/>
  <c r="Z147" i="45"/>
  <c r="Y147" i="45"/>
  <c r="X147" i="45"/>
  <c r="W147" i="45"/>
  <c r="V147" i="45"/>
  <c r="U147" i="45"/>
  <c r="T147" i="45"/>
  <c r="S147" i="45"/>
  <c r="R147" i="45"/>
  <c r="Q147" i="45"/>
  <c r="F147" i="45"/>
  <c r="D147" i="45"/>
  <c r="C147" i="45"/>
  <c r="B147" i="45"/>
  <c r="AE146" i="45"/>
  <c r="AC146" i="45"/>
  <c r="AB146" i="45"/>
  <c r="AA146" i="45"/>
  <c r="Z146" i="45"/>
  <c r="Y146" i="45"/>
  <c r="X146" i="45"/>
  <c r="W146" i="45"/>
  <c r="V146" i="45"/>
  <c r="U146" i="45"/>
  <c r="T146" i="45"/>
  <c r="S146" i="45"/>
  <c r="R146" i="45"/>
  <c r="Q146" i="45"/>
  <c r="AC145" i="45"/>
  <c r="AB145" i="45"/>
  <c r="AA145" i="45"/>
  <c r="Z145" i="45"/>
  <c r="Y145" i="45"/>
  <c r="X145" i="45"/>
  <c r="W145" i="45"/>
  <c r="V145" i="45"/>
  <c r="U145" i="45"/>
  <c r="T145" i="45"/>
  <c r="S145" i="45"/>
  <c r="R145" i="45"/>
  <c r="Q145" i="45"/>
  <c r="N145" i="45"/>
  <c r="AC144" i="45"/>
  <c r="AB144" i="45"/>
  <c r="AA144" i="45"/>
  <c r="Z144" i="45"/>
  <c r="Y144" i="45"/>
  <c r="X144" i="45"/>
  <c r="W144" i="45"/>
  <c r="V144" i="45"/>
  <c r="U144" i="45"/>
  <c r="T144" i="45"/>
  <c r="S144" i="45"/>
  <c r="R144" i="45"/>
  <c r="Q144" i="45"/>
  <c r="N144" i="45"/>
  <c r="F144" i="45"/>
  <c r="D144" i="45"/>
  <c r="C144" i="45"/>
  <c r="B144" i="45"/>
  <c r="AE139" i="45"/>
  <c r="AC139" i="45"/>
  <c r="AB139" i="45"/>
  <c r="AA139" i="45"/>
  <c r="Z139" i="45"/>
  <c r="Y139" i="45"/>
  <c r="X139" i="45"/>
  <c r="W139" i="45"/>
  <c r="V139" i="45"/>
  <c r="U139" i="45"/>
  <c r="T139" i="45"/>
  <c r="S139" i="45"/>
  <c r="R139" i="45"/>
  <c r="Q139" i="45"/>
  <c r="AE138" i="45"/>
  <c r="AC138" i="45"/>
  <c r="AB138" i="45"/>
  <c r="AA138" i="45"/>
  <c r="Z138" i="45"/>
  <c r="Y138" i="45"/>
  <c r="X138" i="45"/>
  <c r="W138" i="45"/>
  <c r="V138" i="45"/>
  <c r="U138" i="45"/>
  <c r="T138" i="45"/>
  <c r="S138" i="45"/>
  <c r="R138" i="45"/>
  <c r="Q138" i="45"/>
  <c r="AE137" i="45"/>
  <c r="AC137" i="45"/>
  <c r="AB137" i="45"/>
  <c r="AA137" i="45"/>
  <c r="Z137" i="45"/>
  <c r="Y137" i="45"/>
  <c r="X137" i="45"/>
  <c r="W137" i="45"/>
  <c r="V137" i="45"/>
  <c r="U137" i="45"/>
  <c r="T137" i="45"/>
  <c r="S137" i="45"/>
  <c r="R137" i="45"/>
  <c r="Q137" i="45"/>
  <c r="AC136" i="45"/>
  <c r="AB136" i="45"/>
  <c r="AA136" i="45"/>
  <c r="Z136" i="45"/>
  <c r="Y136" i="45"/>
  <c r="X136" i="45"/>
  <c r="W136" i="45"/>
  <c r="V136" i="45"/>
  <c r="U136" i="45"/>
  <c r="T136" i="45"/>
  <c r="S136" i="45"/>
  <c r="R136" i="45"/>
  <c r="Q136" i="45"/>
  <c r="F136" i="45"/>
  <c r="D136" i="45"/>
  <c r="C136" i="45"/>
  <c r="AE135" i="45"/>
  <c r="AC135" i="45"/>
  <c r="AB135" i="45"/>
  <c r="AA135" i="45"/>
  <c r="Z135" i="45"/>
  <c r="Y135" i="45"/>
  <c r="X135" i="45"/>
  <c r="W135" i="45"/>
  <c r="V135" i="45"/>
  <c r="U135" i="45"/>
  <c r="T135" i="45"/>
  <c r="S135" i="45"/>
  <c r="R135" i="45"/>
  <c r="Q135" i="45"/>
  <c r="AC134" i="45"/>
  <c r="AB134" i="45"/>
  <c r="AA134" i="45"/>
  <c r="Z134" i="45"/>
  <c r="Y134" i="45"/>
  <c r="X134" i="45"/>
  <c r="W134" i="45"/>
  <c r="V134" i="45"/>
  <c r="U134" i="45"/>
  <c r="T134" i="45"/>
  <c r="S134" i="45"/>
  <c r="R134" i="45"/>
  <c r="Q134" i="45"/>
  <c r="F134" i="45"/>
  <c r="D134" i="45"/>
  <c r="C134" i="45"/>
  <c r="AE129" i="45"/>
  <c r="AC129" i="45"/>
  <c r="AB129" i="45"/>
  <c r="AA129" i="45"/>
  <c r="Z129" i="45"/>
  <c r="Y129" i="45"/>
  <c r="X129" i="45"/>
  <c r="W129" i="45"/>
  <c r="V129" i="45"/>
  <c r="U129" i="45"/>
  <c r="T129" i="45"/>
  <c r="S129" i="45"/>
  <c r="R129" i="45"/>
  <c r="Q129" i="45"/>
  <c r="AE128" i="45"/>
  <c r="AC128" i="45"/>
  <c r="AB128" i="45"/>
  <c r="AA128" i="45"/>
  <c r="Z128" i="45"/>
  <c r="Y128" i="45"/>
  <c r="X128" i="45"/>
  <c r="W128" i="45"/>
  <c r="V128" i="45"/>
  <c r="U128" i="45"/>
  <c r="T128" i="45"/>
  <c r="S128" i="45"/>
  <c r="R128" i="45"/>
  <c r="Q128" i="45"/>
  <c r="AC127" i="45"/>
  <c r="AB127" i="45"/>
  <c r="AA127" i="45"/>
  <c r="Z127" i="45"/>
  <c r="Y127" i="45"/>
  <c r="X127" i="45"/>
  <c r="W127" i="45"/>
  <c r="V127" i="45"/>
  <c r="U127" i="45"/>
  <c r="T127" i="45"/>
  <c r="S127" i="45"/>
  <c r="R127" i="45"/>
  <c r="Q127" i="45"/>
  <c r="P127" i="45"/>
  <c r="F127" i="45"/>
  <c r="D127" i="45"/>
  <c r="C127" i="45"/>
  <c r="AE126" i="45"/>
  <c r="AC126" i="45"/>
  <c r="AB126" i="45"/>
  <c r="AA126" i="45"/>
  <c r="Z126" i="45"/>
  <c r="Y126" i="45"/>
  <c r="X126" i="45"/>
  <c r="W126" i="45"/>
  <c r="V126" i="45"/>
  <c r="U126" i="45"/>
  <c r="T126" i="45"/>
  <c r="S126" i="45"/>
  <c r="R126" i="45"/>
  <c r="Q126" i="45"/>
  <c r="AC125" i="45"/>
  <c r="AB125" i="45"/>
  <c r="AA125" i="45"/>
  <c r="Z125" i="45"/>
  <c r="Y125" i="45"/>
  <c r="X125" i="45"/>
  <c r="W125" i="45"/>
  <c r="V125" i="45"/>
  <c r="U125" i="45"/>
  <c r="T125" i="45"/>
  <c r="S125" i="45"/>
  <c r="R125" i="45"/>
  <c r="Q125" i="45"/>
  <c r="F125" i="45"/>
  <c r="D125" i="45"/>
  <c r="C125" i="45"/>
  <c r="AE124" i="45"/>
  <c r="AC124" i="45"/>
  <c r="AB124" i="45"/>
  <c r="AA124" i="45"/>
  <c r="Z124" i="45"/>
  <c r="Y124" i="45"/>
  <c r="X124" i="45"/>
  <c r="W124" i="45"/>
  <c r="V124" i="45"/>
  <c r="U124" i="45"/>
  <c r="T124" i="45"/>
  <c r="S124" i="45"/>
  <c r="R124" i="45"/>
  <c r="Q124" i="45"/>
  <c r="AC123" i="45"/>
  <c r="AB123" i="45"/>
  <c r="AA123" i="45"/>
  <c r="Z123" i="45"/>
  <c r="Y123" i="45"/>
  <c r="X123" i="45"/>
  <c r="W123" i="45"/>
  <c r="V123" i="45"/>
  <c r="U123" i="45"/>
  <c r="T123" i="45"/>
  <c r="S123" i="45"/>
  <c r="R123" i="45"/>
  <c r="Q123" i="45"/>
  <c r="F123" i="45"/>
  <c r="D123" i="45"/>
  <c r="C123" i="45"/>
  <c r="AE122" i="45"/>
  <c r="AC122" i="45"/>
  <c r="AB122" i="45"/>
  <c r="AA122" i="45"/>
  <c r="Z122" i="45"/>
  <c r="Y122" i="45"/>
  <c r="X122" i="45"/>
  <c r="W122" i="45"/>
  <c r="V122" i="45"/>
  <c r="U122" i="45"/>
  <c r="T122" i="45"/>
  <c r="S122" i="45"/>
  <c r="R122" i="45"/>
  <c r="Q122" i="45"/>
  <c r="AC121" i="45"/>
  <c r="AB121" i="45"/>
  <c r="AA121" i="45"/>
  <c r="Z121" i="45"/>
  <c r="Y121" i="45"/>
  <c r="X121" i="45"/>
  <c r="W121" i="45"/>
  <c r="V121" i="45"/>
  <c r="U121" i="45"/>
  <c r="T121" i="45"/>
  <c r="S121" i="45"/>
  <c r="R121" i="45"/>
  <c r="Q121" i="45"/>
  <c r="F121" i="45"/>
  <c r="D121" i="45"/>
  <c r="C121" i="45"/>
  <c r="AC120" i="45"/>
  <c r="AB120" i="45"/>
  <c r="AA120" i="45"/>
  <c r="Z120" i="45"/>
  <c r="Y120" i="45"/>
  <c r="X120" i="45"/>
  <c r="W120" i="45"/>
  <c r="V120" i="45"/>
  <c r="U120" i="45"/>
  <c r="T120" i="45"/>
  <c r="S120" i="45"/>
  <c r="R120" i="45"/>
  <c r="Q120" i="45"/>
  <c r="F120" i="45"/>
  <c r="D120" i="45"/>
  <c r="C120" i="45"/>
  <c r="AE119" i="45"/>
  <c r="AC119" i="45"/>
  <c r="AB119" i="45"/>
  <c r="AA119" i="45"/>
  <c r="Z119" i="45"/>
  <c r="Y119" i="45"/>
  <c r="X119" i="45"/>
  <c r="W119" i="45"/>
  <c r="V119" i="45"/>
  <c r="U119" i="45"/>
  <c r="T119" i="45"/>
  <c r="S119" i="45"/>
  <c r="R119" i="45"/>
  <c r="Q119" i="45"/>
  <c r="AC118" i="45"/>
  <c r="AB118" i="45"/>
  <c r="AA118" i="45"/>
  <c r="Z118" i="45"/>
  <c r="Y118" i="45"/>
  <c r="X118" i="45"/>
  <c r="W118" i="45"/>
  <c r="V118" i="45"/>
  <c r="U118" i="45"/>
  <c r="T118" i="45"/>
  <c r="S118" i="45"/>
  <c r="R118" i="45"/>
  <c r="Q118" i="45"/>
  <c r="F118" i="45"/>
  <c r="D118" i="45"/>
  <c r="C118" i="45"/>
  <c r="AC117" i="45"/>
  <c r="AB117" i="45"/>
  <c r="AA117" i="45"/>
  <c r="Z117" i="45"/>
  <c r="Y117" i="45"/>
  <c r="X117" i="45"/>
  <c r="W117" i="45"/>
  <c r="V117" i="45"/>
  <c r="U117" i="45"/>
  <c r="T117" i="45"/>
  <c r="S117" i="45"/>
  <c r="R117" i="45"/>
  <c r="Q117" i="45"/>
  <c r="AC116" i="45"/>
  <c r="AB116" i="45"/>
  <c r="AA116" i="45"/>
  <c r="Z116" i="45"/>
  <c r="Y116" i="45"/>
  <c r="X116" i="45"/>
  <c r="W116" i="45"/>
  <c r="V116" i="45"/>
  <c r="U116" i="45"/>
  <c r="T116" i="45"/>
  <c r="S116" i="45"/>
  <c r="R116" i="45"/>
  <c r="Q116" i="45"/>
  <c r="AC115" i="45"/>
  <c r="AB115" i="45"/>
  <c r="AA115" i="45"/>
  <c r="Z115" i="45"/>
  <c r="Y115" i="45"/>
  <c r="X115" i="45"/>
  <c r="W115" i="45"/>
  <c r="V115" i="45"/>
  <c r="U115" i="45"/>
  <c r="T115" i="45"/>
  <c r="S115" i="45"/>
  <c r="R115" i="45"/>
  <c r="Q115" i="45"/>
  <c r="F115" i="45"/>
  <c r="C115" i="45"/>
  <c r="AE114" i="45"/>
  <c r="AC114" i="45"/>
  <c r="AB114" i="45"/>
  <c r="AA114" i="45"/>
  <c r="Z114" i="45"/>
  <c r="Y114" i="45"/>
  <c r="X114" i="45"/>
  <c r="W114" i="45"/>
  <c r="V114" i="45"/>
  <c r="U114" i="45"/>
  <c r="T114" i="45"/>
  <c r="S114" i="45"/>
  <c r="R114" i="45"/>
  <c r="Q114" i="45"/>
  <c r="AC113" i="45"/>
  <c r="AB113" i="45"/>
  <c r="AA113" i="45"/>
  <c r="Z113" i="45"/>
  <c r="Y113" i="45"/>
  <c r="X113" i="45"/>
  <c r="W113" i="45"/>
  <c r="V113" i="45"/>
  <c r="U113" i="45"/>
  <c r="T113" i="45"/>
  <c r="S113" i="45"/>
  <c r="R113" i="45"/>
  <c r="Q113" i="45"/>
  <c r="F113" i="45"/>
  <c r="D113" i="45"/>
  <c r="C113" i="45"/>
  <c r="AC112" i="45"/>
  <c r="AB112" i="45"/>
  <c r="AA112" i="45"/>
  <c r="Z112" i="45"/>
  <c r="Y112" i="45"/>
  <c r="X112" i="45"/>
  <c r="W112" i="45"/>
  <c r="V112" i="45"/>
  <c r="U112" i="45"/>
  <c r="T112" i="45"/>
  <c r="S112" i="45"/>
  <c r="R112" i="45"/>
  <c r="Q112" i="45"/>
  <c r="F112" i="45"/>
  <c r="D112" i="45"/>
  <c r="C112" i="45"/>
  <c r="AC111" i="45"/>
  <c r="AB111" i="45"/>
  <c r="AA111" i="45"/>
  <c r="Z111" i="45"/>
  <c r="Y111" i="45"/>
  <c r="X111" i="45"/>
  <c r="W111" i="45"/>
  <c r="V111" i="45"/>
  <c r="U111" i="45"/>
  <c r="T111" i="45"/>
  <c r="S111" i="45"/>
  <c r="R111" i="45"/>
  <c r="Q111" i="45"/>
  <c r="F111" i="45"/>
  <c r="D111" i="45"/>
  <c r="C111" i="45"/>
  <c r="AC110" i="45"/>
  <c r="AB110" i="45"/>
  <c r="AA110" i="45"/>
  <c r="Z110" i="45"/>
  <c r="Y110" i="45"/>
  <c r="X110" i="45"/>
  <c r="W110" i="45"/>
  <c r="V110" i="45"/>
  <c r="U110" i="45"/>
  <c r="T110" i="45"/>
  <c r="S110" i="45"/>
  <c r="R110" i="45"/>
  <c r="Q110" i="45"/>
  <c r="F110" i="45"/>
  <c r="D110" i="45"/>
  <c r="C110" i="45"/>
  <c r="AE109" i="45"/>
  <c r="AC109" i="45"/>
  <c r="AB109" i="45"/>
  <c r="AA109" i="45"/>
  <c r="Z109" i="45"/>
  <c r="Y109" i="45"/>
  <c r="X109" i="45"/>
  <c r="W109" i="45"/>
  <c r="V109" i="45"/>
  <c r="U109" i="45"/>
  <c r="T109" i="45"/>
  <c r="S109" i="45"/>
  <c r="R109" i="45"/>
  <c r="Q109" i="45"/>
  <c r="AC108" i="45"/>
  <c r="AB108" i="45"/>
  <c r="AA108" i="45"/>
  <c r="Z108" i="45"/>
  <c r="Y108" i="45"/>
  <c r="X108" i="45"/>
  <c r="W108" i="45"/>
  <c r="V108" i="45"/>
  <c r="U108" i="45"/>
  <c r="T108" i="45"/>
  <c r="S108" i="45"/>
  <c r="R108" i="45"/>
  <c r="Q108" i="45"/>
  <c r="AC107" i="45"/>
  <c r="AB107" i="45"/>
  <c r="AA107" i="45"/>
  <c r="Z107" i="45"/>
  <c r="Y107" i="45"/>
  <c r="X107" i="45"/>
  <c r="W107" i="45"/>
  <c r="V107" i="45"/>
  <c r="U107" i="45"/>
  <c r="T107" i="45"/>
  <c r="S107" i="45"/>
  <c r="R107" i="45"/>
  <c r="Q107" i="45"/>
  <c r="AC106" i="45"/>
  <c r="AB106" i="45"/>
  <c r="AA106" i="45"/>
  <c r="Z106" i="45"/>
  <c r="Y106" i="45"/>
  <c r="X106" i="45"/>
  <c r="W106" i="45"/>
  <c r="V106" i="45"/>
  <c r="U106" i="45"/>
  <c r="T106" i="45"/>
  <c r="S106" i="45"/>
  <c r="R106" i="45"/>
  <c r="Q106" i="45"/>
  <c r="F106" i="45"/>
  <c r="C106" i="45"/>
  <c r="AE101" i="45"/>
  <c r="AC101" i="45"/>
  <c r="AB101" i="45"/>
  <c r="AA101" i="45"/>
  <c r="Z101" i="45"/>
  <c r="Y101" i="45"/>
  <c r="X101" i="45"/>
  <c r="W101" i="45"/>
  <c r="V101" i="45"/>
  <c r="U101" i="45"/>
  <c r="T101" i="45"/>
  <c r="S101" i="45"/>
  <c r="R101" i="45"/>
  <c r="Q101" i="45"/>
  <c r="AE100" i="45"/>
  <c r="AC100" i="45"/>
  <c r="AB100" i="45"/>
  <c r="AA100" i="45"/>
  <c r="Z100" i="45"/>
  <c r="Y100" i="45"/>
  <c r="X100" i="45"/>
  <c r="W100" i="45"/>
  <c r="V100" i="45"/>
  <c r="U100" i="45"/>
  <c r="T100" i="45"/>
  <c r="S100" i="45"/>
  <c r="R100" i="45"/>
  <c r="Q100" i="45"/>
  <c r="AC99" i="45"/>
  <c r="AB99" i="45"/>
  <c r="AA99" i="45"/>
  <c r="Z99" i="45"/>
  <c r="Y99" i="45"/>
  <c r="X99" i="45"/>
  <c r="W99" i="45"/>
  <c r="V99" i="45"/>
  <c r="U99" i="45"/>
  <c r="T99" i="45"/>
  <c r="S99" i="45"/>
  <c r="R99" i="45"/>
  <c r="Q99" i="45"/>
  <c r="AC98" i="45"/>
  <c r="AB98" i="45"/>
  <c r="AA98" i="45"/>
  <c r="Z98" i="45"/>
  <c r="Y98" i="45"/>
  <c r="X98" i="45"/>
  <c r="W98" i="45"/>
  <c r="V98" i="45"/>
  <c r="U98" i="45"/>
  <c r="T98" i="45"/>
  <c r="S98" i="45"/>
  <c r="R98" i="45"/>
  <c r="Q98" i="45"/>
  <c r="AC97" i="45"/>
  <c r="AB97" i="45"/>
  <c r="AA97" i="45"/>
  <c r="Z97" i="45"/>
  <c r="Y97" i="45"/>
  <c r="X97" i="45"/>
  <c r="W97" i="45"/>
  <c r="V97" i="45"/>
  <c r="U97" i="45"/>
  <c r="T97" i="45"/>
  <c r="S97" i="45"/>
  <c r="R97" i="45"/>
  <c r="Q97" i="45"/>
  <c r="AC96" i="45"/>
  <c r="AB96" i="45"/>
  <c r="AA96" i="45"/>
  <c r="Z96" i="45"/>
  <c r="Y96" i="45"/>
  <c r="X96" i="45"/>
  <c r="W96" i="45"/>
  <c r="V96" i="45"/>
  <c r="U96" i="45"/>
  <c r="T96" i="45"/>
  <c r="S96" i="45"/>
  <c r="R96" i="45"/>
  <c r="Q96" i="45"/>
  <c r="AC95" i="45"/>
  <c r="AB95" i="45"/>
  <c r="AA95" i="45"/>
  <c r="Z95" i="45"/>
  <c r="Y95" i="45"/>
  <c r="X95" i="45"/>
  <c r="W95" i="45"/>
  <c r="V95" i="45"/>
  <c r="U95" i="45"/>
  <c r="T95" i="45"/>
  <c r="S95" i="45"/>
  <c r="R95" i="45"/>
  <c r="Q95" i="45"/>
  <c r="AC94" i="45"/>
  <c r="AB94" i="45"/>
  <c r="AA94" i="45"/>
  <c r="Z94" i="45"/>
  <c r="Y94" i="45"/>
  <c r="X94" i="45"/>
  <c r="W94" i="45"/>
  <c r="V94" i="45"/>
  <c r="U94" i="45"/>
  <c r="T94" i="45"/>
  <c r="S94" i="45"/>
  <c r="R94" i="45"/>
  <c r="Q94" i="45"/>
  <c r="AC93" i="45"/>
  <c r="AB93" i="45"/>
  <c r="AA93" i="45"/>
  <c r="Z93" i="45"/>
  <c r="Y93" i="45"/>
  <c r="X93" i="45"/>
  <c r="W93" i="45"/>
  <c r="V93" i="45"/>
  <c r="U93" i="45"/>
  <c r="T93" i="45"/>
  <c r="S93" i="45"/>
  <c r="R93" i="45"/>
  <c r="Q93" i="45"/>
  <c r="AC92" i="45"/>
  <c r="AB92" i="45"/>
  <c r="AA92" i="45"/>
  <c r="Z92" i="45"/>
  <c r="Y92" i="45"/>
  <c r="X92" i="45"/>
  <c r="W92" i="45"/>
  <c r="V92" i="45"/>
  <c r="U92" i="45"/>
  <c r="T92" i="45"/>
  <c r="S92" i="45"/>
  <c r="R92" i="45"/>
  <c r="Q92" i="45"/>
  <c r="AC91" i="45"/>
  <c r="AB91" i="45"/>
  <c r="AA91" i="45"/>
  <c r="Z91" i="45"/>
  <c r="Y91" i="45"/>
  <c r="X91" i="45"/>
  <c r="W91" i="45"/>
  <c r="V91" i="45"/>
  <c r="U91" i="45"/>
  <c r="T91" i="45"/>
  <c r="S91" i="45"/>
  <c r="R91" i="45"/>
  <c r="Q91" i="45"/>
  <c r="F91" i="45"/>
  <c r="D91" i="45"/>
  <c r="C91" i="45"/>
  <c r="AE90" i="45"/>
  <c r="AC90" i="45"/>
  <c r="AB90" i="45"/>
  <c r="AA90" i="45"/>
  <c r="Z90" i="45"/>
  <c r="Y90" i="45"/>
  <c r="X90" i="45"/>
  <c r="W90" i="45"/>
  <c r="V90" i="45"/>
  <c r="U90" i="45"/>
  <c r="T90" i="45"/>
  <c r="S90" i="45"/>
  <c r="R90" i="45"/>
  <c r="Q90" i="45"/>
  <c r="AC89" i="45"/>
  <c r="AB89" i="45"/>
  <c r="AA89" i="45"/>
  <c r="Z89" i="45"/>
  <c r="Y89" i="45"/>
  <c r="X89" i="45"/>
  <c r="W89" i="45"/>
  <c r="V89" i="45"/>
  <c r="U89" i="45"/>
  <c r="T89" i="45"/>
  <c r="S89" i="45"/>
  <c r="R89" i="45"/>
  <c r="Q89" i="45"/>
  <c r="AC88" i="45"/>
  <c r="AB88" i="45"/>
  <c r="AA88" i="45"/>
  <c r="Z88" i="45"/>
  <c r="Y88" i="45"/>
  <c r="X88" i="45"/>
  <c r="W88" i="45"/>
  <c r="V88" i="45"/>
  <c r="U88" i="45"/>
  <c r="T88" i="45"/>
  <c r="S88" i="45"/>
  <c r="R88" i="45"/>
  <c r="Q88" i="45"/>
  <c r="AC87" i="45"/>
  <c r="AB87" i="45"/>
  <c r="AA87" i="45"/>
  <c r="Z87" i="45"/>
  <c r="Y87" i="45"/>
  <c r="X87" i="45"/>
  <c r="W87" i="45"/>
  <c r="V87" i="45"/>
  <c r="U87" i="45"/>
  <c r="T87" i="45"/>
  <c r="S87" i="45"/>
  <c r="R87" i="45"/>
  <c r="Q87" i="45"/>
  <c r="AC86" i="45"/>
  <c r="AB86" i="45"/>
  <c r="AA86" i="45"/>
  <c r="Z86" i="45"/>
  <c r="Y86" i="45"/>
  <c r="X86" i="45"/>
  <c r="W86" i="45"/>
  <c r="V86" i="45"/>
  <c r="U86" i="45"/>
  <c r="T86" i="45"/>
  <c r="S86" i="45"/>
  <c r="R86" i="45"/>
  <c r="Q86" i="45"/>
  <c r="AC85" i="45"/>
  <c r="AB85" i="45"/>
  <c r="AA85" i="45"/>
  <c r="Z85" i="45"/>
  <c r="Y85" i="45"/>
  <c r="X85" i="45"/>
  <c r="W85" i="45"/>
  <c r="V85" i="45"/>
  <c r="U85" i="45"/>
  <c r="T85" i="45"/>
  <c r="S85" i="45"/>
  <c r="R85" i="45"/>
  <c r="Q85" i="45"/>
  <c r="AC84" i="45"/>
  <c r="AB84" i="45"/>
  <c r="AA84" i="45"/>
  <c r="Z84" i="45"/>
  <c r="Y84" i="45"/>
  <c r="X84" i="45"/>
  <c r="W84" i="45"/>
  <c r="V84" i="45"/>
  <c r="U84" i="45"/>
  <c r="T84" i="45"/>
  <c r="S84" i="45"/>
  <c r="R84" i="45"/>
  <c r="Q84" i="45"/>
  <c r="AC83" i="45"/>
  <c r="AB83" i="45"/>
  <c r="AA83" i="45"/>
  <c r="Z83" i="45"/>
  <c r="Y83" i="45"/>
  <c r="X83" i="45"/>
  <c r="W83" i="45"/>
  <c r="V83" i="45"/>
  <c r="U83" i="45"/>
  <c r="T83" i="45"/>
  <c r="S83" i="45"/>
  <c r="R83" i="45"/>
  <c r="Q83" i="45"/>
  <c r="AC82" i="45"/>
  <c r="AB82" i="45"/>
  <c r="AA82" i="45"/>
  <c r="Z82" i="45"/>
  <c r="Y82" i="45"/>
  <c r="X82" i="45"/>
  <c r="W82" i="45"/>
  <c r="V82" i="45"/>
  <c r="U82" i="45"/>
  <c r="T82" i="45"/>
  <c r="S82" i="45"/>
  <c r="R82" i="45"/>
  <c r="Q82" i="45"/>
  <c r="AC81" i="45"/>
  <c r="AB81" i="45"/>
  <c r="AA81" i="45"/>
  <c r="Z81" i="45"/>
  <c r="Y81" i="45"/>
  <c r="X81" i="45"/>
  <c r="W81" i="45"/>
  <c r="V81" i="45"/>
  <c r="U81" i="45"/>
  <c r="T81" i="45"/>
  <c r="S81" i="45"/>
  <c r="R81" i="45"/>
  <c r="Q81" i="45"/>
  <c r="AC80" i="45"/>
  <c r="AB80" i="45"/>
  <c r="AA80" i="45"/>
  <c r="Z80" i="45"/>
  <c r="Y80" i="45"/>
  <c r="X80" i="45"/>
  <c r="W80" i="45"/>
  <c r="V80" i="45"/>
  <c r="U80" i="45"/>
  <c r="T80" i="45"/>
  <c r="S80" i="45"/>
  <c r="R80" i="45"/>
  <c r="Q80" i="45"/>
  <c r="P80" i="45"/>
  <c r="F80" i="45"/>
  <c r="D80" i="45"/>
  <c r="C80" i="45"/>
  <c r="B80" i="45"/>
  <c r="A80" i="45"/>
  <c r="AC79" i="45"/>
  <c r="AB79" i="45"/>
  <c r="AA79" i="45"/>
  <c r="Z79" i="45"/>
  <c r="Y79" i="45"/>
  <c r="X79" i="45"/>
  <c r="W79" i="45"/>
  <c r="V79" i="45"/>
  <c r="U79" i="45"/>
  <c r="T79" i="45"/>
  <c r="S79" i="45"/>
  <c r="R79" i="45"/>
  <c r="Q79" i="45"/>
  <c r="AC78" i="45"/>
  <c r="AB78" i="45"/>
  <c r="AA78" i="45"/>
  <c r="Z78" i="45"/>
  <c r="Y78" i="45"/>
  <c r="X78" i="45"/>
  <c r="W78" i="45"/>
  <c r="V78" i="45"/>
  <c r="U78" i="45"/>
  <c r="T78" i="45"/>
  <c r="S78" i="45"/>
  <c r="R78" i="45"/>
  <c r="Q78" i="45"/>
  <c r="AC77" i="45"/>
  <c r="AB77" i="45"/>
  <c r="AA77" i="45"/>
  <c r="Z77" i="45"/>
  <c r="Y77" i="45"/>
  <c r="X77" i="45"/>
  <c r="W77" i="45"/>
  <c r="V77" i="45"/>
  <c r="U77" i="45"/>
  <c r="T77" i="45"/>
  <c r="S77" i="45"/>
  <c r="R77" i="45"/>
  <c r="Q77" i="45"/>
  <c r="AC76" i="45"/>
  <c r="AB76" i="45"/>
  <c r="AA76" i="45"/>
  <c r="Z76" i="45"/>
  <c r="Y76" i="45"/>
  <c r="X76" i="45"/>
  <c r="W76" i="45"/>
  <c r="V76" i="45"/>
  <c r="U76" i="45"/>
  <c r="T76" i="45"/>
  <c r="S76" i="45"/>
  <c r="R76" i="45"/>
  <c r="Q76" i="45"/>
  <c r="F76" i="45"/>
  <c r="D76" i="45"/>
  <c r="C76" i="45"/>
  <c r="AC75" i="45"/>
  <c r="AB75" i="45"/>
  <c r="AA75" i="45"/>
  <c r="Z75" i="45"/>
  <c r="Y75" i="45"/>
  <c r="X75" i="45"/>
  <c r="W75" i="45"/>
  <c r="V75" i="45"/>
  <c r="U75" i="45"/>
  <c r="T75" i="45"/>
  <c r="S75" i="45"/>
  <c r="R75" i="45"/>
  <c r="Q75" i="45"/>
  <c r="F75" i="45"/>
  <c r="D75" i="45"/>
  <c r="C75" i="45"/>
  <c r="AE74" i="45"/>
  <c r="AC74" i="45"/>
  <c r="AB74" i="45"/>
  <c r="AA74" i="45"/>
  <c r="Z74" i="45"/>
  <c r="Y74" i="45"/>
  <c r="X74" i="45"/>
  <c r="W74" i="45"/>
  <c r="V74" i="45"/>
  <c r="U74" i="45"/>
  <c r="T74" i="45"/>
  <c r="S74" i="45"/>
  <c r="R74" i="45"/>
  <c r="Q74" i="45"/>
  <c r="AC73" i="45"/>
  <c r="AB73" i="45"/>
  <c r="AA73" i="45"/>
  <c r="Z73" i="45"/>
  <c r="Y73" i="45"/>
  <c r="X73" i="45"/>
  <c r="W73" i="45"/>
  <c r="V73" i="45"/>
  <c r="U73" i="45"/>
  <c r="T73" i="45"/>
  <c r="S73" i="45"/>
  <c r="R73" i="45"/>
  <c r="Q73" i="45"/>
  <c r="AC72" i="45"/>
  <c r="AB72" i="45"/>
  <c r="AA72" i="45"/>
  <c r="Z72" i="45"/>
  <c r="Y72" i="45"/>
  <c r="X72" i="45"/>
  <c r="W72" i="45"/>
  <c r="V72" i="45"/>
  <c r="U72" i="45"/>
  <c r="T72" i="45"/>
  <c r="S72" i="45"/>
  <c r="R72" i="45"/>
  <c r="Q72" i="45"/>
  <c r="F72" i="45"/>
  <c r="C72" i="45"/>
  <c r="AE67" i="45"/>
  <c r="AC67" i="45"/>
  <c r="AB67" i="45"/>
  <c r="AA67" i="45"/>
  <c r="Z67" i="45"/>
  <c r="Y67" i="45"/>
  <c r="X67" i="45"/>
  <c r="W67" i="45"/>
  <c r="V67" i="45"/>
  <c r="U67" i="45"/>
  <c r="T67" i="45"/>
  <c r="S67" i="45"/>
  <c r="R67" i="45"/>
  <c r="Q67" i="45"/>
  <c r="AE66" i="45"/>
  <c r="AC66" i="45"/>
  <c r="AB66" i="45"/>
  <c r="AA66" i="45"/>
  <c r="Z66" i="45"/>
  <c r="Y66" i="45"/>
  <c r="X66" i="45"/>
  <c r="W66" i="45"/>
  <c r="V66" i="45"/>
  <c r="U66" i="45"/>
  <c r="T66" i="45"/>
  <c r="S66" i="45"/>
  <c r="R66" i="45"/>
  <c r="Q66" i="45"/>
  <c r="AC65" i="45"/>
  <c r="AB65" i="45"/>
  <c r="AA65" i="45"/>
  <c r="Z65" i="45"/>
  <c r="Y65" i="45"/>
  <c r="X65" i="45"/>
  <c r="W65" i="45"/>
  <c r="V65" i="45"/>
  <c r="U65" i="45"/>
  <c r="T65" i="45"/>
  <c r="S65" i="45"/>
  <c r="R65" i="45"/>
  <c r="Q65" i="45"/>
  <c r="AC64" i="45"/>
  <c r="AB64" i="45"/>
  <c r="AA64" i="45"/>
  <c r="Z64" i="45"/>
  <c r="Y64" i="45"/>
  <c r="X64" i="45"/>
  <c r="W64" i="45"/>
  <c r="V64" i="45"/>
  <c r="U64" i="45"/>
  <c r="T64" i="45"/>
  <c r="S64" i="45"/>
  <c r="R64" i="45"/>
  <c r="Q64" i="45"/>
  <c r="AC63" i="45"/>
  <c r="AB63" i="45"/>
  <c r="AA63" i="45"/>
  <c r="Z63" i="45"/>
  <c r="Y63" i="45"/>
  <c r="X63" i="45"/>
  <c r="W63" i="45"/>
  <c r="V63" i="45"/>
  <c r="U63" i="45"/>
  <c r="T63" i="45"/>
  <c r="S63" i="45"/>
  <c r="R63" i="45"/>
  <c r="Q63" i="45"/>
  <c r="F63" i="45"/>
  <c r="D63" i="45"/>
  <c r="C63" i="45"/>
  <c r="AE62" i="45"/>
  <c r="AC62" i="45"/>
  <c r="AB62" i="45"/>
  <c r="AA62" i="45"/>
  <c r="Z62" i="45"/>
  <c r="Y62" i="45"/>
  <c r="X62" i="45"/>
  <c r="W62" i="45"/>
  <c r="V62" i="45"/>
  <c r="U62" i="45"/>
  <c r="T62" i="45"/>
  <c r="S62" i="45"/>
  <c r="R62" i="45"/>
  <c r="Q62" i="45"/>
  <c r="AC61" i="45"/>
  <c r="AB61" i="45"/>
  <c r="AA61" i="45"/>
  <c r="Z61" i="45"/>
  <c r="Y61" i="45"/>
  <c r="X61" i="45"/>
  <c r="W61" i="45"/>
  <c r="V61" i="45"/>
  <c r="U61" i="45"/>
  <c r="T61" i="45"/>
  <c r="S61" i="45"/>
  <c r="R61" i="45"/>
  <c r="Q61" i="45"/>
  <c r="AC60" i="45"/>
  <c r="AB60" i="45"/>
  <c r="AA60" i="45"/>
  <c r="Z60" i="45"/>
  <c r="Y60" i="45"/>
  <c r="X60" i="45"/>
  <c r="W60" i="45"/>
  <c r="V60" i="45"/>
  <c r="U60" i="45"/>
  <c r="T60" i="45"/>
  <c r="S60" i="45"/>
  <c r="R60" i="45"/>
  <c r="Q60" i="45"/>
  <c r="AC59" i="45"/>
  <c r="AB59" i="45"/>
  <c r="AA59" i="45"/>
  <c r="Z59" i="45"/>
  <c r="Y59" i="45"/>
  <c r="X59" i="45"/>
  <c r="W59" i="45"/>
  <c r="V59" i="45"/>
  <c r="U59" i="45"/>
  <c r="T59" i="45"/>
  <c r="S59" i="45"/>
  <c r="R59" i="45"/>
  <c r="Q59" i="45"/>
  <c r="AC58" i="45"/>
  <c r="AB58" i="45"/>
  <c r="AA58" i="45"/>
  <c r="Z58" i="45"/>
  <c r="Y58" i="45"/>
  <c r="X58" i="45"/>
  <c r="W58" i="45"/>
  <c r="V58" i="45"/>
  <c r="U58" i="45"/>
  <c r="T58" i="45"/>
  <c r="S58" i="45"/>
  <c r="R58" i="45"/>
  <c r="Q58" i="45"/>
  <c r="AC57" i="45"/>
  <c r="AB57" i="45"/>
  <c r="AA57" i="45"/>
  <c r="Z57" i="45"/>
  <c r="Y57" i="45"/>
  <c r="X57" i="45"/>
  <c r="W57" i="45"/>
  <c r="V57" i="45"/>
  <c r="U57" i="45"/>
  <c r="T57" i="45"/>
  <c r="S57" i="45"/>
  <c r="R57" i="45"/>
  <c r="Q57" i="45"/>
  <c r="AC56" i="45"/>
  <c r="AB56" i="45"/>
  <c r="AA56" i="45"/>
  <c r="Z56" i="45"/>
  <c r="Y56" i="45"/>
  <c r="X56" i="45"/>
  <c r="W56" i="45"/>
  <c r="V56" i="45"/>
  <c r="U56" i="45"/>
  <c r="T56" i="45"/>
  <c r="S56" i="45"/>
  <c r="R56" i="45"/>
  <c r="Q56" i="45"/>
  <c r="AC55" i="45"/>
  <c r="AB55" i="45"/>
  <c r="AA55" i="45"/>
  <c r="Z55" i="45"/>
  <c r="Y55" i="45"/>
  <c r="X55" i="45"/>
  <c r="W55" i="45"/>
  <c r="V55" i="45"/>
  <c r="U55" i="45"/>
  <c r="T55" i="45"/>
  <c r="S55" i="45"/>
  <c r="R55" i="45"/>
  <c r="Q55" i="45"/>
  <c r="AC54" i="45"/>
  <c r="AB54" i="45"/>
  <c r="AA54" i="45"/>
  <c r="Z54" i="45"/>
  <c r="Y54" i="45"/>
  <c r="X54" i="45"/>
  <c r="W54" i="45"/>
  <c r="V54" i="45"/>
  <c r="U54" i="45"/>
  <c r="T54" i="45"/>
  <c r="S54" i="45"/>
  <c r="R54" i="45"/>
  <c r="Q54" i="45"/>
  <c r="AC53" i="45"/>
  <c r="AB53" i="45"/>
  <c r="AA53" i="45"/>
  <c r="Z53" i="45"/>
  <c r="Y53" i="45"/>
  <c r="X53" i="45"/>
  <c r="W53" i="45"/>
  <c r="V53" i="45"/>
  <c r="U53" i="45"/>
  <c r="T53" i="45"/>
  <c r="S53" i="45"/>
  <c r="R53" i="45"/>
  <c r="Q53" i="45"/>
  <c r="F53" i="45"/>
  <c r="D53" i="45"/>
  <c r="C53" i="45"/>
  <c r="B53" i="45"/>
  <c r="A53" i="45"/>
  <c r="AC52" i="45"/>
  <c r="AB52" i="45"/>
  <c r="AA52" i="45"/>
  <c r="Z52" i="45"/>
  <c r="Y52" i="45"/>
  <c r="X52" i="45"/>
  <c r="W52" i="45"/>
  <c r="V52" i="45"/>
  <c r="U52" i="45"/>
  <c r="T52" i="45"/>
  <c r="S52" i="45"/>
  <c r="R52" i="45"/>
  <c r="Q52" i="45"/>
  <c r="AC51" i="45"/>
  <c r="AB51" i="45"/>
  <c r="AA51" i="45"/>
  <c r="Z51" i="45"/>
  <c r="Y51" i="45"/>
  <c r="X51" i="45"/>
  <c r="W51" i="45"/>
  <c r="V51" i="45"/>
  <c r="U51" i="45"/>
  <c r="T51" i="45"/>
  <c r="S51" i="45"/>
  <c r="R51" i="45"/>
  <c r="Q51" i="45"/>
  <c r="AC50" i="45"/>
  <c r="AB50" i="45"/>
  <c r="AA50" i="45"/>
  <c r="Z50" i="45"/>
  <c r="Y50" i="45"/>
  <c r="X50" i="45"/>
  <c r="W50" i="45"/>
  <c r="V50" i="45"/>
  <c r="U50" i="45"/>
  <c r="T50" i="45"/>
  <c r="S50" i="45"/>
  <c r="R50" i="45"/>
  <c r="Q50" i="45"/>
  <c r="AC49" i="45"/>
  <c r="AB49" i="45"/>
  <c r="AA49" i="45"/>
  <c r="Z49" i="45"/>
  <c r="Y49" i="45"/>
  <c r="X49" i="45"/>
  <c r="W49" i="45"/>
  <c r="V49" i="45"/>
  <c r="U49" i="45"/>
  <c r="T49" i="45"/>
  <c r="S49" i="45"/>
  <c r="R49" i="45"/>
  <c r="Q49" i="45"/>
  <c r="AC48" i="45"/>
  <c r="AB48" i="45"/>
  <c r="AA48" i="45"/>
  <c r="Z48" i="45"/>
  <c r="Y48" i="45"/>
  <c r="X48" i="45"/>
  <c r="W48" i="45"/>
  <c r="V48" i="45"/>
  <c r="U48" i="45"/>
  <c r="T48" i="45"/>
  <c r="S48" i="45"/>
  <c r="R48" i="45"/>
  <c r="Q48" i="45"/>
  <c r="AC47" i="45"/>
  <c r="AB47" i="45"/>
  <c r="AA47" i="45"/>
  <c r="Z47" i="45"/>
  <c r="Y47" i="45"/>
  <c r="X47" i="45"/>
  <c r="W47" i="45"/>
  <c r="V47" i="45"/>
  <c r="U47" i="45"/>
  <c r="T47" i="45"/>
  <c r="S47" i="45"/>
  <c r="R47" i="45"/>
  <c r="Q47" i="45"/>
  <c r="F47" i="45"/>
  <c r="D47" i="45"/>
  <c r="C47" i="45"/>
  <c r="B47" i="45"/>
  <c r="A47" i="45"/>
  <c r="AC46" i="45"/>
  <c r="AB46" i="45"/>
  <c r="AA46" i="45"/>
  <c r="Z46" i="45"/>
  <c r="Y46" i="45"/>
  <c r="X46" i="45"/>
  <c r="W46" i="45"/>
  <c r="V46" i="45"/>
  <c r="U46" i="45"/>
  <c r="T46" i="45"/>
  <c r="S46" i="45"/>
  <c r="R46" i="45"/>
  <c r="Q46" i="45"/>
  <c r="AC45" i="45"/>
  <c r="AB45" i="45"/>
  <c r="AA45" i="45"/>
  <c r="Z45" i="45"/>
  <c r="Y45" i="45"/>
  <c r="X45" i="45"/>
  <c r="W45" i="45"/>
  <c r="V45" i="45"/>
  <c r="U45" i="45"/>
  <c r="T45" i="45"/>
  <c r="S45" i="45"/>
  <c r="R45" i="45"/>
  <c r="Q45" i="45"/>
  <c r="AC44" i="45"/>
  <c r="AB44" i="45"/>
  <c r="AA44" i="45"/>
  <c r="Z44" i="45"/>
  <c r="Y44" i="45"/>
  <c r="X44" i="45"/>
  <c r="W44" i="45"/>
  <c r="V44" i="45"/>
  <c r="U44" i="45"/>
  <c r="T44" i="45"/>
  <c r="S44" i="45"/>
  <c r="R44" i="45"/>
  <c r="Q44" i="45"/>
  <c r="AC43" i="45"/>
  <c r="AB43" i="45"/>
  <c r="AA43" i="45"/>
  <c r="Z43" i="45"/>
  <c r="Y43" i="45"/>
  <c r="X43" i="45"/>
  <c r="W43" i="45"/>
  <c r="V43" i="45"/>
  <c r="U43" i="45"/>
  <c r="T43" i="45"/>
  <c r="S43" i="45"/>
  <c r="R43" i="45"/>
  <c r="Q43" i="45"/>
  <c r="AC42" i="45"/>
  <c r="AB42" i="45"/>
  <c r="AA42" i="45"/>
  <c r="Z42" i="45"/>
  <c r="Y42" i="45"/>
  <c r="X42" i="45"/>
  <c r="W42" i="45"/>
  <c r="V42" i="45"/>
  <c r="U42" i="45"/>
  <c r="T42" i="45"/>
  <c r="S42" i="45"/>
  <c r="R42" i="45"/>
  <c r="Q42" i="45"/>
  <c r="AC41" i="45"/>
  <c r="AB41" i="45"/>
  <c r="AA41" i="45"/>
  <c r="Z41" i="45"/>
  <c r="Y41" i="45"/>
  <c r="X41" i="45"/>
  <c r="W41" i="45"/>
  <c r="V41" i="45"/>
  <c r="U41" i="45"/>
  <c r="T41" i="45"/>
  <c r="S41" i="45"/>
  <c r="R41" i="45"/>
  <c r="Q41" i="45"/>
  <c r="AC40" i="45"/>
  <c r="AB40" i="45"/>
  <c r="AA40" i="45"/>
  <c r="Z40" i="45"/>
  <c r="Y40" i="45"/>
  <c r="X40" i="45"/>
  <c r="W40" i="45"/>
  <c r="V40" i="45"/>
  <c r="U40" i="45"/>
  <c r="T40" i="45"/>
  <c r="S40" i="45"/>
  <c r="R40" i="45"/>
  <c r="Q40" i="45"/>
  <c r="AC39" i="45"/>
  <c r="AB39" i="45"/>
  <c r="AA39" i="45"/>
  <c r="Z39" i="45"/>
  <c r="Y39" i="45"/>
  <c r="X39" i="45"/>
  <c r="W39" i="45"/>
  <c r="V39" i="45"/>
  <c r="U39" i="45"/>
  <c r="T39" i="45"/>
  <c r="S39" i="45"/>
  <c r="R39" i="45"/>
  <c r="Q39" i="45"/>
  <c r="AC38" i="45"/>
  <c r="AB38" i="45"/>
  <c r="AA38" i="45"/>
  <c r="Z38" i="45"/>
  <c r="Y38" i="45"/>
  <c r="X38" i="45"/>
  <c r="W38" i="45"/>
  <c r="V38" i="45"/>
  <c r="U38" i="45"/>
  <c r="T38" i="45"/>
  <c r="S38" i="45"/>
  <c r="R38" i="45"/>
  <c r="Q38" i="45"/>
  <c r="AC37" i="45"/>
  <c r="AB37" i="45"/>
  <c r="AA37" i="45"/>
  <c r="Z37" i="45"/>
  <c r="Y37" i="45"/>
  <c r="X37" i="45"/>
  <c r="W37" i="45"/>
  <c r="V37" i="45"/>
  <c r="U37" i="45"/>
  <c r="T37" i="45"/>
  <c r="S37" i="45"/>
  <c r="R37" i="45"/>
  <c r="Q37" i="45"/>
  <c r="AC36" i="45"/>
  <c r="AB36" i="45"/>
  <c r="AA36" i="45"/>
  <c r="Z36" i="45"/>
  <c r="Y36" i="45"/>
  <c r="X36" i="45"/>
  <c r="W36" i="45"/>
  <c r="V36" i="45"/>
  <c r="U36" i="45"/>
  <c r="T36" i="45"/>
  <c r="S36" i="45"/>
  <c r="R36" i="45"/>
  <c r="Q36" i="45"/>
  <c r="F36" i="45"/>
  <c r="C36" i="45"/>
  <c r="AE31" i="45"/>
  <c r="AC31" i="45"/>
  <c r="AB31" i="45"/>
  <c r="AA31" i="45"/>
  <c r="Z31" i="45"/>
  <c r="Y31" i="45"/>
  <c r="X31" i="45"/>
  <c r="W31" i="45"/>
  <c r="V31" i="45"/>
  <c r="U31" i="45"/>
  <c r="T31" i="45"/>
  <c r="S31" i="45"/>
  <c r="R31" i="45"/>
  <c r="Q31" i="45"/>
  <c r="AE30" i="45"/>
  <c r="AC30" i="45"/>
  <c r="AB30" i="45"/>
  <c r="AA30" i="45"/>
  <c r="Z30" i="45"/>
  <c r="Y30" i="45"/>
  <c r="X30" i="45"/>
  <c r="W30" i="45"/>
  <c r="V30" i="45"/>
  <c r="U30" i="45"/>
  <c r="T30" i="45"/>
  <c r="S30" i="45"/>
  <c r="R30" i="45"/>
  <c r="Q30" i="45"/>
  <c r="AC29" i="45"/>
  <c r="AB29" i="45"/>
  <c r="AA29" i="45"/>
  <c r="Z29" i="45"/>
  <c r="Y29" i="45"/>
  <c r="X29" i="45"/>
  <c r="W29" i="45"/>
  <c r="V29" i="45"/>
  <c r="U29" i="45"/>
  <c r="T29" i="45"/>
  <c r="S29" i="45"/>
  <c r="R29" i="45"/>
  <c r="Q29" i="45"/>
  <c r="F29" i="45"/>
  <c r="D29" i="45"/>
  <c r="C29" i="45"/>
  <c r="B29" i="45"/>
  <c r="A29" i="45"/>
  <c r="AC28" i="45"/>
  <c r="AB28" i="45"/>
  <c r="AA28" i="45"/>
  <c r="Z28" i="45"/>
  <c r="Y28" i="45"/>
  <c r="X28" i="45"/>
  <c r="W28" i="45"/>
  <c r="V28" i="45"/>
  <c r="U28" i="45"/>
  <c r="T28" i="45"/>
  <c r="S28" i="45"/>
  <c r="R28" i="45"/>
  <c r="Q28" i="45"/>
  <c r="F28" i="45"/>
  <c r="D28" i="45"/>
  <c r="C28" i="45"/>
  <c r="AC27" i="45"/>
  <c r="AB27" i="45"/>
  <c r="AA27" i="45"/>
  <c r="Z27" i="45"/>
  <c r="Y27" i="45"/>
  <c r="X27" i="45"/>
  <c r="W27" i="45"/>
  <c r="V27" i="45"/>
  <c r="U27" i="45"/>
  <c r="T27" i="45"/>
  <c r="S27" i="45"/>
  <c r="R27" i="45"/>
  <c r="Q27" i="45"/>
  <c r="F27" i="45"/>
  <c r="D27" i="45"/>
  <c r="C27" i="45"/>
  <c r="AE26" i="45"/>
  <c r="AC26" i="45"/>
  <c r="AB26" i="45"/>
  <c r="AA26" i="45"/>
  <c r="Z26" i="45"/>
  <c r="Y26" i="45"/>
  <c r="X26" i="45"/>
  <c r="W26" i="45"/>
  <c r="V26" i="45"/>
  <c r="U26" i="45"/>
  <c r="T26" i="45"/>
  <c r="S26" i="45"/>
  <c r="R26" i="45"/>
  <c r="Q26" i="45"/>
  <c r="AC25" i="45"/>
  <c r="AB25" i="45"/>
  <c r="AA25" i="45"/>
  <c r="Z25" i="45"/>
  <c r="Y25" i="45"/>
  <c r="X25" i="45"/>
  <c r="W25" i="45"/>
  <c r="V25" i="45"/>
  <c r="U25" i="45"/>
  <c r="T25" i="45"/>
  <c r="S25" i="45"/>
  <c r="R25" i="45"/>
  <c r="Q25" i="45"/>
  <c r="AC24" i="45"/>
  <c r="AB24" i="45"/>
  <c r="AA24" i="45"/>
  <c r="Z24" i="45"/>
  <c r="Y24" i="45"/>
  <c r="X24" i="45"/>
  <c r="W24" i="45"/>
  <c r="V24" i="45"/>
  <c r="U24" i="45"/>
  <c r="T24" i="45"/>
  <c r="S24" i="45"/>
  <c r="R24" i="45"/>
  <c r="Q24" i="45"/>
  <c r="AC23" i="45"/>
  <c r="AB23" i="45"/>
  <c r="AA23" i="45"/>
  <c r="Z23" i="45"/>
  <c r="Y23" i="45"/>
  <c r="X23" i="45"/>
  <c r="W23" i="45"/>
  <c r="V23" i="45"/>
  <c r="U23" i="45"/>
  <c r="T23" i="45"/>
  <c r="S23" i="45"/>
  <c r="R23" i="45"/>
  <c r="Q23" i="45"/>
  <c r="AC22" i="45"/>
  <c r="AB22" i="45"/>
  <c r="AA22" i="45"/>
  <c r="Z22" i="45"/>
  <c r="Y22" i="45"/>
  <c r="X22" i="45"/>
  <c r="W22" i="45"/>
  <c r="V22" i="45"/>
  <c r="U22" i="45"/>
  <c r="T22" i="45"/>
  <c r="S22" i="45"/>
  <c r="R22" i="45"/>
  <c r="Q22" i="45"/>
  <c r="AC21" i="45"/>
  <c r="AB21" i="45"/>
  <c r="AA21" i="45"/>
  <c r="Z21" i="45"/>
  <c r="Y21" i="45"/>
  <c r="X21" i="45"/>
  <c r="W21" i="45"/>
  <c r="V21" i="45"/>
  <c r="U21" i="45"/>
  <c r="T21" i="45"/>
  <c r="S21" i="45"/>
  <c r="R21" i="45"/>
  <c r="Q21" i="45"/>
  <c r="AC20" i="45"/>
  <c r="AB20" i="45"/>
  <c r="AA20" i="45"/>
  <c r="Z20" i="45"/>
  <c r="Y20" i="45"/>
  <c r="X20" i="45"/>
  <c r="W20" i="45"/>
  <c r="V20" i="45"/>
  <c r="U20" i="45"/>
  <c r="T20" i="45"/>
  <c r="S20" i="45"/>
  <c r="R20" i="45"/>
  <c r="Q20" i="45"/>
  <c r="F20" i="45"/>
  <c r="C20" i="45"/>
  <c r="AE15" i="45"/>
  <c r="AC15" i="45"/>
  <c r="AB15" i="45"/>
  <c r="AA15" i="45"/>
  <c r="Z15" i="45"/>
  <c r="Y15" i="45"/>
  <c r="X15" i="45"/>
  <c r="W15" i="45"/>
  <c r="V15" i="45"/>
  <c r="U15" i="45"/>
  <c r="T15" i="45"/>
  <c r="S15" i="45"/>
  <c r="R15" i="45"/>
  <c r="Q15" i="45"/>
  <c r="AE14" i="45"/>
  <c r="AC14" i="45"/>
  <c r="AB14" i="45"/>
  <c r="AA14" i="45"/>
  <c r="Z14" i="45"/>
  <c r="Y14" i="45"/>
  <c r="X14" i="45"/>
  <c r="W14" i="45"/>
  <c r="V14" i="45"/>
  <c r="U14" i="45"/>
  <c r="T14" i="45"/>
  <c r="S14" i="45"/>
  <c r="R14" i="45"/>
  <c r="Q14" i="45"/>
  <c r="AE13" i="45"/>
  <c r="AC13" i="45"/>
  <c r="AB13" i="45"/>
  <c r="AA13" i="45"/>
  <c r="Z13" i="45"/>
  <c r="Y13" i="45"/>
  <c r="X13" i="45"/>
  <c r="W13" i="45"/>
  <c r="V13" i="45"/>
  <c r="U13" i="45"/>
  <c r="T13" i="45"/>
  <c r="S13" i="45"/>
  <c r="R13" i="45"/>
  <c r="Q13" i="45"/>
  <c r="AC12" i="45"/>
  <c r="AB12" i="45"/>
  <c r="AA12" i="45"/>
  <c r="Z12" i="45"/>
  <c r="Y12" i="45"/>
  <c r="X12" i="45"/>
  <c r="W12" i="45"/>
  <c r="V12" i="45"/>
  <c r="U12" i="45"/>
  <c r="T12" i="45"/>
  <c r="S12" i="45"/>
  <c r="R12" i="45"/>
  <c r="Q12" i="45"/>
  <c r="AC11" i="45"/>
  <c r="AB11" i="45"/>
  <c r="AA11" i="45"/>
  <c r="Z11" i="45"/>
  <c r="Y11" i="45"/>
  <c r="X11" i="45"/>
  <c r="W11" i="45"/>
  <c r="V11" i="45"/>
  <c r="U11" i="45"/>
  <c r="T11" i="45"/>
  <c r="S11" i="45"/>
  <c r="R11" i="45"/>
  <c r="Q11" i="45"/>
  <c r="AC10" i="45"/>
  <c r="AB10" i="45"/>
  <c r="AA10" i="45"/>
  <c r="Z10" i="45"/>
  <c r="Y10" i="45"/>
  <c r="X10" i="45"/>
  <c r="W10" i="45"/>
  <c r="V10" i="45"/>
  <c r="U10" i="45"/>
  <c r="T10" i="45"/>
  <c r="S10" i="45"/>
  <c r="R10" i="45"/>
  <c r="Q10" i="45"/>
  <c r="AC9" i="45"/>
  <c r="AB9" i="45"/>
  <c r="AA9" i="45"/>
  <c r="Z9" i="45"/>
  <c r="Y9" i="45"/>
  <c r="X9" i="45"/>
  <c r="W9" i="45"/>
  <c r="V9" i="45"/>
  <c r="U9" i="45"/>
  <c r="T9" i="45"/>
  <c r="S9" i="45"/>
  <c r="R9" i="45"/>
  <c r="Q9" i="45"/>
  <c r="AC8" i="45"/>
  <c r="AB8" i="45"/>
  <c r="AA8" i="45"/>
  <c r="Z8" i="45"/>
  <c r="Y8" i="45"/>
  <c r="X8" i="45"/>
  <c r="W8" i="45"/>
  <c r="V8" i="45"/>
  <c r="U8" i="45"/>
  <c r="T8" i="45"/>
  <c r="S8" i="45"/>
  <c r="R8" i="45"/>
  <c r="Q8" i="45"/>
  <c r="F8" i="45"/>
  <c r="C8" i="45"/>
  <c r="AE7" i="45"/>
  <c r="AC7" i="45"/>
  <c r="AB7" i="45"/>
  <c r="AA7" i="45"/>
  <c r="Z7" i="45"/>
  <c r="Y7" i="45"/>
  <c r="X7" i="45"/>
  <c r="W7" i="45"/>
  <c r="V7" i="45"/>
  <c r="U7" i="45"/>
  <c r="T7" i="45"/>
  <c r="S7" i="45"/>
  <c r="R7" i="45"/>
  <c r="Q7" i="45"/>
  <c r="AC6" i="45"/>
  <c r="AB6" i="45"/>
  <c r="AA6" i="45"/>
  <c r="Z6" i="45"/>
  <c r="Y6" i="45"/>
  <c r="X6" i="45"/>
  <c r="W6" i="45"/>
  <c r="V6" i="45"/>
  <c r="U6" i="45"/>
  <c r="T6" i="45"/>
  <c r="S6" i="45"/>
  <c r="R6" i="45"/>
  <c r="Q6" i="45"/>
  <c r="AC5" i="45"/>
  <c r="AB5" i="45"/>
  <c r="AA5" i="45"/>
  <c r="Z5" i="45"/>
  <c r="Y5" i="45"/>
  <c r="X5" i="45"/>
  <c r="W5" i="45"/>
  <c r="V5" i="45"/>
  <c r="U5" i="45"/>
  <c r="T5" i="45"/>
  <c r="S5" i="45"/>
  <c r="R5" i="45"/>
  <c r="Q5" i="45"/>
  <c r="F5" i="45"/>
  <c r="C5" i="45"/>
  <c r="AC145" i="28"/>
  <c r="T145" i="28"/>
  <c r="S145" i="28"/>
  <c r="G145" i="28"/>
  <c r="AC143" i="28"/>
  <c r="T143" i="28"/>
  <c r="S143" i="28"/>
  <c r="G143" i="28"/>
  <c r="T142" i="28"/>
  <c r="S142" i="28"/>
  <c r="G142" i="28"/>
  <c r="T141" i="28"/>
  <c r="S141" i="28"/>
  <c r="G141" i="28"/>
  <c r="AG140" i="28"/>
  <c r="AC140" i="28"/>
  <c r="T140" i="28"/>
  <c r="S140" i="28"/>
  <c r="G140" i="28"/>
  <c r="AC139" i="28"/>
  <c r="T139" i="28"/>
  <c r="S139" i="28"/>
  <c r="G139" i="28"/>
  <c r="AG138" i="28"/>
  <c r="AG144" i="28" s="1"/>
  <c r="AG146" i="28" s="1"/>
  <c r="AC138" i="28"/>
  <c r="AC144" i="28" s="1"/>
  <c r="AC146" i="28" s="1"/>
  <c r="T138" i="28"/>
  <c r="S138" i="28"/>
  <c r="S144" i="28" s="1"/>
  <c r="S146" i="28" s="1"/>
  <c r="G138" i="28"/>
  <c r="G144" i="28" s="1"/>
  <c r="G146" i="28" s="1"/>
  <c r="AG136" i="28"/>
  <c r="T136" i="28"/>
  <c r="AB134" i="28"/>
  <c r="S134" i="28"/>
  <c r="S136" i="28" s="1"/>
  <c r="N134" i="28"/>
  <c r="M134" i="28"/>
  <c r="G134" i="28"/>
  <c r="AG133" i="28"/>
  <c r="AB133" i="28"/>
  <c r="AG132" i="28"/>
  <c r="AB132" i="28"/>
  <c r="AG131" i="28"/>
  <c r="AB131" i="28"/>
  <c r="AG130" i="28"/>
  <c r="AB130" i="28"/>
  <c r="AG129" i="28"/>
  <c r="AC129" i="28"/>
  <c r="AB129" i="28"/>
  <c r="AG128" i="28"/>
  <c r="AC128" i="28"/>
  <c r="AB128" i="28"/>
  <c r="AG127" i="28"/>
  <c r="AC127" i="28"/>
  <c r="AB127" i="28"/>
  <c r="AG126" i="28"/>
  <c r="AC126" i="28"/>
  <c r="AB126" i="28"/>
  <c r="AG125" i="28"/>
  <c r="AC125" i="28"/>
  <c r="AB125" i="28"/>
  <c r="AG124" i="28"/>
  <c r="AC124" i="28"/>
  <c r="AB124" i="28"/>
  <c r="AG123" i="28"/>
  <c r="AB123" i="28"/>
  <c r="AG122" i="28"/>
  <c r="AC122" i="28"/>
  <c r="AB122" i="28"/>
  <c r="AG121" i="28"/>
  <c r="AC121" i="28"/>
  <c r="AB121" i="28"/>
  <c r="AG120" i="28"/>
  <c r="AC120" i="28"/>
  <c r="AB120" i="28"/>
  <c r="AG119" i="28"/>
  <c r="AB119" i="28"/>
  <c r="AG118" i="28"/>
  <c r="AC118" i="28"/>
  <c r="AB118" i="28"/>
  <c r="AG117" i="28"/>
  <c r="AC117" i="28"/>
  <c r="AC134" i="28" s="1"/>
  <c r="AB117" i="28"/>
  <c r="AG116" i="28"/>
  <c r="AB116" i="28"/>
  <c r="AG115" i="28"/>
  <c r="AB115" i="28"/>
  <c r="AC113" i="28"/>
  <c r="S113" i="28"/>
  <c r="N113" i="28"/>
  <c r="M113" i="28"/>
  <c r="G113" i="28"/>
  <c r="AG112" i="28"/>
  <c r="AB112" i="28"/>
  <c r="AG111" i="28"/>
  <c r="AB111" i="28"/>
  <c r="AG110" i="28"/>
  <c r="AB110" i="28"/>
  <c r="AG109" i="28"/>
  <c r="AB109" i="28"/>
  <c r="AG108" i="28"/>
  <c r="AB108" i="28"/>
  <c r="AG106" i="28"/>
  <c r="AC106" i="28"/>
  <c r="AB106" i="28"/>
  <c r="AG105" i="28"/>
  <c r="AB105" i="28"/>
  <c r="AG104" i="28"/>
  <c r="AB104" i="28"/>
  <c r="AG103" i="28"/>
  <c r="AB103" i="28"/>
  <c r="AG102" i="28"/>
  <c r="AG145" i="28" s="1"/>
  <c r="AB102" i="28"/>
  <c r="AB145" i="28" s="1"/>
  <c r="AG101" i="28"/>
  <c r="AB101" i="28"/>
  <c r="AG100" i="28"/>
  <c r="AB100" i="28"/>
  <c r="AB113" i="28" s="1"/>
  <c r="AC98" i="28"/>
  <c r="AB98" i="28"/>
  <c r="S98" i="28"/>
  <c r="N98" i="28"/>
  <c r="M98" i="28"/>
  <c r="G98" i="28"/>
  <c r="AG97" i="28"/>
  <c r="AB97" i="28"/>
  <c r="AG96" i="28"/>
  <c r="AB96" i="28"/>
  <c r="AG95" i="28"/>
  <c r="AB95" i="28"/>
  <c r="AB93" i="28"/>
  <c r="T93" i="28"/>
  <c r="S93" i="28"/>
  <c r="N93" i="28"/>
  <c r="M93" i="28"/>
  <c r="G93" i="28"/>
  <c r="AG92" i="28"/>
  <c r="AB92" i="28"/>
  <c r="AB91" i="28"/>
  <c r="AB90" i="28"/>
  <c r="AG89" i="28"/>
  <c r="AB89" i="28"/>
  <c r="AG88" i="28"/>
  <c r="AB88" i="28"/>
  <c r="AG87" i="28"/>
  <c r="AB87" i="28"/>
  <c r="AG86" i="28"/>
  <c r="AB86" i="28"/>
  <c r="AG85" i="28"/>
  <c r="AB85" i="28"/>
  <c r="AG84" i="28"/>
  <c r="AB84" i="28"/>
  <c r="AG83" i="28"/>
  <c r="AB83" i="28"/>
  <c r="AG82" i="28"/>
  <c r="AB82" i="28"/>
  <c r="AG81" i="28"/>
  <c r="AB81" i="28"/>
  <c r="AG80" i="28"/>
  <c r="AB80" i="28"/>
  <c r="AG79" i="28"/>
  <c r="AB79" i="28"/>
  <c r="AG78" i="28"/>
  <c r="AB78" i="28"/>
  <c r="AG77" i="28"/>
  <c r="AB77" i="28"/>
  <c r="AG76" i="28"/>
  <c r="AB76" i="28"/>
  <c r="AG75" i="28"/>
  <c r="AB75" i="28"/>
  <c r="AG74" i="28"/>
  <c r="AB74" i="28"/>
  <c r="AG73" i="28"/>
  <c r="AB73" i="28"/>
  <c r="AG72" i="28"/>
  <c r="AB72" i="28"/>
  <c r="AG70" i="28"/>
  <c r="AB70" i="28"/>
  <c r="AG69" i="28"/>
  <c r="AB69" i="28"/>
  <c r="AG67" i="28"/>
  <c r="AB67" i="28"/>
  <c r="AG66" i="28"/>
  <c r="AB66" i="28"/>
  <c r="AG65" i="28"/>
  <c r="AB65" i="28"/>
  <c r="AG64" i="28"/>
  <c r="AB64" i="28"/>
  <c r="AG63" i="28"/>
  <c r="AG139" i="28" s="1"/>
  <c r="AB63" i="28"/>
  <c r="AB139" i="28" s="1"/>
  <c r="AG62" i="28"/>
  <c r="AC62" i="28"/>
  <c r="AB62" i="28"/>
  <c r="AG61" i="28"/>
  <c r="AB61" i="28"/>
  <c r="AG60" i="28"/>
  <c r="AB60" i="28"/>
  <c r="AB138" i="28" s="1"/>
  <c r="AB144" i="28" s="1"/>
  <c r="AB146" i="28" s="1"/>
  <c r="AG59" i="28"/>
  <c r="AC59" i="28"/>
  <c r="AB59" i="28"/>
  <c r="AG58" i="28"/>
  <c r="AC58" i="28"/>
  <c r="AB58" i="28"/>
  <c r="AG57" i="28"/>
  <c r="AC57" i="28"/>
  <c r="AC93" i="28" s="1"/>
  <c r="AB57" i="28"/>
  <c r="AG56" i="28"/>
  <c r="AB56" i="28"/>
  <c r="T54" i="28"/>
  <c r="S54" i="28"/>
  <c r="N54" i="28"/>
  <c r="M54" i="28"/>
  <c r="G54" i="28"/>
  <c r="AG53" i="28"/>
  <c r="AB53" i="28"/>
  <c r="AG52" i="28"/>
  <c r="AB52" i="28"/>
  <c r="AG51" i="28"/>
  <c r="AB51" i="28"/>
  <c r="AG50" i="28"/>
  <c r="AB50" i="28"/>
  <c r="AG49" i="28"/>
  <c r="AB49" i="28"/>
  <c r="AG48" i="28"/>
  <c r="AB48" i="28"/>
  <c r="AG47" i="28"/>
  <c r="AC47" i="28"/>
  <c r="AB47" i="28"/>
  <c r="AC46" i="28"/>
  <c r="AB46" i="28"/>
  <c r="AG45" i="28"/>
  <c r="AC45" i="28"/>
  <c r="AB45" i="28"/>
  <c r="AG44" i="28"/>
  <c r="AC44" i="28"/>
  <c r="AB44" i="28"/>
  <c r="AG43" i="28"/>
  <c r="AC43" i="28"/>
  <c r="AB43" i="28"/>
  <c r="AG42" i="28"/>
  <c r="AC42" i="28"/>
  <c r="AB42" i="28"/>
  <c r="AG41" i="28"/>
  <c r="AC41" i="28"/>
  <c r="AB41" i="28"/>
  <c r="AG40" i="28"/>
  <c r="AG141" i="28" s="1"/>
  <c r="AC40" i="28"/>
  <c r="AC141" i="28" s="1"/>
  <c r="AB40" i="28"/>
  <c r="AB141" i="28" s="1"/>
  <c r="AG39" i="28"/>
  <c r="AC39" i="28"/>
  <c r="AB39" i="28"/>
  <c r="AG38" i="28"/>
  <c r="AC38" i="28"/>
  <c r="AB38" i="28"/>
  <c r="AG37" i="28"/>
  <c r="AC37" i="28"/>
  <c r="AB37" i="28"/>
  <c r="AG36" i="28"/>
  <c r="AC36" i="28"/>
  <c r="AB36" i="28"/>
  <c r="AG35" i="28"/>
  <c r="AC35" i="28"/>
  <c r="AB35" i="28"/>
  <c r="AG34" i="28"/>
  <c r="AC34" i="28"/>
  <c r="AB34" i="28"/>
  <c r="AG33" i="28"/>
  <c r="AC33" i="28"/>
  <c r="AB33" i="28"/>
  <c r="AG32" i="28"/>
  <c r="AC32" i="28"/>
  <c r="AB32" i="28"/>
  <c r="O32" i="28"/>
  <c r="AG31" i="28"/>
  <c r="AC31" i="28"/>
  <c r="AB31" i="28"/>
  <c r="AB140" i="28" s="1"/>
  <c r="AG30" i="28"/>
  <c r="AC30" i="28"/>
  <c r="AB30" i="28"/>
  <c r="AG29" i="28"/>
  <c r="AC29" i="28"/>
  <c r="AB29" i="28"/>
  <c r="AG28" i="28"/>
  <c r="AC28" i="28"/>
  <c r="AB28" i="28"/>
  <c r="AG27" i="28"/>
  <c r="AC27" i="28"/>
  <c r="AB27" i="28"/>
  <c r="AG26" i="28"/>
  <c r="AC26" i="28"/>
  <c r="AB26" i="28"/>
  <c r="AG25" i="28"/>
  <c r="AC25" i="28"/>
  <c r="AB25" i="28"/>
  <c r="AG24" i="28"/>
  <c r="AC24" i="28"/>
  <c r="AB24" i="28"/>
  <c r="AG23" i="28"/>
  <c r="AC23" i="28"/>
  <c r="AC54" i="28" s="1"/>
  <c r="AB23" i="28"/>
  <c r="AB54" i="28" s="1"/>
  <c r="AI21" i="28"/>
  <c r="AB21" i="28"/>
  <c r="T21" i="28"/>
  <c r="S21" i="28"/>
  <c r="N21" i="28"/>
  <c r="M21" i="28"/>
  <c r="G21" i="28"/>
  <c r="AB20" i="28"/>
  <c r="AA20" i="28"/>
  <c r="AG19" i="28"/>
  <c r="AC19" i="28"/>
  <c r="AB19" i="28"/>
  <c r="AG18" i="28"/>
  <c r="AC18" i="28"/>
  <c r="AB18" i="28"/>
  <c r="AG17" i="28"/>
  <c r="AC17" i="28"/>
  <c r="AB17" i="28"/>
  <c r="AB143" i="28" s="1"/>
  <c r="AC16" i="28"/>
  <c r="AB16" i="28"/>
  <c r="AA16" i="28"/>
  <c r="Z16" i="28"/>
  <c r="AC15" i="28"/>
  <c r="AB15" i="28"/>
  <c r="AA15" i="28"/>
  <c r="Z15" i="28"/>
  <c r="AC14" i="28"/>
  <c r="AB14" i="28"/>
  <c r="AA14" i="28"/>
  <c r="Z14" i="28"/>
  <c r="AC13" i="28"/>
  <c r="AB13" i="28"/>
  <c r="AA13" i="28"/>
  <c r="Z13" i="28"/>
  <c r="AC12" i="28"/>
  <c r="AC21" i="28" s="1"/>
  <c r="AB12" i="28"/>
  <c r="AA12" i="28"/>
  <c r="Z12" i="28"/>
  <c r="AG11" i="28"/>
  <c r="AG143" i="28" s="1"/>
  <c r="AC11" i="28"/>
  <c r="AM9" i="28"/>
  <c r="AI9" i="28"/>
  <c r="X9" i="28"/>
  <c r="T9" i="28"/>
  <c r="S9" i="28"/>
  <c r="Q9" i="28"/>
  <c r="O9" i="28"/>
  <c r="N9" i="28"/>
  <c r="M9" i="28"/>
  <c r="J9" i="28"/>
  <c r="G9" i="28"/>
  <c r="AG8" i="28"/>
  <c r="AE8" i="28" s="1"/>
  <c r="AX8" i="28" s="1"/>
  <c r="AW8" i="28" s="1"/>
  <c r="Q8" i="28"/>
  <c r="P8" i="28"/>
  <c r="R8" i="28" s="1"/>
  <c r="AG7" i="28"/>
  <c r="AE7" i="28" s="1"/>
  <c r="AW7" i="28" s="1"/>
  <c r="Q7" i="28"/>
  <c r="P7" i="28"/>
  <c r="R7" i="28" s="1"/>
  <c r="AG6" i="28"/>
  <c r="AX6" i="28" s="1"/>
  <c r="AW6" i="28" s="1"/>
  <c r="Q6" i="28"/>
  <c r="P6" i="28"/>
  <c r="R6" i="28" s="1"/>
  <c r="AX5" i="28"/>
  <c r="AW5" i="28"/>
  <c r="AG5" i="28"/>
  <c r="AE5" i="28"/>
  <c r="R5" i="28"/>
  <c r="AQ4" i="28"/>
  <c r="AQ9" i="28" s="1"/>
  <c r="AG4" i="28"/>
  <c r="AE4" i="28" s="1"/>
  <c r="AX4" i="28" s="1"/>
  <c r="AW4" i="28" s="1"/>
  <c r="R4" i="28"/>
  <c r="Q4" i="28"/>
  <c r="P4" i="28"/>
  <c r="S76" i="44"/>
  <c r="S72" i="44"/>
  <c r="K72" i="44"/>
  <c r="S71" i="44"/>
  <c r="G69" i="44"/>
  <c r="G75" i="44" s="1"/>
  <c r="U65" i="44"/>
  <c r="S65" i="44"/>
  <c r="R65" i="44"/>
  <c r="Q65" i="44"/>
  <c r="K65" i="44"/>
  <c r="H65" i="44"/>
  <c r="G65" i="44"/>
  <c r="F59" i="44" s="1"/>
  <c r="D65" i="44"/>
  <c r="V64" i="44"/>
  <c r="T64" i="44"/>
  <c r="D64" i="44"/>
  <c r="I64" i="44" s="1"/>
  <c r="V63" i="44"/>
  <c r="T63" i="44"/>
  <c r="I63" i="44"/>
  <c r="D63" i="44"/>
  <c r="U62" i="44"/>
  <c r="T62" i="44"/>
  <c r="Q62" i="44"/>
  <c r="P62" i="44"/>
  <c r="O62" i="44"/>
  <c r="N62" i="44"/>
  <c r="M62" i="44"/>
  <c r="L62" i="44"/>
  <c r="G62" i="44"/>
  <c r="D62" i="44"/>
  <c r="U61" i="44"/>
  <c r="U59" i="44" s="1"/>
  <c r="T61" i="44"/>
  <c r="R61" i="44"/>
  <c r="Q61" i="44"/>
  <c r="P61" i="44"/>
  <c r="O61" i="44"/>
  <c r="O59" i="44" s="1"/>
  <c r="N61" i="44"/>
  <c r="L61" i="44"/>
  <c r="K61" i="44"/>
  <c r="D61" i="44"/>
  <c r="V60" i="44"/>
  <c r="T60" i="44"/>
  <c r="I60" i="44"/>
  <c r="I59" i="44" s="1"/>
  <c r="D60" i="44"/>
  <c r="D59" i="44" s="1"/>
  <c r="N59" i="44"/>
  <c r="N56" i="44" s="1"/>
  <c r="V58" i="44"/>
  <c r="U58" i="44"/>
  <c r="U57" i="44" s="1"/>
  <c r="R58" i="44"/>
  <c r="R57" i="44" s="1"/>
  <c r="Q58" i="44"/>
  <c r="Q57" i="44" s="1"/>
  <c r="P58" i="44"/>
  <c r="O58" i="44"/>
  <c r="O57" i="44" s="1"/>
  <c r="N58" i="44"/>
  <c r="N57" i="44" s="1"/>
  <c r="M58" i="44"/>
  <c r="M57" i="44" s="1"/>
  <c r="L58" i="44"/>
  <c r="K58" i="44"/>
  <c r="H58" i="44"/>
  <c r="F58" i="44"/>
  <c r="F57" i="44" s="1"/>
  <c r="D58" i="44"/>
  <c r="V57" i="44"/>
  <c r="P57" i="44"/>
  <c r="L57" i="44"/>
  <c r="G57" i="44"/>
  <c r="D57" i="44"/>
  <c r="D56" i="44" s="1"/>
  <c r="T55" i="44"/>
  <c r="R55" i="44"/>
  <c r="Q55" i="44"/>
  <c r="P55" i="44"/>
  <c r="O55" i="44"/>
  <c r="N55" i="44"/>
  <c r="M55" i="44"/>
  <c r="L55" i="44"/>
  <c r="L52" i="44" s="1"/>
  <c r="K55" i="44"/>
  <c r="G55" i="44"/>
  <c r="V55" i="44" s="1"/>
  <c r="F55" i="44"/>
  <c r="D55" i="44"/>
  <c r="T54" i="44"/>
  <c r="R54" i="44"/>
  <c r="R52" i="44" s="1"/>
  <c r="Q54" i="44"/>
  <c r="P54" i="44"/>
  <c r="O54" i="44"/>
  <c r="N54" i="44"/>
  <c r="M54" i="44"/>
  <c r="L54" i="44"/>
  <c r="K54" i="44"/>
  <c r="H54" i="44"/>
  <c r="G54" i="44"/>
  <c r="V54" i="44" s="1"/>
  <c r="F54" i="44"/>
  <c r="D54" i="44"/>
  <c r="V53" i="44"/>
  <c r="T53" i="44"/>
  <c r="R53" i="44"/>
  <c r="Q53" i="44"/>
  <c r="P53" i="44"/>
  <c r="O53" i="44"/>
  <c r="N53" i="44"/>
  <c r="M53" i="44"/>
  <c r="L53" i="44"/>
  <c r="K53" i="44"/>
  <c r="G53" i="44"/>
  <c r="F53" i="44"/>
  <c r="D53" i="44"/>
  <c r="D52" i="44" s="1"/>
  <c r="S52" i="44"/>
  <c r="N52" i="44"/>
  <c r="U51" i="44"/>
  <c r="T51" i="44"/>
  <c r="R51" i="44"/>
  <c r="Q51" i="44"/>
  <c r="P51" i="44"/>
  <c r="O51" i="44"/>
  <c r="N51" i="44"/>
  <c r="M51" i="44"/>
  <c r="L51" i="44"/>
  <c r="K51" i="44"/>
  <c r="H51" i="44"/>
  <c r="G51" i="44"/>
  <c r="V51" i="44" s="1"/>
  <c r="F51" i="44"/>
  <c r="D51" i="44"/>
  <c r="U50" i="44"/>
  <c r="U49" i="44" s="1"/>
  <c r="R50" i="44"/>
  <c r="Q50" i="44"/>
  <c r="P50" i="44"/>
  <c r="O50" i="44"/>
  <c r="N50" i="44"/>
  <c r="M50" i="44"/>
  <c r="M49" i="44" s="1"/>
  <c r="L50" i="44"/>
  <c r="H50" i="44"/>
  <c r="G50" i="44"/>
  <c r="F50" i="44"/>
  <c r="D50" i="44"/>
  <c r="D49" i="44" s="1"/>
  <c r="R49" i="44"/>
  <c r="Q49" i="44"/>
  <c r="U47" i="44"/>
  <c r="R47" i="44"/>
  <c r="Q47" i="44"/>
  <c r="P47" i="44"/>
  <c r="O47" i="44"/>
  <c r="N47" i="44"/>
  <c r="M47" i="44"/>
  <c r="L47" i="44"/>
  <c r="K47" i="44"/>
  <c r="H47" i="44"/>
  <c r="T47" i="44" s="1"/>
  <c r="G47" i="44"/>
  <c r="V47" i="44" s="1"/>
  <c r="F47" i="44"/>
  <c r="D47" i="44"/>
  <c r="V46" i="44"/>
  <c r="U46" i="44"/>
  <c r="R46" i="44"/>
  <c r="Q46" i="44"/>
  <c r="P46" i="44"/>
  <c r="P44" i="44" s="1"/>
  <c r="P43" i="44" s="1"/>
  <c r="O46" i="44"/>
  <c r="N46" i="44"/>
  <c r="M46" i="44"/>
  <c r="L46" i="44"/>
  <c r="L44" i="44" s="1"/>
  <c r="L43" i="44" s="1"/>
  <c r="K46" i="44"/>
  <c r="H46" i="44"/>
  <c r="T46" i="44" s="1"/>
  <c r="F46" i="44"/>
  <c r="F44" i="44" s="1"/>
  <c r="F43" i="44" s="1"/>
  <c r="D46" i="44"/>
  <c r="U45" i="44"/>
  <c r="U44" i="44" s="1"/>
  <c r="U43" i="44" s="1"/>
  <c r="R45" i="44"/>
  <c r="Q45" i="44"/>
  <c r="P45" i="44"/>
  <c r="O45" i="44"/>
  <c r="N45" i="44"/>
  <c r="M45" i="44"/>
  <c r="L45" i="44"/>
  <c r="K45" i="44"/>
  <c r="K44" i="44" s="1"/>
  <c r="K43" i="44" s="1"/>
  <c r="H45" i="44"/>
  <c r="F45" i="44"/>
  <c r="D45" i="44"/>
  <c r="D44" i="44" s="1"/>
  <c r="D43" i="44" s="1"/>
  <c r="O44" i="44"/>
  <c r="O43" i="44" s="1"/>
  <c r="T42" i="44"/>
  <c r="G42" i="44"/>
  <c r="U41" i="44"/>
  <c r="R41" i="44"/>
  <c r="Q41" i="44"/>
  <c r="P41" i="44"/>
  <c r="O41" i="44"/>
  <c r="N41" i="44"/>
  <c r="M41" i="44"/>
  <c r="L41" i="44"/>
  <c r="K41" i="44"/>
  <c r="H41" i="44"/>
  <c r="F41" i="44"/>
  <c r="D41" i="44"/>
  <c r="U40" i="44"/>
  <c r="R40" i="44"/>
  <c r="Q40" i="44"/>
  <c r="P40" i="44"/>
  <c r="O40" i="44"/>
  <c r="N40" i="44"/>
  <c r="L40" i="44"/>
  <c r="K40" i="44"/>
  <c r="H40" i="44"/>
  <c r="G40" i="44"/>
  <c r="V40" i="44" s="1"/>
  <c r="F40" i="44"/>
  <c r="D40" i="44"/>
  <c r="I40" i="44" s="1"/>
  <c r="U39" i="44"/>
  <c r="U70" i="44" s="1"/>
  <c r="R39" i="44"/>
  <c r="Q39" i="44"/>
  <c r="P39" i="44"/>
  <c r="O39" i="44"/>
  <c r="N39" i="44"/>
  <c r="N70" i="44" s="1"/>
  <c r="M39" i="44"/>
  <c r="K39" i="44"/>
  <c r="H39" i="44"/>
  <c r="T39" i="44" s="1"/>
  <c r="G39" i="44"/>
  <c r="G70" i="44" s="1"/>
  <c r="D39" i="44"/>
  <c r="D70" i="44" s="1"/>
  <c r="U38" i="44"/>
  <c r="R38" i="44"/>
  <c r="P38" i="44"/>
  <c r="M38" i="44"/>
  <c r="K38" i="44"/>
  <c r="H38" i="44"/>
  <c r="G38" i="44"/>
  <c r="V38" i="44" s="1"/>
  <c r="D38" i="44"/>
  <c r="D69" i="44" s="1"/>
  <c r="D75" i="44" s="1"/>
  <c r="G37" i="44"/>
  <c r="U36" i="44"/>
  <c r="T36" i="44"/>
  <c r="R36" i="44"/>
  <c r="Q36" i="44"/>
  <c r="P36" i="44"/>
  <c r="O36" i="44"/>
  <c r="N36" i="44"/>
  <c r="N34" i="44" s="1"/>
  <c r="M36" i="44"/>
  <c r="L36" i="44"/>
  <c r="K36" i="44"/>
  <c r="H36" i="44"/>
  <c r="G36" i="44"/>
  <c r="V36" i="44" s="1"/>
  <c r="F36" i="44"/>
  <c r="D36" i="44"/>
  <c r="U35" i="44"/>
  <c r="R35" i="44"/>
  <c r="Q35" i="44"/>
  <c r="Q34" i="44" s="1"/>
  <c r="P35" i="44"/>
  <c r="P34" i="44" s="1"/>
  <c r="O35" i="44"/>
  <c r="O34" i="44" s="1"/>
  <c r="N35" i="44"/>
  <c r="M35" i="44"/>
  <c r="L35" i="44"/>
  <c r="K35" i="44"/>
  <c r="H35" i="44"/>
  <c r="G35" i="44"/>
  <c r="F35" i="44"/>
  <c r="F34" i="44" s="1"/>
  <c r="D35" i="44"/>
  <c r="R34" i="44"/>
  <c r="K34" i="44"/>
  <c r="D34" i="44"/>
  <c r="V32" i="44"/>
  <c r="V30" i="44" s="1"/>
  <c r="U32" i="44"/>
  <c r="U30" i="44" s="1"/>
  <c r="Q32" i="44"/>
  <c r="P32" i="44"/>
  <c r="O32" i="44"/>
  <c r="N32" i="44"/>
  <c r="M32" i="44"/>
  <c r="L32" i="44"/>
  <c r="L30" i="44" s="1"/>
  <c r="K32" i="44"/>
  <c r="H32" i="44"/>
  <c r="T32" i="44" s="1"/>
  <c r="G32" i="44"/>
  <c r="G30" i="44" s="1"/>
  <c r="F32" i="44"/>
  <c r="D32" i="44"/>
  <c r="I32" i="44" s="1"/>
  <c r="V31" i="44"/>
  <c r="U31" i="44"/>
  <c r="T31" i="44"/>
  <c r="T30" i="44" s="1"/>
  <c r="Q31" i="44"/>
  <c r="Q30" i="44" s="1"/>
  <c r="P31" i="44"/>
  <c r="O31" i="44"/>
  <c r="O30" i="44" s="1"/>
  <c r="N31" i="44"/>
  <c r="M31" i="44"/>
  <c r="M30" i="44" s="1"/>
  <c r="L31" i="44"/>
  <c r="K31" i="44"/>
  <c r="I31" i="44"/>
  <c r="I30" i="44" s="1"/>
  <c r="H31" i="44"/>
  <c r="H30" i="44" s="1"/>
  <c r="F31" i="44"/>
  <c r="D31" i="44"/>
  <c r="D30" i="44" s="1"/>
  <c r="S30" i="44"/>
  <c r="P30" i="44"/>
  <c r="K30" i="44"/>
  <c r="F30" i="44"/>
  <c r="V29" i="44"/>
  <c r="U29" i="44"/>
  <c r="Q29" i="44"/>
  <c r="P29" i="44"/>
  <c r="O29" i="44"/>
  <c r="N29" i="44"/>
  <c r="M29" i="44"/>
  <c r="L29" i="44"/>
  <c r="K29" i="44"/>
  <c r="H29" i="44"/>
  <c r="T29" i="44" s="1"/>
  <c r="F29" i="44"/>
  <c r="D29" i="44"/>
  <c r="V28" i="44"/>
  <c r="U28" i="44"/>
  <c r="Q28" i="44"/>
  <c r="P28" i="44"/>
  <c r="O28" i="44"/>
  <c r="N28" i="44"/>
  <c r="M28" i="44"/>
  <c r="L28" i="44"/>
  <c r="K28" i="44"/>
  <c r="H28" i="44"/>
  <c r="T28" i="44" s="1"/>
  <c r="F28" i="44"/>
  <c r="D28" i="44"/>
  <c r="V27" i="44"/>
  <c r="U27" i="44"/>
  <c r="Q27" i="44"/>
  <c r="P27" i="44"/>
  <c r="O27" i="44"/>
  <c r="N27" i="44"/>
  <c r="M27" i="44"/>
  <c r="L27" i="44"/>
  <c r="K27" i="44"/>
  <c r="H27" i="44"/>
  <c r="T27" i="44" s="1"/>
  <c r="F27" i="44"/>
  <c r="D27" i="44"/>
  <c r="V26" i="44"/>
  <c r="U26" i="44"/>
  <c r="R26" i="44"/>
  <c r="P26" i="44"/>
  <c r="O26" i="44"/>
  <c r="N26" i="44"/>
  <c r="M26" i="44"/>
  <c r="K26" i="44"/>
  <c r="H26" i="44"/>
  <c r="T26" i="44" s="1"/>
  <c r="G26" i="44"/>
  <c r="D26" i="44"/>
  <c r="U25" i="44"/>
  <c r="Q25" i="44"/>
  <c r="P25" i="44"/>
  <c r="O25" i="44"/>
  <c r="O22" i="44" s="1"/>
  <c r="N25" i="44"/>
  <c r="M25" i="44"/>
  <c r="K25" i="44"/>
  <c r="H25" i="44"/>
  <c r="T25" i="44" s="1"/>
  <c r="G25" i="44"/>
  <c r="V25" i="44" s="1"/>
  <c r="F25" i="44"/>
  <c r="D25" i="44"/>
  <c r="V24" i="44"/>
  <c r="V72" i="44" s="1"/>
  <c r="U24" i="44"/>
  <c r="Q24" i="44"/>
  <c r="P24" i="44"/>
  <c r="O24" i="44"/>
  <c r="N24" i="44"/>
  <c r="M24" i="44"/>
  <c r="K24" i="44"/>
  <c r="H24" i="44"/>
  <c r="G24" i="44"/>
  <c r="G72" i="44" s="1"/>
  <c r="F24" i="44"/>
  <c r="D24" i="44"/>
  <c r="D72" i="44" s="1"/>
  <c r="V23" i="44"/>
  <c r="V22" i="44" s="1"/>
  <c r="U23" i="44"/>
  <c r="R23" i="44"/>
  <c r="Q23" i="44"/>
  <c r="P23" i="44"/>
  <c r="O23" i="44"/>
  <c r="N23" i="44"/>
  <c r="M23" i="44"/>
  <c r="L23" i="44"/>
  <c r="H23" i="44"/>
  <c r="G23" i="44"/>
  <c r="F23" i="44"/>
  <c r="D23" i="44"/>
  <c r="D22" i="44" s="1"/>
  <c r="S22" i="44"/>
  <c r="G22" i="44"/>
  <c r="U21" i="44"/>
  <c r="R21" i="44"/>
  <c r="Q21" i="44"/>
  <c r="P21" i="44"/>
  <c r="O21" i="44"/>
  <c r="N21" i="44"/>
  <c r="M21" i="44"/>
  <c r="L21" i="44"/>
  <c r="H21" i="44"/>
  <c r="T21" i="44" s="1"/>
  <c r="G21" i="44"/>
  <c r="V21" i="44" s="1"/>
  <c r="F21" i="44"/>
  <c r="F17" i="44" s="1"/>
  <c r="D21" i="44"/>
  <c r="U20" i="44"/>
  <c r="Q20" i="44"/>
  <c r="P20" i="44"/>
  <c r="O20" i="44"/>
  <c r="O71" i="44" s="1"/>
  <c r="N20" i="44"/>
  <c r="M20" i="44"/>
  <c r="L20" i="44"/>
  <c r="K20" i="44"/>
  <c r="H20" i="44"/>
  <c r="T20" i="44" s="1"/>
  <c r="F20" i="44"/>
  <c r="D20" i="44"/>
  <c r="D71" i="44" s="1"/>
  <c r="U19" i="44"/>
  <c r="T19" i="44"/>
  <c r="Q19" i="44"/>
  <c r="P19" i="44"/>
  <c r="P17" i="44" s="1"/>
  <c r="O19" i="44"/>
  <c r="N19" i="44"/>
  <c r="M19" i="44"/>
  <c r="L19" i="44"/>
  <c r="K19" i="44"/>
  <c r="G19" i="44"/>
  <c r="V19" i="44" s="1"/>
  <c r="D19" i="44"/>
  <c r="I19" i="44" s="1"/>
  <c r="U18" i="44"/>
  <c r="Q18" i="44"/>
  <c r="P18" i="44"/>
  <c r="O18" i="44"/>
  <c r="O17" i="44" s="1"/>
  <c r="N18" i="44"/>
  <c r="M18" i="44"/>
  <c r="L18" i="44"/>
  <c r="K18" i="44"/>
  <c r="H18" i="44"/>
  <c r="G18" i="44"/>
  <c r="V18" i="44" s="1"/>
  <c r="V17" i="44" s="1"/>
  <c r="F18" i="44"/>
  <c r="D18" i="44"/>
  <c r="D17" i="44" s="1"/>
  <c r="S17" i="44"/>
  <c r="G17" i="44"/>
  <c r="U16" i="44"/>
  <c r="T16" i="44"/>
  <c r="Q16" i="44"/>
  <c r="P16" i="44"/>
  <c r="O16" i="44"/>
  <c r="N16" i="44"/>
  <c r="M16" i="44"/>
  <c r="L16" i="44"/>
  <c r="K16" i="44"/>
  <c r="G16" i="44"/>
  <c r="V16" i="44" s="1"/>
  <c r="D16" i="44"/>
  <c r="I16" i="44" s="1"/>
  <c r="V15" i="44"/>
  <c r="U15" i="44"/>
  <c r="T15" i="44"/>
  <c r="Q15" i="44"/>
  <c r="P15" i="44"/>
  <c r="O15" i="44"/>
  <c r="N15" i="44"/>
  <c r="M15" i="44"/>
  <c r="L15" i="44"/>
  <c r="D15" i="44"/>
  <c r="I15" i="44" s="1"/>
  <c r="U14" i="44"/>
  <c r="U13" i="44" s="1"/>
  <c r="T14" i="44"/>
  <c r="T13" i="44" s="1"/>
  <c r="Q14" i="44"/>
  <c r="P14" i="44"/>
  <c r="O14" i="44"/>
  <c r="N14" i="44"/>
  <c r="M14" i="44"/>
  <c r="L14" i="44"/>
  <c r="K14" i="44"/>
  <c r="G14" i="44"/>
  <c r="D14" i="44"/>
  <c r="S13" i="44"/>
  <c r="H13" i="44"/>
  <c r="F13" i="44"/>
  <c r="D13" i="44"/>
  <c r="V11" i="44"/>
  <c r="U11" i="44"/>
  <c r="Q11" i="44"/>
  <c r="P11" i="44"/>
  <c r="O11" i="44"/>
  <c r="N11" i="44"/>
  <c r="M11" i="44"/>
  <c r="L11" i="44"/>
  <c r="K11" i="44"/>
  <c r="H11" i="44"/>
  <c r="T11" i="44" s="1"/>
  <c r="G11" i="44"/>
  <c r="F11" i="44"/>
  <c r="D11" i="44"/>
  <c r="I11" i="44" s="1"/>
  <c r="U10" i="44"/>
  <c r="U9" i="44" s="1"/>
  <c r="U8" i="44" s="1"/>
  <c r="Q10" i="44"/>
  <c r="P10" i="44"/>
  <c r="O10" i="44"/>
  <c r="N10" i="44"/>
  <c r="N74" i="44" s="1"/>
  <c r="M10" i="44"/>
  <c r="L10" i="44"/>
  <c r="K10" i="44"/>
  <c r="H10" i="44"/>
  <c r="T10" i="44" s="1"/>
  <c r="G10" i="44"/>
  <c r="G74" i="44" s="1"/>
  <c r="F10" i="44"/>
  <c r="D10" i="44"/>
  <c r="H9" i="44"/>
  <c r="H8" i="44" s="1"/>
  <c r="G9" i="44"/>
  <c r="G8" i="44" s="1"/>
  <c r="U7" i="44"/>
  <c r="T7" i="44"/>
  <c r="Q7" i="44"/>
  <c r="P7" i="44"/>
  <c r="O7" i="44"/>
  <c r="N7" i="44"/>
  <c r="M7" i="44"/>
  <c r="L7" i="44"/>
  <c r="K7" i="44"/>
  <c r="G7" i="44"/>
  <c r="V7" i="44" s="1"/>
  <c r="D7" i="44"/>
  <c r="V6" i="44"/>
  <c r="U6" i="44"/>
  <c r="T6" i="44"/>
  <c r="R6" i="44"/>
  <c r="Q6" i="44"/>
  <c r="P6" i="44"/>
  <c r="O6" i="44"/>
  <c r="O4" i="44" s="1"/>
  <c r="O3" i="44" s="1"/>
  <c r="N6" i="44"/>
  <c r="M6" i="44"/>
  <c r="L6" i="44"/>
  <c r="K6" i="44"/>
  <c r="I6" i="44"/>
  <c r="D6" i="44"/>
  <c r="U5" i="44"/>
  <c r="T5" i="44"/>
  <c r="Q5" i="44"/>
  <c r="P5" i="44"/>
  <c r="O5" i="44"/>
  <c r="N5" i="44"/>
  <c r="M5" i="44"/>
  <c r="L5" i="44"/>
  <c r="K5" i="44"/>
  <c r="I5" i="44"/>
  <c r="G5" i="44"/>
  <c r="D5" i="44"/>
  <c r="D73" i="44" s="1"/>
  <c r="S4" i="44"/>
  <c r="N4" i="44"/>
  <c r="N3" i="44" s="1"/>
  <c r="H4" i="44"/>
  <c r="H3" i="44" s="1"/>
  <c r="F4" i="44"/>
  <c r="D4" i="44"/>
  <c r="D3" i="44" s="1"/>
  <c r="S3" i="44"/>
  <c r="F3" i="44"/>
  <c r="W83" i="43"/>
  <c r="W79" i="43"/>
  <c r="S77" i="43"/>
  <c r="BB75" i="43"/>
  <c r="BP73" i="43"/>
  <c r="BO73" i="43"/>
  <c r="BN73" i="43"/>
  <c r="BK73" i="43"/>
  <c r="BJ73" i="43"/>
  <c r="BF73" i="43"/>
  <c r="BD73" i="43"/>
  <c r="BB73" i="43"/>
  <c r="AX73" i="43"/>
  <c r="AV73" i="43"/>
  <c r="AO73" i="43"/>
  <c r="AM73" i="43"/>
  <c r="AL73" i="43"/>
  <c r="AK73" i="43"/>
  <c r="AJ73" i="43"/>
  <c r="AJ75" i="43" s="1"/>
  <c r="AI73" i="43"/>
  <c r="AG73" i="43"/>
  <c r="AF73" i="43"/>
  <c r="AB73" i="43"/>
  <c r="Z73" i="43"/>
  <c r="T73" i="43"/>
  <c r="S73" i="43"/>
  <c r="Q73" i="43"/>
  <c r="BJ72" i="43"/>
  <c r="BI72" i="43"/>
  <c r="BI73" i="43" s="1"/>
  <c r="BH72" i="43"/>
  <c r="BH73" i="43" s="1"/>
  <c r="BF72" i="43"/>
  <c r="BQ72" i="43" s="1"/>
  <c r="BR72" i="43" s="1"/>
  <c r="AU72" i="43"/>
  <c r="AW72" i="43" s="1"/>
  <c r="AT72" i="43"/>
  <c r="AQ72" i="43"/>
  <c r="Z72" i="43"/>
  <c r="X72" i="43"/>
  <c r="W72" i="43"/>
  <c r="U72" i="43"/>
  <c r="BL71" i="43"/>
  <c r="BL73" i="43" s="1"/>
  <c r="AW71" i="43"/>
  <c r="BM71" i="43" s="1"/>
  <c r="AT71" i="43"/>
  <c r="AS71" i="43"/>
  <c r="AQ71" i="43"/>
  <c r="Z71" i="43"/>
  <c r="AC71" i="43" s="1"/>
  <c r="Y71" i="43"/>
  <c r="W71" i="43"/>
  <c r="U71" i="43"/>
  <c r="BQ70" i="43"/>
  <c r="AY70" i="43"/>
  <c r="AZ70" i="43" s="1"/>
  <c r="AW70" i="43"/>
  <c r="AT70" i="43"/>
  <c r="AS70" i="43"/>
  <c r="AQ70" i="43"/>
  <c r="AC70" i="43"/>
  <c r="AA70" i="43"/>
  <c r="Y70" i="43"/>
  <c r="U70" i="43"/>
  <c r="BG69" i="43"/>
  <c r="AY69" i="43"/>
  <c r="AZ69" i="43" s="1"/>
  <c r="AW69" i="43"/>
  <c r="AT69" i="43"/>
  <c r="AS69" i="43"/>
  <c r="AC69" i="43"/>
  <c r="AA69" i="43"/>
  <c r="Y69" i="43"/>
  <c r="W69" i="43"/>
  <c r="AH69" i="43" s="1"/>
  <c r="AH73" i="43" s="1"/>
  <c r="R69" i="43"/>
  <c r="BQ68" i="43"/>
  <c r="AY68" i="43"/>
  <c r="AZ68" i="43" s="1"/>
  <c r="AT68" i="43"/>
  <c r="AS68" i="43"/>
  <c r="AQ68" i="43"/>
  <c r="AC68" i="43"/>
  <c r="AA68" i="43"/>
  <c r="Y68" i="43"/>
  <c r="U68" i="43"/>
  <c r="AU67" i="43"/>
  <c r="AT67" i="43"/>
  <c r="AQ67" i="43"/>
  <c r="W67" i="43"/>
  <c r="U67" i="43"/>
  <c r="BP65" i="43"/>
  <c r="BN65" i="43"/>
  <c r="BL65" i="43"/>
  <c r="BK65" i="43"/>
  <c r="BJ65" i="43"/>
  <c r="BI65" i="43"/>
  <c r="BH65" i="43"/>
  <c r="BG65" i="43"/>
  <c r="BF65" i="43"/>
  <c r="BD65" i="43"/>
  <c r="BB65" i="43"/>
  <c r="AX65" i="43"/>
  <c r="AV65" i="43"/>
  <c r="AM65" i="43"/>
  <c r="AL65" i="43"/>
  <c r="AK65" i="43"/>
  <c r="AJ65" i="43"/>
  <c r="AI65" i="43"/>
  <c r="AH65" i="43"/>
  <c r="AG65" i="43"/>
  <c r="AB65" i="43"/>
  <c r="X65" i="43"/>
  <c r="W65" i="43"/>
  <c r="T65" i="43"/>
  <c r="S65" i="43"/>
  <c r="R65" i="43"/>
  <c r="Q65" i="43"/>
  <c r="BO64" i="43"/>
  <c r="BQ64" i="43" s="1"/>
  <c r="AW64" i="43"/>
  <c r="AT64" i="43"/>
  <c r="AS64" i="43"/>
  <c r="AA64" i="43"/>
  <c r="Z64" i="43"/>
  <c r="W64" i="43"/>
  <c r="AO64" i="43" s="1"/>
  <c r="AQ64" i="43" s="1"/>
  <c r="R64" i="43"/>
  <c r="U64" i="43" s="1"/>
  <c r="BQ63" i="43"/>
  <c r="AW63" i="43"/>
  <c r="AY63" i="43" s="1"/>
  <c r="AZ63" i="43" s="1"/>
  <c r="AT63" i="43"/>
  <c r="AO63" i="43"/>
  <c r="AQ63" i="43" s="1"/>
  <c r="AC63" i="43"/>
  <c r="Y63" i="43"/>
  <c r="W63" i="43"/>
  <c r="U63" i="43"/>
  <c r="BO62" i="43"/>
  <c r="BQ62" i="43" s="1"/>
  <c r="AW62" i="43"/>
  <c r="AT62" i="43"/>
  <c r="AO62" i="43"/>
  <c r="AQ62" i="43" s="1"/>
  <c r="W62" i="43"/>
  <c r="U62" i="43"/>
  <c r="BQ61" i="43"/>
  <c r="AW61" i="43"/>
  <c r="AT61" i="43"/>
  <c r="Y61" i="43"/>
  <c r="W61" i="43"/>
  <c r="U61" i="43"/>
  <c r="BO60" i="43"/>
  <c r="BQ60" i="43" s="1"/>
  <c r="AY60" i="43"/>
  <c r="AZ60" i="43" s="1"/>
  <c r="AT60" i="43"/>
  <c r="AC60" i="43"/>
  <c r="AA60" i="43"/>
  <c r="W60" i="43"/>
  <c r="AO60" i="43" s="1"/>
  <c r="AQ60" i="43" s="1"/>
  <c r="U60" i="43"/>
  <c r="BO59" i="43"/>
  <c r="BQ59" i="43" s="1"/>
  <c r="AT59" i="43"/>
  <c r="W59" i="43"/>
  <c r="AO59" i="43" s="1"/>
  <c r="AQ59" i="43" s="1"/>
  <c r="U59" i="43"/>
  <c r="BO58" i="43"/>
  <c r="BQ58" i="43" s="1"/>
  <c r="AT58" i="43"/>
  <c r="W58" i="43"/>
  <c r="U58" i="43"/>
  <c r="BQ57" i="43"/>
  <c r="BO57" i="43"/>
  <c r="AW57" i="43"/>
  <c r="AT57" i="43"/>
  <c r="W57" i="43"/>
  <c r="U57" i="43"/>
  <c r="BO56" i="43"/>
  <c r="AT56" i="43"/>
  <c r="AS56" i="43"/>
  <c r="AU56" i="43" s="1"/>
  <c r="Z56" i="43"/>
  <c r="W56" i="43"/>
  <c r="U56" i="43"/>
  <c r="AW55" i="43"/>
  <c r="AT55" i="43"/>
  <c r="AQ55" i="43"/>
  <c r="Z55" i="43"/>
  <c r="Z65" i="43" s="1"/>
  <c r="W55" i="43"/>
  <c r="Y55" i="43" s="1"/>
  <c r="U55" i="43"/>
  <c r="BE54" i="43"/>
  <c r="BQ54" i="43" s="1"/>
  <c r="AT54" i="43"/>
  <c r="W54" i="43"/>
  <c r="U54" i="43"/>
  <c r="BP52" i="43"/>
  <c r="BO52" i="43"/>
  <c r="BN52" i="43"/>
  <c r="BL52" i="43"/>
  <c r="BK52" i="43"/>
  <c r="BJ52" i="43"/>
  <c r="BI52" i="43"/>
  <c r="BH52" i="43"/>
  <c r="BG52" i="43"/>
  <c r="BF52" i="43"/>
  <c r="BE52" i="43"/>
  <c r="BD52" i="43"/>
  <c r="BB52" i="43"/>
  <c r="AX52" i="43"/>
  <c r="AV52" i="43"/>
  <c r="AO52" i="43"/>
  <c r="AM52" i="43"/>
  <c r="AL52" i="43"/>
  <c r="AK52" i="43"/>
  <c r="AJ52" i="43"/>
  <c r="AI52" i="43"/>
  <c r="AH52" i="43"/>
  <c r="AG52" i="43"/>
  <c r="AF52" i="43"/>
  <c r="AB52" i="43"/>
  <c r="X52" i="43"/>
  <c r="U52" i="43"/>
  <c r="T52" i="43"/>
  <c r="S52" i="43"/>
  <c r="R52" i="43"/>
  <c r="Q52" i="43"/>
  <c r="BQ51" i="43"/>
  <c r="AY51" i="43"/>
  <c r="AZ51" i="43" s="1"/>
  <c r="AU51" i="43"/>
  <c r="AU52" i="43" s="1"/>
  <c r="AT51" i="43"/>
  <c r="AS51" i="43"/>
  <c r="AQ51" i="43"/>
  <c r="AC51" i="43"/>
  <c r="AA51" i="43"/>
  <c r="Y51" i="43"/>
  <c r="U51" i="43"/>
  <c r="AW50" i="43"/>
  <c r="BM50" i="43" s="1"/>
  <c r="AT50" i="43"/>
  <c r="AQ50" i="43"/>
  <c r="Z50" i="43"/>
  <c r="W50" i="43"/>
  <c r="Y50" i="43" s="1"/>
  <c r="Y52" i="43" s="1"/>
  <c r="U50" i="43"/>
  <c r="BQ49" i="43"/>
  <c r="AW49" i="43"/>
  <c r="AT49" i="43"/>
  <c r="AQ49" i="43"/>
  <c r="Z49" i="43"/>
  <c r="Z52" i="43" s="1"/>
  <c r="W49" i="43"/>
  <c r="AS49" i="43" s="1"/>
  <c r="AS52" i="43" s="1"/>
  <c r="U49" i="43"/>
  <c r="BP47" i="43"/>
  <c r="BO47" i="43"/>
  <c r="BN47" i="43"/>
  <c r="BL47" i="43"/>
  <c r="BJ47" i="43"/>
  <c r="BI47" i="43"/>
  <c r="BH47" i="43"/>
  <c r="BE47" i="43"/>
  <c r="BD47" i="43"/>
  <c r="BB47" i="43"/>
  <c r="AX47" i="43"/>
  <c r="AV47" i="43"/>
  <c r="AO47" i="43"/>
  <c r="AM47" i="43"/>
  <c r="AL47" i="43"/>
  <c r="AK47" i="43"/>
  <c r="AJ47" i="43"/>
  <c r="AI47" i="43"/>
  <c r="AH47" i="43"/>
  <c r="AF47" i="43"/>
  <c r="AB47" i="43"/>
  <c r="T47" i="43"/>
  <c r="S47" i="43"/>
  <c r="R47" i="43"/>
  <c r="Q47" i="43"/>
  <c r="U46" i="43"/>
  <c r="BQ45" i="43"/>
  <c r="AW45" i="43"/>
  <c r="AY45" i="43" s="1"/>
  <c r="AZ45" i="43" s="1"/>
  <c r="AT45" i="43"/>
  <c r="AS45" i="43"/>
  <c r="AQ45" i="43"/>
  <c r="Z45" i="43"/>
  <c r="AC45" i="43" s="1"/>
  <c r="Y45" i="43"/>
  <c r="U45" i="43"/>
  <c r="AU44" i="43"/>
  <c r="AW44" i="43" s="1"/>
  <c r="BM44" i="43" s="1"/>
  <c r="BQ44" i="43" s="1"/>
  <c r="AT44" i="43"/>
  <c r="AQ44" i="43"/>
  <c r="Z44" i="43"/>
  <c r="AA44" i="43" s="1"/>
  <c r="W44" i="43"/>
  <c r="Y44" i="43" s="1"/>
  <c r="U44" i="43"/>
  <c r="BF43" i="43"/>
  <c r="AT43" i="43"/>
  <c r="AQ43" i="43"/>
  <c r="Z43" i="43"/>
  <c r="X43" i="43"/>
  <c r="W43" i="43"/>
  <c r="AY43" i="43" s="1"/>
  <c r="AZ43" i="43" s="1"/>
  <c r="U43" i="43"/>
  <c r="BM42" i="43"/>
  <c r="BK42" i="43"/>
  <c r="BK47" i="43" s="1"/>
  <c r="BG42" i="43"/>
  <c r="BG47" i="43" s="1"/>
  <c r="AT42" i="43"/>
  <c r="AG42" i="43"/>
  <c r="Z42" i="43"/>
  <c r="X42" i="43"/>
  <c r="W42" i="43"/>
  <c r="U42" i="43"/>
  <c r="BQ41" i="43"/>
  <c r="AY41" i="43"/>
  <c r="AZ41" i="43" s="1"/>
  <c r="AT41" i="43"/>
  <c r="AS41" i="43"/>
  <c r="AQ41" i="43"/>
  <c r="AC41" i="43"/>
  <c r="AA41" i="43"/>
  <c r="Y41" i="43"/>
  <c r="U41" i="43"/>
  <c r="BM40" i="43"/>
  <c r="AW40" i="43"/>
  <c r="AT40" i="43"/>
  <c r="AQ40" i="43"/>
  <c r="Z40" i="43"/>
  <c r="W40" i="43"/>
  <c r="U40" i="43"/>
  <c r="BP38" i="43"/>
  <c r="BO38" i="43"/>
  <c r="BN38" i="43"/>
  <c r="BM38" i="43"/>
  <c r="BL38" i="43"/>
  <c r="BJ38" i="43"/>
  <c r="BI38" i="43"/>
  <c r="BH38" i="43"/>
  <c r="BG38" i="43"/>
  <c r="BB38" i="43"/>
  <c r="AX38" i="43"/>
  <c r="AV38" i="43"/>
  <c r="AO38" i="43"/>
  <c r="AK38" i="43"/>
  <c r="AJ38" i="43"/>
  <c r="AI38" i="43"/>
  <c r="AH38" i="43"/>
  <c r="AG38" i="43"/>
  <c r="AB38" i="43"/>
  <c r="X38" i="43"/>
  <c r="R38" i="43"/>
  <c r="Q38" i="43"/>
  <c r="BQ37" i="43"/>
  <c r="AY37" i="43"/>
  <c r="AZ37" i="43" s="1"/>
  <c r="AT37" i="43"/>
  <c r="AU37" i="43" s="1"/>
  <c r="AU38" i="43" s="1"/>
  <c r="Z37" i="43"/>
  <c r="W37" i="43"/>
  <c r="AM37" i="43" s="1"/>
  <c r="AQ37" i="43" s="1"/>
  <c r="U37" i="43"/>
  <c r="BQ36" i="43"/>
  <c r="AY36" i="43"/>
  <c r="AZ36" i="43" s="1"/>
  <c r="AT36" i="43"/>
  <c r="AS36" i="43"/>
  <c r="AR36" i="43"/>
  <c r="AA36" i="43"/>
  <c r="Y36" i="43"/>
  <c r="W36" i="43"/>
  <c r="AM36" i="43" s="1"/>
  <c r="AQ36" i="43" s="1"/>
  <c r="U36" i="43"/>
  <c r="BQ35" i="43"/>
  <c r="AT35" i="43"/>
  <c r="AS35" i="43"/>
  <c r="AC35" i="43"/>
  <c r="AA35" i="43"/>
  <c r="W35" i="43"/>
  <c r="AM35" i="43" s="1"/>
  <c r="AQ35" i="43" s="1"/>
  <c r="U35" i="43"/>
  <c r="BQ34" i="43"/>
  <c r="AT34" i="43"/>
  <c r="AS34" i="43"/>
  <c r="W34" i="43"/>
  <c r="U34" i="43"/>
  <c r="BQ33" i="43"/>
  <c r="AT33" i="43"/>
  <c r="W33" i="43"/>
  <c r="U33" i="43"/>
  <c r="BK32" i="43"/>
  <c r="BF32" i="43"/>
  <c r="BQ32" i="43" s="1"/>
  <c r="BD32" i="43"/>
  <c r="BD38" i="43" s="1"/>
  <c r="AW32" i="43"/>
  <c r="AY32" i="43" s="1"/>
  <c r="AZ32" i="43" s="1"/>
  <c r="AT32" i="43"/>
  <c r="AR32" i="43"/>
  <c r="AQ32" i="43"/>
  <c r="Z32" i="43"/>
  <c r="W32" i="43"/>
  <c r="U32" i="43"/>
  <c r="BK31" i="43"/>
  <c r="BK38" i="43" s="1"/>
  <c r="BF31" i="43"/>
  <c r="AW31" i="43"/>
  <c r="AT31" i="43"/>
  <c r="AS31" i="43"/>
  <c r="AQ31" i="43"/>
  <c r="AL31" i="43"/>
  <c r="AL38" i="43" s="1"/>
  <c r="W31" i="43"/>
  <c r="U31" i="43"/>
  <c r="BF30" i="43"/>
  <c r="BQ30" i="43" s="1"/>
  <c r="AW30" i="43"/>
  <c r="AT30" i="43"/>
  <c r="Z30" i="43"/>
  <c r="AA30" i="43" s="1"/>
  <c r="W30" i="43"/>
  <c r="U30" i="43"/>
  <c r="BF29" i="43"/>
  <c r="BQ29" i="43" s="1"/>
  <c r="AW29" i="43"/>
  <c r="AT29" i="43"/>
  <c r="AM29" i="43"/>
  <c r="AQ29" i="43" s="1"/>
  <c r="Z29" i="43"/>
  <c r="W29" i="43"/>
  <c r="U29" i="43"/>
  <c r="BQ28" i="43"/>
  <c r="BF28" i="43"/>
  <c r="AW28" i="43"/>
  <c r="AT28" i="43"/>
  <c r="AM28" i="43"/>
  <c r="AQ28" i="43" s="1"/>
  <c r="AC28" i="43"/>
  <c r="Z28" i="43"/>
  <c r="W28" i="43"/>
  <c r="U28" i="43"/>
  <c r="BF27" i="43"/>
  <c r="AW27" i="43"/>
  <c r="AT27" i="43"/>
  <c r="Z27" i="43"/>
  <c r="W27" i="43"/>
  <c r="Y27" i="43" s="1"/>
  <c r="U27" i="43"/>
  <c r="BQ26" i="43"/>
  <c r="AY26" i="43"/>
  <c r="AZ26" i="43" s="1"/>
  <c r="AT26" i="43"/>
  <c r="Z26" i="43"/>
  <c r="W26" i="43"/>
  <c r="AR26" i="43" s="1"/>
  <c r="AR38" i="43" s="1"/>
  <c r="U26" i="43"/>
  <c r="BQ25" i="43"/>
  <c r="AT25" i="43"/>
  <c r="AA25" i="43"/>
  <c r="Z25" i="43"/>
  <c r="W25" i="43"/>
  <c r="AC25" i="43" s="1"/>
  <c r="S25" i="43"/>
  <c r="BQ24" i="43"/>
  <c r="AW24" i="43"/>
  <c r="AT24" i="43"/>
  <c r="Z24" i="43"/>
  <c r="W24" i="43"/>
  <c r="U24" i="43"/>
  <c r="BQ23" i="43"/>
  <c r="AW23" i="43"/>
  <c r="AY23" i="43" s="1"/>
  <c r="AZ23" i="43" s="1"/>
  <c r="AT23" i="43"/>
  <c r="AS23" i="43"/>
  <c r="AM23" i="43"/>
  <c r="AQ23" i="43" s="1"/>
  <c r="AC23" i="43"/>
  <c r="AA23" i="43"/>
  <c r="Y23" i="43"/>
  <c r="U23" i="43"/>
  <c r="BQ22" i="43"/>
  <c r="AW22" i="43"/>
  <c r="AY22" i="43" s="1"/>
  <c r="AZ22" i="43" s="1"/>
  <c r="AT22" i="43"/>
  <c r="AS22" i="43"/>
  <c r="AQ22" i="43"/>
  <c r="AC22" i="43"/>
  <c r="AA22" i="43"/>
  <c r="Y22" i="43"/>
  <c r="U22" i="43"/>
  <c r="BQ21" i="43"/>
  <c r="AW21" i="43"/>
  <c r="AT21" i="43"/>
  <c r="Z21" i="43"/>
  <c r="W21" i="43"/>
  <c r="AC21" i="43" s="1"/>
  <c r="U21" i="43"/>
  <c r="BQ20" i="43"/>
  <c r="AT20" i="43"/>
  <c r="W20" i="43"/>
  <c r="U20" i="43"/>
  <c r="BQ19" i="43"/>
  <c r="AW19" i="43"/>
  <c r="AT19" i="43"/>
  <c r="AS19" i="43"/>
  <c r="AC19" i="43"/>
  <c r="Y19" i="43"/>
  <c r="W19" i="43"/>
  <c r="U19" i="43"/>
  <c r="BQ18" i="43"/>
  <c r="AW18" i="43"/>
  <c r="AT18" i="43"/>
  <c r="AS18" i="43"/>
  <c r="AM18" i="43"/>
  <c r="AQ18" i="43" s="1"/>
  <c r="AA18" i="43"/>
  <c r="Z18" i="43"/>
  <c r="Y18" i="43"/>
  <c r="W18" i="43"/>
  <c r="U18" i="43"/>
  <c r="BE17" i="43"/>
  <c r="AY17" i="43"/>
  <c r="AZ17" i="43" s="1"/>
  <c r="AW17" i="43"/>
  <c r="AT17" i="43"/>
  <c r="AS17" i="43"/>
  <c r="AM17" i="43"/>
  <c r="AQ17" i="43" s="1"/>
  <c r="AC17" i="43"/>
  <c r="AA17" i="43"/>
  <c r="Y17" i="43"/>
  <c r="U17" i="43"/>
  <c r="BQ16" i="43"/>
  <c r="AW16" i="43"/>
  <c r="AT16" i="43"/>
  <c r="AA16" i="43"/>
  <c r="Z16" i="43"/>
  <c r="W16" i="43"/>
  <c r="AS16" i="43" s="1"/>
  <c r="U16" i="43"/>
  <c r="BQ15" i="43"/>
  <c r="AW15" i="43"/>
  <c r="AT15" i="43"/>
  <c r="Z15" i="43"/>
  <c r="Z38" i="43" s="1"/>
  <c r="W15" i="43"/>
  <c r="U15" i="43"/>
  <c r="BP13" i="43"/>
  <c r="BO13" i="43"/>
  <c r="BN13" i="43"/>
  <c r="BL13" i="43"/>
  <c r="BK13" i="43"/>
  <c r="BJ13" i="43"/>
  <c r="BI13" i="43"/>
  <c r="BH13" i="43"/>
  <c r="BG13" i="43"/>
  <c r="BF13" i="43"/>
  <c r="BE13" i="43"/>
  <c r="BD13" i="43"/>
  <c r="BB13" i="43"/>
  <c r="AX13" i="43"/>
  <c r="AV13" i="43"/>
  <c r="AU13" i="43"/>
  <c r="AO13" i="43"/>
  <c r="AL13" i="43"/>
  <c r="AK13" i="43"/>
  <c r="AJ13" i="43"/>
  <c r="AI13" i="43"/>
  <c r="AH13" i="43"/>
  <c r="AG13" i="43"/>
  <c r="AF13" i="43"/>
  <c r="AB13" i="43"/>
  <c r="X13" i="43"/>
  <c r="T13" i="43"/>
  <c r="S13" i="43"/>
  <c r="R13" i="43"/>
  <c r="Q13" i="43"/>
  <c r="BQ12" i="43"/>
  <c r="AW12" i="43"/>
  <c r="AT12" i="43"/>
  <c r="Z12" i="43"/>
  <c r="W12" i="43"/>
  <c r="U12" i="43"/>
  <c r="BQ11" i="43"/>
  <c r="AW11" i="43"/>
  <c r="AY11" i="43" s="1"/>
  <c r="AZ11" i="43" s="1"/>
  <c r="AT11" i="43"/>
  <c r="AS11" i="43"/>
  <c r="AQ11" i="43"/>
  <c r="AC11" i="43"/>
  <c r="AA11" i="43"/>
  <c r="Y11" i="43"/>
  <c r="U11" i="43"/>
  <c r="BQ10" i="43"/>
  <c r="AW10" i="43"/>
  <c r="AT10" i="43"/>
  <c r="AQ10" i="43"/>
  <c r="Z10" i="43"/>
  <c r="Y10" i="43"/>
  <c r="W10" i="43"/>
  <c r="AY10" i="43" s="1"/>
  <c r="AZ10" i="43" s="1"/>
  <c r="U10" i="43"/>
  <c r="BQ9" i="43"/>
  <c r="AY9" i="43"/>
  <c r="AZ9" i="43" s="1"/>
  <c r="AW9" i="43"/>
  <c r="AT9" i="43"/>
  <c r="AS9" i="43"/>
  <c r="AQ9" i="43"/>
  <c r="Z9" i="43"/>
  <c r="AA9" i="43" s="1"/>
  <c r="Y9" i="43"/>
  <c r="W9" i="43"/>
  <c r="U9" i="43"/>
  <c r="AW8" i="43"/>
  <c r="BM8" i="43" s="1"/>
  <c r="AT8" i="43"/>
  <c r="Z8" i="43"/>
  <c r="Z13" i="43" s="1"/>
  <c r="Y8" i="43"/>
  <c r="Y13" i="43" s="1"/>
  <c r="W8" i="43"/>
  <c r="AC8" i="43" s="1"/>
  <c r="AC13" i="43" s="1"/>
  <c r="U8" i="43"/>
  <c r="BP6" i="43"/>
  <c r="BO6" i="43"/>
  <c r="BN6" i="43"/>
  <c r="BM6" i="43"/>
  <c r="BL6" i="43"/>
  <c r="BK6" i="43"/>
  <c r="BJ6" i="43"/>
  <c r="BI6" i="43"/>
  <c r="BH6" i="43"/>
  <c r="BG6" i="43"/>
  <c r="BF6" i="43"/>
  <c r="BE6" i="43"/>
  <c r="BD6" i="43"/>
  <c r="BB6" i="43"/>
  <c r="AX6" i="43"/>
  <c r="AV6" i="43"/>
  <c r="AU6" i="43"/>
  <c r="AO6" i="43"/>
  <c r="AL6" i="43"/>
  <c r="AK6" i="43"/>
  <c r="AJ6" i="43"/>
  <c r="AI6" i="43"/>
  <c r="AH6" i="43"/>
  <c r="AG6" i="43"/>
  <c r="AF6" i="43"/>
  <c r="AB6" i="43"/>
  <c r="X6" i="43"/>
  <c r="T6" i="43"/>
  <c r="S6" i="43"/>
  <c r="R6" i="43"/>
  <c r="Q6" i="43"/>
  <c r="BQ5" i="43"/>
  <c r="AZ5" i="43"/>
  <c r="AW5" i="43"/>
  <c r="AY5" i="43" s="1"/>
  <c r="AT5" i="43"/>
  <c r="AS5" i="43"/>
  <c r="Z5" i="43"/>
  <c r="AA5" i="43" s="1"/>
  <c r="W5" i="43"/>
  <c r="AM5" i="43" s="1"/>
  <c r="AQ5" i="43" s="1"/>
  <c r="U5" i="43"/>
  <c r="BQ4" i="43"/>
  <c r="AW4" i="43"/>
  <c r="AY4" i="43" s="1"/>
  <c r="AZ4" i="43" s="1"/>
  <c r="AS4" i="43"/>
  <c r="AQ4" i="43"/>
  <c r="AC4" i="43"/>
  <c r="AA4" i="43"/>
  <c r="Y4" i="43"/>
  <c r="U4" i="43"/>
  <c r="BQ3" i="43"/>
  <c r="BQ6" i="43" s="1"/>
  <c r="AW3" i="43"/>
  <c r="AT3" i="43"/>
  <c r="Z3" i="43"/>
  <c r="Z6" i="43" s="1"/>
  <c r="W3" i="43"/>
  <c r="U3" i="43"/>
  <c r="U6" i="43" s="1"/>
  <c r="BT204" i="40"/>
  <c r="BT202" i="40"/>
  <c r="AR202" i="40"/>
  <c r="AR204" i="40" s="1"/>
  <c r="AC201" i="40"/>
  <c r="AC199" i="40"/>
  <c r="BR196" i="40"/>
  <c r="BD196" i="40"/>
  <c r="AG195" i="40"/>
  <c r="AF195" i="40"/>
  <c r="AE195" i="40"/>
  <c r="AD195" i="40"/>
  <c r="AC195" i="40"/>
  <c r="AB195" i="40"/>
  <c r="AA195" i="40"/>
  <c r="Z195" i="40"/>
  <c r="Y195" i="40"/>
  <c r="X195" i="40"/>
  <c r="W195" i="40"/>
  <c r="V195" i="40"/>
  <c r="U195" i="40"/>
  <c r="AV194" i="40"/>
  <c r="CF192" i="40"/>
  <c r="CD192" i="40"/>
  <c r="CC192" i="40"/>
  <c r="CB192" i="40"/>
  <c r="CA192" i="40"/>
  <c r="BZ192" i="40"/>
  <c r="BY192" i="40"/>
  <c r="BX192" i="40"/>
  <c r="BW192" i="40"/>
  <c r="BV192" i="40"/>
  <c r="BU192" i="40"/>
  <c r="BD192" i="40"/>
  <c r="BB192" i="40"/>
  <c r="BA192" i="40"/>
  <c r="AZ192" i="40"/>
  <c r="AY192" i="40"/>
  <c r="AX192" i="40"/>
  <c r="AW192" i="40"/>
  <c r="AV192" i="40"/>
  <c r="AU192" i="40"/>
  <c r="AT192" i="40"/>
  <c r="AS192" i="40"/>
  <c r="AP192" i="40"/>
  <c r="AO192" i="40"/>
  <c r="AN192" i="40"/>
  <c r="AM192" i="40"/>
  <c r="AL192" i="40"/>
  <c r="AK192" i="40"/>
  <c r="AG192" i="40"/>
  <c r="AE192" i="40"/>
  <c r="AD192" i="40"/>
  <c r="AC192" i="40"/>
  <c r="AB192" i="40"/>
  <c r="AA192" i="40"/>
  <c r="Z192" i="40"/>
  <c r="Y192" i="40"/>
  <c r="X192" i="40"/>
  <c r="W192" i="40"/>
  <c r="V192" i="40"/>
  <c r="Q192" i="40"/>
  <c r="P192" i="40"/>
  <c r="I192" i="40"/>
  <c r="H192" i="40"/>
  <c r="G192" i="40"/>
  <c r="H191" i="40"/>
  <c r="H193" i="40" s="1"/>
  <c r="CF190" i="40"/>
  <c r="CE190" i="40"/>
  <c r="CD190" i="40"/>
  <c r="CC190" i="40"/>
  <c r="CA190" i="40"/>
  <c r="BZ190" i="40"/>
  <c r="BY190" i="40"/>
  <c r="BX190" i="40"/>
  <c r="BW190" i="40"/>
  <c r="BV190" i="40"/>
  <c r="BD190" i="40"/>
  <c r="BC190" i="40"/>
  <c r="BB190" i="40"/>
  <c r="BA190" i="40"/>
  <c r="AY190" i="40"/>
  <c r="AX190" i="40"/>
  <c r="AW190" i="40"/>
  <c r="AV190" i="40"/>
  <c r="AU190" i="40"/>
  <c r="AT190" i="40"/>
  <c r="AG190" i="40"/>
  <c r="AF190" i="40"/>
  <c r="AE190" i="40"/>
  <c r="AD190" i="40"/>
  <c r="AB190" i="40"/>
  <c r="AA190" i="40"/>
  <c r="Z190" i="40"/>
  <c r="Y190" i="40"/>
  <c r="X190" i="40"/>
  <c r="W190" i="40"/>
  <c r="V190" i="40"/>
  <c r="Q190" i="40"/>
  <c r="P190" i="40"/>
  <c r="I190" i="40"/>
  <c r="H190" i="40"/>
  <c r="G190" i="40"/>
  <c r="CF189" i="40"/>
  <c r="CE189" i="40"/>
  <c r="CD189" i="40"/>
  <c r="CC189" i="40"/>
  <c r="CA189" i="40"/>
  <c r="BZ189" i="40"/>
  <c r="BY189" i="40"/>
  <c r="BX189" i="40"/>
  <c r="BW189" i="40"/>
  <c r="BV189" i="40"/>
  <c r="BD189" i="40"/>
  <c r="BC189" i="40"/>
  <c r="BB189" i="40"/>
  <c r="BA189" i="40"/>
  <c r="AY189" i="40"/>
  <c r="AX189" i="40"/>
  <c r="AW189" i="40"/>
  <c r="AV189" i="40"/>
  <c r="AU189" i="40"/>
  <c r="AT189" i="40"/>
  <c r="P189" i="40"/>
  <c r="I189" i="40"/>
  <c r="H189" i="40"/>
  <c r="G189" i="40"/>
  <c r="CF188" i="40"/>
  <c r="CE188" i="40"/>
  <c r="CD188" i="40"/>
  <c r="CC188" i="40"/>
  <c r="BZ188" i="40"/>
  <c r="BY188" i="40"/>
  <c r="BX188" i="40"/>
  <c r="BW188" i="40"/>
  <c r="BD188" i="40"/>
  <c r="BC188" i="40"/>
  <c r="BB188" i="40"/>
  <c r="BA188" i="40"/>
  <c r="AX188" i="40"/>
  <c r="AW188" i="40"/>
  <c r="AV188" i="40"/>
  <c r="AU188" i="40"/>
  <c r="AP188" i="40"/>
  <c r="AO188" i="40"/>
  <c r="AN188" i="40"/>
  <c r="AM188" i="40"/>
  <c r="AL188" i="40"/>
  <c r="AK188" i="40"/>
  <c r="AJ188" i="40"/>
  <c r="AG188" i="40"/>
  <c r="AF188" i="40"/>
  <c r="AE188" i="40"/>
  <c r="AD188" i="40"/>
  <c r="AA188" i="40"/>
  <c r="Z188" i="40"/>
  <c r="Y188" i="40"/>
  <c r="X188" i="40"/>
  <c r="Q188" i="40"/>
  <c r="P188" i="40"/>
  <c r="I188" i="40"/>
  <c r="H188" i="40"/>
  <c r="G188" i="40"/>
  <c r="CF187" i="40"/>
  <c r="CE187" i="40"/>
  <c r="CD187" i="40"/>
  <c r="CC187" i="40"/>
  <c r="CB187" i="40"/>
  <c r="CA187" i="40"/>
  <c r="BZ187" i="40"/>
  <c r="BY187" i="40"/>
  <c r="BX187" i="40"/>
  <c r="BW187" i="40"/>
  <c r="BV187" i="40"/>
  <c r="BD187" i="40"/>
  <c r="BC187" i="40"/>
  <c r="BB187" i="40"/>
  <c r="BA187" i="40"/>
  <c r="AZ187" i="40"/>
  <c r="AY187" i="40"/>
  <c r="AX187" i="40"/>
  <c r="AW187" i="40"/>
  <c r="AV187" i="40"/>
  <c r="AU187" i="40"/>
  <c r="AT187" i="40"/>
  <c r="AP187" i="40"/>
  <c r="AO187" i="40"/>
  <c r="AN187" i="40"/>
  <c r="AM187" i="40"/>
  <c r="AL187" i="40"/>
  <c r="AK187" i="40"/>
  <c r="AJ187" i="40"/>
  <c r="AG187" i="40"/>
  <c r="AF187" i="40"/>
  <c r="AE187" i="40"/>
  <c r="AD187" i="40"/>
  <c r="AC187" i="40"/>
  <c r="AB187" i="40"/>
  <c r="AA187" i="40"/>
  <c r="Z187" i="40"/>
  <c r="Y187" i="40"/>
  <c r="X187" i="40"/>
  <c r="W187" i="40"/>
  <c r="V187" i="40"/>
  <c r="Q187" i="40"/>
  <c r="P187" i="40"/>
  <c r="I187" i="40"/>
  <c r="H187" i="40"/>
  <c r="G187" i="40"/>
  <c r="CF186" i="40"/>
  <c r="CE186" i="40"/>
  <c r="CD186" i="40"/>
  <c r="CC186" i="40"/>
  <c r="CA186" i="40"/>
  <c r="BZ186" i="40"/>
  <c r="BY186" i="40"/>
  <c r="BX186" i="40"/>
  <c r="BW186" i="40"/>
  <c r="BU186" i="40"/>
  <c r="BD186" i="40"/>
  <c r="BC186" i="40"/>
  <c r="BB186" i="40"/>
  <c r="BA186" i="40"/>
  <c r="AY186" i="40"/>
  <c r="AX186" i="40"/>
  <c r="AW186" i="40"/>
  <c r="AV186" i="40"/>
  <c r="AU186" i="40"/>
  <c r="AS186" i="40"/>
  <c r="AP186" i="40"/>
  <c r="AO186" i="40"/>
  <c r="AN186" i="40"/>
  <c r="AM186" i="40"/>
  <c r="AL186" i="40"/>
  <c r="AK186" i="40"/>
  <c r="AJ186" i="40"/>
  <c r="AG186" i="40"/>
  <c r="AF186" i="40"/>
  <c r="AE186" i="40"/>
  <c r="AC186" i="40"/>
  <c r="AB186" i="40"/>
  <c r="Y186" i="40"/>
  <c r="V186" i="40"/>
  <c r="Q186" i="40"/>
  <c r="P186" i="40"/>
  <c r="I186" i="40"/>
  <c r="H186" i="40"/>
  <c r="G186" i="40"/>
  <c r="CM185" i="40"/>
  <c r="CF185" i="40"/>
  <c r="CE185" i="40"/>
  <c r="CD185" i="40"/>
  <c r="CD191" i="40" s="1"/>
  <c r="CD193" i="40" s="1"/>
  <c r="CC185" i="40"/>
  <c r="CC191" i="40" s="1"/>
  <c r="CC193" i="40" s="1"/>
  <c r="CB185" i="40"/>
  <c r="CA185" i="40"/>
  <c r="BZ185" i="40"/>
  <c r="BY185" i="40"/>
  <c r="BX185" i="40"/>
  <c r="BX191" i="40" s="1"/>
  <c r="BX193" i="40" s="1"/>
  <c r="BW185" i="40"/>
  <c r="BV185" i="40"/>
  <c r="BU185" i="40"/>
  <c r="BQ185" i="40"/>
  <c r="BD185" i="40"/>
  <c r="BC185" i="40"/>
  <c r="BB185" i="40"/>
  <c r="BB191" i="40" s="1"/>
  <c r="BB193" i="40" s="1"/>
  <c r="AZ185" i="40"/>
  <c r="AX185" i="40"/>
  <c r="AW185" i="40"/>
  <c r="AW191" i="40" s="1"/>
  <c r="AW193" i="40" s="1"/>
  <c r="AV185" i="40"/>
  <c r="AV191" i="40" s="1"/>
  <c r="AV193" i="40" s="1"/>
  <c r="AS185" i="40"/>
  <c r="AP185" i="40"/>
  <c r="AO185" i="40"/>
  <c r="AN185" i="40"/>
  <c r="AM185" i="40"/>
  <c r="AL185" i="40"/>
  <c r="AK185" i="40"/>
  <c r="AJ185" i="40"/>
  <c r="AG185" i="40"/>
  <c r="AF185" i="40"/>
  <c r="AE185" i="40"/>
  <c r="AC185" i="40"/>
  <c r="AB185" i="40"/>
  <c r="AB191" i="40" s="1"/>
  <c r="AB193" i="40" s="1"/>
  <c r="AB197" i="40" s="1"/>
  <c r="V185" i="40"/>
  <c r="Q185" i="40"/>
  <c r="P185" i="40"/>
  <c r="I185" i="40"/>
  <c r="H185" i="40"/>
  <c r="G185" i="40"/>
  <c r="AO184" i="40"/>
  <c r="AN184" i="40"/>
  <c r="AM184" i="40"/>
  <c r="AL184" i="40"/>
  <c r="AK184" i="40"/>
  <c r="AJ184" i="40"/>
  <c r="P183" i="40"/>
  <c r="CF181" i="40"/>
  <c r="CE181" i="40"/>
  <c r="CD181" i="40"/>
  <c r="CC181" i="40"/>
  <c r="CA181" i="40"/>
  <c r="BZ181" i="40"/>
  <c r="BY181" i="40"/>
  <c r="BX181" i="40"/>
  <c r="BW181" i="40"/>
  <c r="BU181" i="40"/>
  <c r="BM181" i="40"/>
  <c r="BD181" i="40"/>
  <c r="BC181" i="40"/>
  <c r="BB181" i="40"/>
  <c r="BA181" i="40"/>
  <c r="AY181" i="40"/>
  <c r="AX181" i="40"/>
  <c r="AW181" i="40"/>
  <c r="AV181" i="40"/>
  <c r="AU181" i="40"/>
  <c r="AS181" i="40"/>
  <c r="AP181" i="40"/>
  <c r="AO181" i="40"/>
  <c r="AN181" i="40"/>
  <c r="AM181" i="40"/>
  <c r="AL181" i="40"/>
  <c r="AK181" i="40"/>
  <c r="AJ181" i="40"/>
  <c r="AG181" i="40"/>
  <c r="AF181" i="40"/>
  <c r="AE181" i="40"/>
  <c r="AC181" i="40"/>
  <c r="AB181" i="40"/>
  <c r="AA181" i="40"/>
  <c r="Z181" i="40"/>
  <c r="Y181" i="40"/>
  <c r="W181" i="40"/>
  <c r="H181" i="40"/>
  <c r="G181" i="40"/>
  <c r="CT180" i="40"/>
  <c r="CS180" i="40"/>
  <c r="CR180" i="40"/>
  <c r="CQ180" i="40"/>
  <c r="CP180" i="40"/>
  <c r="CO180" i="40"/>
  <c r="CN180" i="40"/>
  <c r="CM180" i="40"/>
  <c r="CL180" i="40"/>
  <c r="CK180" i="40"/>
  <c r="CJ180" i="40"/>
  <c r="CI180" i="40"/>
  <c r="BT180" i="40"/>
  <c r="BR180" i="40"/>
  <c r="BQ180" i="40"/>
  <c r="BP180" i="40"/>
  <c r="BO180" i="40"/>
  <c r="BN180" i="40"/>
  <c r="BM180" i="40"/>
  <c r="BL180" i="40"/>
  <c r="BK180" i="40"/>
  <c r="BJ180" i="40"/>
  <c r="BI180" i="40"/>
  <c r="BH180" i="40"/>
  <c r="BG180" i="40"/>
  <c r="BF180" i="40" s="1"/>
  <c r="AR180" i="40"/>
  <c r="AD180" i="40"/>
  <c r="X180" i="40"/>
  <c r="U180" i="40"/>
  <c r="BS180" i="40" s="1"/>
  <c r="CG180" i="40" s="1"/>
  <c r="S180" i="40"/>
  <c r="CT179" i="40"/>
  <c r="CS179" i="40"/>
  <c r="CR179" i="40"/>
  <c r="CQ179" i="40"/>
  <c r="CP179" i="40"/>
  <c r="CO179" i="40"/>
  <c r="CN179" i="40"/>
  <c r="CM179" i="40"/>
  <c r="CL179" i="40"/>
  <c r="CK179" i="40"/>
  <c r="CJ179" i="40"/>
  <c r="CI179" i="40"/>
  <c r="BT179" i="40"/>
  <c r="BS179" i="40"/>
  <c r="CG179" i="40" s="1"/>
  <c r="BR179" i="40"/>
  <c r="BQ179" i="40"/>
  <c r="BP179" i="40"/>
  <c r="BO179" i="40"/>
  <c r="BN179" i="40"/>
  <c r="BM179" i="40"/>
  <c r="BL179" i="40"/>
  <c r="BK179" i="40"/>
  <c r="BJ179" i="40"/>
  <c r="BI179" i="40"/>
  <c r="BH179" i="40"/>
  <c r="BG179" i="40"/>
  <c r="AR179" i="40"/>
  <c r="AQ179" i="40" s="1"/>
  <c r="BE179" i="40" s="1"/>
  <c r="U179" i="40"/>
  <c r="S179" i="40"/>
  <c r="CT178" i="40"/>
  <c r="CS178" i="40"/>
  <c r="CR178" i="40"/>
  <c r="CQ178" i="40"/>
  <c r="CO178" i="40"/>
  <c r="CN178" i="40"/>
  <c r="CM178" i="40"/>
  <c r="CL178" i="40"/>
  <c r="CK178" i="40"/>
  <c r="CI178" i="40"/>
  <c r="BR178" i="40"/>
  <c r="BQ178" i="40"/>
  <c r="BP178" i="40"/>
  <c r="BO178" i="40"/>
  <c r="BM178" i="40"/>
  <c r="BL178" i="40"/>
  <c r="BK178" i="40"/>
  <c r="BJ178" i="40"/>
  <c r="BI178" i="40"/>
  <c r="BG178" i="40"/>
  <c r="AT181" i="40" s="1"/>
  <c r="AI178" i="40"/>
  <c r="W178" i="40"/>
  <c r="U178" i="40" s="1"/>
  <c r="S178" i="40"/>
  <c r="CT177" i="40"/>
  <c r="CS177" i="40"/>
  <c r="CR177" i="40"/>
  <c r="CQ177" i="40"/>
  <c r="CP177" i="40"/>
  <c r="CO177" i="40"/>
  <c r="CN177" i="40"/>
  <c r="CM177" i="40"/>
  <c r="CL177" i="40"/>
  <c r="CK177" i="40"/>
  <c r="CJ177" i="40"/>
  <c r="CI177" i="40"/>
  <c r="BT177" i="40"/>
  <c r="BR177" i="40"/>
  <c r="BQ177" i="40"/>
  <c r="BP177" i="40"/>
  <c r="BO177" i="40"/>
  <c r="BN177" i="40"/>
  <c r="BM177" i="40"/>
  <c r="BL177" i="40"/>
  <c r="BK177" i="40"/>
  <c r="BJ177" i="40"/>
  <c r="BI177" i="40"/>
  <c r="BF177" i="40" s="1"/>
  <c r="BH177" i="40"/>
  <c r="BG177" i="40"/>
  <c r="BE177" i="40"/>
  <c r="AR177" i="40"/>
  <c r="AQ177" i="40"/>
  <c r="U177" i="40"/>
  <c r="BS177" i="40" s="1"/>
  <c r="CG177" i="40" s="1"/>
  <c r="CT176" i="40"/>
  <c r="CS176" i="40"/>
  <c r="CR176" i="40"/>
  <c r="CQ176" i="40"/>
  <c r="CP176" i="40"/>
  <c r="CO176" i="40"/>
  <c r="CN176" i="40"/>
  <c r="CM176" i="40"/>
  <c r="CL176" i="40"/>
  <c r="CK176" i="40"/>
  <c r="CJ176" i="40"/>
  <c r="BT176" i="40"/>
  <c r="BS176" i="40"/>
  <c r="CG176" i="40" s="1"/>
  <c r="BR176" i="40"/>
  <c r="BQ176" i="40"/>
  <c r="BP176" i="40"/>
  <c r="BO176" i="40"/>
  <c r="BN176" i="40"/>
  <c r="BM176" i="40"/>
  <c r="BL176" i="40"/>
  <c r="BK176" i="40"/>
  <c r="BJ176" i="40"/>
  <c r="BI176" i="40"/>
  <c r="BH176" i="40"/>
  <c r="AR176" i="40"/>
  <c r="AQ176" i="40" s="1"/>
  <c r="BE176" i="40" s="1"/>
  <c r="V176" i="40"/>
  <c r="U176" i="40"/>
  <c r="CT175" i="40"/>
  <c r="CS175" i="40"/>
  <c r="CR175" i="40"/>
  <c r="CQ175" i="40"/>
  <c r="CP175" i="40"/>
  <c r="CO175" i="40"/>
  <c r="CN175" i="40"/>
  <c r="CM175" i="40"/>
  <c r="CL175" i="40"/>
  <c r="CK175" i="40"/>
  <c r="CJ175" i="40"/>
  <c r="CI175" i="40"/>
  <c r="CH175" i="40"/>
  <c r="BT175" i="40"/>
  <c r="BS175" i="40" s="1"/>
  <c r="CG175" i="40" s="1"/>
  <c r="BR175" i="40"/>
  <c r="BQ175" i="40"/>
  <c r="BP175" i="40"/>
  <c r="BO175" i="40"/>
  <c r="BN175" i="40"/>
  <c r="BM175" i="40"/>
  <c r="BL175" i="40"/>
  <c r="BF175" i="40" s="1"/>
  <c r="BK175" i="40"/>
  <c r="BJ175" i="40"/>
  <c r="BI175" i="40"/>
  <c r="BH175" i="40"/>
  <c r="BG175" i="40"/>
  <c r="AR175" i="40"/>
  <c r="AQ175" i="40"/>
  <c r="BE175" i="40" s="1"/>
  <c r="U175" i="40"/>
  <c r="CT174" i="40"/>
  <c r="CS174" i="40"/>
  <c r="CR174" i="40"/>
  <c r="CQ174" i="40"/>
  <c r="CP174" i="40"/>
  <c r="CO174" i="40"/>
  <c r="CN174" i="40"/>
  <c r="CM174" i="40"/>
  <c r="CL174" i="40"/>
  <c r="CK174" i="40"/>
  <c r="CJ174" i="40"/>
  <c r="CI174" i="40"/>
  <c r="BT174" i="40"/>
  <c r="BS174" i="40"/>
  <c r="CG174" i="40" s="1"/>
  <c r="BR174" i="40"/>
  <c r="BQ174" i="40"/>
  <c r="BP174" i="40"/>
  <c r="BO174" i="40"/>
  <c r="BN174" i="40"/>
  <c r="BM174" i="40"/>
  <c r="BL174" i="40"/>
  <c r="BK174" i="40"/>
  <c r="BJ174" i="40"/>
  <c r="BI174" i="40"/>
  <c r="BH174" i="40"/>
  <c r="BG174" i="40"/>
  <c r="AR174" i="40"/>
  <c r="AQ174" i="40" s="1"/>
  <c r="BE174" i="40" s="1"/>
  <c r="X174" i="40"/>
  <c r="U174" i="40"/>
  <c r="CT173" i="40"/>
  <c r="CS173" i="40"/>
  <c r="CR173" i="40"/>
  <c r="CQ173" i="40"/>
  <c r="CP173" i="40"/>
  <c r="CO173" i="40"/>
  <c r="CN173" i="40"/>
  <c r="CM173" i="40"/>
  <c r="CL173" i="40"/>
  <c r="CK173" i="40"/>
  <c r="CJ173" i="40"/>
  <c r="CI173" i="40"/>
  <c r="CH173" i="40"/>
  <c r="CG173" i="40"/>
  <c r="BT173" i="40"/>
  <c r="BS173" i="40"/>
  <c r="BR173" i="40"/>
  <c r="BQ173" i="40"/>
  <c r="BP173" i="40"/>
  <c r="BO173" i="40"/>
  <c r="BN173" i="40"/>
  <c r="BF173" i="40" s="1"/>
  <c r="BM173" i="40"/>
  <c r="BL173" i="40"/>
  <c r="BK173" i="40"/>
  <c r="BJ173" i="40"/>
  <c r="BI173" i="40"/>
  <c r="BH173" i="40"/>
  <c r="BG173" i="40"/>
  <c r="BE173" i="40"/>
  <c r="AR173" i="40"/>
  <c r="AQ173" i="40"/>
  <c r="U173" i="40"/>
  <c r="S173" i="40"/>
  <c r="CT172" i="40"/>
  <c r="CS172" i="40"/>
  <c r="CR172" i="40"/>
  <c r="CR181" i="40" s="1"/>
  <c r="CQ172" i="40"/>
  <c r="CP172" i="40"/>
  <c r="CO172" i="40"/>
  <c r="CN172" i="40"/>
  <c r="CM172" i="40"/>
  <c r="CL172" i="40"/>
  <c r="CK172" i="40"/>
  <c r="CJ172" i="40"/>
  <c r="CI172" i="40"/>
  <c r="BT172" i="40"/>
  <c r="BR172" i="40"/>
  <c r="BQ172" i="40"/>
  <c r="BP172" i="40"/>
  <c r="BO172" i="40"/>
  <c r="BO181" i="40" s="1"/>
  <c r="BN172" i="40"/>
  <c r="BM172" i="40"/>
  <c r="BL172" i="40"/>
  <c r="BK172" i="40"/>
  <c r="BJ172" i="40"/>
  <c r="BI172" i="40"/>
  <c r="BH172" i="40"/>
  <c r="BG172" i="40"/>
  <c r="AR172" i="40"/>
  <c r="AQ172" i="40"/>
  <c r="BE172" i="40" s="1"/>
  <c r="U172" i="40"/>
  <c r="CT171" i="40"/>
  <c r="CS171" i="40"/>
  <c r="CR171" i="40"/>
  <c r="CQ171" i="40"/>
  <c r="CP171" i="40"/>
  <c r="CO171" i="40"/>
  <c r="CN171" i="40"/>
  <c r="CM171" i="40"/>
  <c r="CL171" i="40"/>
  <c r="CK171" i="40"/>
  <c r="CJ171" i="40"/>
  <c r="CI171" i="40"/>
  <c r="BT171" i="40"/>
  <c r="BR171" i="40"/>
  <c r="BQ171" i="40"/>
  <c r="BP171" i="40"/>
  <c r="BO171" i="40"/>
  <c r="BN171" i="40"/>
  <c r="BM171" i="40"/>
  <c r="BL171" i="40"/>
  <c r="BK171" i="40"/>
  <c r="BJ171" i="40"/>
  <c r="BI171" i="40"/>
  <c r="BH171" i="40"/>
  <c r="BG171" i="40"/>
  <c r="AR171" i="40"/>
  <c r="U171" i="40"/>
  <c r="CT170" i="40"/>
  <c r="CS170" i="40"/>
  <c r="CR170" i="40"/>
  <c r="CQ170" i="40"/>
  <c r="CP170" i="40"/>
  <c r="CO170" i="40"/>
  <c r="CN170" i="40"/>
  <c r="CN181" i="40" s="1"/>
  <c r="CM170" i="40"/>
  <c r="CM181" i="40" s="1"/>
  <c r="CL170" i="40"/>
  <c r="CJ170" i="40"/>
  <c r="CI170" i="40"/>
  <c r="BT170" i="40"/>
  <c r="BR170" i="40"/>
  <c r="BQ170" i="40"/>
  <c r="BQ181" i="40" s="1"/>
  <c r="BP170" i="40"/>
  <c r="BO170" i="40"/>
  <c r="BN170" i="40"/>
  <c r="BM170" i="40"/>
  <c r="BL170" i="40"/>
  <c r="BK170" i="40"/>
  <c r="BJ170" i="40"/>
  <c r="BI170" i="40"/>
  <c r="BH170" i="40"/>
  <c r="BG170" i="40"/>
  <c r="AR170" i="40"/>
  <c r="AI170" i="40"/>
  <c r="X170" i="40"/>
  <c r="CT169" i="40"/>
  <c r="CS169" i="40"/>
  <c r="CR169" i="40"/>
  <c r="CQ169" i="40"/>
  <c r="CP169" i="40"/>
  <c r="CO169" i="40"/>
  <c r="CN169" i="40"/>
  <c r="CM169" i="40"/>
  <c r="CL169" i="40"/>
  <c r="CK169" i="40"/>
  <c r="CJ169" i="40"/>
  <c r="CI169" i="40"/>
  <c r="CH169" i="40" s="1"/>
  <c r="BT169" i="40"/>
  <c r="BR169" i="40"/>
  <c r="BQ169" i="40"/>
  <c r="BP169" i="40"/>
  <c r="BO169" i="40"/>
  <c r="BN169" i="40"/>
  <c r="BM169" i="40"/>
  <c r="BL169" i="40"/>
  <c r="BK169" i="40"/>
  <c r="BJ169" i="40"/>
  <c r="BI169" i="40"/>
  <c r="BH169" i="40"/>
  <c r="BG169" i="40"/>
  <c r="BF169" i="40"/>
  <c r="AR169" i="40"/>
  <c r="U169" i="40"/>
  <c r="CF167" i="40"/>
  <c r="CD167" i="40"/>
  <c r="CC167" i="40"/>
  <c r="CB167" i="40"/>
  <c r="CA167" i="40"/>
  <c r="BZ167" i="40"/>
  <c r="BY167" i="40"/>
  <c r="BX167" i="40"/>
  <c r="BW167" i="40"/>
  <c r="BV167" i="40"/>
  <c r="BD167" i="40"/>
  <c r="BB167" i="40"/>
  <c r="BA167" i="40"/>
  <c r="AZ167" i="40"/>
  <c r="AY167" i="40"/>
  <c r="AX167" i="40"/>
  <c r="AW167" i="40"/>
  <c r="AV167" i="40"/>
  <c r="AU167" i="40"/>
  <c r="AT167" i="40"/>
  <c r="AP167" i="40"/>
  <c r="AO167" i="40"/>
  <c r="AN167" i="40"/>
  <c r="AM167" i="40"/>
  <c r="AL167" i="40"/>
  <c r="AK167" i="40"/>
  <c r="AG167" i="40"/>
  <c r="AF167" i="40"/>
  <c r="AE167" i="40"/>
  <c r="AC167" i="40"/>
  <c r="AB167" i="40"/>
  <c r="AA167" i="40"/>
  <c r="Z167" i="40"/>
  <c r="Y167" i="40"/>
  <c r="X167" i="40"/>
  <c r="W167" i="40"/>
  <c r="V167" i="40"/>
  <c r="H167" i="40"/>
  <c r="G167" i="40"/>
  <c r="CT166" i="40"/>
  <c r="CR166" i="40"/>
  <c r="CQ166" i="40"/>
  <c r="CP166" i="40"/>
  <c r="CO166" i="40"/>
  <c r="CN166" i="40"/>
  <c r="CM166" i="40"/>
  <c r="CL166" i="40"/>
  <c r="CK166" i="40"/>
  <c r="CJ166" i="40"/>
  <c r="CI166" i="40"/>
  <c r="BT166" i="40" s="1"/>
  <c r="BR166" i="40"/>
  <c r="BP166" i="40"/>
  <c r="BO166" i="40"/>
  <c r="BN166" i="40"/>
  <c r="BM166" i="40"/>
  <c r="BL166" i="40"/>
  <c r="BK166" i="40"/>
  <c r="BJ166" i="40"/>
  <c r="BI166" i="40"/>
  <c r="BH166" i="40"/>
  <c r="BG166" i="40"/>
  <c r="AI166" i="40"/>
  <c r="U166" i="40"/>
  <c r="S166" i="40" s="1"/>
  <c r="CT165" i="40"/>
  <c r="CR165" i="40"/>
  <c r="CQ165" i="40"/>
  <c r="CP165" i="40"/>
  <c r="CO165" i="40"/>
  <c r="CN165" i="40"/>
  <c r="CM165" i="40"/>
  <c r="CL165" i="40"/>
  <c r="CK165" i="40"/>
  <c r="CJ165" i="40"/>
  <c r="CI165" i="40"/>
  <c r="BT165" i="40" s="1"/>
  <c r="BS165" i="40" s="1"/>
  <c r="CG165" i="40" s="1"/>
  <c r="BR165" i="40"/>
  <c r="BP165" i="40"/>
  <c r="BO165" i="40"/>
  <c r="BN165" i="40"/>
  <c r="BM165" i="40"/>
  <c r="BL165" i="40"/>
  <c r="BK165" i="40"/>
  <c r="BJ165" i="40"/>
  <c r="BI165" i="40"/>
  <c r="BH165" i="40"/>
  <c r="BG165" i="40"/>
  <c r="AR165" i="40" s="1"/>
  <c r="AQ165" i="40" s="1"/>
  <c r="BE165" i="40" s="1"/>
  <c r="AI165" i="40"/>
  <c r="U165" i="40"/>
  <c r="S165" i="40"/>
  <c r="CT164" i="40"/>
  <c r="CS164" i="40"/>
  <c r="CR164" i="40"/>
  <c r="CQ164" i="40"/>
  <c r="CP164" i="40"/>
  <c r="CO164" i="40"/>
  <c r="CN164" i="40"/>
  <c r="CM164" i="40"/>
  <c r="CL164" i="40"/>
  <c r="CK164" i="40"/>
  <c r="CJ164" i="40"/>
  <c r="CI164" i="40"/>
  <c r="CH164" i="40" s="1"/>
  <c r="BT164" i="40"/>
  <c r="BR164" i="40"/>
  <c r="BP164" i="40"/>
  <c r="BO164" i="40"/>
  <c r="BN164" i="40"/>
  <c r="BM164" i="40"/>
  <c r="BL164" i="40"/>
  <c r="BK164" i="40"/>
  <c r="BJ164" i="40"/>
  <c r="BI164" i="40"/>
  <c r="BH164" i="40"/>
  <c r="BG164" i="40"/>
  <c r="AJ164" i="40"/>
  <c r="AI164" i="40" s="1"/>
  <c r="AF164" i="40"/>
  <c r="U164" i="40" s="1"/>
  <c r="CT163" i="40"/>
  <c r="CR163" i="40"/>
  <c r="CQ163" i="40"/>
  <c r="CP163" i="40"/>
  <c r="CO163" i="40"/>
  <c r="CN163" i="40"/>
  <c r="CM163" i="40"/>
  <c r="CL163" i="40"/>
  <c r="CK163" i="40"/>
  <c r="CJ163" i="40"/>
  <c r="CI163" i="40"/>
  <c r="BT163" i="40" s="1"/>
  <c r="BR163" i="40"/>
  <c r="BP163" i="40"/>
  <c r="BO163" i="40"/>
  <c r="BN163" i="40"/>
  <c r="BM163" i="40"/>
  <c r="BL163" i="40"/>
  <c r="BK163" i="40"/>
  <c r="BJ163" i="40"/>
  <c r="BI163" i="40"/>
  <c r="BH163" i="40"/>
  <c r="BG163" i="40"/>
  <c r="AR163" i="40" s="1"/>
  <c r="AQ163" i="40" s="1"/>
  <c r="BE163" i="40" s="1"/>
  <c r="AI163" i="40"/>
  <c r="U163" i="40"/>
  <c r="S163" i="40"/>
  <c r="CT162" i="40"/>
  <c r="CR162" i="40"/>
  <c r="CQ162" i="40"/>
  <c r="CP162" i="40"/>
  <c r="CO162" i="40"/>
  <c r="CN162" i="40"/>
  <c r="CM162" i="40"/>
  <c r="CL162" i="40"/>
  <c r="CK162" i="40"/>
  <c r="CJ162" i="40"/>
  <c r="CI162" i="40"/>
  <c r="BT162" i="40" s="1"/>
  <c r="BR162" i="40"/>
  <c r="BP162" i="40"/>
  <c r="BO162" i="40"/>
  <c r="BN162" i="40"/>
  <c r="BM162" i="40"/>
  <c r="BL162" i="40"/>
  <c r="BK162" i="40"/>
  <c r="BJ162" i="40"/>
  <c r="BI162" i="40"/>
  <c r="BH162" i="40"/>
  <c r="BG162" i="40"/>
  <c r="AI162" i="40"/>
  <c r="AF162" i="40"/>
  <c r="U162" i="40"/>
  <c r="S162" i="40" s="1"/>
  <c r="CT161" i="40"/>
  <c r="CS161" i="40"/>
  <c r="CR161" i="40"/>
  <c r="CQ161" i="40"/>
  <c r="CP161" i="40"/>
  <c r="CO161" i="40"/>
  <c r="CN161" i="40"/>
  <c r="CM161" i="40"/>
  <c r="CL161" i="40"/>
  <c r="CK161" i="40"/>
  <c r="CJ161" i="40"/>
  <c r="CI161" i="40"/>
  <c r="CH161" i="40" s="1"/>
  <c r="BT161" i="40"/>
  <c r="BR161" i="40"/>
  <c r="BQ161" i="40"/>
  <c r="BP161" i="40"/>
  <c r="BO161" i="40"/>
  <c r="BN161" i="40"/>
  <c r="BM161" i="40"/>
  <c r="BL161" i="40"/>
  <c r="BK161" i="40"/>
  <c r="BJ161" i="40"/>
  <c r="BI161" i="40"/>
  <c r="BH161" i="40"/>
  <c r="BF161" i="40" s="1"/>
  <c r="BG161" i="40"/>
  <c r="AR161" i="40"/>
  <c r="AI161" i="40"/>
  <c r="U161" i="40"/>
  <c r="S161" i="40" s="1"/>
  <c r="CT160" i="40"/>
  <c r="CR160" i="40"/>
  <c r="CQ160" i="40"/>
  <c r="CP160" i="40"/>
  <c r="CO160" i="40"/>
  <c r="CN160" i="40"/>
  <c r="CM160" i="40"/>
  <c r="CL160" i="40"/>
  <c r="CK160" i="40"/>
  <c r="CJ160" i="40"/>
  <c r="CI160" i="40"/>
  <c r="CS160" i="40" s="1"/>
  <c r="BR160" i="40"/>
  <c r="BP160" i="40"/>
  <c r="BO160" i="40"/>
  <c r="BN160" i="40"/>
  <c r="BM160" i="40"/>
  <c r="BL160" i="40"/>
  <c r="BK160" i="40"/>
  <c r="BJ160" i="40"/>
  <c r="BI160" i="40"/>
  <c r="BH160" i="40"/>
  <c r="BG160" i="40"/>
  <c r="AI160" i="40"/>
  <c r="U160" i="40"/>
  <c r="S160" i="40"/>
  <c r="CT159" i="40"/>
  <c r="CR159" i="40"/>
  <c r="CQ159" i="40"/>
  <c r="CP159" i="40"/>
  <c r="CO159" i="40"/>
  <c r="CN159" i="40"/>
  <c r="CN167" i="40" s="1"/>
  <c r="CM159" i="40"/>
  <c r="CL159" i="40"/>
  <c r="CK159" i="40"/>
  <c r="CJ159" i="40"/>
  <c r="CI159" i="40"/>
  <c r="BR159" i="40"/>
  <c r="BP159" i="40"/>
  <c r="BO159" i="40"/>
  <c r="BN159" i="40"/>
  <c r="BM159" i="40"/>
  <c r="BL159" i="40"/>
  <c r="BK159" i="40"/>
  <c r="BJ159" i="40"/>
  <c r="BI159" i="40"/>
  <c r="BH159" i="40"/>
  <c r="BG159" i="40"/>
  <c r="AR159" i="40" s="1"/>
  <c r="AQ159" i="40" s="1"/>
  <c r="BE159" i="40" s="1"/>
  <c r="AJ159" i="40"/>
  <c r="AI159" i="40"/>
  <c r="U159" i="40"/>
  <c r="S159" i="40" s="1"/>
  <c r="CT158" i="40"/>
  <c r="CR158" i="40"/>
  <c r="CQ158" i="40"/>
  <c r="CP158" i="40"/>
  <c r="CO158" i="40"/>
  <c r="CN158" i="40"/>
  <c r="CM158" i="40"/>
  <c r="CL158" i="40"/>
  <c r="CK158" i="40"/>
  <c r="CJ158" i="40"/>
  <c r="CI158" i="40"/>
  <c r="BR158" i="40"/>
  <c r="BP158" i="40"/>
  <c r="BO158" i="40"/>
  <c r="BN158" i="40"/>
  <c r="BM158" i="40"/>
  <c r="BL158" i="40"/>
  <c r="BK158" i="40"/>
  <c r="BJ158" i="40"/>
  <c r="BI158" i="40"/>
  <c r="BH158" i="40"/>
  <c r="BG158" i="40"/>
  <c r="BQ158" i="40" s="1"/>
  <c r="AI158" i="40"/>
  <c r="U158" i="40"/>
  <c r="S158" i="40" s="1"/>
  <c r="CT157" i="40"/>
  <c r="CR157" i="40"/>
  <c r="CQ157" i="40"/>
  <c r="CP157" i="40"/>
  <c r="CP192" i="40" s="1"/>
  <c r="CO157" i="40"/>
  <c r="CN157" i="40"/>
  <c r="CM157" i="40"/>
  <c r="CL157" i="40"/>
  <c r="CK157" i="40"/>
  <c r="CJ157" i="40"/>
  <c r="CI157" i="40"/>
  <c r="BR157" i="40"/>
  <c r="BR192" i="40" s="1"/>
  <c r="BP157" i="40"/>
  <c r="BO157" i="40"/>
  <c r="BN157" i="40"/>
  <c r="BM157" i="40"/>
  <c r="BL157" i="40"/>
  <c r="BK157" i="40"/>
  <c r="BJ157" i="40"/>
  <c r="BJ192" i="40" s="1"/>
  <c r="BI157" i="40"/>
  <c r="BI192" i="40" s="1"/>
  <c r="BH157" i="40"/>
  <c r="BG157" i="40"/>
  <c r="AI157" i="40"/>
  <c r="U157" i="40"/>
  <c r="CT156" i="40"/>
  <c r="CS156" i="40"/>
  <c r="CR156" i="40"/>
  <c r="CQ156" i="40"/>
  <c r="CP156" i="40"/>
  <c r="CO156" i="40"/>
  <c r="CN156" i="40"/>
  <c r="CM156" i="40"/>
  <c r="CL156" i="40"/>
  <c r="CK156" i="40"/>
  <c r="CJ156" i="40"/>
  <c r="CH156" i="40"/>
  <c r="BT156" i="40"/>
  <c r="BS156" i="40"/>
  <c r="CG156" i="40" s="1"/>
  <c r="BR156" i="40"/>
  <c r="BQ156" i="40"/>
  <c r="BP156" i="40"/>
  <c r="BO156" i="40"/>
  <c r="BN156" i="40"/>
  <c r="BM156" i="40"/>
  <c r="BL156" i="40"/>
  <c r="BK156" i="40"/>
  <c r="BJ156" i="40"/>
  <c r="BI156" i="40"/>
  <c r="BH156" i="40"/>
  <c r="BF156" i="40" s="1"/>
  <c r="BG156" i="40"/>
  <c r="AR156" i="40"/>
  <c r="AQ156" i="40"/>
  <c r="BE156" i="40" s="1"/>
  <c r="AD156" i="40"/>
  <c r="AD167" i="40" s="1"/>
  <c r="U156" i="40"/>
  <c r="CT155" i="40"/>
  <c r="CS155" i="40"/>
  <c r="CR155" i="40"/>
  <c r="CQ155" i="40"/>
  <c r="CP155" i="40"/>
  <c r="CO155" i="40"/>
  <c r="CN155" i="40"/>
  <c r="CM155" i="40"/>
  <c r="CL155" i="40"/>
  <c r="CK155" i="40"/>
  <c r="CJ155" i="40"/>
  <c r="BR155" i="40"/>
  <c r="BQ155" i="40"/>
  <c r="BP155" i="40"/>
  <c r="BO155" i="40"/>
  <c r="BN155" i="40"/>
  <c r="BM155" i="40"/>
  <c r="BL155" i="40"/>
  <c r="BK155" i="40"/>
  <c r="BJ155" i="40"/>
  <c r="BI155" i="40"/>
  <c r="BH155" i="40"/>
  <c r="AR155" i="40" s="1"/>
  <c r="U155" i="40"/>
  <c r="CT154" i="40"/>
  <c r="CS154" i="40"/>
  <c r="CR154" i="40"/>
  <c r="CQ154" i="40"/>
  <c r="CP154" i="40"/>
  <c r="CO154" i="40"/>
  <c r="CN154" i="40"/>
  <c r="CM154" i="40"/>
  <c r="CL154" i="40"/>
  <c r="CK154" i="40"/>
  <c r="CJ154" i="40"/>
  <c r="CH154" i="40" s="1"/>
  <c r="BT154" i="40" s="1"/>
  <c r="BS154" i="40" s="1"/>
  <c r="CG154" i="40" s="1"/>
  <c r="BR154" i="40"/>
  <c r="BQ154" i="40"/>
  <c r="BP154" i="40"/>
  <c r="BO154" i="40"/>
  <c r="BN154" i="40"/>
  <c r="BM154" i="40"/>
  <c r="BL154" i="40"/>
  <c r="BK154" i="40"/>
  <c r="BJ154" i="40"/>
  <c r="BI154" i="40"/>
  <c r="BH154" i="40"/>
  <c r="AR154" i="40" s="1"/>
  <c r="U154" i="40"/>
  <c r="CT153" i="40"/>
  <c r="CS153" i="40"/>
  <c r="CR153" i="40"/>
  <c r="CQ153" i="40"/>
  <c r="CP153" i="40"/>
  <c r="CO153" i="40"/>
  <c r="CN153" i="40"/>
  <c r="CM153" i="40"/>
  <c r="CL153" i="40"/>
  <c r="CK153" i="40"/>
  <c r="CJ153" i="40"/>
  <c r="BR153" i="40"/>
  <c r="BQ153" i="40"/>
  <c r="BP153" i="40"/>
  <c r="BO153" i="40"/>
  <c r="BN153" i="40"/>
  <c r="BM153" i="40"/>
  <c r="BL153" i="40"/>
  <c r="BK153" i="40"/>
  <c r="BJ153" i="40"/>
  <c r="BI153" i="40"/>
  <c r="BH153" i="40"/>
  <c r="U153" i="40"/>
  <c r="CT152" i="40"/>
  <c r="CS152" i="40"/>
  <c r="CR152" i="40"/>
  <c r="CQ152" i="40"/>
  <c r="CP152" i="40"/>
  <c r="CP167" i="40" s="1"/>
  <c r="CO152" i="40"/>
  <c r="CN152" i="40"/>
  <c r="CM152" i="40"/>
  <c r="CL152" i="40"/>
  <c r="CL167" i="40" s="1"/>
  <c r="CK152" i="40"/>
  <c r="CJ152" i="40"/>
  <c r="CI152" i="40"/>
  <c r="BT152" i="40"/>
  <c r="BR152" i="40"/>
  <c r="BR167" i="40" s="1"/>
  <c r="BQ152" i="40"/>
  <c r="BP152" i="40"/>
  <c r="BO152" i="40"/>
  <c r="BN152" i="40"/>
  <c r="BM152" i="40"/>
  <c r="BL152" i="40"/>
  <c r="BK152" i="40"/>
  <c r="BJ152" i="40"/>
  <c r="BJ167" i="40" s="1"/>
  <c r="BI152" i="40"/>
  <c r="BI167" i="40" s="1"/>
  <c r="BH152" i="40"/>
  <c r="BG152" i="40"/>
  <c r="AR152" i="40"/>
  <c r="AI152" i="40"/>
  <c r="U152" i="40"/>
  <c r="CT150" i="40"/>
  <c r="CS150" i="40"/>
  <c r="CP150" i="40"/>
  <c r="CN150" i="40"/>
  <c r="CM150" i="40"/>
  <c r="CK150" i="40"/>
  <c r="CF150" i="40"/>
  <c r="CE150" i="40"/>
  <c r="CD150" i="40"/>
  <c r="CC150" i="40"/>
  <c r="CB150" i="40"/>
  <c r="CA150" i="40"/>
  <c r="BZ150" i="40"/>
  <c r="BY150" i="40"/>
  <c r="BX150" i="40"/>
  <c r="BW150" i="40"/>
  <c r="BV150" i="40"/>
  <c r="BL150" i="40"/>
  <c r="BD150" i="40"/>
  <c r="BC150" i="40"/>
  <c r="BB150" i="40"/>
  <c r="BA150" i="40"/>
  <c r="AZ150" i="40"/>
  <c r="AY150" i="40"/>
  <c r="AX150" i="40"/>
  <c r="AW150" i="40"/>
  <c r="AV150" i="40"/>
  <c r="AU150" i="40"/>
  <c r="AT150" i="40"/>
  <c r="AP150" i="40"/>
  <c r="AO150" i="40"/>
  <c r="AN150" i="40"/>
  <c r="AM150" i="40"/>
  <c r="AL150" i="40"/>
  <c r="AK150" i="40"/>
  <c r="AJ150" i="40"/>
  <c r="AI150" i="40"/>
  <c r="AG150" i="40"/>
  <c r="AF150" i="40"/>
  <c r="AE150" i="40"/>
  <c r="AC150" i="40"/>
  <c r="AB150" i="40"/>
  <c r="AA150" i="40"/>
  <c r="Z150" i="40"/>
  <c r="Y150" i="40"/>
  <c r="X150" i="40"/>
  <c r="W150" i="40"/>
  <c r="V150" i="40"/>
  <c r="H150" i="40"/>
  <c r="G150" i="40"/>
  <c r="CT149" i="40"/>
  <c r="CS149" i="40"/>
  <c r="CR149" i="40"/>
  <c r="CP149" i="40"/>
  <c r="CO149" i="40"/>
  <c r="CN149" i="40"/>
  <c r="CM149" i="40"/>
  <c r="CL149" i="40"/>
  <c r="CK149" i="40"/>
  <c r="CJ149" i="40"/>
  <c r="CI149" i="40"/>
  <c r="BT149" i="40"/>
  <c r="BR149" i="40"/>
  <c r="BR150" i="40" s="1"/>
  <c r="BQ149" i="40"/>
  <c r="BQ150" i="40" s="1"/>
  <c r="BP149" i="40"/>
  <c r="BN149" i="40"/>
  <c r="BM149" i="40"/>
  <c r="BL149" i="40"/>
  <c r="BK149" i="40"/>
  <c r="BJ149" i="40"/>
  <c r="BI149" i="40"/>
  <c r="BI150" i="40" s="1"/>
  <c r="BH149" i="40"/>
  <c r="BG149" i="40"/>
  <c r="AR149" i="40"/>
  <c r="AD149" i="40"/>
  <c r="CT148" i="40"/>
  <c r="CS148" i="40"/>
  <c r="CR148" i="40"/>
  <c r="CR150" i="40" s="1"/>
  <c r="CQ148" i="40"/>
  <c r="CQ150" i="40" s="1"/>
  <c r="CP148" i="40"/>
  <c r="CO148" i="40"/>
  <c r="CO150" i="40" s="1"/>
  <c r="CN148" i="40"/>
  <c r="CM148" i="40"/>
  <c r="CL148" i="40"/>
  <c r="CL150" i="40" s="1"/>
  <c r="CK148" i="40"/>
  <c r="CJ148" i="40"/>
  <c r="CJ150" i="40" s="1"/>
  <c r="BR148" i="40"/>
  <c r="BQ148" i="40"/>
  <c r="BP148" i="40"/>
  <c r="BP150" i="40" s="1"/>
  <c r="BO148" i="40"/>
  <c r="BN148" i="40"/>
  <c r="BN150" i="40" s="1"/>
  <c r="BM148" i="40"/>
  <c r="BM150" i="40" s="1"/>
  <c r="BL148" i="40"/>
  <c r="BK148" i="40"/>
  <c r="BK150" i="40" s="1"/>
  <c r="BJ148" i="40"/>
  <c r="BJ150" i="40" s="1"/>
  <c r="BI148" i="40"/>
  <c r="BH148" i="40"/>
  <c r="AI148" i="40"/>
  <c r="U148" i="40"/>
  <c r="S148" i="40"/>
  <c r="CP146" i="40"/>
  <c r="CF146" i="40"/>
  <c r="CE146" i="40"/>
  <c r="CD146" i="40"/>
  <c r="CC146" i="40"/>
  <c r="CB146" i="40"/>
  <c r="CA146" i="40"/>
  <c r="BZ146" i="40"/>
  <c r="BY146" i="40"/>
  <c r="BX146" i="40"/>
  <c r="BW146" i="40"/>
  <c r="BV146" i="40"/>
  <c r="BD146" i="40"/>
  <c r="BC146" i="40"/>
  <c r="BB146" i="40"/>
  <c r="AZ146" i="40"/>
  <c r="AX146" i="40"/>
  <c r="AW146" i="40"/>
  <c r="AV146" i="40"/>
  <c r="AP146" i="40"/>
  <c r="AO146" i="40"/>
  <c r="AN146" i="40"/>
  <c r="AM146" i="40"/>
  <c r="AL146" i="40"/>
  <c r="AK146" i="40"/>
  <c r="AJ146" i="40"/>
  <c r="AG146" i="40"/>
  <c r="AF146" i="40"/>
  <c r="AE146" i="40"/>
  <c r="AD146" i="40"/>
  <c r="AC146" i="40"/>
  <c r="I146" i="40"/>
  <c r="H146" i="40"/>
  <c r="G146" i="40"/>
  <c r="CT145" i="40"/>
  <c r="CS145" i="40"/>
  <c r="CR145" i="40"/>
  <c r="CQ145" i="40"/>
  <c r="CP145" i="40"/>
  <c r="CO145" i="40"/>
  <c r="CN145" i="40"/>
  <c r="CM145" i="40"/>
  <c r="CL145" i="40"/>
  <c r="CK145" i="40"/>
  <c r="CJ145" i="40"/>
  <c r="CI145" i="40"/>
  <c r="BT145" i="40"/>
  <c r="BR145" i="40"/>
  <c r="BQ145" i="40"/>
  <c r="BP145" i="40"/>
  <c r="BO145" i="40"/>
  <c r="BN145" i="40"/>
  <c r="BM145" i="40"/>
  <c r="BL145" i="40"/>
  <c r="BK145" i="40"/>
  <c r="BJ145" i="40"/>
  <c r="BI145" i="40"/>
  <c r="BH145" i="40"/>
  <c r="BG145" i="40"/>
  <c r="AR145" i="40"/>
  <c r="AQ145" i="40" s="1"/>
  <c r="BE145" i="40" s="1"/>
  <c r="AI145" i="40"/>
  <c r="U145" i="40"/>
  <c r="BS145" i="40" s="1"/>
  <c r="CG145" i="40" s="1"/>
  <c r="S145" i="40"/>
  <c r="CT144" i="40"/>
  <c r="CS144" i="40"/>
  <c r="CR144" i="40"/>
  <c r="CQ144" i="40"/>
  <c r="CP144" i="40"/>
  <c r="CO144" i="40"/>
  <c r="CN144" i="40"/>
  <c r="CM144" i="40"/>
  <c r="CL144" i="40"/>
  <c r="CK144" i="40"/>
  <c r="CJ144" i="40"/>
  <c r="CI144" i="40"/>
  <c r="BT144" i="40"/>
  <c r="BR144" i="40"/>
  <c r="BQ144" i="40"/>
  <c r="BP144" i="40"/>
  <c r="BO144" i="40"/>
  <c r="BN144" i="40"/>
  <c r="BM144" i="40"/>
  <c r="BL144" i="40"/>
  <c r="BK144" i="40"/>
  <c r="BJ144" i="40"/>
  <c r="BI144" i="40"/>
  <c r="BH144" i="40"/>
  <c r="BG144" i="40"/>
  <c r="AR144" i="40"/>
  <c r="U144" i="40"/>
  <c r="AQ144" i="40" s="1"/>
  <c r="BE144" i="40" s="1"/>
  <c r="CT143" i="40"/>
  <c r="CS143" i="40"/>
  <c r="CR143" i="40"/>
  <c r="CQ143" i="40"/>
  <c r="CP143" i="40"/>
  <c r="CO143" i="40"/>
  <c r="CN143" i="40"/>
  <c r="CM143" i="40"/>
  <c r="CL143" i="40"/>
  <c r="CK143" i="40"/>
  <c r="CJ143" i="40"/>
  <c r="CI143" i="40"/>
  <c r="BT143" i="40"/>
  <c r="BR143" i="40"/>
  <c r="BQ143" i="40"/>
  <c r="BP143" i="40"/>
  <c r="BO143" i="40"/>
  <c r="BN143" i="40"/>
  <c r="BM143" i="40"/>
  <c r="BL143" i="40"/>
  <c r="BK143" i="40"/>
  <c r="BJ143" i="40"/>
  <c r="BI143" i="40"/>
  <c r="BH143" i="40"/>
  <c r="BF143" i="40" s="1"/>
  <c r="BG143" i="40"/>
  <c r="AR143" i="40"/>
  <c r="AQ143" i="40" s="1"/>
  <c r="BE143" i="40" s="1"/>
  <c r="U143" i="40"/>
  <c r="BS143" i="40" s="1"/>
  <c r="CG143" i="40" s="1"/>
  <c r="CT142" i="40"/>
  <c r="CS142" i="40"/>
  <c r="CR142" i="40"/>
  <c r="CQ142" i="40"/>
  <c r="CP142" i="40"/>
  <c r="CO142" i="40"/>
  <c r="CN142" i="40"/>
  <c r="CM142" i="40"/>
  <c r="CL142" i="40"/>
  <c r="CH142" i="40" s="1"/>
  <c r="CK142" i="40"/>
  <c r="CJ142" i="40"/>
  <c r="CI142" i="40"/>
  <c r="BT142" i="40"/>
  <c r="BR142" i="40"/>
  <c r="BQ142" i="40"/>
  <c r="BP142" i="40"/>
  <c r="BO142" i="40"/>
  <c r="BN142" i="40"/>
  <c r="BM142" i="40"/>
  <c r="BL142" i="40"/>
  <c r="BK142" i="40"/>
  <c r="BJ142" i="40"/>
  <c r="BI142" i="40"/>
  <c r="BH142" i="40"/>
  <c r="BG142" i="40"/>
  <c r="BF142" i="40"/>
  <c r="AR142" i="40"/>
  <c r="U142" i="40"/>
  <c r="CT141" i="40"/>
  <c r="CS141" i="40"/>
  <c r="CR141" i="40"/>
  <c r="CQ141" i="40"/>
  <c r="CP141" i="40"/>
  <c r="CO141" i="40"/>
  <c r="CN141" i="40"/>
  <c r="CM141" i="40"/>
  <c r="CL141" i="40"/>
  <c r="CK141" i="40"/>
  <c r="CJ141" i="40"/>
  <c r="CI141" i="40"/>
  <c r="CH141" i="40" s="1"/>
  <c r="BT141" i="40"/>
  <c r="BS141" i="40"/>
  <c r="CG141" i="40" s="1"/>
  <c r="BR141" i="40"/>
  <c r="BQ141" i="40"/>
  <c r="BP141" i="40"/>
  <c r="BO141" i="40"/>
  <c r="BN141" i="40"/>
  <c r="BM141" i="40"/>
  <c r="BL141" i="40"/>
  <c r="BK141" i="40"/>
  <c r="BJ141" i="40"/>
  <c r="BI141" i="40"/>
  <c r="BH141" i="40"/>
  <c r="BG141" i="40"/>
  <c r="BF141" i="40"/>
  <c r="AR141" i="40"/>
  <c r="AQ141" i="40"/>
  <c r="BE141" i="40" s="1"/>
  <c r="U141" i="40"/>
  <c r="CT140" i="40"/>
  <c r="CS140" i="40"/>
  <c r="CR140" i="40"/>
  <c r="CQ140" i="40"/>
  <c r="CP140" i="40"/>
  <c r="CO140" i="40"/>
  <c r="CN140" i="40"/>
  <c r="CM140" i="40"/>
  <c r="CL140" i="40"/>
  <c r="CK140" i="40"/>
  <c r="CJ140" i="40"/>
  <c r="CI140" i="40"/>
  <c r="BT140" i="40"/>
  <c r="BS140" i="40" s="1"/>
  <c r="CG140" i="40" s="1"/>
  <c r="BR140" i="40"/>
  <c r="BQ140" i="40"/>
  <c r="BP140" i="40"/>
  <c r="BO140" i="40"/>
  <c r="BN140" i="40"/>
  <c r="BM140" i="40"/>
  <c r="BL140" i="40"/>
  <c r="BK140" i="40"/>
  <c r="BJ140" i="40"/>
  <c r="BI140" i="40"/>
  <c r="BH140" i="40"/>
  <c r="BG140" i="40"/>
  <c r="BF140" i="40" s="1"/>
  <c r="AR140" i="40"/>
  <c r="AQ140" i="40" s="1"/>
  <c r="BE140" i="40" s="1"/>
  <c r="U140" i="40"/>
  <c r="CT139" i="40"/>
  <c r="CS139" i="40"/>
  <c r="CR139" i="40"/>
  <c r="CQ139" i="40"/>
  <c r="CP139" i="40"/>
  <c r="CO139" i="40"/>
  <c r="CN139" i="40"/>
  <c r="CM139" i="40"/>
  <c r="CL139" i="40"/>
  <c r="CK139" i="40"/>
  <c r="CJ139" i="40"/>
  <c r="CI139" i="40"/>
  <c r="CG139" i="40"/>
  <c r="BT139" i="40"/>
  <c r="BS139" i="40" s="1"/>
  <c r="BR139" i="40"/>
  <c r="BQ139" i="40"/>
  <c r="BP139" i="40"/>
  <c r="BO139" i="40"/>
  <c r="BN139" i="40"/>
  <c r="BM139" i="40"/>
  <c r="BL139" i="40"/>
  <c r="BK139" i="40"/>
  <c r="BJ139" i="40"/>
  <c r="BI139" i="40"/>
  <c r="BH139" i="40"/>
  <c r="BG139" i="40"/>
  <c r="BF139" i="40" s="1"/>
  <c r="AR139" i="40"/>
  <c r="AQ139" i="40" s="1"/>
  <c r="BE139" i="40" s="1"/>
  <c r="U139" i="40"/>
  <c r="CT138" i="40"/>
  <c r="CS138" i="40"/>
  <c r="CR138" i="40"/>
  <c r="CQ138" i="40"/>
  <c r="CP138" i="40"/>
  <c r="CO138" i="40"/>
  <c r="CN138" i="40"/>
  <c r="CM138" i="40"/>
  <c r="CL138" i="40"/>
  <c r="CK138" i="40"/>
  <c r="CJ138" i="40"/>
  <c r="CI138" i="40"/>
  <c r="CH138" i="40" s="1"/>
  <c r="BT138" i="40"/>
  <c r="BR138" i="40"/>
  <c r="BQ138" i="40"/>
  <c r="BP138" i="40"/>
  <c r="BO138" i="40"/>
  <c r="BN138" i="40"/>
  <c r="BM138" i="40"/>
  <c r="BL138" i="40"/>
  <c r="BK138" i="40"/>
  <c r="BJ138" i="40"/>
  <c r="BI138" i="40"/>
  <c r="BH138" i="40"/>
  <c r="BG138" i="40"/>
  <c r="AR138" i="40"/>
  <c r="U138" i="40"/>
  <c r="CT137" i="40"/>
  <c r="CS137" i="40"/>
  <c r="CR137" i="40"/>
  <c r="CQ137" i="40"/>
  <c r="CP137" i="40"/>
  <c r="CO137" i="40"/>
  <c r="CN137" i="40"/>
  <c r="CM137" i="40"/>
  <c r="CL137" i="40"/>
  <c r="CK137" i="40"/>
  <c r="CJ137" i="40"/>
  <c r="CI137" i="40"/>
  <c r="BT137" i="40"/>
  <c r="BR137" i="40"/>
  <c r="BQ137" i="40"/>
  <c r="BP137" i="40"/>
  <c r="BO137" i="40"/>
  <c r="BN137" i="40"/>
  <c r="BM137" i="40"/>
  <c r="BL137" i="40"/>
  <c r="BK137" i="40"/>
  <c r="BJ137" i="40"/>
  <c r="BI137" i="40"/>
  <c r="BH137" i="40"/>
  <c r="BG137" i="40"/>
  <c r="BF137" i="40"/>
  <c r="AR137" i="40"/>
  <c r="U137" i="40"/>
  <c r="AQ137" i="40" s="1"/>
  <c r="BE137" i="40" s="1"/>
  <c r="CT136" i="40"/>
  <c r="CS136" i="40"/>
  <c r="CR136" i="40"/>
  <c r="CQ136" i="40"/>
  <c r="CP136" i="40"/>
  <c r="CO136" i="40"/>
  <c r="CN136" i="40"/>
  <c r="CM136" i="40"/>
  <c r="CL136" i="40"/>
  <c r="CK136" i="40"/>
  <c r="CJ136" i="40"/>
  <c r="CI136" i="40"/>
  <c r="BT136" i="40"/>
  <c r="BS136" i="40"/>
  <c r="CG136" i="40" s="1"/>
  <c r="BR136" i="40"/>
  <c r="BQ136" i="40"/>
  <c r="BP136" i="40"/>
  <c r="BO136" i="40"/>
  <c r="BN136" i="40"/>
  <c r="BM136" i="40"/>
  <c r="BL136" i="40"/>
  <c r="BK136" i="40"/>
  <c r="BJ136" i="40"/>
  <c r="BI136" i="40"/>
  <c r="BH136" i="40"/>
  <c r="BG136" i="40"/>
  <c r="AR136" i="40"/>
  <c r="AQ136" i="40" s="1"/>
  <c r="BE136" i="40" s="1"/>
  <c r="U136" i="40"/>
  <c r="CT135" i="40"/>
  <c r="CS135" i="40"/>
  <c r="CR135" i="40"/>
  <c r="CQ135" i="40"/>
  <c r="CP135" i="40"/>
  <c r="CO135" i="40"/>
  <c r="CN135" i="40"/>
  <c r="CM135" i="40"/>
  <c r="CL135" i="40"/>
  <c r="CK135" i="40"/>
  <c r="CJ135" i="40"/>
  <c r="CI135" i="40"/>
  <c r="BT135" i="40"/>
  <c r="BS135" i="40"/>
  <c r="CG135" i="40" s="1"/>
  <c r="BR135" i="40"/>
  <c r="BQ135" i="40"/>
  <c r="BP135" i="40"/>
  <c r="BO135" i="40"/>
  <c r="BN135" i="40"/>
  <c r="BM135" i="40"/>
  <c r="BL135" i="40"/>
  <c r="BK135" i="40"/>
  <c r="BJ135" i="40"/>
  <c r="BI135" i="40"/>
  <c r="BH135" i="40"/>
  <c r="BG135" i="40"/>
  <c r="AR135" i="40"/>
  <c r="U135" i="40"/>
  <c r="AQ135" i="40" s="1"/>
  <c r="BE135" i="40" s="1"/>
  <c r="CT134" i="40"/>
  <c r="CS134" i="40"/>
  <c r="CR134" i="40"/>
  <c r="CQ134" i="40"/>
  <c r="CP134" i="40"/>
  <c r="CO134" i="40"/>
  <c r="CN134" i="40"/>
  <c r="CM134" i="40"/>
  <c r="CL134" i="40"/>
  <c r="CK134" i="40"/>
  <c r="CH134" i="40" s="1"/>
  <c r="CJ134" i="40"/>
  <c r="CI134" i="40"/>
  <c r="BT134" i="40"/>
  <c r="BR134" i="40"/>
  <c r="BQ134" i="40"/>
  <c r="BP134" i="40"/>
  <c r="BO134" i="40"/>
  <c r="BN134" i="40"/>
  <c r="BM134" i="40"/>
  <c r="BL134" i="40"/>
  <c r="BK134" i="40"/>
  <c r="BJ134" i="40"/>
  <c r="BF134" i="40" s="1"/>
  <c r="BI134" i="40"/>
  <c r="BH134" i="40"/>
  <c r="BG134" i="40"/>
  <c r="AR134" i="40"/>
  <c r="U134" i="40"/>
  <c r="AQ134" i="40" s="1"/>
  <c r="BE134" i="40" s="1"/>
  <c r="CT133" i="40"/>
  <c r="CS133" i="40"/>
  <c r="CR133" i="40"/>
  <c r="CQ133" i="40"/>
  <c r="CP133" i="40"/>
  <c r="CO133" i="40"/>
  <c r="CN133" i="40"/>
  <c r="CM133" i="40"/>
  <c r="CL133" i="40"/>
  <c r="CK133" i="40"/>
  <c r="CJ133" i="40"/>
  <c r="CI133" i="40"/>
  <c r="BT133" i="40"/>
  <c r="BR133" i="40"/>
  <c r="BQ133" i="40"/>
  <c r="BP133" i="40"/>
  <c r="BO133" i="40"/>
  <c r="BN133" i="40"/>
  <c r="BM133" i="40"/>
  <c r="BL133" i="40"/>
  <c r="BK133" i="40"/>
  <c r="BJ133" i="40"/>
  <c r="BI133" i="40"/>
  <c r="BH133" i="40"/>
  <c r="BG133" i="40"/>
  <c r="BF133" i="40" s="1"/>
  <c r="BE133" i="40"/>
  <c r="AR133" i="40"/>
  <c r="AQ133" i="40" s="1"/>
  <c r="U133" i="40"/>
  <c r="BS133" i="40" s="1"/>
  <c r="CG133" i="40" s="1"/>
  <c r="CT132" i="40"/>
  <c r="CS132" i="40"/>
  <c r="CR132" i="40"/>
  <c r="CQ132" i="40"/>
  <c r="CP132" i="40"/>
  <c r="CO132" i="40"/>
  <c r="CH132" i="40" s="1"/>
  <c r="CN132" i="40"/>
  <c r="CM132" i="40"/>
  <c r="CL132" i="40"/>
  <c r="CK132" i="40"/>
  <c r="CJ132" i="40"/>
  <c r="CI132" i="40"/>
  <c r="CG132" i="40"/>
  <c r="BT132" i="40"/>
  <c r="BS132" i="40"/>
  <c r="BR132" i="40"/>
  <c r="BQ132" i="40"/>
  <c r="BP132" i="40"/>
  <c r="BO132" i="40"/>
  <c r="BN132" i="40"/>
  <c r="BM132" i="40"/>
  <c r="BF132" i="40" s="1"/>
  <c r="BL132" i="40"/>
  <c r="BK132" i="40"/>
  <c r="BJ132" i="40"/>
  <c r="BI132" i="40"/>
  <c r="BH132" i="40"/>
  <c r="BG132" i="40"/>
  <c r="BE132" i="40"/>
  <c r="AR132" i="40"/>
  <c r="AQ132" i="40"/>
  <c r="U132" i="40"/>
  <c r="CT131" i="40"/>
  <c r="CS131" i="40"/>
  <c r="CR131" i="40"/>
  <c r="CQ131" i="40"/>
  <c r="CP131" i="40"/>
  <c r="CO131" i="40"/>
  <c r="CN131" i="40"/>
  <c r="CM131" i="40"/>
  <c r="CL131" i="40"/>
  <c r="CK131" i="40"/>
  <c r="CJ131" i="40"/>
  <c r="CI131" i="40"/>
  <c r="CH131" i="40"/>
  <c r="BT131" i="40"/>
  <c r="BS131" i="40" s="1"/>
  <c r="CG131" i="40" s="1"/>
  <c r="BR131" i="40"/>
  <c r="BQ131" i="40"/>
  <c r="BP131" i="40"/>
  <c r="BO131" i="40"/>
  <c r="BN131" i="40"/>
  <c r="BM131" i="40"/>
  <c r="BF131" i="40" s="1"/>
  <c r="BL131" i="40"/>
  <c r="BK131" i="40"/>
  <c r="BJ131" i="40"/>
  <c r="BI131" i="40"/>
  <c r="BH131" i="40"/>
  <c r="BG131" i="40"/>
  <c r="BE131" i="40"/>
  <c r="AR131" i="40"/>
  <c r="AQ131" i="40" s="1"/>
  <c r="U131" i="40"/>
  <c r="CT130" i="40"/>
  <c r="CS130" i="40"/>
  <c r="CR130" i="40"/>
  <c r="CQ130" i="40"/>
  <c r="CP130" i="40"/>
  <c r="CO130" i="40"/>
  <c r="CH130" i="40" s="1"/>
  <c r="CN130" i="40"/>
  <c r="CM130" i="40"/>
  <c r="CL130" i="40"/>
  <c r="CK130" i="40"/>
  <c r="CJ130" i="40"/>
  <c r="CI130" i="40"/>
  <c r="BT130" i="40"/>
  <c r="BR130" i="40"/>
  <c r="BQ130" i="40"/>
  <c r="BP130" i="40"/>
  <c r="BO130" i="40"/>
  <c r="BN130" i="40"/>
  <c r="BM130" i="40"/>
  <c r="BL130" i="40"/>
  <c r="BK130" i="40"/>
  <c r="BJ130" i="40"/>
  <c r="BI130" i="40"/>
  <c r="BH130" i="40"/>
  <c r="BG130" i="40"/>
  <c r="AR130" i="40"/>
  <c r="U130" i="40"/>
  <c r="CT129" i="40"/>
  <c r="CS129" i="40"/>
  <c r="CR129" i="40"/>
  <c r="CQ129" i="40"/>
  <c r="CP129" i="40"/>
  <c r="CO129" i="40"/>
  <c r="CN129" i="40"/>
  <c r="CM129" i="40"/>
  <c r="CL129" i="40"/>
  <c r="CK129" i="40"/>
  <c r="CJ129" i="40"/>
  <c r="CI129" i="40"/>
  <c r="BT129" i="40"/>
  <c r="BR129" i="40"/>
  <c r="BQ129" i="40"/>
  <c r="BP129" i="40"/>
  <c r="BO129" i="40"/>
  <c r="BN129" i="40"/>
  <c r="BM129" i="40"/>
  <c r="BL129" i="40"/>
  <c r="BK129" i="40"/>
  <c r="BJ129" i="40"/>
  <c r="BI129" i="40"/>
  <c r="BF129" i="40" s="1"/>
  <c r="BH129" i="40"/>
  <c r="BG129" i="40"/>
  <c r="AR129" i="40"/>
  <c r="U129" i="40"/>
  <c r="AQ129" i="40" s="1"/>
  <c r="BE129" i="40" s="1"/>
  <c r="CT128" i="40"/>
  <c r="CS128" i="40"/>
  <c r="CR128" i="40"/>
  <c r="CQ128" i="40"/>
  <c r="CP128" i="40"/>
  <c r="CO128" i="40"/>
  <c r="CN128" i="40"/>
  <c r="CM128" i="40"/>
  <c r="CL128" i="40"/>
  <c r="CK128" i="40"/>
  <c r="CJ128" i="40"/>
  <c r="CI128" i="40"/>
  <c r="BT128" i="40"/>
  <c r="BS128" i="40" s="1"/>
  <c r="CG128" i="40" s="1"/>
  <c r="BR128" i="40"/>
  <c r="BQ128" i="40"/>
  <c r="BP128" i="40"/>
  <c r="BO128" i="40"/>
  <c r="BN128" i="40"/>
  <c r="BM128" i="40"/>
  <c r="BL128" i="40"/>
  <c r="BK128" i="40"/>
  <c r="BJ128" i="40"/>
  <c r="BI128" i="40"/>
  <c r="BH128" i="40"/>
  <c r="BG128" i="40"/>
  <c r="BF128" i="40" s="1"/>
  <c r="AR128" i="40"/>
  <c r="U128" i="40"/>
  <c r="AQ128" i="40" s="1"/>
  <c r="BE128" i="40" s="1"/>
  <c r="CT127" i="40"/>
  <c r="CS127" i="40"/>
  <c r="CR127" i="40"/>
  <c r="CQ127" i="40"/>
  <c r="CP127" i="40"/>
  <c r="CO127" i="40"/>
  <c r="CN127" i="40"/>
  <c r="CM127" i="40"/>
  <c r="CL127" i="40"/>
  <c r="CK127" i="40"/>
  <c r="CJ127" i="40"/>
  <c r="CH127" i="40" s="1"/>
  <c r="CI127" i="40"/>
  <c r="BT127" i="40"/>
  <c r="BR127" i="40"/>
  <c r="BQ127" i="40"/>
  <c r="BP127" i="40"/>
  <c r="BO127" i="40"/>
  <c r="BN127" i="40"/>
  <c r="BM127" i="40"/>
  <c r="BL127" i="40"/>
  <c r="BK127" i="40"/>
  <c r="BJ127" i="40"/>
  <c r="BI127" i="40"/>
  <c r="BH127" i="40"/>
  <c r="BG127" i="40"/>
  <c r="BE127" i="40"/>
  <c r="AR127" i="40"/>
  <c r="AQ127" i="40" s="1"/>
  <c r="U127" i="40"/>
  <c r="BS127" i="40" s="1"/>
  <c r="CG127" i="40" s="1"/>
  <c r="CT126" i="40"/>
  <c r="CS126" i="40"/>
  <c r="CR126" i="40"/>
  <c r="CQ126" i="40"/>
  <c r="CP126" i="40"/>
  <c r="CO126" i="40"/>
  <c r="CN126" i="40"/>
  <c r="CM126" i="40"/>
  <c r="CL126" i="40"/>
  <c r="CH126" i="40" s="1"/>
  <c r="CK126" i="40"/>
  <c r="CJ126" i="40"/>
  <c r="CI126" i="40"/>
  <c r="BT126" i="40"/>
  <c r="BR126" i="40"/>
  <c r="BQ126" i="40"/>
  <c r="BP126" i="40"/>
  <c r="BO126" i="40"/>
  <c r="BN126" i="40"/>
  <c r="BM126" i="40"/>
  <c r="BL126" i="40"/>
  <c r="BK126" i="40"/>
  <c r="BJ126" i="40"/>
  <c r="BF126" i="40" s="1"/>
  <c r="BI126" i="40"/>
  <c r="BH126" i="40"/>
  <c r="BG126" i="40"/>
  <c r="AR126" i="40"/>
  <c r="U126" i="40"/>
  <c r="CT125" i="40"/>
  <c r="CS125" i="40"/>
  <c r="CR125" i="40"/>
  <c r="CQ125" i="40"/>
  <c r="CP125" i="40"/>
  <c r="CO125" i="40"/>
  <c r="CN125" i="40"/>
  <c r="CM125" i="40"/>
  <c r="CL125" i="40"/>
  <c r="CK125" i="40"/>
  <c r="CJ125" i="40"/>
  <c r="CI125" i="40"/>
  <c r="CH125" i="40"/>
  <c r="BT125" i="40"/>
  <c r="BS125" i="40"/>
  <c r="CG125" i="40" s="1"/>
  <c r="BR125" i="40"/>
  <c r="BQ125" i="40"/>
  <c r="BP125" i="40"/>
  <c r="BO125" i="40"/>
  <c r="BN125" i="40"/>
  <c r="BM125" i="40"/>
  <c r="BL125" i="40"/>
  <c r="BK125" i="40"/>
  <c r="BJ125" i="40"/>
  <c r="BI125" i="40"/>
  <c r="BH125" i="40"/>
  <c r="BG125" i="40"/>
  <c r="AR125" i="40"/>
  <c r="AQ125" i="40"/>
  <c r="BE125" i="40" s="1"/>
  <c r="U125" i="40"/>
  <c r="CT124" i="40"/>
  <c r="CS124" i="40"/>
  <c r="CR124" i="40"/>
  <c r="CQ124" i="40"/>
  <c r="CP124" i="40"/>
  <c r="CO124" i="40"/>
  <c r="CN124" i="40"/>
  <c r="CM124" i="40"/>
  <c r="CL124" i="40"/>
  <c r="CK124" i="40"/>
  <c r="CJ124" i="40"/>
  <c r="CI124" i="40"/>
  <c r="BT124" i="40"/>
  <c r="BS124" i="40" s="1"/>
  <c r="CG124" i="40" s="1"/>
  <c r="BR124" i="40"/>
  <c r="BQ124" i="40"/>
  <c r="BP124" i="40"/>
  <c r="BO124" i="40"/>
  <c r="BN124" i="40"/>
  <c r="BM124" i="40"/>
  <c r="BL124" i="40"/>
  <c r="BK124" i="40"/>
  <c r="BJ124" i="40"/>
  <c r="BI124" i="40"/>
  <c r="BH124" i="40"/>
  <c r="BG124" i="40"/>
  <c r="AR124" i="40"/>
  <c r="AQ124" i="40" s="1"/>
  <c r="BE124" i="40" s="1"/>
  <c r="U124" i="40"/>
  <c r="CT123" i="40"/>
  <c r="CS123" i="40"/>
  <c r="CR123" i="40"/>
  <c r="CQ123" i="40"/>
  <c r="CP123" i="40"/>
  <c r="CO123" i="40"/>
  <c r="CN123" i="40"/>
  <c r="CM123" i="40"/>
  <c r="CL123" i="40"/>
  <c r="CK123" i="40"/>
  <c r="CJ123" i="40"/>
  <c r="CH123" i="40" s="1"/>
  <c r="CI123" i="40"/>
  <c r="CG123" i="40"/>
  <c r="BT123" i="40"/>
  <c r="BS123" i="40" s="1"/>
  <c r="BR123" i="40"/>
  <c r="BQ123" i="40"/>
  <c r="BP123" i="40"/>
  <c r="BO123" i="40"/>
  <c r="BN123" i="40"/>
  <c r="BM123" i="40"/>
  <c r="BL123" i="40"/>
  <c r="BK123" i="40"/>
  <c r="BJ123" i="40"/>
  <c r="BI123" i="40"/>
  <c r="BH123" i="40"/>
  <c r="BG123" i="40"/>
  <c r="AR123" i="40"/>
  <c r="AQ123" i="40" s="1"/>
  <c r="BE123" i="40" s="1"/>
  <c r="U123" i="40"/>
  <c r="CT122" i="40"/>
  <c r="CS122" i="40"/>
  <c r="CR122" i="40"/>
  <c r="CQ122" i="40"/>
  <c r="CP122" i="40"/>
  <c r="CO122" i="40"/>
  <c r="CN122" i="40"/>
  <c r="CM122" i="40"/>
  <c r="CL122" i="40"/>
  <c r="CK122" i="40"/>
  <c r="CJ122" i="40"/>
  <c r="CI122" i="40"/>
  <c r="BT122" i="40"/>
  <c r="BR122" i="40"/>
  <c r="BQ122" i="40"/>
  <c r="BP122" i="40"/>
  <c r="BO122" i="40"/>
  <c r="BN122" i="40"/>
  <c r="BM122" i="40"/>
  <c r="BL122" i="40"/>
  <c r="BK122" i="40"/>
  <c r="BJ122" i="40"/>
  <c r="BI122" i="40"/>
  <c r="BH122" i="40"/>
  <c r="BG122" i="40"/>
  <c r="BF122" i="40" s="1"/>
  <c r="AR122" i="40"/>
  <c r="U122" i="40"/>
  <c r="CT121" i="40"/>
  <c r="CS121" i="40"/>
  <c r="CR121" i="40"/>
  <c r="CQ121" i="40"/>
  <c r="CP121" i="40"/>
  <c r="CO121" i="40"/>
  <c r="CN121" i="40"/>
  <c r="CM121" i="40"/>
  <c r="CH121" i="40" s="1"/>
  <c r="CL121" i="40"/>
  <c r="CK121" i="40"/>
  <c r="CJ121" i="40"/>
  <c r="CI121" i="40"/>
  <c r="BT121" i="40"/>
  <c r="BR121" i="40"/>
  <c r="BQ121" i="40"/>
  <c r="BP121" i="40"/>
  <c r="BO121" i="40"/>
  <c r="BN121" i="40"/>
  <c r="BM121" i="40"/>
  <c r="BL121" i="40"/>
  <c r="BK121" i="40"/>
  <c r="BJ121" i="40"/>
  <c r="BI121" i="40"/>
  <c r="BH121" i="40"/>
  <c r="BF121" i="40" s="1"/>
  <c r="BG121" i="40"/>
  <c r="AR121" i="40"/>
  <c r="U121" i="40"/>
  <c r="AQ121" i="40" s="1"/>
  <c r="BE121" i="40" s="1"/>
  <c r="CT120" i="40"/>
  <c r="CS120" i="40"/>
  <c r="CR120" i="40"/>
  <c r="CQ120" i="40"/>
  <c r="CP120" i="40"/>
  <c r="CO120" i="40"/>
  <c r="CN120" i="40"/>
  <c r="CM120" i="40"/>
  <c r="CL120" i="40"/>
  <c r="CK120" i="40"/>
  <c r="CJ120" i="40"/>
  <c r="CI120" i="40"/>
  <c r="CH120" i="40" s="1"/>
  <c r="BT120" i="40"/>
  <c r="BS120" i="40"/>
  <c r="CG120" i="40" s="1"/>
  <c r="BR120" i="40"/>
  <c r="BQ120" i="40"/>
  <c r="BP120" i="40"/>
  <c r="BO120" i="40"/>
  <c r="BN120" i="40"/>
  <c r="BM120" i="40"/>
  <c r="BL120" i="40"/>
  <c r="BK120" i="40"/>
  <c r="BJ120" i="40"/>
  <c r="BI120" i="40"/>
  <c r="BH120" i="40"/>
  <c r="BG120" i="40"/>
  <c r="AR120" i="40"/>
  <c r="AQ120" i="40"/>
  <c r="BE120" i="40" s="1"/>
  <c r="U120" i="40"/>
  <c r="CT119" i="40"/>
  <c r="CS119" i="40"/>
  <c r="CR119" i="40"/>
  <c r="CQ119" i="40"/>
  <c r="CP119" i="40"/>
  <c r="CO119" i="40"/>
  <c r="CN119" i="40"/>
  <c r="CM119" i="40"/>
  <c r="CL119" i="40"/>
  <c r="CK119" i="40"/>
  <c r="CJ119" i="40"/>
  <c r="CI119" i="40"/>
  <c r="BT119" i="40"/>
  <c r="BR119" i="40"/>
  <c r="BQ119" i="40"/>
  <c r="BP119" i="40"/>
  <c r="BO119" i="40"/>
  <c r="BN119" i="40"/>
  <c r="BM119" i="40"/>
  <c r="BL119" i="40"/>
  <c r="BK119" i="40"/>
  <c r="BJ119" i="40"/>
  <c r="BI119" i="40"/>
  <c r="BH119" i="40"/>
  <c r="BG119" i="40"/>
  <c r="AR119" i="40"/>
  <c r="U119" i="40"/>
  <c r="AQ119" i="40" s="1"/>
  <c r="BE119" i="40" s="1"/>
  <c r="CT118" i="40"/>
  <c r="CS118" i="40"/>
  <c r="CR118" i="40"/>
  <c r="CQ118" i="40"/>
  <c r="CP118" i="40"/>
  <c r="CO118" i="40"/>
  <c r="CN118" i="40"/>
  <c r="CM118" i="40"/>
  <c r="CL118" i="40"/>
  <c r="CH118" i="40" s="1"/>
  <c r="CK118" i="40"/>
  <c r="CJ118" i="40"/>
  <c r="CI118" i="40"/>
  <c r="BT118" i="40"/>
  <c r="BS118" i="40" s="1"/>
  <c r="CG118" i="40" s="1"/>
  <c r="BR118" i="40"/>
  <c r="BQ118" i="40"/>
  <c r="BP118" i="40"/>
  <c r="BO118" i="40"/>
  <c r="BN118" i="40"/>
  <c r="BM118" i="40"/>
  <c r="BL118" i="40"/>
  <c r="BK118" i="40"/>
  <c r="BJ118" i="40"/>
  <c r="BF118" i="40" s="1"/>
  <c r="BI118" i="40"/>
  <c r="BH118" i="40"/>
  <c r="BG118" i="40"/>
  <c r="AR118" i="40"/>
  <c r="AQ118" i="40"/>
  <c r="BE118" i="40" s="1"/>
  <c r="U118" i="40"/>
  <c r="CT117" i="40"/>
  <c r="CS117" i="40"/>
  <c r="CR117" i="40"/>
  <c r="CQ117" i="40"/>
  <c r="CP117" i="40"/>
  <c r="CO117" i="40"/>
  <c r="CN117" i="40"/>
  <c r="CM117" i="40"/>
  <c r="CL117" i="40"/>
  <c r="CK117" i="40"/>
  <c r="CJ117" i="40"/>
  <c r="CI117" i="40"/>
  <c r="BT117" i="40"/>
  <c r="BS117" i="40"/>
  <c r="CG117" i="40" s="1"/>
  <c r="BR117" i="40"/>
  <c r="BQ117" i="40"/>
  <c r="BP117" i="40"/>
  <c r="BO117" i="40"/>
  <c r="BN117" i="40"/>
  <c r="BM117" i="40"/>
  <c r="BL117" i="40"/>
  <c r="BK117" i="40"/>
  <c r="BJ117" i="40"/>
  <c r="BI117" i="40"/>
  <c r="BH117" i="40"/>
  <c r="BG117" i="40"/>
  <c r="BF117" i="40" s="1"/>
  <c r="AR117" i="40"/>
  <c r="AQ117" i="40"/>
  <c r="BE117" i="40" s="1"/>
  <c r="U117" i="40"/>
  <c r="CT116" i="40"/>
  <c r="CS116" i="40"/>
  <c r="CR116" i="40"/>
  <c r="CQ116" i="40"/>
  <c r="CP116" i="40"/>
  <c r="CO116" i="40"/>
  <c r="CN116" i="40"/>
  <c r="CM116" i="40"/>
  <c r="CL116" i="40"/>
  <c r="CK116" i="40"/>
  <c r="CJ116" i="40"/>
  <c r="CH116" i="40" s="1"/>
  <c r="CI116" i="40"/>
  <c r="BT116" i="40"/>
  <c r="BS116" i="40" s="1"/>
  <c r="CG116" i="40" s="1"/>
  <c r="BR116" i="40"/>
  <c r="BQ116" i="40"/>
  <c r="BP116" i="40"/>
  <c r="BO116" i="40"/>
  <c r="BN116" i="40"/>
  <c r="BM116" i="40"/>
  <c r="BL116" i="40"/>
  <c r="BK116" i="40"/>
  <c r="BJ116" i="40"/>
  <c r="BI116" i="40"/>
  <c r="BH116" i="40"/>
  <c r="BG116" i="40"/>
  <c r="BF116" i="40"/>
  <c r="BE116" i="40"/>
  <c r="AR116" i="40"/>
  <c r="AQ116" i="40" s="1"/>
  <c r="AI116" i="40"/>
  <c r="U116" i="40"/>
  <c r="S116" i="40"/>
  <c r="CT115" i="40"/>
  <c r="CS115" i="40"/>
  <c r="CR115" i="40"/>
  <c r="CQ115" i="40"/>
  <c r="CP115" i="40"/>
  <c r="CO115" i="40"/>
  <c r="CN115" i="40"/>
  <c r="CM115" i="40"/>
  <c r="CL115" i="40"/>
  <c r="CK115" i="40"/>
  <c r="CJ115" i="40"/>
  <c r="CI115" i="40"/>
  <c r="BT115" i="40"/>
  <c r="BR115" i="40"/>
  <c r="BQ115" i="40"/>
  <c r="BP115" i="40"/>
  <c r="BO115" i="40"/>
  <c r="BN115" i="40"/>
  <c r="BF115" i="40" s="1"/>
  <c r="BM115" i="40"/>
  <c r="BL115" i="40"/>
  <c r="BK115" i="40"/>
  <c r="BJ115" i="40"/>
  <c r="BI115" i="40"/>
  <c r="BH115" i="40"/>
  <c r="BG115" i="40"/>
  <c r="AR115" i="40"/>
  <c r="AQ115" i="40" s="1"/>
  <c r="BE115" i="40" s="1"/>
  <c r="AI115" i="40"/>
  <c r="U115" i="40"/>
  <c r="BS115" i="40" s="1"/>
  <c r="CG115" i="40" s="1"/>
  <c r="S115" i="40"/>
  <c r="CT114" i="40"/>
  <c r="CS114" i="40"/>
  <c r="CR114" i="40"/>
  <c r="CQ114" i="40"/>
  <c r="CP114" i="40"/>
  <c r="CO114" i="40"/>
  <c r="CN114" i="40"/>
  <c r="CM114" i="40"/>
  <c r="CL114" i="40"/>
  <c r="CK114" i="40"/>
  <c r="CJ114" i="40"/>
  <c r="CI114" i="40"/>
  <c r="CH114" i="40" s="1"/>
  <c r="BT114" i="40"/>
  <c r="BS114" i="40" s="1"/>
  <c r="CG114" i="40" s="1"/>
  <c r="BR114" i="40"/>
  <c r="BQ114" i="40"/>
  <c r="BP114" i="40"/>
  <c r="BO114" i="40"/>
  <c r="BN114" i="40"/>
  <c r="BM114" i="40"/>
  <c r="BL114" i="40"/>
  <c r="BK114" i="40"/>
  <c r="BJ114" i="40"/>
  <c r="BI114" i="40"/>
  <c r="BH114" i="40"/>
  <c r="BG114" i="40"/>
  <c r="AR114" i="40"/>
  <c r="AQ114" i="40"/>
  <c r="BE114" i="40" s="1"/>
  <c r="AI114" i="40"/>
  <c r="U114" i="40"/>
  <c r="S114" i="40" s="1"/>
  <c r="CT113" i="40"/>
  <c r="CS113" i="40"/>
  <c r="CR113" i="40"/>
  <c r="CQ113" i="40"/>
  <c r="CP113" i="40"/>
  <c r="CO113" i="40"/>
  <c r="CN113" i="40"/>
  <c r="CH113" i="40" s="1"/>
  <c r="CM113" i="40"/>
  <c r="CL113" i="40"/>
  <c r="CK113" i="40"/>
  <c r="CJ113" i="40"/>
  <c r="CI113" i="40"/>
  <c r="BT113" i="40"/>
  <c r="BS113" i="40" s="1"/>
  <c r="CG113" i="40" s="1"/>
  <c r="BR113" i="40"/>
  <c r="BQ113" i="40"/>
  <c r="BP113" i="40"/>
  <c r="BO113" i="40"/>
  <c r="BN113" i="40"/>
  <c r="BM113" i="40"/>
  <c r="BL113" i="40"/>
  <c r="BK113" i="40"/>
  <c r="BJ113" i="40"/>
  <c r="BI113" i="40"/>
  <c r="BH113" i="40"/>
  <c r="BG113" i="40"/>
  <c r="AR113" i="40"/>
  <c r="AQ113" i="40" s="1"/>
  <c r="BE113" i="40" s="1"/>
  <c r="AI113" i="40"/>
  <c r="U113" i="40"/>
  <c r="S113" i="40" s="1"/>
  <c r="CT112" i="40"/>
  <c r="CS112" i="40"/>
  <c r="CR112" i="40"/>
  <c r="CQ112" i="40"/>
  <c r="CP112" i="40"/>
  <c r="CO112" i="40"/>
  <c r="CN112" i="40"/>
  <c r="CM112" i="40"/>
  <c r="CL112" i="40"/>
  <c r="CK112" i="40"/>
  <c r="CJ112" i="40"/>
  <c r="CI112" i="40"/>
  <c r="BT112" i="40"/>
  <c r="BS112" i="40" s="1"/>
  <c r="CG112" i="40" s="1"/>
  <c r="BR112" i="40"/>
  <c r="BQ112" i="40"/>
  <c r="BP112" i="40"/>
  <c r="BO112" i="40"/>
  <c r="BN112" i="40"/>
  <c r="BM112" i="40"/>
  <c r="BL112" i="40"/>
  <c r="BK112" i="40"/>
  <c r="BJ112" i="40"/>
  <c r="BI112" i="40"/>
  <c r="BH112" i="40"/>
  <c r="BG112" i="40"/>
  <c r="AR112" i="40"/>
  <c r="AQ112" i="40"/>
  <c r="BE112" i="40" s="1"/>
  <c r="AI112" i="40"/>
  <c r="U112" i="40"/>
  <c r="S112" i="40"/>
  <c r="CT111" i="40"/>
  <c r="CS111" i="40"/>
  <c r="CR111" i="40"/>
  <c r="CQ111" i="40"/>
  <c r="CP111" i="40"/>
  <c r="CO111" i="40"/>
  <c r="CH111" i="40" s="1"/>
  <c r="CN111" i="40"/>
  <c r="CM111" i="40"/>
  <c r="CL111" i="40"/>
  <c r="CK111" i="40"/>
  <c r="CJ111" i="40"/>
  <c r="CI111" i="40"/>
  <c r="CG111" i="40"/>
  <c r="BT111" i="40"/>
  <c r="BS111" i="40"/>
  <c r="BR111" i="40"/>
  <c r="BQ111" i="40"/>
  <c r="BP111" i="40"/>
  <c r="BO111" i="40"/>
  <c r="BN111" i="40"/>
  <c r="BM111" i="40"/>
  <c r="BF111" i="40" s="1"/>
  <c r="BL111" i="40"/>
  <c r="BK111" i="40"/>
  <c r="BJ111" i="40"/>
  <c r="BI111" i="40"/>
  <c r="BH111" i="40"/>
  <c r="BG111" i="40"/>
  <c r="BE111" i="40"/>
  <c r="AR111" i="40"/>
  <c r="AQ111" i="40"/>
  <c r="AI111" i="40"/>
  <c r="U111" i="40"/>
  <c r="S111" i="40"/>
  <c r="CT110" i="40"/>
  <c r="CS110" i="40"/>
  <c r="CR110" i="40"/>
  <c r="CQ110" i="40"/>
  <c r="CP110" i="40"/>
  <c r="CO110" i="40"/>
  <c r="CN110" i="40"/>
  <c r="CM110" i="40"/>
  <c r="CL110" i="40"/>
  <c r="CK110" i="40"/>
  <c r="CJ110" i="40"/>
  <c r="CH110" i="40" s="1"/>
  <c r="CI110" i="40"/>
  <c r="BT110" i="40"/>
  <c r="BS110" i="40"/>
  <c r="CG110" i="40" s="1"/>
  <c r="BR110" i="40"/>
  <c r="BQ110" i="40"/>
  <c r="BP110" i="40"/>
  <c r="BO110" i="40"/>
  <c r="BN110" i="40"/>
  <c r="BM110" i="40"/>
  <c r="BL110" i="40"/>
  <c r="BK110" i="40"/>
  <c r="BJ110" i="40"/>
  <c r="BI110" i="40"/>
  <c r="BH110" i="40"/>
  <c r="BG110" i="40"/>
  <c r="AR110" i="40"/>
  <c r="AQ110" i="40"/>
  <c r="BE110" i="40" s="1"/>
  <c r="AI110" i="40"/>
  <c r="U110" i="40"/>
  <c r="S110" i="40"/>
  <c r="CT109" i="40"/>
  <c r="CS109" i="40"/>
  <c r="CR109" i="40"/>
  <c r="CQ109" i="40"/>
  <c r="CP109" i="40"/>
  <c r="CO109" i="40"/>
  <c r="CN109" i="40"/>
  <c r="CM109" i="40"/>
  <c r="CL109" i="40"/>
  <c r="CK109" i="40"/>
  <c r="CJ109" i="40"/>
  <c r="CI109" i="40"/>
  <c r="BT109" i="40"/>
  <c r="BR109" i="40"/>
  <c r="BQ109" i="40"/>
  <c r="BP109" i="40"/>
  <c r="BO109" i="40"/>
  <c r="BN109" i="40"/>
  <c r="BM109" i="40"/>
  <c r="BL109" i="40"/>
  <c r="BK109" i="40"/>
  <c r="BJ109" i="40"/>
  <c r="BI109" i="40"/>
  <c r="BH109" i="40"/>
  <c r="BG109" i="40"/>
  <c r="AR109" i="40"/>
  <c r="AI109" i="40"/>
  <c r="U109" i="40"/>
  <c r="BS109" i="40" s="1"/>
  <c r="CG109" i="40" s="1"/>
  <c r="CT108" i="40"/>
  <c r="CS108" i="40"/>
  <c r="CR108" i="40"/>
  <c r="CQ108" i="40"/>
  <c r="CP108" i="40"/>
  <c r="CO108" i="40"/>
  <c r="CN108" i="40"/>
  <c r="CM108" i="40"/>
  <c r="CL108" i="40"/>
  <c r="CK108" i="40"/>
  <c r="CJ108" i="40"/>
  <c r="CI108" i="40"/>
  <c r="BT108" i="40"/>
  <c r="BR108" i="40"/>
  <c r="BQ108" i="40"/>
  <c r="BP108" i="40"/>
  <c r="BO108" i="40"/>
  <c r="BN108" i="40"/>
  <c r="BM108" i="40"/>
  <c r="BL108" i="40"/>
  <c r="BK108" i="40"/>
  <c r="BJ108" i="40"/>
  <c r="BI108" i="40"/>
  <c r="BH108" i="40"/>
  <c r="BG108" i="40"/>
  <c r="BF108" i="40"/>
  <c r="AR108" i="40"/>
  <c r="AQ108" i="40" s="1"/>
  <c r="BE108" i="40" s="1"/>
  <c r="AI108" i="40"/>
  <c r="U108" i="40"/>
  <c r="S108" i="40" s="1"/>
  <c r="CT107" i="40"/>
  <c r="CS107" i="40"/>
  <c r="CR107" i="40"/>
  <c r="CQ107" i="40"/>
  <c r="CP107" i="40"/>
  <c r="CO107" i="40"/>
  <c r="CN107" i="40"/>
  <c r="CM107" i="40"/>
  <c r="CL107" i="40"/>
  <c r="CK107" i="40"/>
  <c r="CJ107" i="40"/>
  <c r="CI107" i="40"/>
  <c r="BT107" i="40"/>
  <c r="BR107" i="40"/>
  <c r="BQ107" i="40"/>
  <c r="BP107" i="40"/>
  <c r="BO107" i="40"/>
  <c r="BN107" i="40"/>
  <c r="BM107" i="40"/>
  <c r="BL107" i="40"/>
  <c r="BK107" i="40"/>
  <c r="BF107" i="40" s="1"/>
  <c r="BJ107" i="40"/>
  <c r="BI107" i="40"/>
  <c r="BH107" i="40"/>
  <c r="BG107" i="40"/>
  <c r="AR107" i="40"/>
  <c r="AI107" i="40"/>
  <c r="U107" i="40"/>
  <c r="AQ107" i="40" s="1"/>
  <c r="BE107" i="40" s="1"/>
  <c r="CT106" i="40"/>
  <c r="CS106" i="40"/>
  <c r="CR106" i="40"/>
  <c r="CQ106" i="40"/>
  <c r="CP106" i="40"/>
  <c r="CO106" i="40"/>
  <c r="CN106" i="40"/>
  <c r="CM106" i="40"/>
  <c r="CL106" i="40"/>
  <c r="CK106" i="40"/>
  <c r="CJ106" i="40"/>
  <c r="CI106" i="40"/>
  <c r="BT106" i="40"/>
  <c r="BR106" i="40"/>
  <c r="BQ106" i="40"/>
  <c r="BP106" i="40"/>
  <c r="BO106" i="40"/>
  <c r="BN106" i="40"/>
  <c r="BM106" i="40"/>
  <c r="BL106" i="40"/>
  <c r="BK106" i="40"/>
  <c r="BJ106" i="40"/>
  <c r="BI106" i="40"/>
  <c r="BH106" i="40"/>
  <c r="BG106" i="40"/>
  <c r="AR106" i="40"/>
  <c r="AI106" i="40"/>
  <c r="U106" i="40"/>
  <c r="S106" i="40" s="1"/>
  <c r="CT105" i="40"/>
  <c r="CS105" i="40"/>
  <c r="CR105" i="40"/>
  <c r="CQ105" i="40"/>
  <c r="CP105" i="40"/>
  <c r="CO105" i="40"/>
  <c r="CN105" i="40"/>
  <c r="CM105" i="40"/>
  <c r="CL105" i="40"/>
  <c r="CK105" i="40"/>
  <c r="CJ105" i="40"/>
  <c r="CI105" i="40"/>
  <c r="CH105" i="40" s="1"/>
  <c r="BT105" i="40"/>
  <c r="BR105" i="40"/>
  <c r="BQ105" i="40"/>
  <c r="BP105" i="40"/>
  <c r="BO105" i="40"/>
  <c r="BN105" i="40"/>
  <c r="BF105" i="40" s="1"/>
  <c r="BM105" i="40"/>
  <c r="BL105" i="40"/>
  <c r="BK105" i="40"/>
  <c r="BJ105" i="40"/>
  <c r="BI105" i="40"/>
  <c r="BH105" i="40"/>
  <c r="BG105" i="40"/>
  <c r="AR105" i="40"/>
  <c r="AQ105" i="40" s="1"/>
  <c r="BE105" i="40" s="1"/>
  <c r="AI105" i="40"/>
  <c r="U105" i="40"/>
  <c r="S105" i="40" s="1"/>
  <c r="CT104" i="40"/>
  <c r="CS104" i="40"/>
  <c r="CR104" i="40"/>
  <c r="CQ104" i="40"/>
  <c r="CP104" i="40"/>
  <c r="CO104" i="40"/>
  <c r="CN104" i="40"/>
  <c r="CM104" i="40"/>
  <c r="CL104" i="40"/>
  <c r="CK104" i="40"/>
  <c r="CJ104" i="40"/>
  <c r="CI104" i="40"/>
  <c r="CH104" i="40"/>
  <c r="CG104" i="40"/>
  <c r="BT104" i="40"/>
  <c r="BS104" i="40" s="1"/>
  <c r="BR104" i="40"/>
  <c r="BQ104" i="40"/>
  <c r="BP104" i="40"/>
  <c r="BO104" i="40"/>
  <c r="BN104" i="40"/>
  <c r="BM104" i="40"/>
  <c r="BL104" i="40"/>
  <c r="BK104" i="40"/>
  <c r="BJ104" i="40"/>
  <c r="BI104" i="40"/>
  <c r="BH104" i="40"/>
  <c r="BG104" i="40"/>
  <c r="AQ104" i="40"/>
  <c r="BE104" i="40" s="1"/>
  <c r="U104" i="40"/>
  <c r="CT103" i="40"/>
  <c r="CS103" i="40"/>
  <c r="CR103" i="40"/>
  <c r="CQ103" i="40"/>
  <c r="CP103" i="40"/>
  <c r="CO103" i="40"/>
  <c r="CN103" i="40"/>
  <c r="CM103" i="40"/>
  <c r="CL103" i="40"/>
  <c r="CK103" i="40"/>
  <c r="CJ103" i="40"/>
  <c r="CI103" i="40"/>
  <c r="BT103" i="40"/>
  <c r="BS103" i="40" s="1"/>
  <c r="CG103" i="40" s="1"/>
  <c r="BR103" i="40"/>
  <c r="BQ103" i="40"/>
  <c r="BP103" i="40"/>
  <c r="BO103" i="40"/>
  <c r="BN103" i="40"/>
  <c r="BM103" i="40"/>
  <c r="BL103" i="40"/>
  <c r="BK103" i="40"/>
  <c r="BJ103" i="40"/>
  <c r="BI103" i="40"/>
  <c r="BH103" i="40"/>
  <c r="BF103" i="40" s="1"/>
  <c r="BG103" i="40"/>
  <c r="AR103" i="40"/>
  <c r="AQ103" i="40" s="1"/>
  <c r="BE103" i="40" s="1"/>
  <c r="AI103" i="40"/>
  <c r="U103" i="40"/>
  <c r="S103" i="40"/>
  <c r="CT102" i="40"/>
  <c r="CS102" i="40"/>
  <c r="CR102" i="40"/>
  <c r="CQ102" i="40"/>
  <c r="CP102" i="40"/>
  <c r="CO102" i="40"/>
  <c r="CM102" i="40"/>
  <c r="CL102" i="40"/>
  <c r="CK102" i="40"/>
  <c r="CJ102" i="40"/>
  <c r="CI102" i="40"/>
  <c r="BT102" i="40"/>
  <c r="BR102" i="40"/>
  <c r="BQ102" i="40"/>
  <c r="BP102" i="40"/>
  <c r="BO102" i="40"/>
  <c r="BN102" i="40"/>
  <c r="BM102" i="40"/>
  <c r="BK102" i="40"/>
  <c r="BJ102" i="40"/>
  <c r="BI102" i="40"/>
  <c r="BH102" i="40"/>
  <c r="BG102" i="40"/>
  <c r="AR102" i="40"/>
  <c r="AQ102" i="40"/>
  <c r="BE102" i="40" s="1"/>
  <c r="AI102" i="40"/>
  <c r="AA102" i="40"/>
  <c r="U102" i="40"/>
  <c r="BS102" i="40" s="1"/>
  <c r="CG102" i="40" s="1"/>
  <c r="S102" i="40"/>
  <c r="CT101" i="40"/>
  <c r="CS101" i="40"/>
  <c r="CR101" i="40"/>
  <c r="CQ101" i="40"/>
  <c r="CP101" i="40"/>
  <c r="CO101" i="40"/>
  <c r="CN101" i="40"/>
  <c r="CM101" i="40"/>
  <c r="CL101" i="40"/>
  <c r="CK101" i="40"/>
  <c r="CJ101" i="40"/>
  <c r="CI101" i="40"/>
  <c r="BT101" i="40"/>
  <c r="BS101" i="40"/>
  <c r="CG101" i="40" s="1"/>
  <c r="BR101" i="40"/>
  <c r="BQ101" i="40"/>
  <c r="BP101" i="40"/>
  <c r="BO101" i="40"/>
  <c r="BN101" i="40"/>
  <c r="BM101" i="40"/>
  <c r="BL101" i="40"/>
  <c r="BK101" i="40"/>
  <c r="BJ101" i="40"/>
  <c r="BI101" i="40"/>
  <c r="BH101" i="40"/>
  <c r="BG101" i="40"/>
  <c r="AR101" i="40"/>
  <c r="AQ101" i="40"/>
  <c r="BE101" i="40" s="1"/>
  <c r="AI101" i="40"/>
  <c r="U101" i="40"/>
  <c r="S101" i="40"/>
  <c r="CT100" i="40"/>
  <c r="CS100" i="40"/>
  <c r="CR100" i="40"/>
  <c r="CQ100" i="40"/>
  <c r="CP100" i="40"/>
  <c r="CO100" i="40"/>
  <c r="CN100" i="40"/>
  <c r="CL100" i="40"/>
  <c r="CK100" i="40"/>
  <c r="CJ100" i="40"/>
  <c r="CI100" i="40"/>
  <c r="BT100" i="40"/>
  <c r="BR100" i="40"/>
  <c r="BQ100" i="40"/>
  <c r="BP100" i="40"/>
  <c r="BO100" i="40"/>
  <c r="BN100" i="40"/>
  <c r="BM100" i="40"/>
  <c r="BL100" i="40"/>
  <c r="BJ100" i="40"/>
  <c r="BI100" i="40"/>
  <c r="BH100" i="40"/>
  <c r="BG100" i="40"/>
  <c r="AR100" i="40"/>
  <c r="AI100" i="40"/>
  <c r="Z100" i="40"/>
  <c r="U100" i="40"/>
  <c r="S100" i="40" s="1"/>
  <c r="CY99" i="40"/>
  <c r="CT99" i="40"/>
  <c r="CS99" i="40"/>
  <c r="CR99" i="40"/>
  <c r="CQ99" i="40"/>
  <c r="CP99" i="40"/>
  <c r="CO99" i="40"/>
  <c r="CN99" i="40"/>
  <c r="CM99" i="40"/>
  <c r="CL99" i="40"/>
  <c r="CK99" i="40"/>
  <c r="CJ99" i="40"/>
  <c r="CI99" i="40"/>
  <c r="BT99" i="40"/>
  <c r="BS99" i="40" s="1"/>
  <c r="CG99" i="40" s="1"/>
  <c r="BR99" i="40"/>
  <c r="BQ99" i="40"/>
  <c r="BP99" i="40"/>
  <c r="BO99" i="40"/>
  <c r="BN99" i="40"/>
  <c r="BM99" i="40"/>
  <c r="BL99" i="40"/>
  <c r="BK99" i="40"/>
  <c r="BJ99" i="40"/>
  <c r="BI99" i="40"/>
  <c r="BH99" i="40"/>
  <c r="BG99" i="40"/>
  <c r="AR99" i="40"/>
  <c r="AQ99" i="40"/>
  <c r="BE99" i="40" s="1"/>
  <c r="AI99" i="40"/>
  <c r="U99" i="40"/>
  <c r="S99" i="40"/>
  <c r="CT98" i="40"/>
  <c r="CS98" i="40"/>
  <c r="CR98" i="40"/>
  <c r="CQ98" i="40"/>
  <c r="CP98" i="40"/>
  <c r="CO98" i="40"/>
  <c r="CN98" i="40"/>
  <c r="CM98" i="40"/>
  <c r="CL98" i="40"/>
  <c r="CH98" i="40" s="1"/>
  <c r="CK98" i="40"/>
  <c r="CJ98" i="40"/>
  <c r="CI98" i="40"/>
  <c r="BT98" i="40"/>
  <c r="BR98" i="40"/>
  <c r="BQ98" i="40"/>
  <c r="BP98" i="40"/>
  <c r="BO98" i="40"/>
  <c r="BN98" i="40"/>
  <c r="BM98" i="40"/>
  <c r="BL98" i="40"/>
  <c r="BK98" i="40"/>
  <c r="BJ98" i="40"/>
  <c r="BI98" i="40"/>
  <c r="BH98" i="40"/>
  <c r="BG98" i="40"/>
  <c r="BF98" i="40" s="1"/>
  <c r="AR98" i="40"/>
  <c r="AI98" i="40"/>
  <c r="Y98" i="40"/>
  <c r="U98" i="40"/>
  <c r="S98" i="40"/>
  <c r="CT97" i="40"/>
  <c r="CS97" i="40"/>
  <c r="CR97" i="40"/>
  <c r="CQ97" i="40"/>
  <c r="CP97" i="40"/>
  <c r="CO97" i="40"/>
  <c r="CN97" i="40"/>
  <c r="CM97" i="40"/>
  <c r="CL97" i="40"/>
  <c r="CK97" i="40"/>
  <c r="CI97" i="40"/>
  <c r="BT97" i="40"/>
  <c r="BR97" i="40"/>
  <c r="BQ97" i="40"/>
  <c r="BP97" i="40"/>
  <c r="BO97" i="40"/>
  <c r="BN97" i="40"/>
  <c r="BM97" i="40"/>
  <c r="BL97" i="40"/>
  <c r="BK97" i="40"/>
  <c r="BJ97" i="40"/>
  <c r="BI97" i="40"/>
  <c r="BG97" i="40"/>
  <c r="AR97" i="40"/>
  <c r="AI97" i="40"/>
  <c r="W97" i="40"/>
  <c r="CT96" i="40"/>
  <c r="CS96" i="40"/>
  <c r="CR96" i="40"/>
  <c r="CQ96" i="40"/>
  <c r="CP96" i="40"/>
  <c r="CO96" i="40"/>
  <c r="CN96" i="40"/>
  <c r="CM96" i="40"/>
  <c r="CL96" i="40"/>
  <c r="CK96" i="40"/>
  <c r="CI96" i="40"/>
  <c r="BT96" i="40"/>
  <c r="BR96" i="40"/>
  <c r="BQ96" i="40"/>
  <c r="BP96" i="40"/>
  <c r="BO96" i="40"/>
  <c r="BN96" i="40"/>
  <c r="BM96" i="40"/>
  <c r="BL96" i="40"/>
  <c r="BK96" i="40"/>
  <c r="BJ96" i="40"/>
  <c r="BI96" i="40"/>
  <c r="BG96" i="40"/>
  <c r="AR96" i="40"/>
  <c r="AI96" i="40"/>
  <c r="W96" i="40"/>
  <c r="CJ96" i="40" s="1"/>
  <c r="CT95" i="40"/>
  <c r="CS95" i="40"/>
  <c r="CR95" i="40"/>
  <c r="CQ95" i="40"/>
  <c r="CP95" i="40"/>
  <c r="CO95" i="40"/>
  <c r="CN95" i="40"/>
  <c r="CM95" i="40"/>
  <c r="CL95" i="40"/>
  <c r="CK95" i="40"/>
  <c r="CI95" i="40"/>
  <c r="CH95" i="40"/>
  <c r="BT95" i="40"/>
  <c r="BR95" i="40"/>
  <c r="BQ95" i="40"/>
  <c r="BP95" i="40"/>
  <c r="BN95" i="40"/>
  <c r="BL95" i="40"/>
  <c r="BK95" i="40"/>
  <c r="BJ95" i="40"/>
  <c r="BG95" i="40"/>
  <c r="AT95" i="40"/>
  <c r="AR95" i="40" s="1"/>
  <c r="AD95" i="40"/>
  <c r="AD185" i="40" s="1"/>
  <c r="AD191" i="40" s="1"/>
  <c r="AD193" i="40" s="1"/>
  <c r="AD197" i="40" s="1"/>
  <c r="AB95" i="40"/>
  <c r="AB146" i="40" s="1"/>
  <c r="X95" i="40"/>
  <c r="W95" i="40"/>
  <c r="CJ95" i="40" s="1"/>
  <c r="U95" i="40"/>
  <c r="CT94" i="40"/>
  <c r="CS94" i="40"/>
  <c r="CR94" i="40"/>
  <c r="CQ94" i="40"/>
  <c r="CP94" i="40"/>
  <c r="CO94" i="40"/>
  <c r="CM94" i="40"/>
  <c r="CL94" i="40"/>
  <c r="CK94" i="40"/>
  <c r="CJ94" i="40"/>
  <c r="CI94" i="40"/>
  <c r="BT94" i="40"/>
  <c r="BR94" i="40"/>
  <c r="BQ94" i="40"/>
  <c r="BP94" i="40"/>
  <c r="BO94" i="40"/>
  <c r="BN94" i="40"/>
  <c r="BM94" i="40"/>
  <c r="BK94" i="40"/>
  <c r="BJ94" i="40"/>
  <c r="BI94" i="40"/>
  <c r="BH94" i="40"/>
  <c r="BG94" i="40"/>
  <c r="AR94" i="40"/>
  <c r="AI94" i="40"/>
  <c r="AA94" i="40"/>
  <c r="U94" i="40"/>
  <c r="AQ94" i="40" s="1"/>
  <c r="BE94" i="40" s="1"/>
  <c r="CT93" i="40"/>
  <c r="CS93" i="40"/>
  <c r="CR93" i="40"/>
  <c r="CQ93" i="40"/>
  <c r="CP93" i="40"/>
  <c r="CO93" i="40"/>
  <c r="CN93" i="40"/>
  <c r="CM93" i="40"/>
  <c r="CL93" i="40"/>
  <c r="CK93" i="40"/>
  <c r="CJ93" i="40"/>
  <c r="CI93" i="40"/>
  <c r="BT93" i="40"/>
  <c r="BR93" i="40"/>
  <c r="BQ93" i="40"/>
  <c r="BP93" i="40"/>
  <c r="BO93" i="40"/>
  <c r="BN93" i="40"/>
  <c r="BM93" i="40"/>
  <c r="BL93" i="40"/>
  <c r="BK93" i="40"/>
  <c r="BJ93" i="40"/>
  <c r="BI93" i="40"/>
  <c r="BH93" i="40"/>
  <c r="BG93" i="40"/>
  <c r="BF93" i="40" s="1"/>
  <c r="AR93" i="40"/>
  <c r="AI93" i="40"/>
  <c r="Z93" i="40"/>
  <c r="Z185" i="40" s="1"/>
  <c r="CT92" i="40"/>
  <c r="CS92" i="40"/>
  <c r="CR92" i="40"/>
  <c r="CQ92" i="40"/>
  <c r="CP92" i="40"/>
  <c r="CO92" i="40"/>
  <c r="CN92" i="40"/>
  <c r="CM92" i="40"/>
  <c r="CK92" i="40"/>
  <c r="CJ92" i="40"/>
  <c r="CI92" i="40"/>
  <c r="BT92" i="40"/>
  <c r="BR92" i="40"/>
  <c r="BQ92" i="40"/>
  <c r="BP92" i="40"/>
  <c r="BO92" i="40"/>
  <c r="BN92" i="40"/>
  <c r="BM92" i="40"/>
  <c r="BL92" i="40"/>
  <c r="BK92" i="40"/>
  <c r="BI92" i="40"/>
  <c r="BH92" i="40"/>
  <c r="BG92" i="40"/>
  <c r="AR92" i="40"/>
  <c r="AQ92" i="40"/>
  <c r="BE92" i="40" s="1"/>
  <c r="AI92" i="40"/>
  <c r="Y92" i="40"/>
  <c r="U92" i="40"/>
  <c r="BS92" i="40" s="1"/>
  <c r="CG92" i="40" s="1"/>
  <c r="S92" i="40"/>
  <c r="CT91" i="40"/>
  <c r="CS91" i="40"/>
  <c r="CR91" i="40"/>
  <c r="CQ91" i="40"/>
  <c r="CQ185" i="40" s="1"/>
  <c r="CQ191" i="40" s="1"/>
  <c r="CQ193" i="40" s="1"/>
  <c r="CP91" i="40"/>
  <c r="CP185" i="40" s="1"/>
  <c r="CO91" i="40"/>
  <c r="CN91" i="40"/>
  <c r="CM91" i="40"/>
  <c r="CL91" i="40"/>
  <c r="CK91" i="40"/>
  <c r="CI91" i="40"/>
  <c r="BT91" i="40"/>
  <c r="BR91" i="40"/>
  <c r="BQ91" i="40"/>
  <c r="BP91" i="40"/>
  <c r="BO91" i="40"/>
  <c r="BN91" i="40"/>
  <c r="BM91" i="40"/>
  <c r="BL91" i="40"/>
  <c r="BK91" i="40"/>
  <c r="BK185" i="40" s="1"/>
  <c r="BJ91" i="40"/>
  <c r="BI91" i="40"/>
  <c r="BG91" i="40"/>
  <c r="AR91" i="40"/>
  <c r="AI91" i="40"/>
  <c r="W91" i="40"/>
  <c r="W185" i="40" s="1"/>
  <c r="W191" i="40" s="1"/>
  <c r="W193" i="40" s="1"/>
  <c r="W197" i="40" s="1"/>
  <c r="CT90" i="40"/>
  <c r="CS90" i="40"/>
  <c r="CR90" i="40"/>
  <c r="CQ90" i="40"/>
  <c r="CP90" i="40"/>
  <c r="CO90" i="40"/>
  <c r="CN90" i="40"/>
  <c r="CM90" i="40"/>
  <c r="CL90" i="40"/>
  <c r="CK90" i="40"/>
  <c r="CJ90" i="40"/>
  <c r="CI90" i="40"/>
  <c r="CH90" i="40" s="1"/>
  <c r="BT90" i="40"/>
  <c r="BR90" i="40"/>
  <c r="BQ90" i="40"/>
  <c r="BP90" i="40"/>
  <c r="BO90" i="40"/>
  <c r="BN90" i="40"/>
  <c r="BM90" i="40"/>
  <c r="BL90" i="40"/>
  <c r="BK90" i="40"/>
  <c r="BJ90" i="40"/>
  <c r="BI90" i="40"/>
  <c r="BH90" i="40"/>
  <c r="BG90" i="40"/>
  <c r="AR90" i="40"/>
  <c r="AQ90" i="40"/>
  <c r="BE90" i="40" s="1"/>
  <c r="AI90" i="40"/>
  <c r="U90" i="40"/>
  <c r="BS90" i="40" s="1"/>
  <c r="CG90" i="40" s="1"/>
  <c r="CT89" i="40"/>
  <c r="CS89" i="40"/>
  <c r="CR89" i="40"/>
  <c r="CQ89" i="40"/>
  <c r="CP89" i="40"/>
  <c r="CO89" i="40"/>
  <c r="CN89" i="40"/>
  <c r="CM89" i="40"/>
  <c r="CL89" i="40"/>
  <c r="CK89" i="40"/>
  <c r="CJ89" i="40"/>
  <c r="BR89" i="40"/>
  <c r="BQ89" i="40"/>
  <c r="BP89" i="40"/>
  <c r="BO89" i="40"/>
  <c r="BN89" i="40"/>
  <c r="BM89" i="40"/>
  <c r="BL89" i="40"/>
  <c r="BK89" i="40"/>
  <c r="BJ89" i="40"/>
  <c r="BI89" i="40"/>
  <c r="BH89" i="40"/>
  <c r="AI89" i="40"/>
  <c r="V89" i="40"/>
  <c r="V146" i="40" s="1"/>
  <c r="U89" i="40"/>
  <c r="Q89" i="40"/>
  <c r="S89" i="40" s="1"/>
  <c r="CT88" i="40"/>
  <c r="CS88" i="40"/>
  <c r="CR88" i="40"/>
  <c r="CQ88" i="40"/>
  <c r="CP88" i="40"/>
  <c r="CO88" i="40"/>
  <c r="CN88" i="40"/>
  <c r="CM88" i="40"/>
  <c r="CL88" i="40"/>
  <c r="CK88" i="40"/>
  <c r="CJ88" i="40"/>
  <c r="BR88" i="40"/>
  <c r="BQ88" i="40"/>
  <c r="BP88" i="40"/>
  <c r="BN88" i="40"/>
  <c r="BM88" i="40"/>
  <c r="BL88" i="40"/>
  <c r="BK88" i="40"/>
  <c r="BJ88" i="40"/>
  <c r="BI88" i="40"/>
  <c r="BH88" i="40"/>
  <c r="AI88" i="40"/>
  <c r="AD88" i="40"/>
  <c r="AD189" i="40" s="1"/>
  <c r="Q88" i="40"/>
  <c r="CF86" i="40"/>
  <c r="CE86" i="40"/>
  <c r="CD86" i="40"/>
  <c r="CC86" i="40"/>
  <c r="BZ86" i="40"/>
  <c r="BY86" i="40"/>
  <c r="BX86" i="40"/>
  <c r="BW86" i="40"/>
  <c r="BD86" i="40"/>
  <c r="BC86" i="40"/>
  <c r="BB86" i="40"/>
  <c r="BA86" i="40"/>
  <c r="AX86" i="40"/>
  <c r="AW86" i="40"/>
  <c r="AV86" i="40"/>
  <c r="AU86" i="40"/>
  <c r="AP86" i="40"/>
  <c r="AO86" i="40"/>
  <c r="AN86" i="40"/>
  <c r="AM86" i="40"/>
  <c r="AL86" i="40"/>
  <c r="AK86" i="40"/>
  <c r="AG86" i="40"/>
  <c r="AF86" i="40"/>
  <c r="AE86" i="40"/>
  <c r="AD86" i="40"/>
  <c r="AA86" i="40"/>
  <c r="Z86" i="40"/>
  <c r="Y86" i="40"/>
  <c r="X86" i="40"/>
  <c r="I86" i="40"/>
  <c r="H86" i="40"/>
  <c r="G86" i="40"/>
  <c r="CT85" i="40"/>
  <c r="CS85" i="40"/>
  <c r="CR85" i="40"/>
  <c r="CQ85" i="40"/>
  <c r="CO85" i="40"/>
  <c r="CN85" i="40"/>
  <c r="CM85" i="40"/>
  <c r="CL85" i="40"/>
  <c r="CK85" i="40"/>
  <c r="CJ85" i="40"/>
  <c r="BR85" i="40"/>
  <c r="BQ85" i="40"/>
  <c r="BP85" i="40"/>
  <c r="BO85" i="40"/>
  <c r="BN85" i="40"/>
  <c r="BM85" i="40"/>
  <c r="BL85" i="40"/>
  <c r="BK85" i="40"/>
  <c r="BJ85" i="40"/>
  <c r="BI85" i="40"/>
  <c r="BH85" i="40"/>
  <c r="BG85" i="40" s="1"/>
  <c r="AJ85" i="40"/>
  <c r="AJ86" i="40" s="1"/>
  <c r="AI85" i="40"/>
  <c r="AC85" i="40"/>
  <c r="CP85" i="40" s="1"/>
  <c r="V85" i="40"/>
  <c r="U85" i="40" s="1"/>
  <c r="S85" i="40" s="1"/>
  <c r="CT84" i="40"/>
  <c r="CS84" i="40"/>
  <c r="CR84" i="40"/>
  <c r="CQ84" i="40"/>
  <c r="CP84" i="40"/>
  <c r="CO84" i="40"/>
  <c r="CN84" i="40"/>
  <c r="CM84" i="40"/>
  <c r="CL84" i="40"/>
  <c r="CK84" i="40"/>
  <c r="CJ84" i="40"/>
  <c r="CI84" i="40"/>
  <c r="CH84" i="40"/>
  <c r="BT84" i="40"/>
  <c r="BR84" i="40"/>
  <c r="BQ84" i="40"/>
  <c r="BP84" i="40"/>
  <c r="BO84" i="40"/>
  <c r="BN84" i="40"/>
  <c r="BM84" i="40"/>
  <c r="BF84" i="40" s="1"/>
  <c r="BL84" i="40"/>
  <c r="BK84" i="40"/>
  <c r="BJ84" i="40"/>
  <c r="BI84" i="40"/>
  <c r="BH84" i="40"/>
  <c r="BG84" i="40"/>
  <c r="AR84" i="40"/>
  <c r="AI84" i="40"/>
  <c r="AC84" i="40"/>
  <c r="CT83" i="40"/>
  <c r="CS83" i="40"/>
  <c r="CR83" i="40"/>
  <c r="CQ83" i="40"/>
  <c r="CO83" i="40"/>
  <c r="CN83" i="40"/>
  <c r="CM83" i="40"/>
  <c r="CL83" i="40"/>
  <c r="CK83" i="40"/>
  <c r="CJ83" i="40"/>
  <c r="CI83" i="40"/>
  <c r="BT83" i="40"/>
  <c r="BR83" i="40"/>
  <c r="BQ83" i="40"/>
  <c r="BP83" i="40"/>
  <c r="BO83" i="40"/>
  <c r="BM83" i="40"/>
  <c r="BL83" i="40"/>
  <c r="BK83" i="40"/>
  <c r="BJ83" i="40"/>
  <c r="BI83" i="40"/>
  <c r="BH83" i="40"/>
  <c r="BG83" i="40"/>
  <c r="AR83" i="40"/>
  <c r="AI83" i="40"/>
  <c r="AC83" i="40"/>
  <c r="CT82" i="40"/>
  <c r="CS82" i="40"/>
  <c r="CR82" i="40"/>
  <c r="CQ82" i="40"/>
  <c r="CP82" i="40"/>
  <c r="CO82" i="40"/>
  <c r="CH82" i="40" s="1"/>
  <c r="CN82" i="40"/>
  <c r="CM82" i="40"/>
  <c r="CL82" i="40"/>
  <c r="CK82" i="40"/>
  <c r="CJ82" i="40"/>
  <c r="CI82" i="40"/>
  <c r="BT82" i="40"/>
  <c r="BR82" i="40"/>
  <c r="BQ82" i="40"/>
  <c r="BP82" i="40"/>
  <c r="BO82" i="40"/>
  <c r="BM82" i="40"/>
  <c r="BL82" i="40"/>
  <c r="BK82" i="40"/>
  <c r="BJ82" i="40"/>
  <c r="BI82" i="40"/>
  <c r="BH82" i="40"/>
  <c r="BG82" i="40"/>
  <c r="AR82" i="40"/>
  <c r="AI82" i="40"/>
  <c r="AC82" i="40"/>
  <c r="U82" i="40" s="1"/>
  <c r="S82" i="40"/>
  <c r="CT81" i="40"/>
  <c r="CS81" i="40"/>
  <c r="CR81" i="40"/>
  <c r="CQ81" i="40"/>
  <c r="CO81" i="40"/>
  <c r="CN81" i="40"/>
  <c r="CM81" i="40"/>
  <c r="CL81" i="40"/>
  <c r="CK81" i="40"/>
  <c r="CJ81" i="40"/>
  <c r="CI81" i="40"/>
  <c r="BT81" i="40"/>
  <c r="BR81" i="40"/>
  <c r="BQ81" i="40"/>
  <c r="BP81" i="40"/>
  <c r="BO81" i="40"/>
  <c r="BM81" i="40"/>
  <c r="BL81" i="40"/>
  <c r="BK81" i="40"/>
  <c r="BJ81" i="40"/>
  <c r="BI81" i="40"/>
  <c r="BH81" i="40"/>
  <c r="BG81" i="40"/>
  <c r="AR81" i="40"/>
  <c r="AI81" i="40"/>
  <c r="AC81" i="40"/>
  <c r="CT80" i="40"/>
  <c r="CS80" i="40"/>
  <c r="CR80" i="40"/>
  <c r="CQ80" i="40"/>
  <c r="CP80" i="40"/>
  <c r="CO80" i="40"/>
  <c r="CN80" i="40"/>
  <c r="CM80" i="40"/>
  <c r="CL80" i="40"/>
  <c r="CK80" i="40"/>
  <c r="CI80" i="40"/>
  <c r="BR80" i="40"/>
  <c r="BQ80" i="40"/>
  <c r="BP80" i="40"/>
  <c r="BO80" i="40"/>
  <c r="BL80" i="40"/>
  <c r="BK80" i="40"/>
  <c r="BJ80" i="40"/>
  <c r="BI80" i="40"/>
  <c r="BG80" i="40"/>
  <c r="AI80" i="40"/>
  <c r="AC80" i="40"/>
  <c r="BN80" i="40" s="1"/>
  <c r="AB80" i="40"/>
  <c r="BM80" i="40" s="1"/>
  <c r="W80" i="40"/>
  <c r="U80" i="40" s="1"/>
  <c r="S80" i="40" s="1"/>
  <c r="CT79" i="40"/>
  <c r="CS79" i="40"/>
  <c r="CR79" i="40"/>
  <c r="CQ79" i="40"/>
  <c r="CP79" i="40"/>
  <c r="CN79" i="40"/>
  <c r="CM79" i="40"/>
  <c r="CL79" i="40"/>
  <c r="CK79" i="40"/>
  <c r="CI79" i="40"/>
  <c r="BV188" i="40" s="1"/>
  <c r="BR79" i="40"/>
  <c r="BQ79" i="40"/>
  <c r="BP79" i="40"/>
  <c r="BO79" i="40"/>
  <c r="BN79" i="40"/>
  <c r="BL79" i="40"/>
  <c r="BK79" i="40"/>
  <c r="BJ79" i="40"/>
  <c r="BI79" i="40"/>
  <c r="BG79" i="40"/>
  <c r="AY86" i="40" s="1"/>
  <c r="BH79" i="40" s="1"/>
  <c r="AI79" i="40"/>
  <c r="AB79" i="40"/>
  <c r="W79" i="40"/>
  <c r="CT78" i="40"/>
  <c r="CS78" i="40"/>
  <c r="CR78" i="40"/>
  <c r="CQ78" i="40"/>
  <c r="CO78" i="40"/>
  <c r="CN78" i="40"/>
  <c r="CM78" i="40"/>
  <c r="CL78" i="40"/>
  <c r="CK78" i="40"/>
  <c r="CJ78" i="40"/>
  <c r="CI78" i="40"/>
  <c r="BR78" i="40"/>
  <c r="BQ78" i="40"/>
  <c r="BP78" i="40"/>
  <c r="BO78" i="40"/>
  <c r="BM78" i="40"/>
  <c r="BL78" i="40"/>
  <c r="BK78" i="40"/>
  <c r="BJ78" i="40"/>
  <c r="BI78" i="40"/>
  <c r="BG78" i="40"/>
  <c r="BH78" i="40" s="1"/>
  <c r="U78" i="40"/>
  <c r="CT77" i="40"/>
  <c r="CS77" i="40"/>
  <c r="CR77" i="40"/>
  <c r="CQ77" i="40"/>
  <c r="CP77" i="40"/>
  <c r="CO77" i="40"/>
  <c r="CN77" i="40"/>
  <c r="CM77" i="40"/>
  <c r="CL77" i="40"/>
  <c r="CK77" i="40"/>
  <c r="CJ77" i="40"/>
  <c r="CI77" i="40"/>
  <c r="BT77" i="40"/>
  <c r="BR77" i="40"/>
  <c r="BQ77" i="40"/>
  <c r="BP77" i="40"/>
  <c r="BO77" i="40"/>
  <c r="BN77" i="40"/>
  <c r="BM77" i="40"/>
  <c r="BL77" i="40"/>
  <c r="BK77" i="40"/>
  <c r="BJ77" i="40"/>
  <c r="BI77" i="40"/>
  <c r="BH77" i="40"/>
  <c r="BG77" i="40"/>
  <c r="AR77" i="40"/>
  <c r="AI77" i="40"/>
  <c r="U77" i="40"/>
  <c r="S77" i="40" s="1"/>
  <c r="CT76" i="40"/>
  <c r="CS76" i="40"/>
  <c r="CR76" i="40"/>
  <c r="CQ76" i="40"/>
  <c r="CP76" i="40"/>
  <c r="CO76" i="40"/>
  <c r="CN76" i="40"/>
  <c r="CM76" i="40"/>
  <c r="CL76" i="40"/>
  <c r="CK76" i="40"/>
  <c r="CJ76" i="40"/>
  <c r="CI76" i="40"/>
  <c r="BT76" i="40"/>
  <c r="BS76" i="40"/>
  <c r="CG76" i="40" s="1"/>
  <c r="BR76" i="40"/>
  <c r="BQ76" i="40"/>
  <c r="BP76" i="40"/>
  <c r="BO76" i="40"/>
  <c r="BN76" i="40"/>
  <c r="BM76" i="40"/>
  <c r="BL76" i="40"/>
  <c r="BK76" i="40"/>
  <c r="BJ76" i="40"/>
  <c r="BI76" i="40"/>
  <c r="BH76" i="40"/>
  <c r="BG76" i="40"/>
  <c r="BF76" i="40" s="1"/>
  <c r="AR76" i="40"/>
  <c r="AQ76" i="40"/>
  <c r="BE76" i="40" s="1"/>
  <c r="AI76" i="40"/>
  <c r="U76" i="40"/>
  <c r="S76" i="40" s="1"/>
  <c r="CT75" i="40"/>
  <c r="CS75" i="40"/>
  <c r="CR75" i="40"/>
  <c r="CQ75" i="40"/>
  <c r="CP75" i="40"/>
  <c r="CO75" i="40"/>
  <c r="CN75" i="40"/>
  <c r="CM75" i="40"/>
  <c r="CL75" i="40"/>
  <c r="CK75" i="40"/>
  <c r="CJ75" i="40"/>
  <c r="CH75" i="40" s="1"/>
  <c r="CI75" i="40"/>
  <c r="BT75" i="40"/>
  <c r="BS75" i="40" s="1"/>
  <c r="CG75" i="40" s="1"/>
  <c r="BR75" i="40"/>
  <c r="BQ75" i="40"/>
  <c r="BP75" i="40"/>
  <c r="BO75" i="40"/>
  <c r="BN75" i="40"/>
  <c r="BM75" i="40"/>
  <c r="BL75" i="40"/>
  <c r="BK75" i="40"/>
  <c r="BJ75" i="40"/>
  <c r="BI75" i="40"/>
  <c r="BH75" i="40"/>
  <c r="BG75" i="40"/>
  <c r="BF75" i="40"/>
  <c r="AR75" i="40"/>
  <c r="AQ75" i="40" s="1"/>
  <c r="BE75" i="40" s="1"/>
  <c r="AI75" i="40"/>
  <c r="U75" i="40"/>
  <c r="S75" i="40"/>
  <c r="CT74" i="40"/>
  <c r="CS74" i="40"/>
  <c r="CR74" i="40"/>
  <c r="CQ74" i="40"/>
  <c r="CO74" i="40"/>
  <c r="CN74" i="40"/>
  <c r="CM74" i="40"/>
  <c r="CL74" i="40"/>
  <c r="CK74" i="40"/>
  <c r="CJ74" i="40"/>
  <c r="CI74" i="40"/>
  <c r="CP74" i="40" s="1"/>
  <c r="BR74" i="40"/>
  <c r="BQ74" i="40"/>
  <c r="BP74" i="40"/>
  <c r="BO74" i="40"/>
  <c r="BM74" i="40"/>
  <c r="BL74" i="40"/>
  <c r="BK74" i="40"/>
  <c r="BJ74" i="40"/>
  <c r="BI74" i="40"/>
  <c r="BH74" i="40"/>
  <c r="BG74" i="40"/>
  <c r="AR74" i="40" s="1"/>
  <c r="AI74" i="40"/>
  <c r="U74" i="40"/>
  <c r="S74" i="40" s="1"/>
  <c r="CT73" i="40"/>
  <c r="CS73" i="40"/>
  <c r="CR73" i="40"/>
  <c r="CQ73" i="40"/>
  <c r="CP73" i="40"/>
  <c r="CO73" i="40"/>
  <c r="CN73" i="40"/>
  <c r="CM73" i="40"/>
  <c r="CL73" i="40"/>
  <c r="CH73" i="40" s="1"/>
  <c r="CK73" i="40"/>
  <c r="CJ73" i="40"/>
  <c r="CI73" i="40"/>
  <c r="BT73" i="40"/>
  <c r="BS73" i="40"/>
  <c r="CG73" i="40" s="1"/>
  <c r="BR73" i="40"/>
  <c r="BQ73" i="40"/>
  <c r="BP73" i="40"/>
  <c r="BO73" i="40"/>
  <c r="BM73" i="40"/>
  <c r="BL73" i="40"/>
  <c r="BK73" i="40"/>
  <c r="BJ73" i="40"/>
  <c r="BI73" i="40"/>
  <c r="BG73" i="40"/>
  <c r="AT73" i="40"/>
  <c r="BH73" i="40" s="1"/>
  <c r="AI73" i="40"/>
  <c r="U73" i="40"/>
  <c r="S73" i="40"/>
  <c r="CT72" i="40"/>
  <c r="CS72" i="40"/>
  <c r="CS188" i="40" s="1"/>
  <c r="CR72" i="40"/>
  <c r="CQ72" i="40"/>
  <c r="CO72" i="40"/>
  <c r="CN72" i="40"/>
  <c r="CM72" i="40"/>
  <c r="CM188" i="40" s="1"/>
  <c r="CL72" i="40"/>
  <c r="CK72" i="40"/>
  <c r="BR72" i="40"/>
  <c r="BQ72" i="40"/>
  <c r="BP72" i="40"/>
  <c r="BO72" i="40"/>
  <c r="BM72" i="40"/>
  <c r="BL72" i="40"/>
  <c r="BL188" i="40" s="1"/>
  <c r="BK72" i="40"/>
  <c r="BJ72" i="40"/>
  <c r="BI72" i="40"/>
  <c r="BH72" i="40"/>
  <c r="BG72" i="40" s="1"/>
  <c r="AI72" i="40"/>
  <c r="AC72" i="40"/>
  <c r="W72" i="40"/>
  <c r="V72" i="40"/>
  <c r="CT71" i="40"/>
  <c r="CS71" i="40"/>
  <c r="CR71" i="40"/>
  <c r="CQ71" i="40"/>
  <c r="CP71" i="40"/>
  <c r="CO71" i="40"/>
  <c r="CN71" i="40"/>
  <c r="CM71" i="40"/>
  <c r="CL71" i="40"/>
  <c r="CK71" i="40"/>
  <c r="CJ71" i="40"/>
  <c r="BR71" i="40"/>
  <c r="BQ71" i="40"/>
  <c r="BP71" i="40"/>
  <c r="BO71" i="40"/>
  <c r="BN71" i="40"/>
  <c r="BM71" i="40"/>
  <c r="BL71" i="40"/>
  <c r="BK71" i="40"/>
  <c r="BJ71" i="40"/>
  <c r="BI71" i="40"/>
  <c r="BH71" i="40"/>
  <c r="BG71" i="40" s="1"/>
  <c r="AI71" i="40"/>
  <c r="U71" i="40"/>
  <c r="S71" i="40" s="1"/>
  <c r="CT70" i="40"/>
  <c r="CS70" i="40"/>
  <c r="CR70" i="40"/>
  <c r="CQ70" i="40"/>
  <c r="CP70" i="40"/>
  <c r="CO70" i="40"/>
  <c r="CN70" i="40"/>
  <c r="CM70" i="40"/>
  <c r="CL70" i="40"/>
  <c r="CK70" i="40"/>
  <c r="CJ70" i="40"/>
  <c r="CI70" i="40" s="1"/>
  <c r="BR70" i="40"/>
  <c r="BQ70" i="40"/>
  <c r="BP70" i="40"/>
  <c r="BO70" i="40"/>
  <c r="BN70" i="40"/>
  <c r="BM70" i="40"/>
  <c r="BL70" i="40"/>
  <c r="BK70" i="40"/>
  <c r="BJ70" i="40"/>
  <c r="BI70" i="40"/>
  <c r="BH70" i="40"/>
  <c r="AI70" i="40"/>
  <c r="U70" i="40"/>
  <c r="S70" i="40"/>
  <c r="CT69" i="40"/>
  <c r="CS69" i="40"/>
  <c r="CR69" i="40"/>
  <c r="CQ69" i="40"/>
  <c r="CP69" i="40"/>
  <c r="CO69" i="40"/>
  <c r="CN69" i="40"/>
  <c r="CM69" i="40"/>
  <c r="CL69" i="40"/>
  <c r="CK69" i="40"/>
  <c r="CJ69" i="40"/>
  <c r="BR69" i="40"/>
  <c r="BQ69" i="40"/>
  <c r="BP69" i="40"/>
  <c r="BO69" i="40"/>
  <c r="BN69" i="40"/>
  <c r="BM69" i="40"/>
  <c r="BL69" i="40"/>
  <c r="BK69" i="40"/>
  <c r="BJ69" i="40"/>
  <c r="BI69" i="40"/>
  <c r="BH69" i="40"/>
  <c r="AR69" i="40" s="1"/>
  <c r="AI69" i="40"/>
  <c r="U69" i="40"/>
  <c r="S69" i="40" s="1"/>
  <c r="CT68" i="40"/>
  <c r="CS68" i="40"/>
  <c r="CR68" i="40"/>
  <c r="CQ68" i="40"/>
  <c r="CP68" i="40"/>
  <c r="CO68" i="40"/>
  <c r="CN68" i="40"/>
  <c r="CM68" i="40"/>
  <c r="CL68" i="40"/>
  <c r="CK68" i="40"/>
  <c r="CJ68" i="40"/>
  <c r="BR68" i="40"/>
  <c r="BQ68" i="40"/>
  <c r="BP68" i="40"/>
  <c r="BO68" i="40"/>
  <c r="BN68" i="40"/>
  <c r="BM68" i="40"/>
  <c r="BL68" i="40"/>
  <c r="BK68" i="40"/>
  <c r="BJ68" i="40"/>
  <c r="BI68" i="40"/>
  <c r="BH68" i="40"/>
  <c r="U68" i="40"/>
  <c r="CT67" i="40"/>
  <c r="CS67" i="40"/>
  <c r="CR67" i="40"/>
  <c r="CQ67" i="40"/>
  <c r="CP67" i="40"/>
  <c r="CO67" i="40"/>
  <c r="CN67" i="40"/>
  <c r="CM67" i="40"/>
  <c r="CL67" i="40"/>
  <c r="CK67" i="40"/>
  <c r="CJ67" i="40"/>
  <c r="BR67" i="40"/>
  <c r="BQ67" i="40"/>
  <c r="BP67" i="40"/>
  <c r="BO67" i="40"/>
  <c r="BN67" i="40"/>
  <c r="BM67" i="40"/>
  <c r="BL67" i="40"/>
  <c r="BK67" i="40"/>
  <c r="BJ67" i="40"/>
  <c r="BI67" i="40"/>
  <c r="BH67" i="40"/>
  <c r="BG67" i="40" s="1"/>
  <c r="U67" i="40"/>
  <c r="CT66" i="40"/>
  <c r="CS66" i="40"/>
  <c r="CR66" i="40"/>
  <c r="CQ66" i="40"/>
  <c r="CP66" i="40"/>
  <c r="CO66" i="40"/>
  <c r="CN66" i="40"/>
  <c r="CM66" i="40"/>
  <c r="CL66" i="40"/>
  <c r="CK66" i="40"/>
  <c r="CJ66" i="40"/>
  <c r="CH66" i="40" s="1"/>
  <c r="CI66" i="40"/>
  <c r="BT66" i="40"/>
  <c r="BS66" i="40" s="1"/>
  <c r="CG66" i="40" s="1"/>
  <c r="BR66" i="40"/>
  <c r="BQ66" i="40"/>
  <c r="BP66" i="40"/>
  <c r="BO66" i="40"/>
  <c r="BN66" i="40"/>
  <c r="BM66" i="40"/>
  <c r="BL66" i="40"/>
  <c r="BK66" i="40"/>
  <c r="BJ66" i="40"/>
  <c r="BF66" i="40" s="1"/>
  <c r="BI66" i="40"/>
  <c r="BH66" i="40"/>
  <c r="BG66" i="40"/>
  <c r="AR66" i="40"/>
  <c r="U66" i="40"/>
  <c r="CT65" i="40"/>
  <c r="CS65" i="40"/>
  <c r="CR65" i="40"/>
  <c r="CQ65" i="40"/>
  <c r="CP65" i="40"/>
  <c r="CO65" i="40"/>
  <c r="CN65" i="40"/>
  <c r="CM65" i="40"/>
  <c r="CL65" i="40"/>
  <c r="CK65" i="40"/>
  <c r="CJ65" i="40"/>
  <c r="CI65" i="40"/>
  <c r="BT65" i="40"/>
  <c r="BS65" i="40"/>
  <c r="CG65" i="40" s="1"/>
  <c r="BR65" i="40"/>
  <c r="BQ65" i="40"/>
  <c r="BP65" i="40"/>
  <c r="BO65" i="40"/>
  <c r="BN65" i="40"/>
  <c r="BM65" i="40"/>
  <c r="BL65" i="40"/>
  <c r="BK65" i="40"/>
  <c r="BJ65" i="40"/>
  <c r="BI65" i="40"/>
  <c r="BH65" i="40"/>
  <c r="BG65" i="40"/>
  <c r="BF65" i="40" s="1"/>
  <c r="AR65" i="40"/>
  <c r="AQ65" i="40"/>
  <c r="BE65" i="40" s="1"/>
  <c r="U65" i="40"/>
  <c r="CT64" i="40"/>
  <c r="CS64" i="40"/>
  <c r="CR64" i="40"/>
  <c r="CQ64" i="40"/>
  <c r="CP64" i="40"/>
  <c r="CO64" i="40"/>
  <c r="CN64" i="40"/>
  <c r="CM64" i="40"/>
  <c r="CL64" i="40"/>
  <c r="CK64" i="40"/>
  <c r="CJ64" i="40"/>
  <c r="CI64" i="40"/>
  <c r="BT64" i="40"/>
  <c r="BS64" i="40" s="1"/>
  <c r="CG64" i="40" s="1"/>
  <c r="BR64" i="40"/>
  <c r="BQ64" i="40"/>
  <c r="BP64" i="40"/>
  <c r="BO64" i="40"/>
  <c r="BN64" i="40"/>
  <c r="BM64" i="40"/>
  <c r="BL64" i="40"/>
  <c r="BK64" i="40"/>
  <c r="BJ64" i="40"/>
  <c r="BI64" i="40"/>
  <c r="BH64" i="40"/>
  <c r="BG64" i="40"/>
  <c r="AR64" i="40"/>
  <c r="U64" i="40"/>
  <c r="CT63" i="40"/>
  <c r="CS63" i="40"/>
  <c r="CR63" i="40"/>
  <c r="CQ63" i="40"/>
  <c r="CP63" i="40"/>
  <c r="CO63" i="40"/>
  <c r="CN63" i="40"/>
  <c r="CM63" i="40"/>
  <c r="CL63" i="40"/>
  <c r="CK63" i="40"/>
  <c r="CJ63" i="40"/>
  <c r="CI63" i="40"/>
  <c r="BT63" i="40"/>
  <c r="BR63" i="40"/>
  <c r="BQ63" i="40"/>
  <c r="BP63" i="40"/>
  <c r="BO63" i="40"/>
  <c r="BN63" i="40"/>
  <c r="BM63" i="40"/>
  <c r="BL63" i="40"/>
  <c r="BK63" i="40"/>
  <c r="BJ63" i="40"/>
  <c r="BI63" i="40"/>
  <c r="BH63" i="40"/>
  <c r="BG63" i="40"/>
  <c r="AR63" i="40"/>
  <c r="AQ63" i="40"/>
  <c r="BE63" i="40" s="1"/>
  <c r="U63" i="40"/>
  <c r="BS63" i="40" s="1"/>
  <c r="CG63" i="40" s="1"/>
  <c r="CT62" i="40"/>
  <c r="CS62" i="40"/>
  <c r="CR62" i="40"/>
  <c r="CQ62" i="40"/>
  <c r="CP62" i="40"/>
  <c r="CO62" i="40"/>
  <c r="CN62" i="40"/>
  <c r="CM62" i="40"/>
  <c r="CL62" i="40"/>
  <c r="CH62" i="40" s="1"/>
  <c r="CK62" i="40"/>
  <c r="CJ62" i="40"/>
  <c r="CI62" i="40"/>
  <c r="BT62" i="40"/>
  <c r="BR62" i="40"/>
  <c r="BQ62" i="40"/>
  <c r="BP62" i="40"/>
  <c r="BO62" i="40"/>
  <c r="BN62" i="40"/>
  <c r="BM62" i="40"/>
  <c r="BL62" i="40"/>
  <c r="BK62" i="40"/>
  <c r="BF62" i="40" s="1"/>
  <c r="BJ62" i="40"/>
  <c r="BI62" i="40"/>
  <c r="BH62" i="40"/>
  <c r="BG62" i="40"/>
  <c r="AR62" i="40"/>
  <c r="U62" i="40"/>
  <c r="BS62" i="40" s="1"/>
  <c r="CG62" i="40" s="1"/>
  <c r="CT61" i="40"/>
  <c r="CS61" i="40"/>
  <c r="CR61" i="40"/>
  <c r="CQ61" i="40"/>
  <c r="CP61" i="40"/>
  <c r="CO61" i="40"/>
  <c r="CN61" i="40"/>
  <c r="CM61" i="40"/>
  <c r="CL61" i="40"/>
  <c r="CK61" i="40"/>
  <c r="CJ61" i="40"/>
  <c r="CI61" i="40"/>
  <c r="CH61" i="40" s="1"/>
  <c r="BT61" i="40"/>
  <c r="BS61" i="40"/>
  <c r="CG61" i="40" s="1"/>
  <c r="BR61" i="40"/>
  <c r="BQ61" i="40"/>
  <c r="BP61" i="40"/>
  <c r="BO61" i="40"/>
  <c r="BN61" i="40"/>
  <c r="BM61" i="40"/>
  <c r="BL61" i="40"/>
  <c r="BK61" i="40"/>
  <c r="BK187" i="40" s="1"/>
  <c r="BJ61" i="40"/>
  <c r="BI61" i="40"/>
  <c r="BH61" i="40"/>
  <c r="BG61" i="40"/>
  <c r="BF61" i="40" s="1"/>
  <c r="AR61" i="40"/>
  <c r="AQ61" i="40" s="1"/>
  <c r="BE61" i="40" s="1"/>
  <c r="U61" i="40"/>
  <c r="CT60" i="40"/>
  <c r="CS60" i="40"/>
  <c r="CR60" i="40"/>
  <c r="CQ60" i="40"/>
  <c r="CP60" i="40"/>
  <c r="CO60" i="40"/>
  <c r="CN60" i="40"/>
  <c r="CM60" i="40"/>
  <c r="CL60" i="40"/>
  <c r="CK60" i="40"/>
  <c r="CJ60" i="40"/>
  <c r="CI60" i="40"/>
  <c r="CH60" i="40"/>
  <c r="CG60" i="40"/>
  <c r="BT60" i="40"/>
  <c r="BS60" i="40" s="1"/>
  <c r="BR60" i="40"/>
  <c r="BQ60" i="40"/>
  <c r="BP60" i="40"/>
  <c r="BO60" i="40"/>
  <c r="BN60" i="40"/>
  <c r="BN187" i="40" s="1"/>
  <c r="BM60" i="40"/>
  <c r="BM187" i="40" s="1"/>
  <c r="BL60" i="40"/>
  <c r="BK60" i="40"/>
  <c r="BJ60" i="40"/>
  <c r="BI60" i="40"/>
  <c r="BH60" i="40"/>
  <c r="BG60" i="40"/>
  <c r="BE60" i="40"/>
  <c r="AR60" i="40"/>
  <c r="AQ60" i="40" s="1"/>
  <c r="AI60" i="40"/>
  <c r="AI187" i="40" s="1"/>
  <c r="U60" i="40"/>
  <c r="S60" i="40"/>
  <c r="CT59" i="40"/>
  <c r="CS59" i="40"/>
  <c r="CR59" i="40"/>
  <c r="CQ59" i="40"/>
  <c r="CP59" i="40"/>
  <c r="CO59" i="40"/>
  <c r="CN59" i="40"/>
  <c r="CM59" i="40"/>
  <c r="CL59" i="40"/>
  <c r="CK59" i="40"/>
  <c r="CJ59" i="40"/>
  <c r="CI59" i="40"/>
  <c r="CH59" i="40" s="1"/>
  <c r="BT59" i="40"/>
  <c r="BS59" i="40"/>
  <c r="CG59" i="40" s="1"/>
  <c r="BR59" i="40"/>
  <c r="BQ59" i="40"/>
  <c r="BP59" i="40"/>
  <c r="BO59" i="40"/>
  <c r="BN59" i="40"/>
  <c r="BM59" i="40"/>
  <c r="BL59" i="40"/>
  <c r="BK59" i="40"/>
  <c r="BJ59" i="40"/>
  <c r="BI59" i="40"/>
  <c r="BH59" i="40"/>
  <c r="BG59" i="40"/>
  <c r="AR59" i="40"/>
  <c r="AQ59" i="40"/>
  <c r="BE59" i="40" s="1"/>
  <c r="U59" i="40"/>
  <c r="CT58" i="40"/>
  <c r="CS58" i="40"/>
  <c r="CR58" i="40"/>
  <c r="CQ58" i="40"/>
  <c r="CP58" i="40"/>
  <c r="CO58" i="40"/>
  <c r="CN58" i="40"/>
  <c r="CM58" i="40"/>
  <c r="CL58" i="40"/>
  <c r="CK58" i="40"/>
  <c r="CJ58" i="40"/>
  <c r="CI58" i="40"/>
  <c r="BT58" i="40"/>
  <c r="BS58" i="40" s="1"/>
  <c r="CG58" i="40" s="1"/>
  <c r="BR58" i="40"/>
  <c r="BQ58" i="40"/>
  <c r="BP58" i="40"/>
  <c r="BO58" i="40"/>
  <c r="BM58" i="40"/>
  <c r="BL58" i="40"/>
  <c r="BK58" i="40"/>
  <c r="BJ58" i="40"/>
  <c r="BI58" i="40"/>
  <c r="BH58" i="40"/>
  <c r="BG58" i="40"/>
  <c r="BN58" i="40" s="1"/>
  <c r="U58" i="40"/>
  <c r="CT57" i="40"/>
  <c r="CS57" i="40"/>
  <c r="CR57" i="40"/>
  <c r="CQ57" i="40"/>
  <c r="CP57" i="40"/>
  <c r="CO57" i="40"/>
  <c r="CH57" i="40" s="1"/>
  <c r="CN57" i="40"/>
  <c r="CM57" i="40"/>
  <c r="CL57" i="40"/>
  <c r="CK57" i="40"/>
  <c r="CJ57" i="40"/>
  <c r="CI57" i="40"/>
  <c r="CG57" i="40"/>
  <c r="BT57" i="40"/>
  <c r="BS57" i="40" s="1"/>
  <c r="BR57" i="40"/>
  <c r="BQ57" i="40"/>
  <c r="BP57" i="40"/>
  <c r="BO57" i="40"/>
  <c r="BN57" i="40"/>
  <c r="BM57" i="40"/>
  <c r="BL57" i="40"/>
  <c r="BK57" i="40"/>
  <c r="BJ57" i="40"/>
  <c r="BI57" i="40"/>
  <c r="BH57" i="40"/>
  <c r="BF57" i="40" s="1"/>
  <c r="BG57" i="40"/>
  <c r="BE57" i="40"/>
  <c r="AR57" i="40"/>
  <c r="AQ57" i="40" s="1"/>
  <c r="U57" i="40"/>
  <c r="CT56" i="40"/>
  <c r="CS56" i="40"/>
  <c r="CR56" i="40"/>
  <c r="CQ56" i="40"/>
  <c r="CP56" i="40"/>
  <c r="CO56" i="40"/>
  <c r="CH56" i="40" s="1"/>
  <c r="CN56" i="40"/>
  <c r="CM56" i="40"/>
  <c r="CL56" i="40"/>
  <c r="CK56" i="40"/>
  <c r="CJ56" i="40"/>
  <c r="CI56" i="40"/>
  <c r="CG56" i="40"/>
  <c r="BT56" i="40"/>
  <c r="BS56" i="40"/>
  <c r="BR56" i="40"/>
  <c r="BQ56" i="40"/>
  <c r="BP56" i="40"/>
  <c r="BO56" i="40"/>
  <c r="BN56" i="40"/>
  <c r="BM56" i="40"/>
  <c r="BF56" i="40" s="1"/>
  <c r="BL56" i="40"/>
  <c r="BK56" i="40"/>
  <c r="BJ56" i="40"/>
  <c r="BI56" i="40"/>
  <c r="BH56" i="40"/>
  <c r="BG56" i="40"/>
  <c r="BE56" i="40"/>
  <c r="AR56" i="40"/>
  <c r="AQ56" i="40"/>
  <c r="U56" i="40"/>
  <c r="CT55" i="40"/>
  <c r="CS55" i="40"/>
  <c r="CR55" i="40"/>
  <c r="CQ55" i="40"/>
  <c r="CP55" i="40"/>
  <c r="CO55" i="40"/>
  <c r="CN55" i="40"/>
  <c r="CM55" i="40"/>
  <c r="CL55" i="40"/>
  <c r="CK55" i="40"/>
  <c r="CJ55" i="40"/>
  <c r="CI55" i="40"/>
  <c r="CH55" i="40"/>
  <c r="BT55" i="40"/>
  <c r="BS55" i="40" s="1"/>
  <c r="CG55" i="40" s="1"/>
  <c r="BR55" i="40"/>
  <c r="BQ55" i="40"/>
  <c r="BP55" i="40"/>
  <c r="BO55" i="40"/>
  <c r="BN55" i="40"/>
  <c r="BM55" i="40"/>
  <c r="BL55" i="40"/>
  <c r="BK55" i="40"/>
  <c r="BJ55" i="40"/>
  <c r="BI55" i="40"/>
  <c r="BH55" i="40"/>
  <c r="BG55" i="40"/>
  <c r="BF55" i="40" s="1"/>
  <c r="AR55" i="40"/>
  <c r="U55" i="40"/>
  <c r="CT54" i="40"/>
  <c r="CS54" i="40"/>
  <c r="CR54" i="40"/>
  <c r="CQ54" i="40"/>
  <c r="CP54" i="40"/>
  <c r="CO54" i="40"/>
  <c r="CN54" i="40"/>
  <c r="CM54" i="40"/>
  <c r="CL54" i="40"/>
  <c r="CK54" i="40"/>
  <c r="CJ54" i="40"/>
  <c r="CI54" i="40"/>
  <c r="BT54" i="40"/>
  <c r="BR54" i="40"/>
  <c r="BQ54" i="40"/>
  <c r="BP54" i="40"/>
  <c r="BO54" i="40"/>
  <c r="BN54" i="40"/>
  <c r="BM54" i="40"/>
  <c r="BL54" i="40"/>
  <c r="BK54" i="40"/>
  <c r="BJ54" i="40"/>
  <c r="BI54" i="40"/>
  <c r="BH54" i="40"/>
  <c r="BG54" i="40" s="1"/>
  <c r="U54" i="40"/>
  <c r="BS54" i="40" s="1"/>
  <c r="CG54" i="40" s="1"/>
  <c r="CT53" i="40"/>
  <c r="CS53" i="40"/>
  <c r="CR53" i="40"/>
  <c r="CQ53" i="40"/>
  <c r="CP53" i="40"/>
  <c r="CO53" i="40"/>
  <c r="CN53" i="40"/>
  <c r="CM53" i="40"/>
  <c r="CL53" i="40"/>
  <c r="CK53" i="40"/>
  <c r="CJ53" i="40"/>
  <c r="CI53" i="40"/>
  <c r="BT53" i="40"/>
  <c r="BS53" i="40"/>
  <c r="CG53" i="40" s="1"/>
  <c r="BR53" i="40"/>
  <c r="BQ53" i="40"/>
  <c r="BP53" i="40"/>
  <c r="BO53" i="40"/>
  <c r="BN53" i="40"/>
  <c r="BM53" i="40"/>
  <c r="BL53" i="40"/>
  <c r="BK53" i="40"/>
  <c r="BJ53" i="40"/>
  <c r="BI53" i="40"/>
  <c r="BH53" i="40"/>
  <c r="BG53" i="40"/>
  <c r="AR53" i="40"/>
  <c r="AQ53" i="40"/>
  <c r="BE53" i="40" s="1"/>
  <c r="U53" i="40"/>
  <c r="CT52" i="40"/>
  <c r="CS52" i="40"/>
  <c r="CR52" i="40"/>
  <c r="CQ52" i="40"/>
  <c r="CP52" i="40"/>
  <c r="CO52" i="40"/>
  <c r="CN52" i="40"/>
  <c r="CM52" i="40"/>
  <c r="CL52" i="40"/>
  <c r="CK52" i="40"/>
  <c r="CJ52" i="40"/>
  <c r="CI52" i="40" s="1"/>
  <c r="BR52" i="40"/>
  <c r="BQ52" i="40"/>
  <c r="BP52" i="40"/>
  <c r="BO52" i="40"/>
  <c r="BN52" i="40"/>
  <c r="BM52" i="40"/>
  <c r="BL52" i="40"/>
  <c r="BK52" i="40"/>
  <c r="BJ52" i="40"/>
  <c r="BI52" i="40"/>
  <c r="BH52" i="40"/>
  <c r="AR52" i="40" s="1"/>
  <c r="U52" i="40"/>
  <c r="CT51" i="40"/>
  <c r="CS51" i="40"/>
  <c r="CR51" i="40"/>
  <c r="CQ51" i="40"/>
  <c r="CP51" i="40"/>
  <c r="CO51" i="40"/>
  <c r="CN51" i="40"/>
  <c r="CM51" i="40"/>
  <c r="CL51" i="40"/>
  <c r="CK51" i="40"/>
  <c r="CJ51" i="40"/>
  <c r="BR51" i="40"/>
  <c r="BQ51" i="40"/>
  <c r="BP51" i="40"/>
  <c r="BO51" i="40"/>
  <c r="BN51" i="40"/>
  <c r="BM51" i="40"/>
  <c r="BL51" i="40"/>
  <c r="BK51" i="40"/>
  <c r="BJ51" i="40"/>
  <c r="BI51" i="40"/>
  <c r="BH51" i="40"/>
  <c r="BG51" i="40" s="1"/>
  <c r="U51" i="40"/>
  <c r="CT50" i="40"/>
  <c r="CS50" i="40"/>
  <c r="CR50" i="40"/>
  <c r="CQ50" i="40"/>
  <c r="CP50" i="40"/>
  <c r="CO50" i="40"/>
  <c r="CN50" i="40"/>
  <c r="CM50" i="40"/>
  <c r="CL50" i="40"/>
  <c r="CH50" i="40" s="1"/>
  <c r="CK50" i="40"/>
  <c r="CJ50" i="40"/>
  <c r="CI50" i="40"/>
  <c r="BT50" i="40"/>
  <c r="BS50" i="40" s="1"/>
  <c r="CG50" i="40" s="1"/>
  <c r="BR50" i="40"/>
  <c r="BQ50" i="40"/>
  <c r="BP50" i="40"/>
  <c r="BO50" i="40"/>
  <c r="BN50" i="40"/>
  <c r="BM50" i="40"/>
  <c r="BL50" i="40"/>
  <c r="BK50" i="40"/>
  <c r="BJ50" i="40"/>
  <c r="BI50" i="40"/>
  <c r="BH50" i="40"/>
  <c r="AR50" i="40" s="1"/>
  <c r="AQ50" i="40" s="1"/>
  <c r="BE50" i="40" s="1"/>
  <c r="AO50" i="40"/>
  <c r="AI50" i="40"/>
  <c r="U50" i="40"/>
  <c r="S50" i="40"/>
  <c r="CT49" i="40"/>
  <c r="CS49" i="40"/>
  <c r="CR49" i="40"/>
  <c r="CQ49" i="40"/>
  <c r="CP49" i="40"/>
  <c r="CO49" i="40"/>
  <c r="CN49" i="40"/>
  <c r="CM49" i="40"/>
  <c r="CL49" i="40"/>
  <c r="CK49" i="40"/>
  <c r="CJ49" i="40"/>
  <c r="CI49" i="40"/>
  <c r="CH49" i="40" s="1"/>
  <c r="BT49" i="40"/>
  <c r="BS49" i="40"/>
  <c r="CG49" i="40" s="1"/>
  <c r="BR49" i="40"/>
  <c r="BQ49" i="40"/>
  <c r="BP49" i="40"/>
  <c r="BO49" i="40"/>
  <c r="BM49" i="40"/>
  <c r="BL49" i="40"/>
  <c r="BK49" i="40"/>
  <c r="BJ49" i="40"/>
  <c r="BI49" i="40"/>
  <c r="BH49" i="40"/>
  <c r="BG49" i="40"/>
  <c r="AR49" i="40" s="1"/>
  <c r="AI49" i="40"/>
  <c r="U49" i="40"/>
  <c r="S49" i="40"/>
  <c r="CT48" i="40"/>
  <c r="CS48" i="40"/>
  <c r="CR48" i="40"/>
  <c r="CQ48" i="40"/>
  <c r="CP48" i="40"/>
  <c r="CO48" i="40"/>
  <c r="CN48" i="40"/>
  <c r="CM48" i="40"/>
  <c r="CL48" i="40"/>
  <c r="CK48" i="40"/>
  <c r="CJ48" i="40"/>
  <c r="CI48" i="40"/>
  <c r="BT48" i="40"/>
  <c r="BS48" i="40"/>
  <c r="CG48" i="40" s="1"/>
  <c r="BR48" i="40"/>
  <c r="BQ48" i="40"/>
  <c r="BP48" i="40"/>
  <c r="BO48" i="40"/>
  <c r="BN48" i="40"/>
  <c r="BM48" i="40"/>
  <c r="BL48" i="40"/>
  <c r="BK48" i="40"/>
  <c r="BJ48" i="40"/>
  <c r="BI48" i="40"/>
  <c r="BH48" i="40"/>
  <c r="BG48" i="40"/>
  <c r="AR48" i="40"/>
  <c r="AQ48" i="40"/>
  <c r="BE48" i="40" s="1"/>
  <c r="U48" i="40"/>
  <c r="CT47" i="40"/>
  <c r="CS47" i="40"/>
  <c r="CR47" i="40"/>
  <c r="CQ47" i="40"/>
  <c r="CO47" i="40"/>
  <c r="CN47" i="40"/>
  <c r="CM47" i="40"/>
  <c r="CL47" i="40"/>
  <c r="CK47" i="40"/>
  <c r="CJ47" i="40"/>
  <c r="CI47" i="40"/>
  <c r="BT47" i="40" s="1"/>
  <c r="BS47" i="40" s="1"/>
  <c r="CG47" i="40" s="1"/>
  <c r="BR47" i="40"/>
  <c r="BQ47" i="40"/>
  <c r="BP47" i="40"/>
  <c r="BO47" i="40"/>
  <c r="BM47" i="40"/>
  <c r="BL47" i="40"/>
  <c r="BK47" i="40"/>
  <c r="BJ47" i="40"/>
  <c r="BI47" i="40"/>
  <c r="BH47" i="40"/>
  <c r="BG47" i="40"/>
  <c r="AI47" i="40"/>
  <c r="U47" i="40"/>
  <c r="S47" i="40"/>
  <c r="CT46" i="40"/>
  <c r="CS46" i="40"/>
  <c r="CR46" i="40"/>
  <c r="CQ46" i="40"/>
  <c r="CP46" i="40"/>
  <c r="CO46" i="40"/>
  <c r="CN46" i="40"/>
  <c r="CM46" i="40"/>
  <c r="CL46" i="40"/>
  <c r="CK46" i="40"/>
  <c r="CJ46" i="40"/>
  <c r="CI46" i="40"/>
  <c r="BT46" i="40"/>
  <c r="BR46" i="40"/>
  <c r="BQ46" i="40"/>
  <c r="BP46" i="40"/>
  <c r="BO46" i="40"/>
  <c r="BN46" i="40"/>
  <c r="BM46" i="40"/>
  <c r="BL46" i="40"/>
  <c r="BK46" i="40"/>
  <c r="BJ46" i="40"/>
  <c r="BI46" i="40"/>
  <c r="BH46" i="40"/>
  <c r="BG46" i="40"/>
  <c r="AR46" i="40"/>
  <c r="U46" i="40"/>
  <c r="AQ46" i="40" s="1"/>
  <c r="BE46" i="40" s="1"/>
  <c r="CT45" i="40"/>
  <c r="CS45" i="40"/>
  <c r="CR45" i="40"/>
  <c r="CQ45" i="40"/>
  <c r="CP45" i="40"/>
  <c r="CO45" i="40"/>
  <c r="CN45" i="40"/>
  <c r="CM45" i="40"/>
  <c r="CL45" i="40"/>
  <c r="CH45" i="40" s="1"/>
  <c r="CK45" i="40"/>
  <c r="CJ45" i="40"/>
  <c r="CI45" i="40"/>
  <c r="BT45" i="40"/>
  <c r="BS45" i="40" s="1"/>
  <c r="CG45" i="40" s="1"/>
  <c r="BR45" i="40"/>
  <c r="BQ45" i="40"/>
  <c r="BP45" i="40"/>
  <c r="BO45" i="40"/>
  <c r="BN45" i="40"/>
  <c r="BM45" i="40"/>
  <c r="BL45" i="40"/>
  <c r="BK45" i="40"/>
  <c r="BJ45" i="40"/>
  <c r="BF45" i="40" s="1"/>
  <c r="BI45" i="40"/>
  <c r="BH45" i="40"/>
  <c r="BG45" i="40"/>
  <c r="AR45" i="40"/>
  <c r="AQ45" i="40"/>
  <c r="BE45" i="40" s="1"/>
  <c r="U45" i="40"/>
  <c r="CT44" i="40"/>
  <c r="CS44" i="40"/>
  <c r="CR44" i="40"/>
  <c r="CQ44" i="40"/>
  <c r="CP44" i="40"/>
  <c r="CO44" i="40"/>
  <c r="CN44" i="40"/>
  <c r="CM44" i="40"/>
  <c r="CL44" i="40"/>
  <c r="CK44" i="40"/>
  <c r="CJ44" i="40"/>
  <c r="CI44" i="40"/>
  <c r="BT44" i="40"/>
  <c r="BS44" i="40"/>
  <c r="CG44" i="40" s="1"/>
  <c r="BR44" i="40"/>
  <c r="BQ44" i="40"/>
  <c r="BP44" i="40"/>
  <c r="BO44" i="40"/>
  <c r="BN44" i="40"/>
  <c r="BM44" i="40"/>
  <c r="BL44" i="40"/>
  <c r="BK44" i="40"/>
  <c r="BJ44" i="40"/>
  <c r="BI44" i="40"/>
  <c r="BH44" i="40"/>
  <c r="BG44" i="40"/>
  <c r="BF44" i="40" s="1"/>
  <c r="AR44" i="40"/>
  <c r="AQ44" i="40"/>
  <c r="BE44" i="40" s="1"/>
  <c r="AI44" i="40"/>
  <c r="U44" i="40"/>
  <c r="S44" i="40" s="1"/>
  <c r="CT43" i="40"/>
  <c r="CS43" i="40"/>
  <c r="CR43" i="40"/>
  <c r="CQ43" i="40"/>
  <c r="CP43" i="40"/>
  <c r="CO43" i="40"/>
  <c r="CN43" i="40"/>
  <c r="CM43" i="40"/>
  <c r="CL43" i="40"/>
  <c r="CK43" i="40"/>
  <c r="CJ43" i="40"/>
  <c r="CI43" i="40"/>
  <c r="BT43" i="40"/>
  <c r="BR43" i="40"/>
  <c r="BQ43" i="40"/>
  <c r="BP43" i="40"/>
  <c r="BO43" i="40"/>
  <c r="BM43" i="40"/>
  <c r="BL43" i="40"/>
  <c r="BK43" i="40"/>
  <c r="BJ43" i="40"/>
  <c r="BI43" i="40"/>
  <c r="BH43" i="40"/>
  <c r="BG43" i="40"/>
  <c r="BN43" i="40" s="1"/>
  <c r="U43" i="40"/>
  <c r="CT42" i="40"/>
  <c r="CS42" i="40"/>
  <c r="CR42" i="40"/>
  <c r="CQ42" i="40"/>
  <c r="CO42" i="40"/>
  <c r="CN42" i="40"/>
  <c r="CM42" i="40"/>
  <c r="CL42" i="40"/>
  <c r="CK42" i="40"/>
  <c r="CJ42" i="40"/>
  <c r="CI42" i="40"/>
  <c r="CP42" i="40" s="1"/>
  <c r="BR42" i="40"/>
  <c r="BQ42" i="40"/>
  <c r="BP42" i="40"/>
  <c r="BO42" i="40"/>
  <c r="BM42" i="40"/>
  <c r="BL42" i="40"/>
  <c r="BK42" i="40"/>
  <c r="BJ42" i="40"/>
  <c r="BI42" i="40"/>
  <c r="BH42" i="40"/>
  <c r="BG42" i="40"/>
  <c r="U42" i="40"/>
  <c r="CT41" i="40"/>
  <c r="CS41" i="40"/>
  <c r="CR41" i="40"/>
  <c r="CQ41" i="40"/>
  <c r="CP41" i="40"/>
  <c r="CO41" i="40"/>
  <c r="CN41" i="40"/>
  <c r="CM41" i="40"/>
  <c r="CL41" i="40"/>
  <c r="CK41" i="40"/>
  <c r="CJ41" i="40"/>
  <c r="CI41" i="40"/>
  <c r="CG41" i="40"/>
  <c r="BT41" i="40"/>
  <c r="BS41" i="40"/>
  <c r="BR41" i="40"/>
  <c r="BQ41" i="40"/>
  <c r="BP41" i="40"/>
  <c r="BO41" i="40"/>
  <c r="BM41" i="40"/>
  <c r="BL41" i="40"/>
  <c r="BK41" i="40"/>
  <c r="BJ41" i="40"/>
  <c r="BI41" i="40"/>
  <c r="BH41" i="40"/>
  <c r="BG41" i="40"/>
  <c r="AR41" i="40" s="1"/>
  <c r="U41" i="40"/>
  <c r="CT40" i="40"/>
  <c r="CS40" i="40"/>
  <c r="CR40" i="40"/>
  <c r="CQ40" i="40"/>
  <c r="CO40" i="40"/>
  <c r="CN40" i="40"/>
  <c r="CM40" i="40"/>
  <c r="CL40" i="40"/>
  <c r="CK40" i="40"/>
  <c r="CJ40" i="40"/>
  <c r="CI40" i="40"/>
  <c r="BR40" i="40"/>
  <c r="BQ40" i="40"/>
  <c r="BP40" i="40"/>
  <c r="BO40" i="40"/>
  <c r="BM40" i="40"/>
  <c r="BL40" i="40"/>
  <c r="BK40" i="40"/>
  <c r="BJ40" i="40"/>
  <c r="BI40" i="40"/>
  <c r="BH40" i="40"/>
  <c r="BG40" i="40"/>
  <c r="BN40" i="40" s="1"/>
  <c r="BF40" i="40" s="1"/>
  <c r="U40" i="40"/>
  <c r="CT39" i="40"/>
  <c r="CS39" i="40"/>
  <c r="CR39" i="40"/>
  <c r="CQ39" i="40"/>
  <c r="CP39" i="40"/>
  <c r="CO39" i="40"/>
  <c r="CN39" i="40"/>
  <c r="CM39" i="40"/>
  <c r="CL39" i="40"/>
  <c r="CK39" i="40"/>
  <c r="CJ39" i="40"/>
  <c r="CI39" i="40"/>
  <c r="BT39" i="40"/>
  <c r="BS39" i="40" s="1"/>
  <c r="CG39" i="40" s="1"/>
  <c r="BR39" i="40"/>
  <c r="BQ39" i="40"/>
  <c r="BP39" i="40"/>
  <c r="BO39" i="40"/>
  <c r="BM39" i="40"/>
  <c r="BL39" i="40"/>
  <c r="BK39" i="40"/>
  <c r="BJ39" i="40"/>
  <c r="BI39" i="40"/>
  <c r="BH39" i="40"/>
  <c r="BG39" i="40"/>
  <c r="BN39" i="40" s="1"/>
  <c r="U39" i="40"/>
  <c r="CT38" i="40"/>
  <c r="CS38" i="40"/>
  <c r="CR38" i="40"/>
  <c r="CQ38" i="40"/>
  <c r="CP38" i="40"/>
  <c r="CO38" i="40"/>
  <c r="CN38" i="40"/>
  <c r="CM38" i="40"/>
  <c r="CL38" i="40"/>
  <c r="CK38" i="40"/>
  <c r="CJ38" i="40"/>
  <c r="CI38" i="40"/>
  <c r="BT38" i="40"/>
  <c r="BS38" i="40" s="1"/>
  <c r="CG38" i="40" s="1"/>
  <c r="BR38" i="40"/>
  <c r="BQ38" i="40"/>
  <c r="BP38" i="40"/>
  <c r="BO38" i="40"/>
  <c r="BN38" i="40"/>
  <c r="BM38" i="40"/>
  <c r="BL38" i="40"/>
  <c r="BK38" i="40"/>
  <c r="BJ38" i="40"/>
  <c r="BI38" i="40"/>
  <c r="BH38" i="40"/>
  <c r="BG38" i="40" s="1"/>
  <c r="U38" i="40"/>
  <c r="CT37" i="40"/>
  <c r="CS37" i="40"/>
  <c r="CR37" i="40"/>
  <c r="CQ37" i="40"/>
  <c r="CP37" i="40"/>
  <c r="CO37" i="40"/>
  <c r="CN37" i="40"/>
  <c r="CM37" i="40"/>
  <c r="CL37" i="40"/>
  <c r="CK37" i="40"/>
  <c r="CJ37" i="40"/>
  <c r="CH37" i="40" s="1"/>
  <c r="CI37" i="40"/>
  <c r="BT37" i="40"/>
  <c r="BS37" i="40" s="1"/>
  <c r="CG37" i="40" s="1"/>
  <c r="BR37" i="40"/>
  <c r="BQ37" i="40"/>
  <c r="BP37" i="40"/>
  <c r="BO37" i="40"/>
  <c r="BN37" i="40"/>
  <c r="BM37" i="40"/>
  <c r="BL37" i="40"/>
  <c r="BK37" i="40"/>
  <c r="BJ37" i="40"/>
  <c r="BI37" i="40"/>
  <c r="BH37" i="40"/>
  <c r="BG37" i="40"/>
  <c r="BF37" i="40"/>
  <c r="BE37" i="40"/>
  <c r="AR37" i="40"/>
  <c r="AQ37" i="40" s="1"/>
  <c r="U37" i="40"/>
  <c r="CT36" i="40"/>
  <c r="CS36" i="40"/>
  <c r="CR36" i="40"/>
  <c r="CQ36" i="40"/>
  <c r="CP36" i="40"/>
  <c r="CO36" i="40"/>
  <c r="CN36" i="40"/>
  <c r="CM36" i="40"/>
  <c r="CL36" i="40"/>
  <c r="CK36" i="40"/>
  <c r="CJ36" i="40"/>
  <c r="CI36" i="40"/>
  <c r="CH36" i="40"/>
  <c r="BT36" i="40"/>
  <c r="BR36" i="40"/>
  <c r="BQ36" i="40"/>
  <c r="BP36" i="40"/>
  <c r="BO36" i="40"/>
  <c r="BN36" i="40"/>
  <c r="BM36" i="40"/>
  <c r="BL36" i="40"/>
  <c r="BK36" i="40"/>
  <c r="BJ36" i="40"/>
  <c r="BI36" i="40"/>
  <c r="BH36" i="40"/>
  <c r="AR36" i="40" s="1"/>
  <c r="U36" i="40"/>
  <c r="BS36" i="40" s="1"/>
  <c r="CG36" i="40" s="1"/>
  <c r="CT35" i="40"/>
  <c r="CT86" i="40" s="1"/>
  <c r="CS35" i="40"/>
  <c r="CR35" i="40"/>
  <c r="CQ35" i="40"/>
  <c r="CP35" i="40"/>
  <c r="CO35" i="40"/>
  <c r="CN35" i="40"/>
  <c r="CM35" i="40"/>
  <c r="CL35" i="40"/>
  <c r="CK35" i="40"/>
  <c r="CJ35" i="40"/>
  <c r="BR35" i="40"/>
  <c r="BQ35" i="40"/>
  <c r="BP35" i="40"/>
  <c r="BO35" i="40"/>
  <c r="BN35" i="40"/>
  <c r="BM35" i="40"/>
  <c r="BL35" i="40"/>
  <c r="BK35" i="40"/>
  <c r="BJ35" i="40"/>
  <c r="BI35" i="40"/>
  <c r="BH35" i="40"/>
  <c r="AR35" i="40" s="1"/>
  <c r="AQ35" i="40" s="1"/>
  <c r="BE35" i="40" s="1"/>
  <c r="U35" i="40"/>
  <c r="CT34" i="40"/>
  <c r="CS34" i="40"/>
  <c r="CS86" i="40" s="1"/>
  <c r="CR34" i="40"/>
  <c r="CQ34" i="40"/>
  <c r="CP34" i="40"/>
  <c r="CO34" i="40"/>
  <c r="CN34" i="40"/>
  <c r="CM34" i="40"/>
  <c r="CL34" i="40"/>
  <c r="CK34" i="40"/>
  <c r="CJ34" i="40"/>
  <c r="CI34" i="40"/>
  <c r="BT34" i="40"/>
  <c r="BR34" i="40"/>
  <c r="BQ34" i="40"/>
  <c r="BP34" i="40"/>
  <c r="BO34" i="40"/>
  <c r="BN34" i="40"/>
  <c r="BM34" i="40"/>
  <c r="BL34" i="40"/>
  <c r="BK34" i="40"/>
  <c r="BJ34" i="40"/>
  <c r="BI34" i="40"/>
  <c r="BH34" i="40"/>
  <c r="BG34" i="40"/>
  <c r="AR34" i="40"/>
  <c r="AQ34" i="40" s="1"/>
  <c r="BE34" i="40" s="1"/>
  <c r="U34" i="40"/>
  <c r="CT33" i="40"/>
  <c r="CS33" i="40"/>
  <c r="CR33" i="40"/>
  <c r="CQ33" i="40"/>
  <c r="CP33" i="40"/>
  <c r="CO33" i="40"/>
  <c r="CN33" i="40"/>
  <c r="CM33" i="40"/>
  <c r="CL33" i="40"/>
  <c r="CK33" i="40"/>
  <c r="CJ33" i="40"/>
  <c r="CI33" i="40"/>
  <c r="BT33" i="40"/>
  <c r="BS33" i="40"/>
  <c r="CG33" i="40" s="1"/>
  <c r="BR33" i="40"/>
  <c r="BQ33" i="40"/>
  <c r="BP33" i="40"/>
  <c r="BO33" i="40"/>
  <c r="BN33" i="40"/>
  <c r="BM33" i="40"/>
  <c r="BL33" i="40"/>
  <c r="BK33" i="40"/>
  <c r="BJ33" i="40"/>
  <c r="BI33" i="40"/>
  <c r="BH33" i="40"/>
  <c r="BG33" i="40"/>
  <c r="AR33" i="40"/>
  <c r="U33" i="40"/>
  <c r="AQ33" i="40" s="1"/>
  <c r="BE33" i="40" s="1"/>
  <c r="CT32" i="40"/>
  <c r="CS32" i="40"/>
  <c r="CR32" i="40"/>
  <c r="CQ32" i="40"/>
  <c r="CP32" i="40"/>
  <c r="CO32" i="40"/>
  <c r="CN32" i="40"/>
  <c r="CM32" i="40"/>
  <c r="CL32" i="40"/>
  <c r="CH32" i="40" s="1"/>
  <c r="CK32" i="40"/>
  <c r="CJ32" i="40"/>
  <c r="CI32" i="40"/>
  <c r="BT32" i="40"/>
  <c r="BR32" i="40"/>
  <c r="BQ32" i="40"/>
  <c r="BP32" i="40"/>
  <c r="BO32" i="40"/>
  <c r="BN32" i="40"/>
  <c r="BM32" i="40"/>
  <c r="BL32" i="40"/>
  <c r="BK32" i="40"/>
  <c r="BJ32" i="40"/>
  <c r="BF32" i="40" s="1"/>
  <c r="BI32" i="40"/>
  <c r="BH32" i="40"/>
  <c r="BG32" i="40"/>
  <c r="AR32" i="40"/>
  <c r="AQ32" i="40" s="1"/>
  <c r="BE32" i="40" s="1"/>
  <c r="U32" i="40"/>
  <c r="BS32" i="40" s="1"/>
  <c r="CG32" i="40" s="1"/>
  <c r="CT31" i="40"/>
  <c r="CS31" i="40"/>
  <c r="CR31" i="40"/>
  <c r="CQ31" i="40"/>
  <c r="CP31" i="40"/>
  <c r="CO31" i="40"/>
  <c r="CN31" i="40"/>
  <c r="CM31" i="40"/>
  <c r="CL31" i="40"/>
  <c r="CK31" i="40"/>
  <c r="CJ31" i="40"/>
  <c r="CI31" i="40" s="1"/>
  <c r="BR31" i="40"/>
  <c r="BQ31" i="40"/>
  <c r="BP31" i="40"/>
  <c r="BO31" i="40"/>
  <c r="BN31" i="40"/>
  <c r="BM31" i="40"/>
  <c r="BL31" i="40"/>
  <c r="BK31" i="40"/>
  <c r="BJ31" i="40"/>
  <c r="BI31" i="40"/>
  <c r="BH31" i="40"/>
  <c r="BG31" i="40" s="1"/>
  <c r="BF31" i="40" s="1"/>
  <c r="U31" i="40"/>
  <c r="CT30" i="40"/>
  <c r="CS30" i="40"/>
  <c r="CR30" i="40"/>
  <c r="CQ30" i="40"/>
  <c r="CP30" i="40"/>
  <c r="CO30" i="40"/>
  <c r="CN30" i="40"/>
  <c r="CM30" i="40"/>
  <c r="CL30" i="40"/>
  <c r="CH30" i="40" s="1"/>
  <c r="CK30" i="40"/>
  <c r="CJ30" i="40"/>
  <c r="CI30" i="40"/>
  <c r="BT30" i="40"/>
  <c r="BR30" i="40"/>
  <c r="BQ30" i="40"/>
  <c r="BP30" i="40"/>
  <c r="BO30" i="40"/>
  <c r="BN30" i="40"/>
  <c r="BM30" i="40"/>
  <c r="BL30" i="40"/>
  <c r="BK30" i="40"/>
  <c r="BF30" i="40" s="1"/>
  <c r="BJ30" i="40"/>
  <c r="BI30" i="40"/>
  <c r="BH30" i="40"/>
  <c r="BG30" i="40"/>
  <c r="AR30" i="40"/>
  <c r="U30" i="40"/>
  <c r="BS30" i="40" s="1"/>
  <c r="CG30" i="40" s="1"/>
  <c r="CT29" i="40"/>
  <c r="CS29" i="40"/>
  <c r="CR29" i="40"/>
  <c r="CQ29" i="40"/>
  <c r="CP29" i="40"/>
  <c r="CO29" i="40"/>
  <c r="CN29" i="40"/>
  <c r="CM29" i="40"/>
  <c r="CL29" i="40"/>
  <c r="CK29" i="40"/>
  <c r="CJ29" i="40"/>
  <c r="CI29" i="40"/>
  <c r="CH29" i="40" s="1"/>
  <c r="BT29" i="40"/>
  <c r="BS29" i="40"/>
  <c r="CG29" i="40" s="1"/>
  <c r="BR29" i="40"/>
  <c r="BQ29" i="40"/>
  <c r="BP29" i="40"/>
  <c r="BO29" i="40"/>
  <c r="BN29" i="40"/>
  <c r="BM29" i="40"/>
  <c r="BL29" i="40"/>
  <c r="BK29" i="40"/>
  <c r="BJ29" i="40"/>
  <c r="BI29" i="40"/>
  <c r="BH29" i="40"/>
  <c r="BG29" i="40"/>
  <c r="BF29" i="40" s="1"/>
  <c r="AR29" i="40"/>
  <c r="AQ29" i="40" s="1"/>
  <c r="BE29" i="40" s="1"/>
  <c r="U29" i="40"/>
  <c r="CT28" i="40"/>
  <c r="CS28" i="40"/>
  <c r="CR28" i="40"/>
  <c r="CQ28" i="40"/>
  <c r="CP28" i="40"/>
  <c r="CO28" i="40"/>
  <c r="CN28" i="40"/>
  <c r="CM28" i="40"/>
  <c r="CL28" i="40"/>
  <c r="CK28" i="40"/>
  <c r="CJ28" i="40"/>
  <c r="CI28" i="40" s="1"/>
  <c r="BR28" i="40"/>
  <c r="BQ28" i="40"/>
  <c r="BQ86" i="40" s="1"/>
  <c r="BP28" i="40"/>
  <c r="BO28" i="40"/>
  <c r="BN28" i="40"/>
  <c r="BM28" i="40"/>
  <c r="BL28" i="40"/>
  <c r="BK28" i="40"/>
  <c r="BJ28" i="40"/>
  <c r="BI28" i="40"/>
  <c r="BI86" i="40" s="1"/>
  <c r="BH28" i="40"/>
  <c r="U28" i="40"/>
  <c r="CT27" i="40"/>
  <c r="CS27" i="40"/>
  <c r="CR27" i="40"/>
  <c r="CQ27" i="40"/>
  <c r="CP27" i="40"/>
  <c r="CO27" i="40"/>
  <c r="CN27" i="40"/>
  <c r="CM27" i="40"/>
  <c r="CL27" i="40"/>
  <c r="CK27" i="40"/>
  <c r="CJ27" i="40"/>
  <c r="CI27" i="40"/>
  <c r="BT27" i="40"/>
  <c r="BS27" i="40" s="1"/>
  <c r="CG27" i="40" s="1"/>
  <c r="BR27" i="40"/>
  <c r="BQ27" i="40"/>
  <c r="BP27" i="40"/>
  <c r="BO27" i="40"/>
  <c r="BN27" i="40"/>
  <c r="BM27" i="40"/>
  <c r="BL27" i="40"/>
  <c r="BK27" i="40"/>
  <c r="BJ27" i="40"/>
  <c r="BI27" i="40"/>
  <c r="BH27" i="40"/>
  <c r="BG27" i="40"/>
  <c r="AR27" i="40"/>
  <c r="AQ27" i="40"/>
  <c r="BE27" i="40" s="1"/>
  <c r="U27" i="40"/>
  <c r="CT26" i="40"/>
  <c r="CS26" i="40"/>
  <c r="CR26" i="40"/>
  <c r="CQ26" i="40"/>
  <c r="CP26" i="40"/>
  <c r="CO26" i="40"/>
  <c r="CN26" i="40"/>
  <c r="CM26" i="40"/>
  <c r="CL26" i="40"/>
  <c r="CK26" i="40"/>
  <c r="CJ26" i="40"/>
  <c r="CH26" i="40" s="1"/>
  <c r="CI26" i="40"/>
  <c r="CG26" i="40"/>
  <c r="BT26" i="40"/>
  <c r="BS26" i="40" s="1"/>
  <c r="BR26" i="40"/>
  <c r="BQ26" i="40"/>
  <c r="BP26" i="40"/>
  <c r="BO26" i="40"/>
  <c r="BN26" i="40"/>
  <c r="BM26" i="40"/>
  <c r="BL26" i="40"/>
  <c r="BK26" i="40"/>
  <c r="BJ26" i="40"/>
  <c r="BI26" i="40"/>
  <c r="BH26" i="40"/>
  <c r="BF26" i="40" s="1"/>
  <c r="BG26" i="40"/>
  <c r="AR26" i="40"/>
  <c r="AQ26" i="40" s="1"/>
  <c r="BE26" i="40" s="1"/>
  <c r="U26" i="40"/>
  <c r="CT25" i="40"/>
  <c r="CS25" i="40"/>
  <c r="CR25" i="40"/>
  <c r="CQ25" i="40"/>
  <c r="CP25" i="40"/>
  <c r="CO25" i="40"/>
  <c r="CN25" i="40"/>
  <c r="CM25" i="40"/>
  <c r="CL25" i="40"/>
  <c r="CK25" i="40"/>
  <c r="CJ25" i="40"/>
  <c r="CI25" i="40"/>
  <c r="CH25" i="40" s="1"/>
  <c r="CG25" i="40"/>
  <c r="BT25" i="40"/>
  <c r="BR25" i="40"/>
  <c r="BQ25" i="40"/>
  <c r="BP25" i="40"/>
  <c r="BO25" i="40"/>
  <c r="BN25" i="40"/>
  <c r="BM25" i="40"/>
  <c r="BL25" i="40"/>
  <c r="BK25" i="40"/>
  <c r="BJ25" i="40"/>
  <c r="BI25" i="40"/>
  <c r="BH25" i="40"/>
  <c r="U25" i="40"/>
  <c r="BS25" i="40" s="1"/>
  <c r="CT24" i="40"/>
  <c r="CS24" i="40"/>
  <c r="CR24" i="40"/>
  <c r="CQ24" i="40"/>
  <c r="CP24" i="40"/>
  <c r="CO24" i="40"/>
  <c r="CN24" i="40"/>
  <c r="CM24" i="40"/>
  <c r="CL24" i="40"/>
  <c r="CK24" i="40"/>
  <c r="CJ24" i="40"/>
  <c r="BR24" i="40"/>
  <c r="BQ24" i="40"/>
  <c r="BP24" i="40"/>
  <c r="BO24" i="40"/>
  <c r="BN24" i="40"/>
  <c r="BM24" i="40"/>
  <c r="BL24" i="40"/>
  <c r="BK24" i="40"/>
  <c r="BJ24" i="40"/>
  <c r="BI24" i="40"/>
  <c r="BH24" i="40"/>
  <c r="AR24" i="40" s="1"/>
  <c r="AL24" i="40"/>
  <c r="AI24" i="40"/>
  <c r="U24" i="40"/>
  <c r="S24" i="40" s="1"/>
  <c r="CT23" i="40"/>
  <c r="CS23" i="40"/>
  <c r="CR23" i="40"/>
  <c r="CQ23" i="40"/>
  <c r="CP23" i="40"/>
  <c r="CO23" i="40"/>
  <c r="CN23" i="40"/>
  <c r="CM23" i="40"/>
  <c r="CL23" i="40"/>
  <c r="CK23" i="40"/>
  <c r="CJ23" i="40"/>
  <c r="CI23" i="40"/>
  <c r="BT23" i="40"/>
  <c r="BS23" i="40"/>
  <c r="CG23" i="40" s="1"/>
  <c r="BR23" i="40"/>
  <c r="BQ23" i="40"/>
  <c r="BP23" i="40"/>
  <c r="BP86" i="40" s="1"/>
  <c r="BO23" i="40"/>
  <c r="BO86" i="40" s="1"/>
  <c r="BN23" i="40"/>
  <c r="BM23" i="40"/>
  <c r="BL23" i="40"/>
  <c r="BK23" i="40"/>
  <c r="BJ23" i="40"/>
  <c r="BI23" i="40"/>
  <c r="BH23" i="40"/>
  <c r="AI23" i="40"/>
  <c r="AI86" i="40" s="1"/>
  <c r="U23" i="40"/>
  <c r="S23" i="40"/>
  <c r="CK21" i="40"/>
  <c r="CF21" i="40"/>
  <c r="CE21" i="40"/>
  <c r="CD21" i="40"/>
  <c r="CC21" i="40"/>
  <c r="CA21" i="40"/>
  <c r="BZ21" i="40"/>
  <c r="BY21" i="40"/>
  <c r="BX21" i="40"/>
  <c r="BW21" i="40"/>
  <c r="BV21" i="40"/>
  <c r="BM21" i="40"/>
  <c r="BI21" i="40"/>
  <c r="BD21" i="40"/>
  <c r="BC21" i="40"/>
  <c r="BB21" i="40"/>
  <c r="BB183" i="40" s="1"/>
  <c r="BB195" i="40" s="1"/>
  <c r="BA21" i="40"/>
  <c r="AY21" i="40"/>
  <c r="AX21" i="40"/>
  <c r="AW21" i="40"/>
  <c r="AV21" i="40"/>
  <c r="AU21" i="40"/>
  <c r="AT21" i="40"/>
  <c r="AP21" i="40"/>
  <c r="AO21" i="40"/>
  <c r="AN21" i="40"/>
  <c r="AM21" i="40"/>
  <c r="AL21" i="40"/>
  <c r="AK21" i="40"/>
  <c r="AJ21" i="40"/>
  <c r="AG21" i="40"/>
  <c r="AF21" i="40"/>
  <c r="AE21" i="40"/>
  <c r="AD21" i="40"/>
  <c r="AC21" i="40"/>
  <c r="AB21" i="40"/>
  <c r="AA21" i="40"/>
  <c r="Z21" i="40"/>
  <c r="Y21" i="40"/>
  <c r="X21" i="40"/>
  <c r="W21" i="40"/>
  <c r="V21" i="40"/>
  <c r="I21" i="40"/>
  <c r="H21" i="40"/>
  <c r="G21" i="40"/>
  <c r="CT20" i="40"/>
  <c r="CS20" i="40"/>
  <c r="CR20" i="40"/>
  <c r="CQ20" i="40"/>
  <c r="CO20" i="40"/>
  <c r="CN20" i="40"/>
  <c r="CM20" i="40"/>
  <c r="CL20" i="40"/>
  <c r="CK20" i="40"/>
  <c r="CJ20" i="40"/>
  <c r="CI20" i="40"/>
  <c r="CB21" i="40" s="1"/>
  <c r="BR20" i="40"/>
  <c r="BQ20" i="40"/>
  <c r="BP20" i="40"/>
  <c r="BO20" i="40"/>
  <c r="BM20" i="40"/>
  <c r="BL20" i="40"/>
  <c r="BK20" i="40"/>
  <c r="BJ20" i="40"/>
  <c r="BI20" i="40"/>
  <c r="BH20" i="40"/>
  <c r="BG20" i="40"/>
  <c r="AR20" i="40" s="1"/>
  <c r="AP20" i="40"/>
  <c r="AO20" i="40"/>
  <c r="AN20" i="40"/>
  <c r="AM20" i="40"/>
  <c r="AL20" i="40"/>
  <c r="AK20" i="40"/>
  <c r="AJ20" i="40"/>
  <c r="AI20" i="40" s="1"/>
  <c r="U20" i="40"/>
  <c r="S20" i="40"/>
  <c r="CT19" i="40"/>
  <c r="CS19" i="40"/>
  <c r="CR19" i="40"/>
  <c r="CQ19" i="40"/>
  <c r="CP19" i="40"/>
  <c r="CO19" i="40"/>
  <c r="CN19" i="40"/>
  <c r="CM19" i="40"/>
  <c r="CL19" i="40"/>
  <c r="CK19" i="40"/>
  <c r="CJ19" i="40"/>
  <c r="BU190" i="40" s="1"/>
  <c r="BR19" i="40"/>
  <c r="BQ19" i="40"/>
  <c r="BP19" i="40"/>
  <c r="BO19" i="40"/>
  <c r="BN19" i="40"/>
  <c r="BM19" i="40"/>
  <c r="BL19" i="40"/>
  <c r="BK19" i="40"/>
  <c r="BJ19" i="40"/>
  <c r="BI19" i="40"/>
  <c r="BH19" i="40"/>
  <c r="BG19" i="40" s="1"/>
  <c r="AP19" i="40"/>
  <c r="AO19" i="40"/>
  <c r="AN19" i="40"/>
  <c r="AM19" i="40"/>
  <c r="AL19" i="40"/>
  <c r="AK19" i="40"/>
  <c r="AJ19" i="40"/>
  <c r="AI19" i="40" s="1"/>
  <c r="U19" i="40"/>
  <c r="S19" i="40"/>
  <c r="CT18" i="40"/>
  <c r="CS18" i="40"/>
  <c r="CR18" i="40"/>
  <c r="CQ18" i="40"/>
  <c r="CP18" i="40"/>
  <c r="CO18" i="40"/>
  <c r="CN18" i="40"/>
  <c r="CM18" i="40"/>
  <c r="CL18" i="40"/>
  <c r="CH18" i="40" s="1"/>
  <c r="CK18" i="40"/>
  <c r="CJ18" i="40"/>
  <c r="CI18" i="40"/>
  <c r="BT18" i="40"/>
  <c r="BR18" i="40"/>
  <c r="BR21" i="40" s="1"/>
  <c r="BQ18" i="40"/>
  <c r="BP18" i="40"/>
  <c r="BO18" i="40"/>
  <c r="BN18" i="40"/>
  <c r="BM18" i="40"/>
  <c r="BL18" i="40"/>
  <c r="BK18" i="40"/>
  <c r="BJ18" i="40"/>
  <c r="BF18" i="40" s="1"/>
  <c r="BI18" i="40"/>
  <c r="BH18" i="40"/>
  <c r="BG18" i="40"/>
  <c r="AR18" i="40"/>
  <c r="AQ18" i="40" s="1"/>
  <c r="BE18" i="40" s="1"/>
  <c r="AP18" i="40"/>
  <c r="AP190" i="40" s="1"/>
  <c r="AO18" i="40"/>
  <c r="AO190" i="40" s="1"/>
  <c r="AN18" i="40"/>
  <c r="AN190" i="40" s="1"/>
  <c r="AM18" i="40"/>
  <c r="AM190" i="40" s="1"/>
  <c r="AL18" i="40"/>
  <c r="AL190" i="40" s="1"/>
  <c r="AK18" i="40"/>
  <c r="AK190" i="40" s="1"/>
  <c r="AJ18" i="40"/>
  <c r="AJ190" i="40" s="1"/>
  <c r="U18" i="40"/>
  <c r="S18" i="40" s="1"/>
  <c r="CT17" i="40"/>
  <c r="CS17" i="40"/>
  <c r="CR17" i="40"/>
  <c r="CQ17" i="40"/>
  <c r="CP17" i="40"/>
  <c r="CO17" i="40"/>
  <c r="CH17" i="40" s="1"/>
  <c r="CN17" i="40"/>
  <c r="CM17" i="40"/>
  <c r="CL17" i="40"/>
  <c r="CK17" i="40"/>
  <c r="CJ17" i="40"/>
  <c r="CI17" i="40"/>
  <c r="CG17" i="40"/>
  <c r="BT17" i="40"/>
  <c r="BS17" i="40" s="1"/>
  <c r="BR17" i="40"/>
  <c r="BQ17" i="40"/>
  <c r="BP17" i="40"/>
  <c r="BO17" i="40"/>
  <c r="BN17" i="40"/>
  <c r="BM17" i="40"/>
  <c r="BL17" i="40"/>
  <c r="BK17" i="40"/>
  <c r="BJ17" i="40"/>
  <c r="BI17" i="40"/>
  <c r="BH17" i="40"/>
  <c r="BF17" i="40" s="1"/>
  <c r="BG17" i="40"/>
  <c r="AR17" i="40"/>
  <c r="AQ17" i="40" s="1"/>
  <c r="BE17" i="40" s="1"/>
  <c r="U17" i="40"/>
  <c r="CT16" i="40"/>
  <c r="CS16" i="40"/>
  <c r="CR16" i="40"/>
  <c r="CQ16" i="40"/>
  <c r="CP16" i="40"/>
  <c r="CO16" i="40"/>
  <c r="CO21" i="40" s="1"/>
  <c r="CN16" i="40"/>
  <c r="CM16" i="40"/>
  <c r="CL16" i="40"/>
  <c r="CK16" i="40"/>
  <c r="CJ16" i="40"/>
  <c r="CI16" i="40"/>
  <c r="CH16" i="40" s="1"/>
  <c r="CG16" i="40"/>
  <c r="BT16" i="40"/>
  <c r="BS16" i="40"/>
  <c r="BR16" i="40"/>
  <c r="BQ16" i="40"/>
  <c r="BP16" i="40"/>
  <c r="BO16" i="40"/>
  <c r="BN16" i="40"/>
  <c r="BM16" i="40"/>
  <c r="BL16" i="40"/>
  <c r="BK16" i="40"/>
  <c r="BJ16" i="40"/>
  <c r="BI16" i="40"/>
  <c r="BH16" i="40"/>
  <c r="BG16" i="40"/>
  <c r="BF16" i="40" s="1"/>
  <c r="BE16" i="40"/>
  <c r="AR16" i="40"/>
  <c r="AQ16" i="40"/>
  <c r="U16" i="40"/>
  <c r="CT15" i="40"/>
  <c r="CT21" i="40" s="1"/>
  <c r="CS15" i="40"/>
  <c r="CR15" i="40"/>
  <c r="CQ15" i="40"/>
  <c r="CP15" i="40"/>
  <c r="CO15" i="40"/>
  <c r="CN15" i="40"/>
  <c r="CM15" i="40"/>
  <c r="CL15" i="40"/>
  <c r="CH15" i="40" s="1"/>
  <c r="CK15" i="40"/>
  <c r="CJ15" i="40"/>
  <c r="CI15" i="40"/>
  <c r="BT15" i="40"/>
  <c r="BS15" i="40" s="1"/>
  <c r="CG15" i="40" s="1"/>
  <c r="BR15" i="40"/>
  <c r="BQ15" i="40"/>
  <c r="BP15" i="40"/>
  <c r="BO15" i="40"/>
  <c r="BN15" i="40"/>
  <c r="BM15" i="40"/>
  <c r="BL15" i="40"/>
  <c r="BK15" i="40"/>
  <c r="BJ15" i="40"/>
  <c r="BI15" i="40"/>
  <c r="BH15" i="40"/>
  <c r="BG15" i="40"/>
  <c r="AR15" i="40"/>
  <c r="U15" i="40"/>
  <c r="CT14" i="40"/>
  <c r="CS14" i="40"/>
  <c r="CR14" i="40"/>
  <c r="CQ14" i="40"/>
  <c r="CP14" i="40"/>
  <c r="CO14" i="40"/>
  <c r="CN14" i="40"/>
  <c r="CM14" i="40"/>
  <c r="CL14" i="40"/>
  <c r="CK14" i="40"/>
  <c r="CJ14" i="40"/>
  <c r="CI14" i="40"/>
  <c r="CH14" i="40" s="1"/>
  <c r="BT14" i="40"/>
  <c r="BS14" i="40"/>
  <c r="CG14" i="40" s="1"/>
  <c r="BR14" i="40"/>
  <c r="BQ14" i="40"/>
  <c r="BP14" i="40"/>
  <c r="BO14" i="40"/>
  <c r="BO21" i="40" s="1"/>
  <c r="BN14" i="40"/>
  <c r="BM14" i="40"/>
  <c r="BL14" i="40"/>
  <c r="BK14" i="40"/>
  <c r="BJ14" i="40"/>
  <c r="BI14" i="40"/>
  <c r="BH14" i="40"/>
  <c r="BG14" i="40"/>
  <c r="AR14" i="40"/>
  <c r="AQ14" i="40"/>
  <c r="BE14" i="40" s="1"/>
  <c r="U14" i="40"/>
  <c r="CT13" i="40"/>
  <c r="CS13" i="40"/>
  <c r="CR13" i="40"/>
  <c r="CQ13" i="40"/>
  <c r="CO13" i="40"/>
  <c r="CN13" i="40"/>
  <c r="CM13" i="40"/>
  <c r="CL13" i="40"/>
  <c r="CL21" i="40" s="1"/>
  <c r="CK13" i="40"/>
  <c r="CJ13" i="40"/>
  <c r="CI13" i="40"/>
  <c r="BT13" i="40"/>
  <c r="BR13" i="40"/>
  <c r="BQ13" i="40"/>
  <c r="BP13" i="40"/>
  <c r="BO13" i="40"/>
  <c r="BM13" i="40"/>
  <c r="BL13" i="40"/>
  <c r="BK13" i="40"/>
  <c r="BJ13" i="40"/>
  <c r="BI13" i="40"/>
  <c r="BH13" i="40"/>
  <c r="BG13" i="40"/>
  <c r="AR13" i="40"/>
  <c r="AQ13" i="40" s="1"/>
  <c r="BE13" i="40" s="1"/>
  <c r="AC13" i="40"/>
  <c r="U13" i="40" s="1"/>
  <c r="CT12" i="40"/>
  <c r="CS12" i="40"/>
  <c r="CR12" i="40"/>
  <c r="CQ12" i="40"/>
  <c r="CP12" i="40"/>
  <c r="CO12" i="40"/>
  <c r="CN12" i="40"/>
  <c r="CM12" i="40"/>
  <c r="CL12" i="40"/>
  <c r="CK12" i="40"/>
  <c r="CJ12" i="40"/>
  <c r="CI12" i="40"/>
  <c r="CH12" i="40"/>
  <c r="BT12" i="40"/>
  <c r="BR12" i="40"/>
  <c r="BQ12" i="40"/>
  <c r="BP12" i="40"/>
  <c r="BO12" i="40"/>
  <c r="BN12" i="40"/>
  <c r="BM12" i="40"/>
  <c r="BL12" i="40"/>
  <c r="BK12" i="40"/>
  <c r="BJ12" i="40"/>
  <c r="BI12" i="40"/>
  <c r="BH12" i="40"/>
  <c r="BG12" i="40"/>
  <c r="AR12" i="40"/>
  <c r="AC12" i="40"/>
  <c r="CF10" i="40"/>
  <c r="CE10" i="40"/>
  <c r="CD10" i="40"/>
  <c r="CC10" i="40"/>
  <c r="CA10" i="40"/>
  <c r="BZ10" i="40"/>
  <c r="BY10" i="40"/>
  <c r="BX10" i="40"/>
  <c r="BW10" i="40"/>
  <c r="BV10" i="40"/>
  <c r="BD10" i="40"/>
  <c r="BC10" i="40"/>
  <c r="BB10" i="40"/>
  <c r="BA10" i="40"/>
  <c r="AY10" i="40"/>
  <c r="AX10" i="40"/>
  <c r="AW10" i="40"/>
  <c r="AV10" i="40"/>
  <c r="AU10" i="40"/>
  <c r="AT10" i="40"/>
  <c r="AP10" i="40"/>
  <c r="AO10" i="40"/>
  <c r="AN10" i="40"/>
  <c r="AM10" i="40"/>
  <c r="AL10" i="40"/>
  <c r="AK10" i="40"/>
  <c r="AJ10" i="40"/>
  <c r="AD10" i="40"/>
  <c r="AC10" i="40"/>
  <c r="I10" i="40"/>
  <c r="I183" i="40" s="1"/>
  <c r="H10" i="40"/>
  <c r="G10" i="40"/>
  <c r="CQ9" i="40"/>
  <c r="CP9" i="40"/>
  <c r="CO9" i="40"/>
  <c r="CM9" i="40"/>
  <c r="CL9" i="40"/>
  <c r="CI9" i="40"/>
  <c r="BT9" i="40"/>
  <c r="BO9" i="40"/>
  <c r="BN9" i="40"/>
  <c r="BJ9" i="40"/>
  <c r="BI9" i="40"/>
  <c r="BG9" i="40"/>
  <c r="AR9" i="40"/>
  <c r="AG9" i="40"/>
  <c r="CT9" i="40" s="1"/>
  <c r="AF9" i="40"/>
  <c r="BQ9" i="40" s="1"/>
  <c r="AE9" i="40"/>
  <c r="CR9" i="40" s="1"/>
  <c r="AB9" i="40"/>
  <c r="BM9" i="40" s="1"/>
  <c r="AA9" i="40"/>
  <c r="Z9" i="40"/>
  <c r="BK9" i="40" s="1"/>
  <c r="Y9" i="40"/>
  <c r="X9" i="40"/>
  <c r="CK9" i="40" s="1"/>
  <c r="W9" i="40"/>
  <c r="CJ9" i="40" s="1"/>
  <c r="CT8" i="40"/>
  <c r="CS8" i="40"/>
  <c r="CQ8" i="40"/>
  <c r="CO8" i="40"/>
  <c r="CM8" i="40"/>
  <c r="CK8" i="40"/>
  <c r="CJ8" i="40"/>
  <c r="BR8" i="40"/>
  <c r="BO8" i="40"/>
  <c r="BM8" i="40"/>
  <c r="BK8" i="40"/>
  <c r="BJ8" i="40"/>
  <c r="BI8" i="40"/>
  <c r="AP8" i="40"/>
  <c r="AO8" i="40"/>
  <c r="AN8" i="40"/>
  <c r="AM8" i="40"/>
  <c r="AL8" i="40"/>
  <c r="AK8" i="40"/>
  <c r="AJ8" i="40"/>
  <c r="AI8" i="40" s="1"/>
  <c r="AG8" i="40"/>
  <c r="AF8" i="40"/>
  <c r="BQ8" i="40" s="1"/>
  <c r="AE8" i="40"/>
  <c r="CR8" i="40" s="1"/>
  <c r="AB8" i="40"/>
  <c r="AA8" i="40"/>
  <c r="Z8" i="40"/>
  <c r="Y8" i="40"/>
  <c r="CL8" i="40" s="1"/>
  <c r="X8" i="40"/>
  <c r="W8" i="40"/>
  <c r="CS7" i="40"/>
  <c r="CR7" i="40"/>
  <c r="CQ7" i="40"/>
  <c r="CP7" i="40"/>
  <c r="CN7" i="40"/>
  <c r="CJ7" i="40"/>
  <c r="CI7" i="40"/>
  <c r="BT7" i="40"/>
  <c r="BQ7" i="40"/>
  <c r="BO7" i="40"/>
  <c r="BN7" i="40"/>
  <c r="BM7" i="40"/>
  <c r="BL7" i="40"/>
  <c r="BH7" i="40"/>
  <c r="BG7" i="40"/>
  <c r="AR7" i="40"/>
  <c r="AP7" i="40"/>
  <c r="AO7" i="40"/>
  <c r="AN7" i="40"/>
  <c r="AM7" i="40"/>
  <c r="AL7" i="40"/>
  <c r="AK7" i="40"/>
  <c r="AJ7" i="40"/>
  <c r="AI7" i="40"/>
  <c r="AG7" i="40"/>
  <c r="CT7" i="40" s="1"/>
  <c r="AF7" i="40"/>
  <c r="AE7" i="40"/>
  <c r="BP7" i="40" s="1"/>
  <c r="AB7" i="40"/>
  <c r="CO7" i="40" s="1"/>
  <c r="AA7" i="40"/>
  <c r="Z7" i="40"/>
  <c r="BK7" i="40" s="1"/>
  <c r="Y7" i="40"/>
  <c r="CL7" i="40" s="1"/>
  <c r="X7" i="40"/>
  <c r="W7" i="40"/>
  <c r="CT6" i="40"/>
  <c r="CQ6" i="40"/>
  <c r="CO6" i="40"/>
  <c r="CM6" i="40"/>
  <c r="CK6" i="40"/>
  <c r="BR6" i="40"/>
  <c r="BQ6" i="40"/>
  <c r="BO6" i="40"/>
  <c r="BM6" i="40"/>
  <c r="BL6" i="40"/>
  <c r="BK6" i="40"/>
  <c r="BI6" i="40"/>
  <c r="AP6" i="40"/>
  <c r="AO6" i="40"/>
  <c r="AN6" i="40"/>
  <c r="AM6" i="40"/>
  <c r="AL6" i="40"/>
  <c r="AK6" i="40"/>
  <c r="AJ6" i="40"/>
  <c r="AI6" i="40" s="1"/>
  <c r="AG6" i="40"/>
  <c r="AF6" i="40"/>
  <c r="CS6" i="40" s="1"/>
  <c r="AE6" i="40"/>
  <c r="AB6" i="40"/>
  <c r="AA6" i="40"/>
  <c r="CN6" i="40" s="1"/>
  <c r="Z6" i="40"/>
  <c r="Y6" i="40"/>
  <c r="X6" i="40"/>
  <c r="W6" i="40"/>
  <c r="CQ5" i="40"/>
  <c r="CP5" i="40"/>
  <c r="CL5" i="40"/>
  <c r="CI5" i="40"/>
  <c r="BT5" i="40"/>
  <c r="BR5" i="40"/>
  <c r="BQ5" i="40"/>
  <c r="BO5" i="40"/>
  <c r="BN5" i="40"/>
  <c r="BJ5" i="40"/>
  <c r="BI5" i="40"/>
  <c r="BG5" i="40"/>
  <c r="AR5" i="40"/>
  <c r="AG5" i="40"/>
  <c r="CT5" i="40" s="1"/>
  <c r="AF5" i="40"/>
  <c r="CS5" i="40" s="1"/>
  <c r="AE5" i="40"/>
  <c r="CR5" i="40" s="1"/>
  <c r="AB5" i="40"/>
  <c r="BM5" i="40" s="1"/>
  <c r="AA5" i="40"/>
  <c r="CN5" i="40" s="1"/>
  <c r="Z5" i="40"/>
  <c r="CM5" i="40" s="1"/>
  <c r="Y5" i="40"/>
  <c r="X5" i="40"/>
  <c r="CK5" i="40" s="1"/>
  <c r="W5" i="40"/>
  <c r="V5" i="40"/>
  <c r="CQ4" i="40"/>
  <c r="CP4" i="40"/>
  <c r="CL4" i="40"/>
  <c r="BT4" i="40"/>
  <c r="BO4" i="40"/>
  <c r="BN4" i="40"/>
  <c r="BM4" i="40"/>
  <c r="BK4" i="40"/>
  <c r="BJ4" i="40"/>
  <c r="AR4" i="40"/>
  <c r="AP4" i="40"/>
  <c r="AP189" i="40" s="1"/>
  <c r="AO4" i="40"/>
  <c r="AO189" i="40" s="1"/>
  <c r="AN4" i="40"/>
  <c r="AN189" i="40" s="1"/>
  <c r="AM4" i="40"/>
  <c r="AM189" i="40" s="1"/>
  <c r="AL4" i="40"/>
  <c r="AL189" i="40" s="1"/>
  <c r="AL191" i="40" s="1"/>
  <c r="AL193" i="40" s="1"/>
  <c r="AK4" i="40"/>
  <c r="AK189" i="40" s="1"/>
  <c r="AJ4" i="40"/>
  <c r="AJ189" i="40" s="1"/>
  <c r="AI4" i="40"/>
  <c r="AI189" i="40" s="1"/>
  <c r="AG4" i="40"/>
  <c r="AF4" i="40"/>
  <c r="CS4" i="40" s="1"/>
  <c r="AE4" i="40"/>
  <c r="AB4" i="40"/>
  <c r="AA4" i="40"/>
  <c r="Z4" i="40"/>
  <c r="Z189" i="40" s="1"/>
  <c r="Y4" i="40"/>
  <c r="X4" i="40"/>
  <c r="W4" i="40"/>
  <c r="W10" i="40" s="1"/>
  <c r="V4" i="40"/>
  <c r="V10" i="40" s="1"/>
  <c r="BB3" i="40"/>
  <c r="BP3" i="40" s="1"/>
  <c r="CD3" i="40" s="1"/>
  <c r="CR3" i="40" s="1"/>
  <c r="V102" i="29"/>
  <c r="Z100" i="29"/>
  <c r="Z98" i="29"/>
  <c r="Z97" i="29"/>
  <c r="AV96" i="29"/>
  <c r="Z96" i="29"/>
  <c r="Z94" i="29"/>
  <c r="AP93" i="29"/>
  <c r="AP91" i="29"/>
  <c r="Z91" i="29"/>
  <c r="AR90" i="29"/>
  <c r="AP90" i="29"/>
  <c r="AE85" i="29"/>
  <c r="BG84" i="29"/>
  <c r="BF84" i="29"/>
  <c r="BE84" i="29"/>
  <c r="BD84" i="29"/>
  <c r="BC84" i="29"/>
  <c r="BB84" i="29"/>
  <c r="BA84" i="29"/>
  <c r="AP84" i="29"/>
  <c r="AK84" i="29"/>
  <c r="AJ84" i="29"/>
  <c r="AI84" i="29"/>
  <c r="AG84" i="29"/>
  <c r="AF84" i="29"/>
  <c r="AE84" i="29"/>
  <c r="AD84" i="29"/>
  <c r="AC84" i="29"/>
  <c r="AB84" i="29"/>
  <c r="AA84" i="29"/>
  <c r="BF83" i="29"/>
  <c r="BE83" i="29"/>
  <c r="BD83" i="29"/>
  <c r="BC83" i="29"/>
  <c r="BB83" i="29"/>
  <c r="BA83" i="29"/>
  <c r="AK83" i="29"/>
  <c r="AJ83" i="29"/>
  <c r="AI83" i="29"/>
  <c r="AG83" i="29"/>
  <c r="AF83" i="29"/>
  <c r="AF85" i="29" s="1"/>
  <c r="AE83" i="29"/>
  <c r="AD83" i="29"/>
  <c r="AC83" i="29"/>
  <c r="AB83" i="29"/>
  <c r="AA83" i="29"/>
  <c r="BH82" i="29"/>
  <c r="BG82" i="29"/>
  <c r="BF82" i="29"/>
  <c r="BE82" i="29"/>
  <c r="BD82" i="29"/>
  <c r="BC82" i="29"/>
  <c r="BB82" i="29"/>
  <c r="AK82" i="29"/>
  <c r="AJ82" i="29"/>
  <c r="AI82" i="29"/>
  <c r="AF82" i="29"/>
  <c r="AE82" i="29"/>
  <c r="AD82" i="29"/>
  <c r="AC82" i="29"/>
  <c r="AB82" i="29"/>
  <c r="AA82" i="29"/>
  <c r="BH81" i="29"/>
  <c r="BG81" i="29"/>
  <c r="BF81" i="29"/>
  <c r="BE81" i="29"/>
  <c r="BD81" i="29"/>
  <c r="BC81" i="29"/>
  <c r="BB81" i="29"/>
  <c r="BA81" i="29"/>
  <c r="AK81" i="29"/>
  <c r="AJ81" i="29"/>
  <c r="AI81" i="29"/>
  <c r="AH81" i="29"/>
  <c r="AG81" i="29"/>
  <c r="AF81" i="29"/>
  <c r="AE81" i="29"/>
  <c r="AD81" i="29"/>
  <c r="AC81" i="29"/>
  <c r="AB81" i="29"/>
  <c r="BH80" i="29"/>
  <c r="BG80" i="29"/>
  <c r="BF80" i="29"/>
  <c r="BE80" i="29"/>
  <c r="BD80" i="29"/>
  <c r="BC80" i="29"/>
  <c r="BB80" i="29"/>
  <c r="BA80" i="29"/>
  <c r="AP80" i="29"/>
  <c r="AK80" i="29"/>
  <c r="AI80" i="29"/>
  <c r="AH80" i="29"/>
  <c r="AG80" i="29"/>
  <c r="AF80" i="29"/>
  <c r="AE80" i="29"/>
  <c r="AD80" i="29"/>
  <c r="AC80" i="29"/>
  <c r="AB80" i="29"/>
  <c r="AA80" i="29"/>
  <c r="BG79" i="29"/>
  <c r="BF79" i="29"/>
  <c r="BE79" i="29"/>
  <c r="BA79" i="29"/>
  <c r="AK79" i="29"/>
  <c r="AJ79" i="29"/>
  <c r="AI79" i="29"/>
  <c r="AI85" i="29" s="1"/>
  <c r="AH79" i="29"/>
  <c r="AG79" i="29"/>
  <c r="AF79" i="29"/>
  <c r="AE79" i="29"/>
  <c r="AD79" i="29"/>
  <c r="AB79" i="29"/>
  <c r="AA79" i="29"/>
  <c r="O79" i="29"/>
  <c r="BG78" i="29"/>
  <c r="BE78" i="29"/>
  <c r="BD78" i="29"/>
  <c r="BC78" i="29"/>
  <c r="AO78" i="29"/>
  <c r="AK78" i="29"/>
  <c r="AJ78" i="29"/>
  <c r="AI78" i="29"/>
  <c r="AH78" i="29"/>
  <c r="AG78" i="29"/>
  <c r="AF78" i="29"/>
  <c r="AE78" i="29"/>
  <c r="AD78" i="29"/>
  <c r="AD85" i="29" s="1"/>
  <c r="AC78" i="29"/>
  <c r="AA78" i="29"/>
  <c r="BH77" i="29"/>
  <c r="BF77" i="29"/>
  <c r="BE77" i="29"/>
  <c r="BD77" i="29"/>
  <c r="BC77" i="29"/>
  <c r="BB77" i="29"/>
  <c r="BA77" i="29"/>
  <c r="BJ75" i="29"/>
  <c r="BG75" i="29"/>
  <c r="BE75" i="29"/>
  <c r="BD75" i="29"/>
  <c r="BB75" i="29"/>
  <c r="BA75" i="29"/>
  <c r="AZ75" i="29"/>
  <c r="AJ75" i="29"/>
  <c r="AH75" i="29"/>
  <c r="AG75" i="29"/>
  <c r="AF75" i="29"/>
  <c r="AE75" i="29"/>
  <c r="AD75" i="29"/>
  <c r="AC75" i="29"/>
  <c r="AC76" i="29" s="1"/>
  <c r="AB75" i="29"/>
  <c r="AA75" i="29"/>
  <c r="Q74" i="29"/>
  <c r="BM72" i="29"/>
  <c r="BK72" i="29"/>
  <c r="BK74" i="29" s="1"/>
  <c r="BK76" i="29" s="1"/>
  <c r="BJ72" i="29"/>
  <c r="BI72" i="29"/>
  <c r="BF72" i="29"/>
  <c r="AY72" i="29"/>
  <c r="AW72" i="29"/>
  <c r="AS72" i="29"/>
  <c r="AS75" i="29" s="1"/>
  <c r="AQ72" i="29"/>
  <c r="AJ72" i="29"/>
  <c r="AH72" i="29"/>
  <c r="AG72" i="29"/>
  <c r="AF72" i="29"/>
  <c r="AE72" i="29"/>
  <c r="AD72" i="29"/>
  <c r="AC72" i="29"/>
  <c r="AC74" i="29" s="1"/>
  <c r="AB72" i="29"/>
  <c r="AA72" i="29"/>
  <c r="V72" i="29"/>
  <c r="U72" i="29"/>
  <c r="T72" i="29"/>
  <c r="S72" i="29"/>
  <c r="S74" i="29" s="1"/>
  <c r="R72" i="29"/>
  <c r="Q72" i="29"/>
  <c r="BE71" i="29"/>
  <c r="BD71" i="29"/>
  <c r="BD72" i="29" s="1"/>
  <c r="BD74" i="29" s="1"/>
  <c r="BC71" i="29"/>
  <c r="BC79" i="29" s="1"/>
  <c r="BA71" i="29"/>
  <c r="AP71" i="29"/>
  <c r="AR71" i="29" s="1"/>
  <c r="AO71" i="29"/>
  <c r="AL71" i="29"/>
  <c r="X71" i="29"/>
  <c r="AT71" i="29" s="1"/>
  <c r="AU71" i="29" s="1"/>
  <c r="V71" i="29"/>
  <c r="BG70" i="29"/>
  <c r="R62" i="44" s="1"/>
  <c r="R59" i="44" s="1"/>
  <c r="R56" i="44" s="1"/>
  <c r="AZ70" i="29"/>
  <c r="K62" i="44" s="1"/>
  <c r="AR70" i="29"/>
  <c r="AO70" i="29"/>
  <c r="AN70" i="29"/>
  <c r="AL70" i="29"/>
  <c r="V70" i="29"/>
  <c r="BL69" i="29"/>
  <c r="AU69" i="29"/>
  <c r="AR69" i="29"/>
  <c r="AT69" i="29" s="1"/>
  <c r="AO69" i="29"/>
  <c r="AN69" i="29"/>
  <c r="AL69" i="29"/>
  <c r="V69" i="29"/>
  <c r="BB68" i="29"/>
  <c r="BL68" i="29" s="1"/>
  <c r="AT68" i="29"/>
  <c r="AU68" i="29" s="1"/>
  <c r="AR68" i="29"/>
  <c r="G61" i="44" s="1"/>
  <c r="AO68" i="29"/>
  <c r="AN68" i="29"/>
  <c r="AL68" i="29"/>
  <c r="AL79" i="29" s="1"/>
  <c r="AC68" i="29"/>
  <c r="V68" i="29"/>
  <c r="R68" i="29"/>
  <c r="BL67" i="29"/>
  <c r="AU67" i="29"/>
  <c r="AT67" i="29"/>
  <c r="AO67" i="29"/>
  <c r="AN67" i="29"/>
  <c r="AL67" i="29"/>
  <c r="AL72" i="29" s="1"/>
  <c r="V67" i="29"/>
  <c r="BH66" i="29"/>
  <c r="BL66" i="29" s="1"/>
  <c r="AU66" i="29"/>
  <c r="AT66" i="29"/>
  <c r="AP66" i="29"/>
  <c r="AR66" i="29" s="1"/>
  <c r="AO66" i="29"/>
  <c r="AN66" i="29"/>
  <c r="AL66" i="29"/>
  <c r="V66" i="29"/>
  <c r="BM64" i="29"/>
  <c r="BK64" i="29"/>
  <c r="BI64" i="29"/>
  <c r="BH64" i="29"/>
  <c r="BG64" i="29"/>
  <c r="BF64" i="29"/>
  <c r="BE64" i="29"/>
  <c r="BD64" i="29"/>
  <c r="BC64" i="29"/>
  <c r="BB64" i="29"/>
  <c r="BA64" i="29"/>
  <c r="AY64" i="29"/>
  <c r="AW64" i="29"/>
  <c r="AS64" i="29"/>
  <c r="AQ64" i="29"/>
  <c r="AQ75" i="29" s="1"/>
  <c r="AQ78" i="29" s="1"/>
  <c r="AH64" i="29"/>
  <c r="AG64" i="29"/>
  <c r="AF64" i="29"/>
  <c r="AE64" i="29"/>
  <c r="AD64" i="29"/>
  <c r="AC64" i="29"/>
  <c r="AB64" i="29"/>
  <c r="U64" i="29"/>
  <c r="T64" i="29"/>
  <c r="S64" i="29"/>
  <c r="Q64" i="29"/>
  <c r="BL63" i="29"/>
  <c r="BJ63" i="29"/>
  <c r="AR63" i="29"/>
  <c r="AO63" i="29"/>
  <c r="X63" i="29"/>
  <c r="R63" i="29"/>
  <c r="BL62" i="29"/>
  <c r="AR62" i="29"/>
  <c r="AT62" i="29" s="1"/>
  <c r="AU62" i="29" s="1"/>
  <c r="AO62" i="29"/>
  <c r="AN62" i="29"/>
  <c r="AJ62" i="29"/>
  <c r="AL62" i="29" s="1"/>
  <c r="V62" i="29"/>
  <c r="BL61" i="29"/>
  <c r="BJ61" i="29"/>
  <c r="AR61" i="29"/>
  <c r="AT61" i="29" s="1"/>
  <c r="AU61" i="29" s="1"/>
  <c r="AO61" i="29"/>
  <c r="AN61" i="29"/>
  <c r="AJ61" i="29"/>
  <c r="U54" i="44" s="1"/>
  <c r="V61" i="29"/>
  <c r="BL60" i="29"/>
  <c r="AT60" i="29"/>
  <c r="AU60" i="29" s="1"/>
  <c r="AR60" i="29"/>
  <c r="AO60" i="29"/>
  <c r="AN60" i="29"/>
  <c r="AL60" i="29"/>
  <c r="AJ60" i="29"/>
  <c r="V60" i="29"/>
  <c r="BJ59" i="29"/>
  <c r="BL59" i="29" s="1"/>
  <c r="AT59" i="29"/>
  <c r="AU59" i="29" s="1"/>
  <c r="AP59" i="29"/>
  <c r="AO59" i="29"/>
  <c r="AN59" i="29"/>
  <c r="AL59" i="29"/>
  <c r="AJ59" i="29"/>
  <c r="V59" i="29"/>
  <c r="BJ58" i="29"/>
  <c r="BL58" i="29" s="1"/>
  <c r="AU58" i="29"/>
  <c r="AT58" i="29"/>
  <c r="AO58" i="29"/>
  <c r="AN58" i="29"/>
  <c r="AP58" i="29" s="1"/>
  <c r="AL58" i="29"/>
  <c r="AJ58" i="29"/>
  <c r="V58" i="29"/>
  <c r="BL57" i="29"/>
  <c r="BJ57" i="29"/>
  <c r="AT57" i="29"/>
  <c r="AU57" i="29" s="1"/>
  <c r="AP57" i="29"/>
  <c r="AO57" i="29"/>
  <c r="AN57" i="29"/>
  <c r="AJ57" i="29"/>
  <c r="AL57" i="29" s="1"/>
  <c r="V57" i="29"/>
  <c r="BJ56" i="29"/>
  <c r="BL56" i="29" s="1"/>
  <c r="AT56" i="29"/>
  <c r="AU56" i="29" s="1"/>
  <c r="AR56" i="29"/>
  <c r="AO56" i="29"/>
  <c r="AN56" i="29"/>
  <c r="AL56" i="29"/>
  <c r="AJ56" i="29"/>
  <c r="V56" i="29"/>
  <c r="BJ55" i="29"/>
  <c r="BJ64" i="29" s="1"/>
  <c r="AT55" i="29"/>
  <c r="AU55" i="29" s="1"/>
  <c r="AP55" i="29"/>
  <c r="AO55" i="29"/>
  <c r="AN55" i="29"/>
  <c r="AL55" i="29"/>
  <c r="AJ55" i="29"/>
  <c r="V55" i="29"/>
  <c r="BH54" i="29"/>
  <c r="AU54" i="29"/>
  <c r="AT54" i="29"/>
  <c r="AR54" i="29"/>
  <c r="AO54" i="29"/>
  <c r="AN54" i="29"/>
  <c r="AL54" i="29"/>
  <c r="V54" i="29"/>
  <c r="AZ53" i="29"/>
  <c r="AZ64" i="29" s="1"/>
  <c r="AU53" i="29"/>
  <c r="AO53" i="29"/>
  <c r="AN53" i="29"/>
  <c r="AP53" i="29" s="1"/>
  <c r="AP64" i="29" s="1"/>
  <c r="AA53" i="29"/>
  <c r="AA64" i="29" s="1"/>
  <c r="X53" i="29"/>
  <c r="AT53" i="29" s="1"/>
  <c r="V53" i="29"/>
  <c r="BM51" i="29"/>
  <c r="BK51" i="29"/>
  <c r="BJ51" i="29"/>
  <c r="BI51" i="29"/>
  <c r="BG51" i="29"/>
  <c r="BF51" i="29"/>
  <c r="BE51" i="29"/>
  <c r="BD51" i="29"/>
  <c r="BC51" i="29"/>
  <c r="BB51" i="29"/>
  <c r="BA51" i="29"/>
  <c r="AZ51" i="29"/>
  <c r="AY51" i="29"/>
  <c r="AW51" i="29"/>
  <c r="AT51" i="29"/>
  <c r="AS51" i="29"/>
  <c r="AR51" i="29"/>
  <c r="AQ51" i="29"/>
  <c r="AJ51" i="29"/>
  <c r="AH51" i="29"/>
  <c r="AG51" i="29"/>
  <c r="AF51" i="29"/>
  <c r="AE51" i="29"/>
  <c r="AD51" i="29"/>
  <c r="AD74" i="29" s="1"/>
  <c r="AC51" i="29"/>
  <c r="AB51" i="29"/>
  <c r="AA51" i="29"/>
  <c r="X51" i="29"/>
  <c r="V51" i="29"/>
  <c r="U51" i="29"/>
  <c r="T51" i="29"/>
  <c r="S51" i="29"/>
  <c r="R51" i="29"/>
  <c r="Q51" i="29"/>
  <c r="BL50" i="29"/>
  <c r="AU50" i="29"/>
  <c r="AT50" i="29"/>
  <c r="AO50" i="29"/>
  <c r="AN50" i="29"/>
  <c r="AP50" i="29" s="1"/>
  <c r="AP51" i="29" s="1"/>
  <c r="AL50" i="29"/>
  <c r="V50" i="29"/>
  <c r="BH49" i="29"/>
  <c r="AU49" i="29"/>
  <c r="AT49" i="29"/>
  <c r="AR49" i="29"/>
  <c r="AO49" i="29"/>
  <c r="AN49" i="29"/>
  <c r="AL49" i="29"/>
  <c r="V49" i="29"/>
  <c r="BL48" i="29"/>
  <c r="AU48" i="29"/>
  <c r="AU51" i="29" s="1"/>
  <c r="AT48" i="29"/>
  <c r="AR48" i="29"/>
  <c r="G45" i="44" s="1"/>
  <c r="AO48" i="29"/>
  <c r="AN48" i="29"/>
  <c r="AN51" i="29" s="1"/>
  <c r="AL48" i="29"/>
  <c r="AL51" i="29" s="1"/>
  <c r="V48" i="29"/>
  <c r="BM46" i="29"/>
  <c r="BK46" i="29"/>
  <c r="BJ46" i="29"/>
  <c r="BI46" i="29"/>
  <c r="BH46" i="29"/>
  <c r="BG46" i="29"/>
  <c r="BE46" i="29"/>
  <c r="BD46" i="29"/>
  <c r="BC46" i="29"/>
  <c r="BA46" i="29"/>
  <c r="AZ46" i="29"/>
  <c r="AY46" i="29"/>
  <c r="AW46" i="29"/>
  <c r="AS46" i="29"/>
  <c r="AQ46" i="29"/>
  <c r="AJ46" i="29"/>
  <c r="AH46" i="29"/>
  <c r="AG46" i="29"/>
  <c r="AF46" i="29"/>
  <c r="AE46" i="29"/>
  <c r="AD46" i="29"/>
  <c r="AC46" i="29"/>
  <c r="AA46" i="29"/>
  <c r="U46" i="29"/>
  <c r="T46" i="29"/>
  <c r="S46" i="29"/>
  <c r="R46" i="29"/>
  <c r="Q46" i="29"/>
  <c r="BL45" i="29"/>
  <c r="AU45" i="29"/>
  <c r="AT45" i="29"/>
  <c r="AR45" i="29"/>
  <c r="G41" i="44" s="1"/>
  <c r="V41" i="44" s="1"/>
  <c r="AO45" i="29"/>
  <c r="AN45" i="29"/>
  <c r="AL45" i="29"/>
  <c r="V45" i="29"/>
  <c r="BH44" i="29"/>
  <c r="BH79" i="29" s="1"/>
  <c r="AU44" i="29"/>
  <c r="AT44" i="29"/>
  <c r="AP44" i="29"/>
  <c r="AR44" i="29" s="1"/>
  <c r="AO44" i="29"/>
  <c r="AN44" i="29"/>
  <c r="AL44" i="29"/>
  <c r="X44" i="29"/>
  <c r="V44" i="29"/>
  <c r="BL43" i="29"/>
  <c r="BA43" i="29"/>
  <c r="L39" i="44" s="1"/>
  <c r="AO43" i="29"/>
  <c r="AL43" i="29"/>
  <c r="X43" i="29"/>
  <c r="X94" i="29" s="1"/>
  <c r="V43" i="29"/>
  <c r="BH42" i="29"/>
  <c r="BF42" i="29"/>
  <c r="BB42" i="29"/>
  <c r="BB46" i="29" s="1"/>
  <c r="BA42" i="29"/>
  <c r="BA78" i="29" s="1"/>
  <c r="BA85" i="29" s="1"/>
  <c r="AT42" i="29"/>
  <c r="AP78" i="29" s="1"/>
  <c r="AO42" i="29"/>
  <c r="AB42" i="29"/>
  <c r="AB78" i="29" s="1"/>
  <c r="AB85" i="29" s="1"/>
  <c r="X42" i="29"/>
  <c r="X91" i="29" s="1"/>
  <c r="V42" i="29"/>
  <c r="BL41" i="29"/>
  <c r="AU41" i="29"/>
  <c r="AT41" i="29"/>
  <c r="AO41" i="29"/>
  <c r="AN41" i="29"/>
  <c r="AL41" i="29"/>
  <c r="V41" i="29"/>
  <c r="V46" i="29" s="1"/>
  <c r="BH40" i="29"/>
  <c r="AU40" i="29"/>
  <c r="AT40" i="29"/>
  <c r="AR40" i="29"/>
  <c r="AR46" i="29" s="1"/>
  <c r="AO40" i="29"/>
  <c r="AN40" i="29"/>
  <c r="AL40" i="29"/>
  <c r="V40" i="29"/>
  <c r="BK38" i="29"/>
  <c r="BJ38" i="29"/>
  <c r="BI38" i="29"/>
  <c r="BH38" i="29"/>
  <c r="BG38" i="29"/>
  <c r="BE38" i="29"/>
  <c r="BD38" i="29"/>
  <c r="BC38" i="29"/>
  <c r="BB38" i="29"/>
  <c r="AZ38" i="29"/>
  <c r="AW38" i="29"/>
  <c r="AS38" i="29"/>
  <c r="AQ38" i="29"/>
  <c r="AJ38" i="29"/>
  <c r="AF38" i="29"/>
  <c r="AE38" i="29"/>
  <c r="AD38" i="29"/>
  <c r="AC38" i="29"/>
  <c r="AB38" i="29"/>
  <c r="U38" i="29"/>
  <c r="T38" i="29"/>
  <c r="S38" i="29"/>
  <c r="R38" i="29"/>
  <c r="Q38" i="29"/>
  <c r="BL37" i="29"/>
  <c r="AU37" i="29"/>
  <c r="AT37" i="29"/>
  <c r="AO37" i="29"/>
  <c r="AP37" i="29" s="1"/>
  <c r="AP38" i="29" s="1"/>
  <c r="AN37" i="29"/>
  <c r="AM37" i="29"/>
  <c r="AL37" i="29"/>
  <c r="AH37" i="29"/>
  <c r="R32" i="44" s="1"/>
  <c r="W32" i="44" s="1"/>
  <c r="V37" i="29"/>
  <c r="BL36" i="29"/>
  <c r="AU36" i="29"/>
  <c r="AT36" i="29"/>
  <c r="AO36" i="29"/>
  <c r="AN36" i="29"/>
  <c r="AM36" i="29"/>
  <c r="AH36" i="29"/>
  <c r="R31" i="44" s="1"/>
  <c r="R30" i="44" s="1"/>
  <c r="V36" i="29"/>
  <c r="BL35" i="29"/>
  <c r="AT35" i="29"/>
  <c r="AU35" i="29" s="1"/>
  <c r="AO35" i="29"/>
  <c r="AN35" i="29"/>
  <c r="AM35" i="29"/>
  <c r="AH35" i="29"/>
  <c r="R29" i="44" s="1"/>
  <c r="V35" i="29"/>
  <c r="BL34" i="29"/>
  <c r="AT34" i="29"/>
  <c r="AU34" i="29" s="1"/>
  <c r="AO34" i="29"/>
  <c r="AN34" i="29"/>
  <c r="AM34" i="29"/>
  <c r="AL34" i="29"/>
  <c r="AH34" i="29"/>
  <c r="R28" i="44" s="1"/>
  <c r="V34" i="29"/>
  <c r="BL33" i="29"/>
  <c r="AU33" i="29"/>
  <c r="AT33" i="29"/>
  <c r="AO33" i="29"/>
  <c r="AN33" i="29"/>
  <c r="AM33" i="29"/>
  <c r="AL33" i="29"/>
  <c r="AH33" i="29"/>
  <c r="R27" i="44" s="1"/>
  <c r="V33" i="29"/>
  <c r="BM32" i="29"/>
  <c r="BM38" i="29" s="1"/>
  <c r="BM75" i="29" s="1"/>
  <c r="BF32" i="29"/>
  <c r="AY32" i="29"/>
  <c r="AY38" i="29" s="1"/>
  <c r="AO32" i="29"/>
  <c r="AL32" i="29"/>
  <c r="X32" i="29"/>
  <c r="AN32" i="29" s="1"/>
  <c r="V32" i="29"/>
  <c r="BF31" i="29"/>
  <c r="BA31" i="29"/>
  <c r="BL31" i="29" s="1"/>
  <c r="AR31" i="29"/>
  <c r="AO31" i="29"/>
  <c r="AG31" i="29"/>
  <c r="AG38" i="29" s="1"/>
  <c r="V31" i="29"/>
  <c r="BA30" i="29"/>
  <c r="BL30" i="29" s="1"/>
  <c r="AR30" i="29"/>
  <c r="AT30" i="29" s="1"/>
  <c r="AU30" i="29" s="1"/>
  <c r="AO30" i="29"/>
  <c r="AN30" i="29"/>
  <c r="AM30" i="29"/>
  <c r="AH30" i="29"/>
  <c r="AL30" i="29" s="1"/>
  <c r="V30" i="29"/>
  <c r="BA29" i="29"/>
  <c r="BL29" i="29" s="1"/>
  <c r="AU29" i="29"/>
  <c r="AT29" i="29"/>
  <c r="AR29" i="29"/>
  <c r="AO29" i="29"/>
  <c r="AN29" i="29"/>
  <c r="AM29" i="29"/>
  <c r="AH29" i="29"/>
  <c r="AL29" i="29" s="1"/>
  <c r="V29" i="29"/>
  <c r="BL28" i="29"/>
  <c r="BA28" i="29"/>
  <c r="AT28" i="29"/>
  <c r="AU28" i="29" s="1"/>
  <c r="AR28" i="29"/>
  <c r="AO28" i="29"/>
  <c r="AN28" i="29"/>
  <c r="AM28" i="29"/>
  <c r="AL28" i="29"/>
  <c r="AH28" i="29"/>
  <c r="V28" i="29"/>
  <c r="BL27" i="29"/>
  <c r="BA27" i="29"/>
  <c r="AR27" i="29"/>
  <c r="AT27" i="29" s="1"/>
  <c r="AU27" i="29" s="1"/>
  <c r="AO27" i="29"/>
  <c r="AN27" i="29"/>
  <c r="AM27" i="29"/>
  <c r="AL27" i="29"/>
  <c r="AH27" i="29"/>
  <c r="V27" i="29"/>
  <c r="BL26" i="29"/>
  <c r="AU26" i="29"/>
  <c r="AT26" i="29"/>
  <c r="AO26" i="29"/>
  <c r="AN26" i="29"/>
  <c r="AM26" i="29"/>
  <c r="AL26" i="29"/>
  <c r="AH26" i="29"/>
  <c r="V26" i="29"/>
  <c r="BL25" i="29"/>
  <c r="AO25" i="29"/>
  <c r="AN25" i="29"/>
  <c r="X25" i="29"/>
  <c r="AT25" i="29" s="1"/>
  <c r="AU25" i="29" s="1"/>
  <c r="V25" i="29"/>
  <c r="T25" i="29"/>
  <c r="S25" i="29"/>
  <c r="Z95" i="29" s="1"/>
  <c r="BL24" i="29"/>
  <c r="AR24" i="29"/>
  <c r="AR92" i="29" s="1"/>
  <c r="AO24" i="29"/>
  <c r="AN24" i="29"/>
  <c r="X24" i="29"/>
  <c r="X95" i="29" s="1"/>
  <c r="V24" i="29"/>
  <c r="BL23" i="29"/>
  <c r="AR23" i="29"/>
  <c r="G20" i="44" s="1"/>
  <c r="AO23" i="29"/>
  <c r="AN23" i="29"/>
  <c r="AH23" i="29"/>
  <c r="R20" i="44" s="1"/>
  <c r="R71" i="44" s="1"/>
  <c r="V23" i="29"/>
  <c r="BL22" i="29"/>
  <c r="AT22" i="29"/>
  <c r="AU22" i="29" s="1"/>
  <c r="AR22" i="29"/>
  <c r="AO22" i="29"/>
  <c r="AN22" i="29"/>
  <c r="AL22" i="29"/>
  <c r="V22" i="29"/>
  <c r="BL21" i="29"/>
  <c r="AT21" i="29"/>
  <c r="AU21" i="29" s="1"/>
  <c r="AR21" i="29"/>
  <c r="AO21" i="29"/>
  <c r="AN21" i="29"/>
  <c r="AL21" i="29"/>
  <c r="AH21" i="29"/>
  <c r="V21" i="29"/>
  <c r="BL20" i="29"/>
  <c r="AU20" i="29"/>
  <c r="AT20" i="29"/>
  <c r="AO20" i="29"/>
  <c r="AN20" i="29"/>
  <c r="AL20" i="29"/>
  <c r="AH20" i="29"/>
  <c r="R19" i="44" s="1"/>
  <c r="V20" i="29"/>
  <c r="BL19" i="29"/>
  <c r="AU19" i="29"/>
  <c r="AT19" i="29"/>
  <c r="AR19" i="29"/>
  <c r="AO19" i="29"/>
  <c r="AN19" i="29"/>
  <c r="AL19" i="29"/>
  <c r="AH19" i="29"/>
  <c r="R18" i="44" s="1"/>
  <c r="V19" i="29"/>
  <c r="BL18" i="29"/>
  <c r="AR18" i="29"/>
  <c r="AT18" i="29" s="1"/>
  <c r="AU18" i="29" s="1"/>
  <c r="AO18" i="29"/>
  <c r="AN18" i="29"/>
  <c r="AH18" i="29"/>
  <c r="R16" i="44" s="1"/>
  <c r="V18" i="29"/>
  <c r="BL17" i="29"/>
  <c r="AZ17" i="29"/>
  <c r="K15" i="44" s="1"/>
  <c r="AT17" i="29"/>
  <c r="AU17" i="29" s="1"/>
  <c r="AR17" i="29"/>
  <c r="AO17" i="29"/>
  <c r="AN17" i="29"/>
  <c r="AL17" i="29"/>
  <c r="AH17" i="29"/>
  <c r="R15" i="44" s="1"/>
  <c r="V17" i="29"/>
  <c r="BL16" i="29"/>
  <c r="AR16" i="29"/>
  <c r="AO16" i="29"/>
  <c r="AN16" i="29"/>
  <c r="X16" i="29"/>
  <c r="AT16" i="29" s="1"/>
  <c r="AU16" i="29" s="1"/>
  <c r="V16" i="29"/>
  <c r="V38" i="29" s="1"/>
  <c r="BL15" i="29"/>
  <c r="AR15" i="29"/>
  <c r="AO15" i="29"/>
  <c r="AH15" i="29"/>
  <c r="X15" i="29"/>
  <c r="AN15" i="29" s="1"/>
  <c r="V15" i="29"/>
  <c r="BM13" i="29"/>
  <c r="BK13" i="29"/>
  <c r="BJ13" i="29"/>
  <c r="BI13" i="29"/>
  <c r="BG13" i="29"/>
  <c r="BF13" i="29"/>
  <c r="BE13" i="29"/>
  <c r="BD13" i="29"/>
  <c r="BC13" i="29"/>
  <c r="BB13" i="29"/>
  <c r="BA13" i="29"/>
  <c r="AZ13" i="29"/>
  <c r="AY13" i="29"/>
  <c r="AW13" i="29"/>
  <c r="AS13" i="29"/>
  <c r="AQ13" i="29"/>
  <c r="AP13" i="29"/>
  <c r="AJ13" i="29"/>
  <c r="AH13" i="29"/>
  <c r="AG13" i="29"/>
  <c r="AF13" i="29"/>
  <c r="AE13" i="29"/>
  <c r="AD13" i="29"/>
  <c r="AC13" i="29"/>
  <c r="AB13" i="29"/>
  <c r="AA13" i="29"/>
  <c r="X13" i="29"/>
  <c r="U13" i="29"/>
  <c r="T13" i="29"/>
  <c r="S13" i="29"/>
  <c r="R13" i="29"/>
  <c r="Q13" i="29"/>
  <c r="BL12" i="29"/>
  <c r="AU12" i="29"/>
  <c r="AT12" i="29"/>
  <c r="AR12" i="29"/>
  <c r="AO12" i="29"/>
  <c r="AN12" i="29"/>
  <c r="AL12" i="29"/>
  <c r="AH12" i="29"/>
  <c r="R11" i="44" s="1"/>
  <c r="V12" i="29"/>
  <c r="BL11" i="29"/>
  <c r="AR11" i="29"/>
  <c r="AT11" i="29" s="1"/>
  <c r="AU11" i="29" s="1"/>
  <c r="AO11" i="29"/>
  <c r="AN11" i="29"/>
  <c r="AL11" i="29"/>
  <c r="V11" i="29"/>
  <c r="BL10" i="29"/>
  <c r="AR10" i="29"/>
  <c r="AO10" i="29"/>
  <c r="AL10" i="29"/>
  <c r="X10" i="29"/>
  <c r="AN10" i="29" s="1"/>
  <c r="V10" i="29"/>
  <c r="BL9" i="29"/>
  <c r="AR9" i="29"/>
  <c r="AT9" i="29" s="1"/>
  <c r="AU9" i="29" s="1"/>
  <c r="AO9" i="29"/>
  <c r="AN9" i="29"/>
  <c r="AL9" i="29"/>
  <c r="V9" i="29"/>
  <c r="AT8" i="29"/>
  <c r="AR8" i="29"/>
  <c r="AR95" i="29" s="1"/>
  <c r="AO8" i="29"/>
  <c r="AN8" i="29"/>
  <c r="AL8" i="29"/>
  <c r="AL84" i="29" s="1"/>
  <c r="AH8" i="29"/>
  <c r="X8" i="29"/>
  <c r="V8" i="29"/>
  <c r="V13" i="29" s="1"/>
  <c r="BM6" i="29"/>
  <c r="BK6" i="29"/>
  <c r="BJ6" i="29"/>
  <c r="BI6" i="29"/>
  <c r="BH6" i="29"/>
  <c r="BG6" i="29"/>
  <c r="BF6" i="29"/>
  <c r="BE6" i="29"/>
  <c r="BD6" i="29"/>
  <c r="BC6" i="29"/>
  <c r="BB6" i="29"/>
  <c r="BA6" i="29"/>
  <c r="AZ6" i="29"/>
  <c r="AY6" i="29"/>
  <c r="AW6" i="29"/>
  <c r="AS6" i="29"/>
  <c r="AQ6" i="29"/>
  <c r="AP6" i="29"/>
  <c r="AJ6" i="29"/>
  <c r="AG6" i="29"/>
  <c r="AF6" i="29"/>
  <c r="AF74" i="29" s="1"/>
  <c r="AE6" i="29"/>
  <c r="AD6" i="29"/>
  <c r="AC6" i="29"/>
  <c r="AB6" i="29"/>
  <c r="AA6" i="29"/>
  <c r="X6" i="29"/>
  <c r="T6" i="29"/>
  <c r="S6" i="29"/>
  <c r="R6" i="29"/>
  <c r="Q6" i="29"/>
  <c r="U3" i="29" s="1"/>
  <c r="U6" i="29" s="1"/>
  <c r="BL5" i="29"/>
  <c r="AR5" i="29"/>
  <c r="AT5" i="29" s="1"/>
  <c r="AU5" i="29" s="1"/>
  <c r="AO5" i="29"/>
  <c r="AN5" i="29"/>
  <c r="AH5" i="29"/>
  <c r="R7" i="44" s="1"/>
  <c r="V5" i="29"/>
  <c r="BL4" i="29"/>
  <c r="AR4" i="29"/>
  <c r="AT4" i="29" s="1"/>
  <c r="AU4" i="29" s="1"/>
  <c r="AN4" i="29"/>
  <c r="AL4" i="29"/>
  <c r="V4" i="29"/>
  <c r="BL3" i="29"/>
  <c r="BL6" i="29" s="1"/>
  <c r="AR3" i="29"/>
  <c r="AR6" i="29" s="1"/>
  <c r="AO3" i="29"/>
  <c r="AN3" i="29"/>
  <c r="AN6" i="29" s="1"/>
  <c r="AH3" i="29"/>
  <c r="AL3" i="29" s="1"/>
  <c r="V3" i="29"/>
  <c r="V6" i="29" s="1"/>
  <c r="S76" i="36"/>
  <c r="Q76" i="36"/>
  <c r="O76" i="36"/>
  <c r="N76" i="36"/>
  <c r="M76" i="36"/>
  <c r="L76" i="36"/>
  <c r="K76" i="36"/>
  <c r="J76" i="36"/>
  <c r="I76" i="36"/>
  <c r="H76" i="36"/>
  <c r="E76" i="36"/>
  <c r="S75" i="36"/>
  <c r="Q75" i="36"/>
  <c r="O75" i="36"/>
  <c r="N75" i="36"/>
  <c r="M75" i="36"/>
  <c r="L75" i="36"/>
  <c r="K75" i="36"/>
  <c r="J75" i="36"/>
  <c r="I75" i="36"/>
  <c r="H75" i="36"/>
  <c r="E75" i="36"/>
  <c r="S74" i="36"/>
  <c r="Q74" i="36"/>
  <c r="O74" i="36"/>
  <c r="N74" i="36"/>
  <c r="M74" i="36"/>
  <c r="L74" i="36"/>
  <c r="K74" i="36"/>
  <c r="J74" i="36"/>
  <c r="I74" i="36"/>
  <c r="H74" i="36"/>
  <c r="E74" i="36"/>
  <c r="S73" i="36"/>
  <c r="Q73" i="36"/>
  <c r="O73" i="36"/>
  <c r="N73" i="36"/>
  <c r="M73" i="36"/>
  <c r="L73" i="36"/>
  <c r="K73" i="36"/>
  <c r="J73" i="36"/>
  <c r="I73" i="36"/>
  <c r="H73" i="36"/>
  <c r="E73" i="36"/>
  <c r="S72" i="36"/>
  <c r="Q72" i="36"/>
  <c r="O72" i="36"/>
  <c r="N72" i="36"/>
  <c r="M72" i="36"/>
  <c r="L72" i="36"/>
  <c r="K72" i="36"/>
  <c r="J72" i="36"/>
  <c r="I72" i="36"/>
  <c r="H72" i="36"/>
  <c r="E72" i="36"/>
  <c r="S71" i="36"/>
  <c r="Q71" i="36"/>
  <c r="O71" i="36"/>
  <c r="N71" i="36"/>
  <c r="M71" i="36"/>
  <c r="L71" i="36"/>
  <c r="K71" i="36"/>
  <c r="J71" i="36"/>
  <c r="I71" i="36"/>
  <c r="H71" i="36"/>
  <c r="E71" i="36"/>
  <c r="S70" i="36"/>
  <c r="Q70" i="36"/>
  <c r="O70" i="36"/>
  <c r="N70" i="36"/>
  <c r="M70" i="36"/>
  <c r="L70" i="36"/>
  <c r="K70" i="36"/>
  <c r="J70" i="36"/>
  <c r="I70" i="36"/>
  <c r="H70" i="36"/>
  <c r="E70" i="36"/>
  <c r="S69" i="36"/>
  <c r="Q69" i="36"/>
  <c r="O69" i="36"/>
  <c r="N69" i="36"/>
  <c r="M69" i="36"/>
  <c r="L69" i="36"/>
  <c r="K69" i="36"/>
  <c r="J69" i="36"/>
  <c r="I69" i="36"/>
  <c r="H69" i="36"/>
  <c r="E69" i="36"/>
  <c r="S68" i="36"/>
  <c r="Q68" i="36"/>
  <c r="O68" i="36"/>
  <c r="N68" i="36"/>
  <c r="M68" i="36"/>
  <c r="L68" i="36"/>
  <c r="K68" i="36"/>
  <c r="J68" i="36"/>
  <c r="I68" i="36"/>
  <c r="H68" i="36"/>
  <c r="E68" i="36"/>
  <c r="S65" i="36"/>
  <c r="Q65" i="36"/>
  <c r="O65" i="36"/>
  <c r="N65" i="36"/>
  <c r="M65" i="36"/>
  <c r="L65" i="36"/>
  <c r="K65" i="36"/>
  <c r="J65" i="36"/>
  <c r="I65" i="36"/>
  <c r="H65" i="36"/>
  <c r="E65" i="36"/>
  <c r="S64" i="36"/>
  <c r="R64" i="36"/>
  <c r="Q64" i="36"/>
  <c r="P64" i="36"/>
  <c r="O64" i="36"/>
  <c r="N64" i="36"/>
  <c r="M64" i="36"/>
  <c r="L64" i="36"/>
  <c r="K64" i="36"/>
  <c r="J64" i="36"/>
  <c r="I64" i="36"/>
  <c r="H64" i="36"/>
  <c r="S63" i="36"/>
  <c r="F63" i="36"/>
  <c r="C63" i="36"/>
  <c r="S62" i="36"/>
  <c r="F62" i="36"/>
  <c r="C62" i="36"/>
  <c r="S61" i="36"/>
  <c r="R61" i="36"/>
  <c r="Q61" i="36"/>
  <c r="P61" i="36"/>
  <c r="O61" i="36"/>
  <c r="N61" i="36"/>
  <c r="M61" i="36"/>
  <c r="L61" i="36"/>
  <c r="K61" i="36"/>
  <c r="J61" i="36"/>
  <c r="I61" i="36"/>
  <c r="H61" i="36"/>
  <c r="S60" i="36"/>
  <c r="R60" i="36"/>
  <c r="Q60" i="36"/>
  <c r="P60" i="36"/>
  <c r="O60" i="36"/>
  <c r="N60" i="36"/>
  <c r="M60" i="36"/>
  <c r="L60" i="36"/>
  <c r="K60" i="36"/>
  <c r="J60" i="36"/>
  <c r="I60" i="36"/>
  <c r="H60" i="36"/>
  <c r="S59" i="36"/>
  <c r="F59" i="36"/>
  <c r="C59" i="36"/>
  <c r="S58" i="36"/>
  <c r="Q58" i="36"/>
  <c r="O58" i="36"/>
  <c r="N58" i="36"/>
  <c r="M58" i="36"/>
  <c r="L58" i="36"/>
  <c r="K58" i="36"/>
  <c r="J58" i="36"/>
  <c r="I58" i="36"/>
  <c r="H58" i="36"/>
  <c r="E58" i="36"/>
  <c r="S57" i="36"/>
  <c r="R57" i="36"/>
  <c r="Q57" i="36"/>
  <c r="P57" i="36"/>
  <c r="O57" i="36"/>
  <c r="N57" i="36"/>
  <c r="M57" i="36"/>
  <c r="L57" i="36"/>
  <c r="K57" i="36"/>
  <c r="J57" i="36"/>
  <c r="I57" i="36"/>
  <c r="H57" i="36"/>
  <c r="S56" i="36"/>
  <c r="Q56" i="36"/>
  <c r="O56" i="36"/>
  <c r="N56" i="36"/>
  <c r="M56" i="36"/>
  <c r="L56" i="36"/>
  <c r="K56" i="36"/>
  <c r="J56" i="36"/>
  <c r="I56" i="36"/>
  <c r="H56" i="36"/>
  <c r="E56" i="36"/>
  <c r="S55" i="36"/>
  <c r="Q55" i="36"/>
  <c r="O55" i="36"/>
  <c r="N55" i="36"/>
  <c r="M55" i="36"/>
  <c r="L55" i="36"/>
  <c r="K55" i="36"/>
  <c r="J55" i="36"/>
  <c r="I55" i="36"/>
  <c r="H55" i="36"/>
  <c r="E55" i="36"/>
  <c r="S54" i="36"/>
  <c r="R54" i="36"/>
  <c r="Q54" i="36"/>
  <c r="P54" i="36"/>
  <c r="O54" i="36"/>
  <c r="N54" i="36"/>
  <c r="M54" i="36"/>
  <c r="L54" i="36"/>
  <c r="K54" i="36"/>
  <c r="J54" i="36"/>
  <c r="I54" i="36"/>
  <c r="H54" i="36"/>
  <c r="S53" i="36"/>
  <c r="R53" i="36"/>
  <c r="Q53" i="36"/>
  <c r="P53" i="36"/>
  <c r="O53" i="36"/>
  <c r="N53" i="36"/>
  <c r="M53" i="36"/>
  <c r="L53" i="36"/>
  <c r="K53" i="36"/>
  <c r="J53" i="36"/>
  <c r="I53" i="36"/>
  <c r="H53" i="36"/>
  <c r="S52" i="36"/>
  <c r="R52" i="36"/>
  <c r="Q52" i="36"/>
  <c r="P52" i="36"/>
  <c r="O52" i="36"/>
  <c r="N52" i="36"/>
  <c r="M52" i="36"/>
  <c r="L52" i="36"/>
  <c r="K52" i="36"/>
  <c r="J52" i="36"/>
  <c r="I52" i="36"/>
  <c r="H52" i="36"/>
  <c r="S51" i="36"/>
  <c r="Q51" i="36"/>
  <c r="O51" i="36"/>
  <c r="N51" i="36"/>
  <c r="M51" i="36"/>
  <c r="L51" i="36"/>
  <c r="K51" i="36"/>
  <c r="J51" i="36"/>
  <c r="I51" i="36"/>
  <c r="H51" i="36"/>
  <c r="E51" i="36"/>
  <c r="S50" i="36"/>
  <c r="R50" i="36"/>
  <c r="Q50" i="36"/>
  <c r="P50" i="36"/>
  <c r="O50" i="36"/>
  <c r="N50" i="36"/>
  <c r="M50" i="36"/>
  <c r="L50" i="36"/>
  <c r="K50" i="36"/>
  <c r="J50" i="36"/>
  <c r="I50" i="36"/>
  <c r="H50" i="36"/>
  <c r="S49" i="36"/>
  <c r="R49" i="36"/>
  <c r="Q49" i="36"/>
  <c r="P49" i="36"/>
  <c r="O49" i="36"/>
  <c r="N49" i="36"/>
  <c r="M49" i="36"/>
  <c r="L49" i="36"/>
  <c r="K49" i="36"/>
  <c r="J49" i="36"/>
  <c r="I49" i="36"/>
  <c r="H49" i="36"/>
  <c r="S48" i="36"/>
  <c r="Q48" i="36"/>
  <c r="O48" i="36"/>
  <c r="N48" i="36"/>
  <c r="M48" i="36"/>
  <c r="L48" i="36"/>
  <c r="K48" i="36"/>
  <c r="J48" i="36"/>
  <c r="I48" i="36"/>
  <c r="H48" i="36"/>
  <c r="E48" i="36"/>
  <c r="S47" i="36"/>
  <c r="Q47" i="36"/>
  <c r="O47" i="36"/>
  <c r="N47" i="36"/>
  <c r="M47" i="36"/>
  <c r="L47" i="36"/>
  <c r="K47" i="36"/>
  <c r="J47" i="36"/>
  <c r="I47" i="36"/>
  <c r="H47" i="36"/>
  <c r="E47" i="36"/>
  <c r="S46" i="36"/>
  <c r="R46" i="36"/>
  <c r="Q46" i="36"/>
  <c r="P46" i="36"/>
  <c r="O46" i="36"/>
  <c r="N46" i="36"/>
  <c r="M46" i="36"/>
  <c r="L46" i="36"/>
  <c r="K46" i="36"/>
  <c r="J46" i="36"/>
  <c r="I46" i="36"/>
  <c r="H46" i="36"/>
  <c r="S45" i="36"/>
  <c r="R45" i="36"/>
  <c r="Q45" i="36"/>
  <c r="P45" i="36"/>
  <c r="O45" i="36"/>
  <c r="N45" i="36"/>
  <c r="M45" i="36"/>
  <c r="L45" i="36"/>
  <c r="K45" i="36"/>
  <c r="J45" i="36"/>
  <c r="I45" i="36"/>
  <c r="H45" i="36"/>
  <c r="S44" i="36"/>
  <c r="R44" i="36"/>
  <c r="Q44" i="36"/>
  <c r="P44" i="36"/>
  <c r="O44" i="36"/>
  <c r="N44" i="36"/>
  <c r="M44" i="36"/>
  <c r="L44" i="36"/>
  <c r="K44" i="36"/>
  <c r="J44" i="36"/>
  <c r="I44" i="36"/>
  <c r="H44" i="36"/>
  <c r="S43" i="36"/>
  <c r="Q43" i="36"/>
  <c r="O43" i="36"/>
  <c r="N43" i="36"/>
  <c r="M43" i="36"/>
  <c r="L43" i="36"/>
  <c r="K43" i="36"/>
  <c r="J43" i="36"/>
  <c r="I43" i="36"/>
  <c r="H43" i="36"/>
  <c r="E43" i="36"/>
  <c r="S42" i="36"/>
  <c r="Q42" i="36"/>
  <c r="O42" i="36"/>
  <c r="N42" i="36"/>
  <c r="M42" i="36"/>
  <c r="L42" i="36"/>
  <c r="K42" i="36"/>
  <c r="J42" i="36"/>
  <c r="I42" i="36"/>
  <c r="H42" i="36"/>
  <c r="E42" i="36"/>
  <c r="S41" i="36"/>
  <c r="R41" i="36"/>
  <c r="Q41" i="36"/>
  <c r="P41" i="36"/>
  <c r="O41" i="36"/>
  <c r="N41" i="36"/>
  <c r="M41" i="36"/>
  <c r="L41" i="36"/>
  <c r="K41" i="36"/>
  <c r="J41" i="36"/>
  <c r="I41" i="36"/>
  <c r="H41" i="36"/>
  <c r="S40" i="36"/>
  <c r="R40" i="36"/>
  <c r="Q40" i="36"/>
  <c r="P40" i="36"/>
  <c r="O40" i="36"/>
  <c r="N40" i="36"/>
  <c r="M40" i="36"/>
  <c r="L40" i="36"/>
  <c r="K40" i="36"/>
  <c r="J40" i="36"/>
  <c r="I40" i="36"/>
  <c r="H40" i="36"/>
  <c r="S39" i="36"/>
  <c r="R39" i="36"/>
  <c r="Q39" i="36"/>
  <c r="P39" i="36"/>
  <c r="O39" i="36"/>
  <c r="N39" i="36"/>
  <c r="M39" i="36"/>
  <c r="L39" i="36"/>
  <c r="K39" i="36"/>
  <c r="J39" i="36"/>
  <c r="I39" i="36"/>
  <c r="H39" i="36"/>
  <c r="S38" i="36"/>
  <c r="R38" i="36"/>
  <c r="Q38" i="36"/>
  <c r="P38" i="36"/>
  <c r="O38" i="36"/>
  <c r="N38" i="36"/>
  <c r="M38" i="36"/>
  <c r="L38" i="36"/>
  <c r="K38" i="36"/>
  <c r="J38" i="36"/>
  <c r="I38" i="36"/>
  <c r="H38" i="36"/>
  <c r="S37" i="36"/>
  <c r="Q37" i="36"/>
  <c r="O37" i="36"/>
  <c r="N37" i="36"/>
  <c r="M37" i="36"/>
  <c r="L37" i="36"/>
  <c r="K37" i="36"/>
  <c r="J37" i="36"/>
  <c r="I37" i="36"/>
  <c r="H37" i="36"/>
  <c r="E37" i="36"/>
  <c r="S36" i="36"/>
  <c r="R36" i="36"/>
  <c r="Q36" i="36"/>
  <c r="P36" i="36"/>
  <c r="O36" i="36"/>
  <c r="N36" i="36"/>
  <c r="M36" i="36"/>
  <c r="L36" i="36"/>
  <c r="K36" i="36"/>
  <c r="J36" i="36"/>
  <c r="I36" i="36"/>
  <c r="H36" i="36"/>
  <c r="S35" i="36"/>
  <c r="R35" i="36"/>
  <c r="Q35" i="36"/>
  <c r="P35" i="36"/>
  <c r="O35" i="36"/>
  <c r="N35" i="36"/>
  <c r="M35" i="36"/>
  <c r="L35" i="36"/>
  <c r="K35" i="36"/>
  <c r="J35" i="36"/>
  <c r="I35" i="36"/>
  <c r="H35" i="36"/>
  <c r="S34" i="36"/>
  <c r="Q34" i="36"/>
  <c r="O34" i="36"/>
  <c r="N34" i="36"/>
  <c r="M34" i="36"/>
  <c r="L34" i="36"/>
  <c r="K34" i="36"/>
  <c r="J34" i="36"/>
  <c r="I34" i="36"/>
  <c r="H34" i="36"/>
  <c r="E34" i="36"/>
  <c r="S33" i="36"/>
  <c r="Q33" i="36"/>
  <c r="O33" i="36"/>
  <c r="N33" i="36"/>
  <c r="M33" i="36"/>
  <c r="L33" i="36"/>
  <c r="K33" i="36"/>
  <c r="J33" i="36"/>
  <c r="I33" i="36"/>
  <c r="H33" i="36"/>
  <c r="E33" i="36"/>
  <c r="S32" i="36"/>
  <c r="R32" i="36"/>
  <c r="Q32" i="36"/>
  <c r="P32" i="36"/>
  <c r="O32" i="36"/>
  <c r="N32" i="36"/>
  <c r="M32" i="36"/>
  <c r="L32" i="36"/>
  <c r="K32" i="36"/>
  <c r="J32" i="36"/>
  <c r="I32" i="36"/>
  <c r="H32" i="36"/>
  <c r="S31" i="36"/>
  <c r="R31" i="36"/>
  <c r="Q31" i="36"/>
  <c r="P31" i="36"/>
  <c r="O31" i="36"/>
  <c r="N31" i="36"/>
  <c r="M31" i="36"/>
  <c r="L31" i="36"/>
  <c r="K31" i="36"/>
  <c r="J31" i="36"/>
  <c r="I31" i="36"/>
  <c r="H31" i="36"/>
  <c r="S30" i="36"/>
  <c r="Q30" i="36"/>
  <c r="O30" i="36"/>
  <c r="N30" i="36"/>
  <c r="M30" i="36"/>
  <c r="L30" i="36"/>
  <c r="K30" i="36"/>
  <c r="J30" i="36"/>
  <c r="I30" i="36"/>
  <c r="H30" i="36"/>
  <c r="E30" i="36"/>
  <c r="S29" i="36"/>
  <c r="R29" i="36"/>
  <c r="Q29" i="36"/>
  <c r="P29" i="36"/>
  <c r="O29" i="36"/>
  <c r="N29" i="36"/>
  <c r="M29" i="36"/>
  <c r="L29" i="36"/>
  <c r="K29" i="36"/>
  <c r="J29" i="36"/>
  <c r="I29" i="36"/>
  <c r="H29" i="36"/>
  <c r="S28" i="36"/>
  <c r="R28" i="36"/>
  <c r="Q28" i="36"/>
  <c r="P28" i="36"/>
  <c r="O28" i="36"/>
  <c r="N28" i="36"/>
  <c r="M28" i="36"/>
  <c r="L28" i="36"/>
  <c r="K28" i="36"/>
  <c r="J28" i="36"/>
  <c r="I28" i="36"/>
  <c r="H28" i="36"/>
  <c r="S27" i="36"/>
  <c r="R27" i="36"/>
  <c r="Q27" i="36"/>
  <c r="P27" i="36"/>
  <c r="O27" i="36"/>
  <c r="N27" i="36"/>
  <c r="M27" i="36"/>
  <c r="L27" i="36"/>
  <c r="K27" i="36"/>
  <c r="J27" i="36"/>
  <c r="I27" i="36"/>
  <c r="H27" i="36"/>
  <c r="S26" i="36"/>
  <c r="R26" i="36"/>
  <c r="Q26" i="36"/>
  <c r="P26" i="36"/>
  <c r="O26" i="36"/>
  <c r="N26" i="36"/>
  <c r="M26" i="36"/>
  <c r="L26" i="36"/>
  <c r="K26" i="36"/>
  <c r="J26" i="36"/>
  <c r="I26" i="36"/>
  <c r="H26" i="36"/>
  <c r="S25" i="36"/>
  <c r="R25" i="36"/>
  <c r="Q25" i="36"/>
  <c r="P25" i="36"/>
  <c r="O25" i="36"/>
  <c r="N25" i="36"/>
  <c r="M25" i="36"/>
  <c r="L25" i="36"/>
  <c r="K25" i="36"/>
  <c r="J25" i="36"/>
  <c r="I25" i="36"/>
  <c r="H25" i="36"/>
  <c r="S24" i="36"/>
  <c r="R24" i="36"/>
  <c r="Q24" i="36"/>
  <c r="P24" i="36"/>
  <c r="O24" i="36"/>
  <c r="N24" i="36"/>
  <c r="M24" i="36"/>
  <c r="L24" i="36"/>
  <c r="K24" i="36"/>
  <c r="J24" i="36"/>
  <c r="I24" i="36"/>
  <c r="H24" i="36"/>
  <c r="S23" i="36"/>
  <c r="R23" i="36"/>
  <c r="Q23" i="36"/>
  <c r="P23" i="36"/>
  <c r="O23" i="36"/>
  <c r="N23" i="36"/>
  <c r="M23" i="36"/>
  <c r="L23" i="36"/>
  <c r="K23" i="36"/>
  <c r="J23" i="36"/>
  <c r="I23" i="36"/>
  <c r="H23" i="36"/>
  <c r="S22" i="36"/>
  <c r="Q22" i="36"/>
  <c r="O22" i="36"/>
  <c r="N22" i="36"/>
  <c r="M22" i="36"/>
  <c r="L22" i="36"/>
  <c r="K22" i="36"/>
  <c r="J22" i="36"/>
  <c r="I22" i="36"/>
  <c r="H22" i="36"/>
  <c r="E22" i="36"/>
  <c r="S21" i="36"/>
  <c r="R21" i="36"/>
  <c r="Q21" i="36"/>
  <c r="P21" i="36"/>
  <c r="O21" i="36"/>
  <c r="N21" i="36"/>
  <c r="M21" i="36"/>
  <c r="L21" i="36"/>
  <c r="K21" i="36"/>
  <c r="J21" i="36"/>
  <c r="I21" i="36"/>
  <c r="H21" i="36"/>
  <c r="S20" i="36"/>
  <c r="R20" i="36"/>
  <c r="Q20" i="36"/>
  <c r="P20" i="36"/>
  <c r="O20" i="36"/>
  <c r="N20" i="36"/>
  <c r="M20" i="36"/>
  <c r="L20" i="36"/>
  <c r="K20" i="36"/>
  <c r="J20" i="36"/>
  <c r="I20" i="36"/>
  <c r="H20" i="36"/>
  <c r="S19" i="36"/>
  <c r="R19" i="36"/>
  <c r="Q19" i="36"/>
  <c r="P19" i="36"/>
  <c r="O19" i="36"/>
  <c r="N19" i="36"/>
  <c r="M19" i="36"/>
  <c r="L19" i="36"/>
  <c r="K19" i="36"/>
  <c r="J19" i="36"/>
  <c r="I19" i="36"/>
  <c r="H19" i="36"/>
  <c r="S18" i="36"/>
  <c r="R18" i="36"/>
  <c r="Q18" i="36"/>
  <c r="P18" i="36"/>
  <c r="O18" i="36"/>
  <c r="N18" i="36"/>
  <c r="M18" i="36"/>
  <c r="L18" i="36"/>
  <c r="K18" i="36"/>
  <c r="J18" i="36"/>
  <c r="I18" i="36"/>
  <c r="H18" i="36"/>
  <c r="S17" i="36"/>
  <c r="Q17" i="36"/>
  <c r="O17" i="36"/>
  <c r="N17" i="36"/>
  <c r="M17" i="36"/>
  <c r="L17" i="36"/>
  <c r="K17" i="36"/>
  <c r="J17" i="36"/>
  <c r="I17" i="36"/>
  <c r="H17" i="36"/>
  <c r="E17" i="36"/>
  <c r="S16" i="36"/>
  <c r="R16" i="36"/>
  <c r="Q16" i="36"/>
  <c r="P16" i="36"/>
  <c r="O16" i="36"/>
  <c r="N16" i="36"/>
  <c r="M16" i="36"/>
  <c r="L16" i="36"/>
  <c r="K16" i="36"/>
  <c r="J16" i="36"/>
  <c r="I16" i="36"/>
  <c r="H16" i="36"/>
  <c r="S15" i="36"/>
  <c r="R15" i="36"/>
  <c r="Q15" i="36"/>
  <c r="P15" i="36"/>
  <c r="O15" i="36"/>
  <c r="N15" i="36"/>
  <c r="M15" i="36"/>
  <c r="L15" i="36"/>
  <c r="K15" i="36"/>
  <c r="J15" i="36"/>
  <c r="I15" i="36"/>
  <c r="H15" i="36"/>
  <c r="S14" i="36"/>
  <c r="R14" i="36"/>
  <c r="Q14" i="36"/>
  <c r="P14" i="36"/>
  <c r="O14" i="36"/>
  <c r="N14" i="36"/>
  <c r="M14" i="36"/>
  <c r="L14" i="36"/>
  <c r="K14" i="36"/>
  <c r="J14" i="36"/>
  <c r="I14" i="36"/>
  <c r="H14" i="36"/>
  <c r="S13" i="36"/>
  <c r="Q13" i="36"/>
  <c r="O13" i="36"/>
  <c r="N13" i="36"/>
  <c r="M13" i="36"/>
  <c r="L13" i="36"/>
  <c r="K13" i="36"/>
  <c r="J13" i="36"/>
  <c r="I13" i="36"/>
  <c r="H13" i="36"/>
  <c r="E13" i="36"/>
  <c r="S12" i="36"/>
  <c r="Q12" i="36"/>
  <c r="O12" i="36"/>
  <c r="N12" i="36"/>
  <c r="M12" i="36"/>
  <c r="L12" i="36"/>
  <c r="K12" i="36"/>
  <c r="J12" i="36"/>
  <c r="I12" i="36"/>
  <c r="H12" i="36"/>
  <c r="E12" i="36"/>
  <c r="S11" i="36"/>
  <c r="R11" i="36"/>
  <c r="Q11" i="36"/>
  <c r="P11" i="36"/>
  <c r="O11" i="36"/>
  <c r="N11" i="36"/>
  <c r="M11" i="36"/>
  <c r="L11" i="36"/>
  <c r="K11" i="36"/>
  <c r="J11" i="36"/>
  <c r="I11" i="36"/>
  <c r="H11" i="36"/>
  <c r="S10" i="36"/>
  <c r="R10" i="36"/>
  <c r="Q10" i="36"/>
  <c r="P10" i="36"/>
  <c r="O10" i="36"/>
  <c r="N10" i="36"/>
  <c r="M10" i="36"/>
  <c r="L10" i="36"/>
  <c r="K10" i="36"/>
  <c r="J10" i="36"/>
  <c r="I10" i="36"/>
  <c r="H10" i="36"/>
  <c r="S9" i="36"/>
  <c r="Q9" i="36"/>
  <c r="O9" i="36"/>
  <c r="N9" i="36"/>
  <c r="M9" i="36"/>
  <c r="L9" i="36"/>
  <c r="K9" i="36"/>
  <c r="J9" i="36"/>
  <c r="I9" i="36"/>
  <c r="H9" i="36"/>
  <c r="E9" i="36"/>
  <c r="S8" i="36"/>
  <c r="Q8" i="36"/>
  <c r="O8" i="36"/>
  <c r="N8" i="36"/>
  <c r="M8" i="36"/>
  <c r="L8" i="36"/>
  <c r="K8" i="36"/>
  <c r="J8" i="36"/>
  <c r="I8" i="36"/>
  <c r="H8" i="36"/>
  <c r="E8" i="36"/>
  <c r="S7" i="36"/>
  <c r="R7" i="36"/>
  <c r="Q7" i="36"/>
  <c r="P7" i="36"/>
  <c r="O7" i="36"/>
  <c r="N7" i="36"/>
  <c r="M7" i="36"/>
  <c r="L7" i="36"/>
  <c r="K7" i="36"/>
  <c r="J7" i="36"/>
  <c r="I7" i="36"/>
  <c r="H7" i="36"/>
  <c r="S6" i="36"/>
  <c r="R6" i="36"/>
  <c r="Q6" i="36"/>
  <c r="P6" i="36"/>
  <c r="O6" i="36"/>
  <c r="N6" i="36"/>
  <c r="M6" i="36"/>
  <c r="L6" i="36"/>
  <c r="K6" i="36"/>
  <c r="J6" i="36"/>
  <c r="I6" i="36"/>
  <c r="H6" i="36"/>
  <c r="S5" i="36"/>
  <c r="R5" i="36"/>
  <c r="Q5" i="36"/>
  <c r="P5" i="36"/>
  <c r="O5" i="36"/>
  <c r="N5" i="36"/>
  <c r="M5" i="36"/>
  <c r="L5" i="36"/>
  <c r="K5" i="36"/>
  <c r="J5" i="36"/>
  <c r="I5" i="36"/>
  <c r="H5" i="36"/>
  <c r="S4" i="36"/>
  <c r="Q4" i="36"/>
  <c r="O4" i="36"/>
  <c r="N4" i="36"/>
  <c r="M4" i="36"/>
  <c r="L4" i="36"/>
  <c r="K4" i="36"/>
  <c r="J4" i="36"/>
  <c r="I4" i="36"/>
  <c r="H4" i="36"/>
  <c r="E4" i="36"/>
  <c r="S3" i="36"/>
  <c r="Q3" i="36"/>
  <c r="O3" i="36"/>
  <c r="N3" i="36"/>
  <c r="M3" i="36"/>
  <c r="L3" i="36"/>
  <c r="K3" i="36"/>
  <c r="J3" i="36"/>
  <c r="I3" i="36"/>
  <c r="H3" i="36"/>
  <c r="E3" i="36"/>
  <c r="Y76" i="33"/>
  <c r="W76" i="33"/>
  <c r="U76" i="33"/>
  <c r="T76" i="33"/>
  <c r="S76" i="33"/>
  <c r="R76" i="33"/>
  <c r="Q76" i="33"/>
  <c r="P76" i="33"/>
  <c r="O76" i="33"/>
  <c r="N76" i="33"/>
  <c r="L76" i="33"/>
  <c r="I76" i="33"/>
  <c r="E76" i="33"/>
  <c r="Y75" i="33"/>
  <c r="W75" i="33"/>
  <c r="U75" i="33"/>
  <c r="T75" i="33"/>
  <c r="S75" i="33"/>
  <c r="R75" i="33"/>
  <c r="Q75" i="33"/>
  <c r="P75" i="33"/>
  <c r="O75" i="33"/>
  <c r="N75" i="33"/>
  <c r="L75" i="33"/>
  <c r="I75" i="33"/>
  <c r="E75" i="33"/>
  <c r="Y74" i="33"/>
  <c r="W74" i="33"/>
  <c r="U74" i="33"/>
  <c r="T74" i="33"/>
  <c r="S74" i="33"/>
  <c r="R74" i="33"/>
  <c r="Q74" i="33"/>
  <c r="P74" i="33"/>
  <c r="O74" i="33"/>
  <c r="N74" i="33"/>
  <c r="L74" i="33"/>
  <c r="I74" i="33"/>
  <c r="E74" i="33"/>
  <c r="Y73" i="33"/>
  <c r="W73" i="33"/>
  <c r="U73" i="33"/>
  <c r="T73" i="33"/>
  <c r="S73" i="33"/>
  <c r="R73" i="33"/>
  <c r="Q73" i="33"/>
  <c r="P73" i="33"/>
  <c r="O73" i="33"/>
  <c r="N73" i="33"/>
  <c r="L73" i="33"/>
  <c r="I73" i="33"/>
  <c r="E73" i="33"/>
  <c r="Y72" i="33"/>
  <c r="W72" i="33"/>
  <c r="U72" i="33"/>
  <c r="T72" i="33"/>
  <c r="S72" i="33"/>
  <c r="R72" i="33"/>
  <c r="Q72" i="33"/>
  <c r="P72" i="33"/>
  <c r="O72" i="33"/>
  <c r="N72" i="33"/>
  <c r="L72" i="33"/>
  <c r="I72" i="33"/>
  <c r="E72" i="33"/>
  <c r="Y71" i="33"/>
  <c r="W71" i="33"/>
  <c r="U71" i="33"/>
  <c r="T71" i="33"/>
  <c r="S71" i="33"/>
  <c r="R71" i="33"/>
  <c r="Q71" i="33"/>
  <c r="P71" i="33"/>
  <c r="O71" i="33"/>
  <c r="N71" i="33"/>
  <c r="L71" i="33"/>
  <c r="I71" i="33"/>
  <c r="E71" i="33"/>
  <c r="Y70" i="33"/>
  <c r="W70" i="33"/>
  <c r="U70" i="33"/>
  <c r="T70" i="33"/>
  <c r="S70" i="33"/>
  <c r="R70" i="33"/>
  <c r="Q70" i="33"/>
  <c r="P70" i="33"/>
  <c r="O70" i="33"/>
  <c r="N70" i="33"/>
  <c r="L70" i="33"/>
  <c r="I70" i="33"/>
  <c r="E70" i="33"/>
  <c r="Y69" i="33"/>
  <c r="W69" i="33"/>
  <c r="U69" i="33"/>
  <c r="T69" i="33"/>
  <c r="S69" i="33"/>
  <c r="R69" i="33"/>
  <c r="Q69" i="33"/>
  <c r="P69" i="33"/>
  <c r="O69" i="33"/>
  <c r="N69" i="33"/>
  <c r="L69" i="33"/>
  <c r="I69" i="33"/>
  <c r="E69" i="33"/>
  <c r="Y68" i="33"/>
  <c r="W68" i="33"/>
  <c r="U68" i="33"/>
  <c r="T68" i="33"/>
  <c r="S68" i="33"/>
  <c r="R68" i="33"/>
  <c r="Q68" i="33"/>
  <c r="P68" i="33"/>
  <c r="O68" i="33"/>
  <c r="N68" i="33"/>
  <c r="L68" i="33"/>
  <c r="I68" i="33"/>
  <c r="E68" i="33"/>
  <c r="Y65" i="33"/>
  <c r="W65" i="33"/>
  <c r="U65" i="33"/>
  <c r="T65" i="33"/>
  <c r="S65" i="33"/>
  <c r="R65" i="33"/>
  <c r="Q65" i="33"/>
  <c r="P65" i="33"/>
  <c r="O65" i="33"/>
  <c r="N65" i="33"/>
  <c r="L65" i="33"/>
  <c r="I65" i="33"/>
  <c r="E65" i="33"/>
  <c r="Y64" i="33"/>
  <c r="X64" i="33"/>
  <c r="W64" i="33"/>
  <c r="V64" i="33"/>
  <c r="U64" i="33"/>
  <c r="T64" i="33"/>
  <c r="S64" i="33"/>
  <c r="R64" i="33"/>
  <c r="Q64" i="33"/>
  <c r="P64" i="33"/>
  <c r="O64" i="33"/>
  <c r="N64" i="33"/>
  <c r="C64" i="33"/>
  <c r="C64" i="36" s="1"/>
  <c r="F64" i="36" s="1"/>
  <c r="Y63" i="33"/>
  <c r="M63" i="33"/>
  <c r="J63" i="33"/>
  <c r="G63" i="33"/>
  <c r="F63" i="33"/>
  <c r="Y62" i="33"/>
  <c r="M62" i="33"/>
  <c r="J62" i="33"/>
  <c r="G62" i="33"/>
  <c r="F62" i="33"/>
  <c r="Y61" i="33"/>
  <c r="X61" i="33"/>
  <c r="W61" i="33"/>
  <c r="V61" i="33"/>
  <c r="U61" i="33"/>
  <c r="T61" i="33"/>
  <c r="S61" i="33"/>
  <c r="R61" i="33"/>
  <c r="Q61" i="33"/>
  <c r="P61" i="33"/>
  <c r="O61" i="33"/>
  <c r="N61" i="33"/>
  <c r="C61" i="33"/>
  <c r="Y60" i="33"/>
  <c r="X60" i="33"/>
  <c r="W60" i="33"/>
  <c r="V60" i="33"/>
  <c r="U60" i="33"/>
  <c r="T60" i="33"/>
  <c r="S60" i="33"/>
  <c r="R60" i="33"/>
  <c r="Q60" i="33"/>
  <c r="P60" i="33"/>
  <c r="O60" i="33"/>
  <c r="N60" i="33"/>
  <c r="C60" i="33"/>
  <c r="F60" i="33" s="1"/>
  <c r="Y59" i="33"/>
  <c r="M59" i="33"/>
  <c r="J59" i="33"/>
  <c r="G59" i="33"/>
  <c r="F59" i="33"/>
  <c r="Y58" i="33"/>
  <c r="W58" i="33"/>
  <c r="U58" i="33"/>
  <c r="T58" i="33"/>
  <c r="S58" i="33"/>
  <c r="R58" i="33"/>
  <c r="Q58" i="33"/>
  <c r="P58" i="33"/>
  <c r="O58" i="33"/>
  <c r="N58" i="33"/>
  <c r="L58" i="33"/>
  <c r="I58" i="33"/>
  <c r="E58" i="33"/>
  <c r="Y57" i="33"/>
  <c r="X57" i="33"/>
  <c r="W57" i="33"/>
  <c r="V57" i="33"/>
  <c r="U57" i="33"/>
  <c r="T57" i="33"/>
  <c r="S57" i="33"/>
  <c r="R57" i="33"/>
  <c r="Q57" i="33"/>
  <c r="P57" i="33"/>
  <c r="O57" i="33"/>
  <c r="N57" i="33"/>
  <c r="C57" i="33"/>
  <c r="F57" i="33" s="1"/>
  <c r="J57" i="33" s="1"/>
  <c r="Y56" i="33"/>
  <c r="W56" i="33"/>
  <c r="U56" i="33"/>
  <c r="T56" i="33"/>
  <c r="S56" i="33"/>
  <c r="R56" i="33"/>
  <c r="Q56" i="33"/>
  <c r="P56" i="33"/>
  <c r="O56" i="33"/>
  <c r="N56" i="33"/>
  <c r="L56" i="33"/>
  <c r="I56" i="33"/>
  <c r="E56" i="33"/>
  <c r="Y55" i="33"/>
  <c r="W55" i="33"/>
  <c r="U55" i="33"/>
  <c r="T55" i="33"/>
  <c r="S55" i="33"/>
  <c r="R55" i="33"/>
  <c r="Q55" i="33"/>
  <c r="P55" i="33"/>
  <c r="O55" i="33"/>
  <c r="N55" i="33"/>
  <c r="L55" i="33"/>
  <c r="I55" i="33"/>
  <c r="E55" i="33"/>
  <c r="Y54" i="33"/>
  <c r="X54" i="33"/>
  <c r="W54" i="33"/>
  <c r="V54" i="33"/>
  <c r="U54" i="33"/>
  <c r="T54" i="33"/>
  <c r="S54" i="33"/>
  <c r="R54" i="33"/>
  <c r="Q54" i="33"/>
  <c r="P54" i="33"/>
  <c r="O54" i="33"/>
  <c r="N54" i="33"/>
  <c r="C54" i="33"/>
  <c r="C54" i="36" s="1"/>
  <c r="F54" i="36" s="1"/>
  <c r="Y53" i="33"/>
  <c r="X53" i="33"/>
  <c r="W53" i="33"/>
  <c r="V53" i="33"/>
  <c r="U53" i="33"/>
  <c r="T53" i="33"/>
  <c r="S53" i="33"/>
  <c r="R53" i="33"/>
  <c r="Q53" i="33"/>
  <c r="P53" i="33"/>
  <c r="O53" i="33"/>
  <c r="N53" i="33"/>
  <c r="C53" i="33"/>
  <c r="C53" i="36" s="1"/>
  <c r="F53" i="36" s="1"/>
  <c r="Y52" i="33"/>
  <c r="X52" i="33"/>
  <c r="W52" i="33"/>
  <c r="V52" i="33"/>
  <c r="U52" i="33"/>
  <c r="T52" i="33"/>
  <c r="S52" i="33"/>
  <c r="R52" i="33"/>
  <c r="Q52" i="33"/>
  <c r="P52" i="33"/>
  <c r="O52" i="33"/>
  <c r="N52" i="33"/>
  <c r="C52" i="33"/>
  <c r="Y51" i="33"/>
  <c r="W51" i="33"/>
  <c r="U51" i="33"/>
  <c r="T51" i="33"/>
  <c r="S51" i="33"/>
  <c r="R51" i="33"/>
  <c r="Q51" i="33"/>
  <c r="P51" i="33"/>
  <c r="O51" i="33"/>
  <c r="N51" i="33"/>
  <c r="L51" i="33"/>
  <c r="I51" i="33"/>
  <c r="E51" i="33"/>
  <c r="Y50" i="33"/>
  <c r="X50" i="33"/>
  <c r="W50" i="33"/>
  <c r="V50" i="33"/>
  <c r="U50" i="33"/>
  <c r="T50" i="33"/>
  <c r="S50" i="33"/>
  <c r="R50" i="33"/>
  <c r="Q50" i="33"/>
  <c r="P50" i="33"/>
  <c r="O50" i="33"/>
  <c r="N50" i="33"/>
  <c r="C50" i="33"/>
  <c r="F50" i="33" s="1"/>
  <c r="Y49" i="33"/>
  <c r="X49" i="33"/>
  <c r="W49" i="33"/>
  <c r="V49" i="33"/>
  <c r="U49" i="33"/>
  <c r="T49" i="33"/>
  <c r="S49" i="33"/>
  <c r="R49" i="33"/>
  <c r="Q49" i="33"/>
  <c r="P49" i="33"/>
  <c r="O49" i="33"/>
  <c r="N49" i="33"/>
  <c r="C49" i="33"/>
  <c r="F49" i="33" s="1"/>
  <c r="G49" i="33" s="1"/>
  <c r="Y48" i="33"/>
  <c r="W48" i="33"/>
  <c r="U48" i="33"/>
  <c r="T48" i="33"/>
  <c r="S48" i="33"/>
  <c r="R48" i="33"/>
  <c r="Q48" i="33"/>
  <c r="P48" i="33"/>
  <c r="O48" i="33"/>
  <c r="N48" i="33"/>
  <c r="L48" i="33"/>
  <c r="I48" i="33"/>
  <c r="E48" i="33"/>
  <c r="Y47" i="33"/>
  <c r="W47" i="33"/>
  <c r="U47" i="33"/>
  <c r="T47" i="33"/>
  <c r="S47" i="33"/>
  <c r="R47" i="33"/>
  <c r="Q47" i="33"/>
  <c r="P47" i="33"/>
  <c r="O47" i="33"/>
  <c r="N47" i="33"/>
  <c r="L47" i="33"/>
  <c r="I47" i="33"/>
  <c r="E47" i="33"/>
  <c r="Y46" i="33"/>
  <c r="X46" i="33"/>
  <c r="W46" i="33"/>
  <c r="V46" i="33"/>
  <c r="U46" i="33"/>
  <c r="T46" i="33"/>
  <c r="S46" i="33"/>
  <c r="R46" i="33"/>
  <c r="Q46" i="33"/>
  <c r="P46" i="33"/>
  <c r="O46" i="33"/>
  <c r="N46" i="33"/>
  <c r="C46" i="33"/>
  <c r="C46" i="36" s="1"/>
  <c r="F46" i="36" s="1"/>
  <c r="Y45" i="33"/>
  <c r="X45" i="33"/>
  <c r="W45" i="33"/>
  <c r="V45" i="33"/>
  <c r="U45" i="33"/>
  <c r="T45" i="33"/>
  <c r="S45" i="33"/>
  <c r="R45" i="33"/>
  <c r="Q45" i="33"/>
  <c r="P45" i="33"/>
  <c r="O45" i="33"/>
  <c r="N45" i="33"/>
  <c r="C45" i="33"/>
  <c r="F45" i="33" s="1"/>
  <c r="J45" i="33" s="1"/>
  <c r="M45" i="33" s="1"/>
  <c r="Y44" i="33"/>
  <c r="X44" i="33"/>
  <c r="W44" i="33"/>
  <c r="V44" i="33"/>
  <c r="U44" i="33"/>
  <c r="T44" i="33"/>
  <c r="S44" i="33"/>
  <c r="R44" i="33"/>
  <c r="Q44" i="33"/>
  <c r="P44" i="33"/>
  <c r="O44" i="33"/>
  <c r="N44" i="33"/>
  <c r="C44" i="33"/>
  <c r="F44" i="33" s="1"/>
  <c r="Y43" i="33"/>
  <c r="W43" i="33"/>
  <c r="U43" i="33"/>
  <c r="T43" i="33"/>
  <c r="S43" i="33"/>
  <c r="R43" i="33"/>
  <c r="Q43" i="33"/>
  <c r="P43" i="33"/>
  <c r="O43" i="33"/>
  <c r="N43" i="33"/>
  <c r="L43" i="33"/>
  <c r="I43" i="33"/>
  <c r="E43" i="33"/>
  <c r="Y42" i="33"/>
  <c r="W42" i="33"/>
  <c r="U42" i="33"/>
  <c r="T42" i="33"/>
  <c r="S42" i="33"/>
  <c r="R42" i="33"/>
  <c r="Q42" i="33"/>
  <c r="P42" i="33"/>
  <c r="O42" i="33"/>
  <c r="N42" i="33"/>
  <c r="L42" i="33"/>
  <c r="I42" i="33"/>
  <c r="E42" i="33"/>
  <c r="Y41" i="33"/>
  <c r="X41" i="33"/>
  <c r="W41" i="33"/>
  <c r="V41" i="33"/>
  <c r="U41" i="33"/>
  <c r="T41" i="33"/>
  <c r="S41" i="33"/>
  <c r="R41" i="33"/>
  <c r="Q41" i="33"/>
  <c r="P41" i="33"/>
  <c r="O41" i="33"/>
  <c r="N41" i="33"/>
  <c r="C41" i="33"/>
  <c r="Y40" i="33"/>
  <c r="X40" i="33"/>
  <c r="W40" i="33"/>
  <c r="V40" i="33"/>
  <c r="U40" i="33"/>
  <c r="T40" i="33"/>
  <c r="S40" i="33"/>
  <c r="R40" i="33"/>
  <c r="Q40" i="33"/>
  <c r="P40" i="33"/>
  <c r="O40" i="33"/>
  <c r="N40" i="33"/>
  <c r="C40" i="33"/>
  <c r="Y39" i="33"/>
  <c r="X39" i="33"/>
  <c r="W39" i="33"/>
  <c r="V39" i="33"/>
  <c r="U39" i="33"/>
  <c r="T39" i="33"/>
  <c r="S39" i="33"/>
  <c r="R39" i="33"/>
  <c r="Q39" i="33"/>
  <c r="P39" i="33"/>
  <c r="O39" i="33"/>
  <c r="N39" i="33"/>
  <c r="C39" i="33"/>
  <c r="F39" i="33" s="1"/>
  <c r="J39" i="33" s="1"/>
  <c r="M39" i="33" s="1"/>
  <c r="Y38" i="33"/>
  <c r="X38" i="33"/>
  <c r="W38" i="33"/>
  <c r="V38" i="33"/>
  <c r="U38" i="33"/>
  <c r="T38" i="33"/>
  <c r="S38" i="33"/>
  <c r="R38" i="33"/>
  <c r="Q38" i="33"/>
  <c r="P38" i="33"/>
  <c r="O38" i="33"/>
  <c r="N38" i="33"/>
  <c r="C38" i="33"/>
  <c r="C38" i="36" s="1"/>
  <c r="Y37" i="33"/>
  <c r="W37" i="33"/>
  <c r="U37" i="33"/>
  <c r="T37" i="33"/>
  <c r="S37" i="33"/>
  <c r="R37" i="33"/>
  <c r="Q37" i="33"/>
  <c r="P37" i="33"/>
  <c r="O37" i="33"/>
  <c r="N37" i="33"/>
  <c r="L37" i="33"/>
  <c r="I37" i="33"/>
  <c r="E37" i="33"/>
  <c r="Y36" i="33"/>
  <c r="X36" i="33"/>
  <c r="W36" i="33"/>
  <c r="V36" i="33"/>
  <c r="U36" i="33"/>
  <c r="T36" i="33"/>
  <c r="S36" i="33"/>
  <c r="R36" i="33"/>
  <c r="Q36" i="33"/>
  <c r="P36" i="33"/>
  <c r="O36" i="33"/>
  <c r="N36" i="33"/>
  <c r="C36" i="33"/>
  <c r="C36" i="36" s="1"/>
  <c r="F36" i="36" s="1"/>
  <c r="Y35" i="33"/>
  <c r="X35" i="33"/>
  <c r="W35" i="33"/>
  <c r="V35" i="33"/>
  <c r="U35" i="33"/>
  <c r="T35" i="33"/>
  <c r="S35" i="33"/>
  <c r="R35" i="33"/>
  <c r="Q35" i="33"/>
  <c r="P35" i="33"/>
  <c r="O35" i="33"/>
  <c r="N35" i="33"/>
  <c r="C35" i="33"/>
  <c r="C35" i="36" s="1"/>
  <c r="F35" i="36" s="1"/>
  <c r="Y34" i="33"/>
  <c r="W34" i="33"/>
  <c r="U34" i="33"/>
  <c r="T34" i="33"/>
  <c r="S34" i="33"/>
  <c r="R34" i="33"/>
  <c r="Q34" i="33"/>
  <c r="P34" i="33"/>
  <c r="O34" i="33"/>
  <c r="N34" i="33"/>
  <c r="L34" i="33"/>
  <c r="I34" i="33"/>
  <c r="E34" i="33"/>
  <c r="Y33" i="33"/>
  <c r="W33" i="33"/>
  <c r="U33" i="33"/>
  <c r="T33" i="33"/>
  <c r="S33" i="33"/>
  <c r="R33" i="33"/>
  <c r="Q33" i="33"/>
  <c r="P33" i="33"/>
  <c r="O33" i="33"/>
  <c r="N33" i="33"/>
  <c r="L33" i="33"/>
  <c r="I33" i="33"/>
  <c r="E33" i="33"/>
  <c r="Y32" i="33"/>
  <c r="X32" i="33"/>
  <c r="W32" i="33"/>
  <c r="V32" i="33"/>
  <c r="U32" i="33"/>
  <c r="T32" i="33"/>
  <c r="S32" i="33"/>
  <c r="R32" i="33"/>
  <c r="Q32" i="33"/>
  <c r="P32" i="33"/>
  <c r="O32" i="33"/>
  <c r="N32" i="33"/>
  <c r="C32" i="33"/>
  <c r="Y31" i="33"/>
  <c r="X31" i="33"/>
  <c r="W31" i="33"/>
  <c r="V31" i="33"/>
  <c r="U31" i="33"/>
  <c r="T31" i="33"/>
  <c r="S31" i="33"/>
  <c r="R31" i="33"/>
  <c r="Q31" i="33"/>
  <c r="P31" i="33"/>
  <c r="O31" i="33"/>
  <c r="N31" i="33"/>
  <c r="C31" i="33"/>
  <c r="Y30" i="33"/>
  <c r="W30" i="33"/>
  <c r="U30" i="33"/>
  <c r="T30" i="33"/>
  <c r="S30" i="33"/>
  <c r="R30" i="33"/>
  <c r="Q30" i="33"/>
  <c r="P30" i="33"/>
  <c r="O30" i="33"/>
  <c r="N30" i="33"/>
  <c r="L30" i="33"/>
  <c r="I30" i="33"/>
  <c r="E30" i="33"/>
  <c r="Y29" i="33"/>
  <c r="X29" i="33"/>
  <c r="W29" i="33"/>
  <c r="V29" i="33"/>
  <c r="U29" i="33"/>
  <c r="T29" i="33"/>
  <c r="S29" i="33"/>
  <c r="R29" i="33"/>
  <c r="Q29" i="33"/>
  <c r="P29" i="33"/>
  <c r="O29" i="33"/>
  <c r="N29" i="33"/>
  <c r="C29" i="33"/>
  <c r="Y28" i="33"/>
  <c r="X28" i="33"/>
  <c r="W28" i="33"/>
  <c r="V28" i="33"/>
  <c r="U28" i="33"/>
  <c r="T28" i="33"/>
  <c r="S28" i="33"/>
  <c r="R28" i="33"/>
  <c r="Q28" i="33"/>
  <c r="P28" i="33"/>
  <c r="O28" i="33"/>
  <c r="N28" i="33"/>
  <c r="C28" i="33"/>
  <c r="C28" i="36" s="1"/>
  <c r="F28" i="36" s="1"/>
  <c r="Y27" i="33"/>
  <c r="X27" i="33"/>
  <c r="W27" i="33"/>
  <c r="V27" i="33"/>
  <c r="U27" i="33"/>
  <c r="T27" i="33"/>
  <c r="S27" i="33"/>
  <c r="R27" i="33"/>
  <c r="Q27" i="33"/>
  <c r="P27" i="33"/>
  <c r="O27" i="33"/>
  <c r="N27" i="33"/>
  <c r="C27" i="33"/>
  <c r="C27" i="36" s="1"/>
  <c r="F27" i="36" s="1"/>
  <c r="Y26" i="33"/>
  <c r="X26" i="33"/>
  <c r="W26" i="33"/>
  <c r="V26" i="33"/>
  <c r="U26" i="33"/>
  <c r="T26" i="33"/>
  <c r="S26" i="33"/>
  <c r="R26" i="33"/>
  <c r="Q26" i="33"/>
  <c r="P26" i="33"/>
  <c r="O26" i="33"/>
  <c r="N26" i="33"/>
  <c r="C26" i="33"/>
  <c r="F26" i="33" s="1"/>
  <c r="Y25" i="33"/>
  <c r="X25" i="33"/>
  <c r="W25" i="33"/>
  <c r="V25" i="33"/>
  <c r="U25" i="33"/>
  <c r="T25" i="33"/>
  <c r="S25" i="33"/>
  <c r="R25" i="33"/>
  <c r="Q25" i="33"/>
  <c r="P25" i="33"/>
  <c r="O25" i="33"/>
  <c r="N25" i="33"/>
  <c r="C25" i="33"/>
  <c r="Y24" i="33"/>
  <c r="X24" i="33"/>
  <c r="W24" i="33"/>
  <c r="V24" i="33"/>
  <c r="U24" i="33"/>
  <c r="T24" i="33"/>
  <c r="S24" i="33"/>
  <c r="R24" i="33"/>
  <c r="Q24" i="33"/>
  <c r="P24" i="33"/>
  <c r="O24" i="33"/>
  <c r="N24" i="33"/>
  <c r="C24" i="33"/>
  <c r="C24" i="36" s="1"/>
  <c r="F24" i="36" s="1"/>
  <c r="Y23" i="33"/>
  <c r="X23" i="33"/>
  <c r="W23" i="33"/>
  <c r="V23" i="33"/>
  <c r="U23" i="33"/>
  <c r="T23" i="33"/>
  <c r="S23" i="33"/>
  <c r="R23" i="33"/>
  <c r="Q23" i="33"/>
  <c r="P23" i="33"/>
  <c r="O23" i="33"/>
  <c r="N23" i="33"/>
  <c r="I23" i="33"/>
  <c r="C23" i="33"/>
  <c r="C23" i="36" s="1"/>
  <c r="F23" i="36" s="1"/>
  <c r="Y22" i="33"/>
  <c r="W22" i="33"/>
  <c r="U22" i="33"/>
  <c r="T22" i="33"/>
  <c r="S22" i="33"/>
  <c r="R22" i="33"/>
  <c r="Q22" i="33"/>
  <c r="P22" i="33"/>
  <c r="O22" i="33"/>
  <c r="N22" i="33"/>
  <c r="L22" i="33"/>
  <c r="I22" i="33"/>
  <c r="E22" i="33"/>
  <c r="Y21" i="33"/>
  <c r="X21" i="33"/>
  <c r="W21" i="33"/>
  <c r="V21" i="33"/>
  <c r="U21" i="33"/>
  <c r="T21" i="33"/>
  <c r="S21" i="33"/>
  <c r="R21" i="33"/>
  <c r="Q21" i="33"/>
  <c r="P21" i="33"/>
  <c r="O21" i="33"/>
  <c r="N21" i="33"/>
  <c r="C21" i="33"/>
  <c r="C21" i="36" s="1"/>
  <c r="F21" i="36" s="1"/>
  <c r="Y20" i="33"/>
  <c r="X20" i="33"/>
  <c r="W20" i="33"/>
  <c r="V20" i="33"/>
  <c r="U20" i="33"/>
  <c r="T20" i="33"/>
  <c r="S20" i="33"/>
  <c r="R20" i="33"/>
  <c r="Q20" i="33"/>
  <c r="P20" i="33"/>
  <c r="O20" i="33"/>
  <c r="N20" i="33"/>
  <c r="C20" i="33"/>
  <c r="F20" i="33" s="1"/>
  <c r="Y19" i="33"/>
  <c r="X19" i="33"/>
  <c r="W19" i="33"/>
  <c r="V19" i="33"/>
  <c r="U19" i="33"/>
  <c r="T19" i="33"/>
  <c r="S19" i="33"/>
  <c r="R19" i="33"/>
  <c r="Q19" i="33"/>
  <c r="P19" i="33"/>
  <c r="O19" i="33"/>
  <c r="N19" i="33"/>
  <c r="C19" i="33"/>
  <c r="Y18" i="33"/>
  <c r="X18" i="33"/>
  <c r="W18" i="33"/>
  <c r="V18" i="33"/>
  <c r="U18" i="33"/>
  <c r="T18" i="33"/>
  <c r="S18" i="33"/>
  <c r="R18" i="33"/>
  <c r="Q18" i="33"/>
  <c r="P18" i="33"/>
  <c r="O18" i="33"/>
  <c r="N18" i="33"/>
  <c r="C18" i="33"/>
  <c r="C18" i="36" s="1"/>
  <c r="Y17" i="33"/>
  <c r="W17" i="33"/>
  <c r="U17" i="33"/>
  <c r="T17" i="33"/>
  <c r="S17" i="33"/>
  <c r="R17" i="33"/>
  <c r="Q17" i="33"/>
  <c r="P17" i="33"/>
  <c r="O17" i="33"/>
  <c r="N17" i="33"/>
  <c r="L17" i="33"/>
  <c r="I17" i="33"/>
  <c r="E17" i="33"/>
  <c r="Y16" i="33"/>
  <c r="X16" i="33"/>
  <c r="W16" i="33"/>
  <c r="V16" i="33"/>
  <c r="U16" i="33"/>
  <c r="T16" i="33"/>
  <c r="S16" i="33"/>
  <c r="R16" i="33"/>
  <c r="Q16" i="33"/>
  <c r="P16" i="33"/>
  <c r="O16" i="33"/>
  <c r="N16" i="33"/>
  <c r="C16" i="33"/>
  <c r="C16" i="36" s="1"/>
  <c r="F16" i="36" s="1"/>
  <c r="Y15" i="33"/>
  <c r="X15" i="33"/>
  <c r="W15" i="33"/>
  <c r="V15" i="33"/>
  <c r="U15" i="33"/>
  <c r="T15" i="33"/>
  <c r="S15" i="33"/>
  <c r="R15" i="33"/>
  <c r="Q15" i="33"/>
  <c r="P15" i="33"/>
  <c r="O15" i="33"/>
  <c r="N15" i="33"/>
  <c r="C15" i="33"/>
  <c r="C15" i="36" s="1"/>
  <c r="F15" i="36" s="1"/>
  <c r="Y14" i="33"/>
  <c r="X14" i="33"/>
  <c r="W14" i="33"/>
  <c r="V14" i="33"/>
  <c r="U14" i="33"/>
  <c r="T14" i="33"/>
  <c r="S14" i="33"/>
  <c r="R14" i="33"/>
  <c r="Q14" i="33"/>
  <c r="P14" i="33"/>
  <c r="O14" i="33"/>
  <c r="N14" i="33"/>
  <c r="C14" i="33"/>
  <c r="C14" i="36" s="1"/>
  <c r="Y13" i="33"/>
  <c r="W13" i="33"/>
  <c r="U13" i="33"/>
  <c r="T13" i="33"/>
  <c r="S13" i="33"/>
  <c r="R13" i="33"/>
  <c r="Q13" i="33"/>
  <c r="P13" i="33"/>
  <c r="O13" i="33"/>
  <c r="N13" i="33"/>
  <c r="L13" i="33"/>
  <c r="I13" i="33"/>
  <c r="E13" i="33"/>
  <c r="Y12" i="33"/>
  <c r="W12" i="33"/>
  <c r="U12" i="33"/>
  <c r="T12" i="33"/>
  <c r="S12" i="33"/>
  <c r="R12" i="33"/>
  <c r="Q12" i="33"/>
  <c r="P12" i="33"/>
  <c r="O12" i="33"/>
  <c r="N12" i="33"/>
  <c r="L12" i="33"/>
  <c r="I12" i="33"/>
  <c r="E12" i="33"/>
  <c r="Y11" i="33"/>
  <c r="X11" i="33"/>
  <c r="W11" i="33"/>
  <c r="V11" i="33"/>
  <c r="U11" i="33"/>
  <c r="T11" i="33"/>
  <c r="S11" i="33"/>
  <c r="R11" i="33"/>
  <c r="Q11" i="33"/>
  <c r="P11" i="33"/>
  <c r="O11" i="33"/>
  <c r="N11" i="33"/>
  <c r="I11" i="33"/>
  <c r="C11" i="33"/>
  <c r="C11" i="36" s="1"/>
  <c r="F11" i="36" s="1"/>
  <c r="Y10" i="33"/>
  <c r="X10" i="33"/>
  <c r="W10" i="33"/>
  <c r="V10" i="33"/>
  <c r="U10" i="33"/>
  <c r="T10" i="33"/>
  <c r="S10" i="33"/>
  <c r="R10" i="33"/>
  <c r="Q10" i="33"/>
  <c r="P10" i="33"/>
  <c r="O10" i="33"/>
  <c r="N10" i="33"/>
  <c r="C10" i="33"/>
  <c r="C10" i="36" s="1"/>
  <c r="F10" i="36" s="1"/>
  <c r="Y9" i="33"/>
  <c r="W9" i="33"/>
  <c r="U9" i="33"/>
  <c r="T9" i="33"/>
  <c r="S9" i="33"/>
  <c r="R9" i="33"/>
  <c r="Q9" i="33"/>
  <c r="P9" i="33"/>
  <c r="O9" i="33"/>
  <c r="N9" i="33"/>
  <c r="L9" i="33"/>
  <c r="I9" i="33"/>
  <c r="E9" i="33"/>
  <c r="Y8" i="33"/>
  <c r="W8" i="33"/>
  <c r="U8" i="33"/>
  <c r="T8" i="33"/>
  <c r="S8" i="33"/>
  <c r="R8" i="33"/>
  <c r="Q8" i="33"/>
  <c r="P8" i="33"/>
  <c r="O8" i="33"/>
  <c r="N8" i="33"/>
  <c r="L8" i="33"/>
  <c r="I8" i="33"/>
  <c r="E8" i="33"/>
  <c r="Y7" i="33"/>
  <c r="X7" i="33"/>
  <c r="W7" i="33"/>
  <c r="V7" i="33"/>
  <c r="U7" i="33"/>
  <c r="T7" i="33"/>
  <c r="S7" i="33"/>
  <c r="R7" i="33"/>
  <c r="Q7" i="33"/>
  <c r="P7" i="33"/>
  <c r="O7" i="33"/>
  <c r="N7" i="33"/>
  <c r="C7" i="33"/>
  <c r="C7" i="36" s="1"/>
  <c r="F7" i="36" s="1"/>
  <c r="Y6" i="33"/>
  <c r="X6" i="33"/>
  <c r="W6" i="33"/>
  <c r="V6" i="33"/>
  <c r="U6" i="33"/>
  <c r="T6" i="33"/>
  <c r="S6" i="33"/>
  <c r="R6" i="33"/>
  <c r="Q6" i="33"/>
  <c r="P6" i="33"/>
  <c r="O6" i="33"/>
  <c r="N6" i="33"/>
  <c r="C6" i="33"/>
  <c r="C6" i="36" s="1"/>
  <c r="F6" i="36" s="1"/>
  <c r="Y5" i="33"/>
  <c r="X5" i="33"/>
  <c r="W5" i="33"/>
  <c r="V5" i="33"/>
  <c r="U5" i="33"/>
  <c r="T5" i="33"/>
  <c r="S5" i="33"/>
  <c r="R5" i="33"/>
  <c r="Q5" i="33"/>
  <c r="P5" i="33"/>
  <c r="O5" i="33"/>
  <c r="N5" i="33"/>
  <c r="C5" i="33"/>
  <c r="C5" i="36" s="1"/>
  <c r="F5" i="36" s="1"/>
  <c r="Y4" i="33"/>
  <c r="W4" i="33"/>
  <c r="U4" i="33"/>
  <c r="T4" i="33"/>
  <c r="S4" i="33"/>
  <c r="R4" i="33"/>
  <c r="Q4" i="33"/>
  <c r="P4" i="33"/>
  <c r="O4" i="33"/>
  <c r="N4" i="33"/>
  <c r="L4" i="33"/>
  <c r="I4" i="33"/>
  <c r="E4" i="33"/>
  <c r="Y3" i="33"/>
  <c r="W3" i="33"/>
  <c r="U3" i="33"/>
  <c r="T3" i="33"/>
  <c r="S3" i="33"/>
  <c r="R3" i="33"/>
  <c r="Q3" i="33"/>
  <c r="P3" i="33"/>
  <c r="O3" i="33"/>
  <c r="N3" i="33"/>
  <c r="L3" i="33"/>
  <c r="I3" i="33"/>
  <c r="E3" i="33"/>
  <c r="AB146" i="26"/>
  <c r="Y146" i="26"/>
  <c r="X146" i="26"/>
  <c r="Q146" i="26"/>
  <c r="P146" i="26"/>
  <c r="G146" i="26"/>
  <c r="AB145" i="26"/>
  <c r="Y145" i="26"/>
  <c r="X145" i="26"/>
  <c r="Q145" i="26"/>
  <c r="P145" i="26"/>
  <c r="G145" i="26"/>
  <c r="AB144" i="26"/>
  <c r="Y144" i="26"/>
  <c r="X144" i="26"/>
  <c r="Q144" i="26"/>
  <c r="P144" i="26"/>
  <c r="G144" i="26"/>
  <c r="AB143" i="26"/>
  <c r="Y143" i="26"/>
  <c r="X143" i="26"/>
  <c r="Q143" i="26"/>
  <c r="P143" i="26"/>
  <c r="G143" i="26"/>
  <c r="AB142" i="26"/>
  <c r="Y142" i="26"/>
  <c r="X142" i="26"/>
  <c r="Q142" i="26"/>
  <c r="P142" i="26"/>
  <c r="G142" i="26"/>
  <c r="AB141" i="26"/>
  <c r="Y141" i="26"/>
  <c r="X141" i="26"/>
  <c r="Q141" i="26"/>
  <c r="P141" i="26"/>
  <c r="G141" i="26"/>
  <c r="AB140" i="26"/>
  <c r="Y140" i="26"/>
  <c r="X140" i="26"/>
  <c r="Q140" i="26"/>
  <c r="P140" i="26"/>
  <c r="G140" i="26"/>
  <c r="AB139" i="26"/>
  <c r="Y139" i="26"/>
  <c r="X139" i="26"/>
  <c r="Q139" i="26"/>
  <c r="P139" i="26"/>
  <c r="G139" i="26"/>
  <c r="AB138" i="26"/>
  <c r="Y138" i="26"/>
  <c r="X138" i="26"/>
  <c r="Q138" i="26"/>
  <c r="P138" i="26"/>
  <c r="G138" i="26"/>
  <c r="AB136" i="26"/>
  <c r="Y136" i="26"/>
  <c r="X136" i="26"/>
  <c r="Q136" i="26"/>
  <c r="P136" i="26"/>
  <c r="G136" i="26"/>
  <c r="Y134" i="26"/>
  <c r="X134" i="26"/>
  <c r="P134" i="26"/>
  <c r="N134" i="26"/>
  <c r="M134" i="26"/>
  <c r="G134" i="26"/>
  <c r="AB133" i="26"/>
  <c r="X133" i="26"/>
  <c r="AB132" i="26"/>
  <c r="X132" i="26"/>
  <c r="AB131" i="26"/>
  <c r="X131" i="26"/>
  <c r="AB130" i="26"/>
  <c r="X130" i="26"/>
  <c r="AB129" i="26"/>
  <c r="Y129" i="26"/>
  <c r="X129" i="26"/>
  <c r="AB128" i="26"/>
  <c r="Y128" i="26"/>
  <c r="X128" i="26"/>
  <c r="AB127" i="26"/>
  <c r="Y127" i="26"/>
  <c r="X127" i="26"/>
  <c r="AB126" i="26"/>
  <c r="Y126" i="26"/>
  <c r="X126" i="26"/>
  <c r="AB125" i="26"/>
  <c r="Y125" i="26"/>
  <c r="X125" i="26"/>
  <c r="AB124" i="26"/>
  <c r="Y124" i="26"/>
  <c r="X124" i="26"/>
  <c r="AB123" i="26"/>
  <c r="X123" i="26"/>
  <c r="AB122" i="26"/>
  <c r="Y122" i="26"/>
  <c r="X122" i="26"/>
  <c r="AB121" i="26"/>
  <c r="Y121" i="26"/>
  <c r="X121" i="26"/>
  <c r="AB120" i="26"/>
  <c r="Y120" i="26"/>
  <c r="X120" i="26"/>
  <c r="AB119" i="26"/>
  <c r="X119" i="26"/>
  <c r="AB118" i="26"/>
  <c r="Y118" i="26"/>
  <c r="X118" i="26"/>
  <c r="AB117" i="26"/>
  <c r="Y117" i="26"/>
  <c r="X117" i="26"/>
  <c r="AB116" i="26"/>
  <c r="X116" i="26"/>
  <c r="AB115" i="26"/>
  <c r="X115" i="26"/>
  <c r="Y113" i="26"/>
  <c r="X113" i="26"/>
  <c r="P113" i="26"/>
  <c r="N113" i="26"/>
  <c r="M113" i="26"/>
  <c r="G113" i="26"/>
  <c r="AB112" i="26"/>
  <c r="X112" i="26"/>
  <c r="AB111" i="26"/>
  <c r="X111" i="26"/>
  <c r="AB110" i="26"/>
  <c r="X110" i="26"/>
  <c r="AB109" i="26"/>
  <c r="X109" i="26"/>
  <c r="AB108" i="26"/>
  <c r="X108" i="26"/>
  <c r="AB106" i="26"/>
  <c r="Y106" i="26"/>
  <c r="X106" i="26"/>
  <c r="AB105" i="26"/>
  <c r="X105" i="26"/>
  <c r="AB104" i="26"/>
  <c r="X104" i="26"/>
  <c r="AB103" i="26"/>
  <c r="X103" i="26"/>
  <c r="AB102" i="26"/>
  <c r="X102" i="26"/>
  <c r="AB101" i="26"/>
  <c r="X101" i="26"/>
  <c r="AB100" i="26"/>
  <c r="X100" i="26"/>
  <c r="Y98" i="26"/>
  <c r="X98" i="26"/>
  <c r="P98" i="26"/>
  <c r="N98" i="26"/>
  <c r="M98" i="26"/>
  <c r="G98" i="26"/>
  <c r="AB97" i="26"/>
  <c r="X97" i="26"/>
  <c r="AB96" i="26"/>
  <c r="X96" i="26"/>
  <c r="AB95" i="26"/>
  <c r="X95" i="26"/>
  <c r="Y93" i="26"/>
  <c r="X93" i="26"/>
  <c r="Q93" i="26"/>
  <c r="P93" i="26"/>
  <c r="N93" i="26"/>
  <c r="M93" i="26"/>
  <c r="G93" i="26"/>
  <c r="AB92" i="26"/>
  <c r="X92" i="26"/>
  <c r="X91" i="26"/>
  <c r="X90" i="26"/>
  <c r="AB89" i="26"/>
  <c r="X89" i="26"/>
  <c r="AB88" i="26"/>
  <c r="X88" i="26"/>
  <c r="AB87" i="26"/>
  <c r="X87" i="26"/>
  <c r="AB86" i="26"/>
  <c r="X86" i="26"/>
  <c r="AB85" i="26"/>
  <c r="X85" i="26"/>
  <c r="AB84" i="26"/>
  <c r="X84" i="26"/>
  <c r="AB83" i="26"/>
  <c r="X83" i="26"/>
  <c r="AB82" i="26"/>
  <c r="X82" i="26"/>
  <c r="AB81" i="26"/>
  <c r="X81" i="26"/>
  <c r="AB80" i="26"/>
  <c r="X80" i="26"/>
  <c r="AB79" i="26"/>
  <c r="X79" i="26"/>
  <c r="AB78" i="26"/>
  <c r="X78" i="26"/>
  <c r="AB77" i="26"/>
  <c r="X77" i="26"/>
  <c r="AB76" i="26"/>
  <c r="X76" i="26"/>
  <c r="AB75" i="26"/>
  <c r="X75" i="26"/>
  <c r="AB74" i="26"/>
  <c r="X74" i="26"/>
  <c r="AB73" i="26"/>
  <c r="X73" i="26"/>
  <c r="AB72" i="26"/>
  <c r="X72" i="26"/>
  <c r="AB70" i="26"/>
  <c r="X70" i="26"/>
  <c r="AB69" i="26"/>
  <c r="X69" i="26"/>
  <c r="AB67" i="26"/>
  <c r="X67" i="26"/>
  <c r="AB66" i="26"/>
  <c r="X66" i="26"/>
  <c r="AB65" i="26"/>
  <c r="X65" i="26"/>
  <c r="AB64" i="26"/>
  <c r="X64" i="26"/>
  <c r="AB63" i="26"/>
  <c r="X63" i="26"/>
  <c r="AB62" i="26"/>
  <c r="Y62" i="26"/>
  <c r="X62" i="26"/>
  <c r="AB61" i="26"/>
  <c r="X61" i="26"/>
  <c r="AB60" i="26"/>
  <c r="X60" i="26"/>
  <c r="AB59" i="26"/>
  <c r="Y59" i="26"/>
  <c r="X59" i="26"/>
  <c r="AB58" i="26"/>
  <c r="Y58" i="26"/>
  <c r="X58" i="26"/>
  <c r="AB57" i="26"/>
  <c r="Y57" i="26"/>
  <c r="X57" i="26"/>
  <c r="AB56" i="26"/>
  <c r="X56" i="26"/>
  <c r="Y54" i="26"/>
  <c r="X54" i="26"/>
  <c r="Q54" i="26"/>
  <c r="P54" i="26"/>
  <c r="N54" i="26"/>
  <c r="M54" i="26"/>
  <c r="G54" i="26"/>
  <c r="AB53" i="26"/>
  <c r="X53" i="26"/>
  <c r="AB52" i="26"/>
  <c r="X52" i="26"/>
  <c r="AB51" i="26"/>
  <c r="X51" i="26"/>
  <c r="AB50" i="26"/>
  <c r="X50" i="26"/>
  <c r="AB49" i="26"/>
  <c r="X49" i="26"/>
  <c r="AB48" i="26"/>
  <c r="X48" i="26"/>
  <c r="AB47" i="26"/>
  <c r="Y47" i="26"/>
  <c r="X47" i="26"/>
  <c r="Y46" i="26"/>
  <c r="X46" i="26"/>
  <c r="AB45" i="26"/>
  <c r="Y45" i="26"/>
  <c r="X45" i="26"/>
  <c r="AB44" i="26"/>
  <c r="Y44" i="26"/>
  <c r="X44" i="26"/>
  <c r="AB43" i="26"/>
  <c r="Y43" i="26"/>
  <c r="X43" i="26"/>
  <c r="AB42" i="26"/>
  <c r="Y42" i="26"/>
  <c r="X42" i="26"/>
  <c r="AB41" i="26"/>
  <c r="Y41" i="26"/>
  <c r="X41" i="26"/>
  <c r="AB40" i="26"/>
  <c r="Y40" i="26"/>
  <c r="X40" i="26"/>
  <c r="AB39" i="26"/>
  <c r="Y39" i="26"/>
  <c r="X39" i="26"/>
  <c r="AB38" i="26"/>
  <c r="Y38" i="26"/>
  <c r="X38" i="26"/>
  <c r="AB37" i="26"/>
  <c r="Y37" i="26"/>
  <c r="X37" i="26"/>
  <c r="AB36" i="26"/>
  <c r="Y36" i="26"/>
  <c r="X36" i="26"/>
  <c r="AB35" i="26"/>
  <c r="Y35" i="26"/>
  <c r="X35" i="26"/>
  <c r="AB34" i="26"/>
  <c r="Y34" i="26"/>
  <c r="X34" i="26"/>
  <c r="AB33" i="26"/>
  <c r="Y33" i="26"/>
  <c r="X33" i="26"/>
  <c r="AE32" i="26"/>
  <c r="AB32" i="26"/>
  <c r="Y32" i="26"/>
  <c r="X32" i="26"/>
  <c r="O32" i="26"/>
  <c r="AE31" i="26"/>
  <c r="AB31" i="26"/>
  <c r="Y31" i="26"/>
  <c r="X31" i="26"/>
  <c r="AB30" i="26"/>
  <c r="Y30" i="26"/>
  <c r="X30" i="26"/>
  <c r="AB29" i="26"/>
  <c r="Y29" i="26"/>
  <c r="X29" i="26"/>
  <c r="AB28" i="26"/>
  <c r="Y28" i="26"/>
  <c r="X28" i="26"/>
  <c r="AB27" i="26"/>
  <c r="Y27" i="26"/>
  <c r="X27" i="26"/>
  <c r="AB26" i="26"/>
  <c r="Y26" i="26"/>
  <c r="X26" i="26"/>
  <c r="AB25" i="26"/>
  <c r="Y25" i="26"/>
  <c r="X25" i="26"/>
  <c r="AB24" i="26"/>
  <c r="Y24" i="26"/>
  <c r="X24" i="26"/>
  <c r="AB23" i="26"/>
  <c r="Y23" i="26"/>
  <c r="X23" i="26"/>
  <c r="Y21" i="26"/>
  <c r="X21" i="26"/>
  <c r="Q21" i="26"/>
  <c r="P21" i="26"/>
  <c r="N21" i="26"/>
  <c r="M21" i="26"/>
  <c r="G21" i="26"/>
  <c r="X20" i="26"/>
  <c r="W20" i="26"/>
  <c r="AB19" i="26"/>
  <c r="Y19" i="26"/>
  <c r="X19" i="26"/>
  <c r="AB18" i="26"/>
  <c r="Y18" i="26"/>
  <c r="X18" i="26"/>
  <c r="AB17" i="26"/>
  <c r="Y17" i="26"/>
  <c r="X17" i="26"/>
  <c r="Y16" i="26"/>
  <c r="X16" i="26"/>
  <c r="W16" i="26"/>
  <c r="V16" i="26"/>
  <c r="Y15" i="26"/>
  <c r="X15" i="26"/>
  <c r="W15" i="26"/>
  <c r="V15" i="26"/>
  <c r="Y14" i="26"/>
  <c r="X14" i="26"/>
  <c r="W14" i="26"/>
  <c r="V14" i="26"/>
  <c r="Y13" i="26"/>
  <c r="X13" i="26"/>
  <c r="W13" i="26"/>
  <c r="V13" i="26"/>
  <c r="Y12" i="26"/>
  <c r="X12" i="26"/>
  <c r="W12" i="26"/>
  <c r="V12" i="26"/>
  <c r="AB11" i="26"/>
  <c r="Y11" i="26"/>
  <c r="Y9" i="26"/>
  <c r="X9" i="26"/>
  <c r="Q9" i="26"/>
  <c r="P9" i="26"/>
  <c r="N9" i="26"/>
  <c r="M9" i="26"/>
  <c r="G9" i="26"/>
  <c r="AB8" i="26"/>
  <c r="Y8" i="26"/>
  <c r="X8" i="26"/>
  <c r="AB7" i="26"/>
  <c r="Y7" i="26"/>
  <c r="X7" i="26"/>
  <c r="AB6" i="26"/>
  <c r="Y6" i="26"/>
  <c r="X6" i="26"/>
  <c r="AB5" i="26"/>
  <c r="Y5" i="26"/>
  <c r="X5" i="26"/>
  <c r="AB4" i="26"/>
  <c r="Y4" i="26"/>
  <c r="X4" i="26"/>
  <c r="F65" i="31"/>
  <c r="E65" i="31"/>
  <c r="D65" i="31"/>
  <c r="F64" i="31"/>
  <c r="E64" i="31"/>
  <c r="F63" i="31"/>
  <c r="E63" i="31"/>
  <c r="F62" i="31"/>
  <c r="E62" i="31"/>
  <c r="D62" i="31"/>
  <c r="F61" i="31"/>
  <c r="E61" i="31"/>
  <c r="F60" i="31"/>
  <c r="E60" i="31"/>
  <c r="D60" i="31"/>
  <c r="F58" i="31"/>
  <c r="E58" i="31"/>
  <c r="F57" i="31"/>
  <c r="E57" i="31"/>
  <c r="D57" i="31"/>
  <c r="F56" i="31"/>
  <c r="E56" i="31"/>
  <c r="D56" i="31"/>
  <c r="F55" i="31"/>
  <c r="E55" i="31"/>
  <c r="F54" i="31"/>
  <c r="E54" i="31"/>
  <c r="F53" i="31"/>
  <c r="E53" i="31"/>
  <c r="F52" i="31"/>
  <c r="E52" i="31"/>
  <c r="F51" i="31"/>
  <c r="E51" i="31"/>
  <c r="F50" i="31"/>
  <c r="E50" i="31"/>
  <c r="D50" i="31"/>
  <c r="F49" i="31"/>
  <c r="E49" i="31"/>
  <c r="D49" i="31"/>
  <c r="F48" i="31"/>
  <c r="E48" i="31"/>
  <c r="D48" i="31"/>
  <c r="F46" i="31"/>
  <c r="E46" i="31"/>
  <c r="D46" i="31"/>
  <c r="F45" i="31"/>
  <c r="E45" i="31"/>
  <c r="D45" i="31"/>
  <c r="F44" i="31"/>
  <c r="E44" i="31"/>
  <c r="D44" i="31"/>
  <c r="F42" i="31"/>
  <c r="E42" i="31"/>
  <c r="D42" i="31"/>
  <c r="F41" i="31"/>
  <c r="E41" i="31"/>
  <c r="D41" i="31"/>
  <c r="F40" i="31"/>
  <c r="E40" i="31"/>
  <c r="D40" i="31"/>
  <c r="F39" i="31"/>
  <c r="E39" i="31"/>
  <c r="D39" i="31"/>
  <c r="F38" i="31"/>
  <c r="E38" i="31"/>
  <c r="D38" i="31"/>
  <c r="F37" i="31"/>
  <c r="E37" i="31"/>
  <c r="D37" i="31"/>
  <c r="F35" i="31"/>
  <c r="E35" i="31"/>
  <c r="D35" i="31"/>
  <c r="F34" i="31"/>
  <c r="E34" i="31"/>
  <c r="D34" i="31"/>
  <c r="C34" i="31"/>
  <c r="F33" i="31"/>
  <c r="E33" i="31"/>
  <c r="D33" i="31"/>
  <c r="F32" i="31"/>
  <c r="E32" i="31"/>
  <c r="D32" i="31"/>
  <c r="F31" i="31"/>
  <c r="E31" i="31"/>
  <c r="D31" i="31"/>
  <c r="F30" i="31"/>
  <c r="E30" i="31"/>
  <c r="F29" i="31"/>
  <c r="E29" i="31"/>
  <c r="D29" i="31"/>
  <c r="F28" i="31"/>
  <c r="E28" i="31"/>
  <c r="F27" i="31"/>
  <c r="E27" i="31"/>
  <c r="D27" i="31"/>
  <c r="F26" i="31"/>
  <c r="E26" i="31"/>
  <c r="F25" i="31"/>
  <c r="E25" i="31"/>
  <c r="F24" i="31"/>
  <c r="E24" i="31"/>
  <c r="D24" i="31"/>
  <c r="F23" i="31"/>
  <c r="E23" i="31"/>
  <c r="D23" i="31"/>
  <c r="C23" i="31"/>
  <c r="F22" i="31"/>
  <c r="E22" i="31"/>
  <c r="D22" i="31"/>
  <c r="F21" i="31"/>
  <c r="E21" i="31"/>
  <c r="D21" i="31"/>
  <c r="F20" i="31"/>
  <c r="E20" i="31"/>
  <c r="F19" i="31"/>
  <c r="E19" i="31"/>
  <c r="F18" i="31"/>
  <c r="E18" i="31"/>
  <c r="D18" i="31"/>
  <c r="F17" i="31"/>
  <c r="E17" i="31"/>
  <c r="D17" i="31"/>
  <c r="C17" i="31"/>
  <c r="F16" i="31"/>
  <c r="E16" i="31"/>
  <c r="D16" i="31"/>
  <c r="F15" i="31"/>
  <c r="E15" i="31"/>
  <c r="D15" i="31"/>
  <c r="F14" i="31"/>
  <c r="E14" i="31"/>
  <c r="F13" i="31"/>
  <c r="E13" i="31"/>
  <c r="D13" i="31"/>
  <c r="C13" i="31"/>
  <c r="F11" i="31"/>
  <c r="E11" i="31"/>
  <c r="F10" i="31"/>
  <c r="E10" i="31"/>
  <c r="F9" i="31"/>
  <c r="E9" i="31"/>
  <c r="F8" i="31"/>
  <c r="E8" i="31"/>
  <c r="D8" i="31"/>
  <c r="F7" i="31"/>
  <c r="E7" i="31"/>
  <c r="D7" i="31"/>
  <c r="C7" i="31"/>
  <c r="D5" i="31"/>
  <c r="D4" i="31"/>
  <c r="D3" i="31"/>
  <c r="C3" i="31"/>
  <c r="C1" i="31"/>
  <c r="Q127" i="6"/>
  <c r="P127" i="6"/>
  <c r="I127" i="6"/>
  <c r="H127" i="6"/>
  <c r="C77" i="14"/>
  <c r="C76" i="14"/>
  <c r="C75" i="14"/>
  <c r="C74" i="14"/>
  <c r="C73" i="14"/>
  <c r="C72" i="14"/>
  <c r="C71" i="14"/>
  <c r="C70" i="14"/>
  <c r="C69" i="14"/>
  <c r="C66" i="14"/>
  <c r="C59" i="14"/>
  <c r="C57" i="14"/>
  <c r="C56" i="14"/>
  <c r="C52" i="14"/>
  <c r="C49" i="14"/>
  <c r="C48" i="14"/>
  <c r="C44" i="14"/>
  <c r="C43" i="14"/>
  <c r="C38" i="14"/>
  <c r="C35" i="14"/>
  <c r="C34" i="14"/>
  <c r="C31" i="14"/>
  <c r="C23" i="14"/>
  <c r="C18" i="14"/>
  <c r="C14" i="14"/>
  <c r="C13" i="14"/>
  <c r="C10" i="14"/>
  <c r="C9" i="14"/>
  <c r="C5" i="14"/>
  <c r="C4" i="14"/>
  <c r="BK10" i="40" l="1"/>
  <c r="BF15" i="40"/>
  <c r="BK86" i="40"/>
  <c r="CH43" i="40"/>
  <c r="AI186" i="40"/>
  <c r="CH103" i="40"/>
  <c r="CH122" i="40"/>
  <c r="CQ10" i="40"/>
  <c r="CO5" i="40"/>
  <c r="CH5" i="40" s="1"/>
  <c r="U7" i="40"/>
  <c r="BI7" i="40"/>
  <c r="CK7" i="40"/>
  <c r="CI185" i="40"/>
  <c r="CH185" i="40" s="1"/>
  <c r="BF94" i="40"/>
  <c r="BS122" i="40"/>
  <c r="CG122" i="40" s="1"/>
  <c r="AQ122" i="40"/>
  <c r="BE122" i="40" s="1"/>
  <c r="AB10" i="40"/>
  <c r="AE189" i="40"/>
  <c r="BS12" i="40"/>
  <c r="CG12" i="40" s="1"/>
  <c r="BP21" i="40"/>
  <c r="U81" i="40"/>
  <c r="CP81" i="40"/>
  <c r="CH81" i="40" s="1"/>
  <c r="BN81" i="40"/>
  <c r="X10" i="40"/>
  <c r="BL190" i="40"/>
  <c r="BL21" i="40"/>
  <c r="BF12" i="40"/>
  <c r="CR86" i="40"/>
  <c r="BF54" i="40"/>
  <c r="BF71" i="40"/>
  <c r="AC188" i="40"/>
  <c r="AC86" i="40"/>
  <c r="AC183" i="40" s="1"/>
  <c r="CP72" i="40"/>
  <c r="BN72" i="40"/>
  <c r="BF72" i="40" s="1"/>
  <c r="BP146" i="40"/>
  <c r="CQ186" i="40"/>
  <c r="V189" i="40"/>
  <c r="U4" i="40"/>
  <c r="BG4" i="40"/>
  <c r="CI4" i="40"/>
  <c r="AF189" i="40"/>
  <c r="AF191" i="40" s="1"/>
  <c r="AF193" i="40" s="1"/>
  <c r="AF197" i="40" s="1"/>
  <c r="AF10" i="40"/>
  <c r="AF183" i="40" s="1"/>
  <c r="BQ4" i="40"/>
  <c r="BM186" i="40"/>
  <c r="S109" i="40"/>
  <c r="AQ109" i="40"/>
  <c r="BE109" i="40" s="1"/>
  <c r="BR146" i="40"/>
  <c r="AQ95" i="40"/>
  <c r="BE95" i="40" s="1"/>
  <c r="BJ6" i="40"/>
  <c r="BJ10" i="40" s="1"/>
  <c r="Y10" i="40"/>
  <c r="CL6" i="40"/>
  <c r="CL10" i="40" s="1"/>
  <c r="CM21" i="40"/>
  <c r="CP187" i="40"/>
  <c r="CN185" i="40"/>
  <c r="BF95" i="40"/>
  <c r="BS95" i="40"/>
  <c r="CG95" i="40" s="1"/>
  <c r="BS152" i="40"/>
  <c r="CG152" i="40" s="1"/>
  <c r="AQ152" i="40"/>
  <c r="BE152" i="40" s="1"/>
  <c r="U167" i="40"/>
  <c r="U168" i="40" s="1"/>
  <c r="S152" i="40"/>
  <c r="S187" i="40" s="1"/>
  <c r="CO181" i="40"/>
  <c r="BR86" i="40"/>
  <c r="AB188" i="40"/>
  <c r="U79" i="40"/>
  <c r="S79" i="40" s="1"/>
  <c r="AB86" i="40"/>
  <c r="CI186" i="40"/>
  <c r="CH96" i="40"/>
  <c r="BK192" i="40"/>
  <c r="BK167" i="40"/>
  <c r="BF77" i="40"/>
  <c r="CQ146" i="40"/>
  <c r="AO183" i="40"/>
  <c r="W19" i="44"/>
  <c r="BP8" i="40"/>
  <c r="CM86" i="40"/>
  <c r="CK86" i="40"/>
  <c r="CH34" i="40"/>
  <c r="CH39" i="40"/>
  <c r="BF60" i="40"/>
  <c r="BF104" i="40"/>
  <c r="BS130" i="40"/>
  <c r="CG130" i="40" s="1"/>
  <c r="AQ130" i="40"/>
  <c r="BE130" i="40" s="1"/>
  <c r="BX183" i="40"/>
  <c r="BX195" i="40" s="1"/>
  <c r="AQ171" i="40"/>
  <c r="BE171" i="40" s="1"/>
  <c r="S171" i="40"/>
  <c r="AC67" i="43"/>
  <c r="AA67" i="43"/>
  <c r="V42" i="44"/>
  <c r="I42" i="44"/>
  <c r="X189" i="40"/>
  <c r="BM189" i="40"/>
  <c r="BM10" i="40"/>
  <c r="U9" i="40"/>
  <c r="Z10" i="40"/>
  <c r="BQ21" i="40"/>
  <c r="S190" i="40"/>
  <c r="BS18" i="40"/>
  <c r="CG18" i="40" s="1"/>
  <c r="CL86" i="40"/>
  <c r="CH27" i="40"/>
  <c r="CH28" i="40"/>
  <c r="CH38" i="40"/>
  <c r="BF43" i="40"/>
  <c r="BS46" i="40"/>
  <c r="CG46" i="40" s="1"/>
  <c r="AQ52" i="40"/>
  <c r="BE52" i="40" s="1"/>
  <c r="AQ55" i="40"/>
  <c r="BE55" i="40" s="1"/>
  <c r="BF59" i="40"/>
  <c r="CJ187" i="40"/>
  <c r="CR187" i="40"/>
  <c r="CH64" i="40"/>
  <c r="BP188" i="40"/>
  <c r="CH83" i="40"/>
  <c r="BF85" i="40"/>
  <c r="CK146" i="40"/>
  <c r="CS146" i="40"/>
  <c r="CS185" i="40"/>
  <c r="BO186" i="40"/>
  <c r="BS98" i="40"/>
  <c r="CG98" i="40" s="1"/>
  <c r="AQ98" i="40"/>
  <c r="BE98" i="40" s="1"/>
  <c r="BS108" i="40"/>
  <c r="CG108" i="40" s="1"/>
  <c r="BS119" i="40"/>
  <c r="CG119" i="40" s="1"/>
  <c r="CR167" i="40"/>
  <c r="BI181" i="40"/>
  <c r="BF170" i="40"/>
  <c r="AP183" i="40"/>
  <c r="AM3" i="43"/>
  <c r="AM6" i="43" s="1"/>
  <c r="W6" i="43"/>
  <c r="AY3" i="43"/>
  <c r="AS3" i="43"/>
  <c r="AS6" i="43" s="1"/>
  <c r="Y189" i="40"/>
  <c r="CK4" i="40"/>
  <c r="U5" i="40"/>
  <c r="BK5" i="40"/>
  <c r="BK189" i="40" s="1"/>
  <c r="BP6" i="40"/>
  <c r="CR6" i="40"/>
  <c r="BF7" i="40"/>
  <c r="CM7" i="40"/>
  <c r="CH7" i="40" s="1"/>
  <c r="BH8" i="40"/>
  <c r="BN8" i="40" s="1"/>
  <c r="U8" i="40"/>
  <c r="S8" i="40" s="1"/>
  <c r="CS9" i="40"/>
  <c r="CS189" i="40" s="1"/>
  <c r="BF14" i="40"/>
  <c r="AI18" i="40"/>
  <c r="BJ86" i="40"/>
  <c r="BF27" i="40"/>
  <c r="BF34" i="40"/>
  <c r="CH48" i="40"/>
  <c r="BF51" i="40"/>
  <c r="CH53" i="40"/>
  <c r="BH187" i="40"/>
  <c r="BP187" i="40"/>
  <c r="AQ64" i="40"/>
  <c r="BE64" i="40" s="1"/>
  <c r="AQ66" i="40"/>
  <c r="BE66" i="40" s="1"/>
  <c r="CH70" i="40"/>
  <c r="BS77" i="40"/>
  <c r="CG77" i="40" s="1"/>
  <c r="BN82" i="40"/>
  <c r="BF82" i="40" s="1"/>
  <c r="BF90" i="40"/>
  <c r="BG185" i="40"/>
  <c r="BF91" i="40"/>
  <c r="BP185" i="40"/>
  <c r="S94" i="40"/>
  <c r="BG186" i="40"/>
  <c r="BP186" i="40"/>
  <c r="CH101" i="40"/>
  <c r="S107" i="40"/>
  <c r="BS129" i="40"/>
  <c r="CG129" i="40" s="1"/>
  <c r="BS138" i="40"/>
  <c r="CG138" i="40" s="1"/>
  <c r="AQ138" i="40"/>
  <c r="BE138" i="40" s="1"/>
  <c r="BS144" i="40"/>
  <c r="CG144" i="40" s="1"/>
  <c r="AW183" i="40"/>
  <c r="AW195" i="40" s="1"/>
  <c r="BS172" i="40"/>
  <c r="CG172" i="40" s="1"/>
  <c r="S172" i="40"/>
  <c r="CH172" i="40"/>
  <c r="P191" i="40"/>
  <c r="P193" i="40" s="1"/>
  <c r="BH21" i="40"/>
  <c r="BS13" i="40"/>
  <c r="CG13" i="40" s="1"/>
  <c r="BF83" i="40"/>
  <c r="BS94" i="40"/>
  <c r="CG94" i="40" s="1"/>
  <c r="BS107" i="40"/>
  <c r="CG107" i="40" s="1"/>
  <c r="BP167" i="40"/>
  <c r="CT167" i="40"/>
  <c r="AU73" i="43"/>
  <c r="AW67" i="43"/>
  <c r="AA189" i="40"/>
  <c r="AA10" i="40"/>
  <c r="CN4" i="40"/>
  <c r="BL4" i="40"/>
  <c r="CM4" i="40"/>
  <c r="CL190" i="40"/>
  <c r="CT190" i="40"/>
  <c r="BL86" i="40"/>
  <c r="AQ30" i="40"/>
  <c r="BE30" i="40" s="1"/>
  <c r="BF33" i="40"/>
  <c r="BF38" i="40"/>
  <c r="BS43" i="40"/>
  <c r="CG43" i="40" s="1"/>
  <c r="CH46" i="40"/>
  <c r="BF48" i="40"/>
  <c r="CH52" i="40"/>
  <c r="CH54" i="40"/>
  <c r="AQ62" i="40"/>
  <c r="BE62" i="40" s="1"/>
  <c r="BF64" i="40"/>
  <c r="CK188" i="40"/>
  <c r="CT188" i="40"/>
  <c r="CH77" i="40"/>
  <c r="BF81" i="40"/>
  <c r="AA146" i="40"/>
  <c r="CN94" i="40"/>
  <c r="CN146" i="40" s="1"/>
  <c r="BL94" i="40"/>
  <c r="BL146" i="40" s="1"/>
  <c r="CJ97" i="40"/>
  <c r="CH97" i="40" s="1"/>
  <c r="BH97" i="40"/>
  <c r="BF97" i="40" s="1"/>
  <c r="U97" i="40"/>
  <c r="BF101" i="40"/>
  <c r="BS106" i="40"/>
  <c r="CG106" i="40" s="1"/>
  <c r="BF110" i="40"/>
  <c r="CH129" i="40"/>
  <c r="CM167" i="40"/>
  <c r="G183" i="40"/>
  <c r="BF174" i="40"/>
  <c r="AK191" i="40"/>
  <c r="AK193" i="40" s="1"/>
  <c r="CJ5" i="40"/>
  <c r="BH5" i="40"/>
  <c r="CN86" i="40"/>
  <c r="CH33" i="40"/>
  <c r="BF53" i="40"/>
  <c r="CH58" i="40"/>
  <c r="BS100" i="40"/>
  <c r="CG100" i="40" s="1"/>
  <c r="AQ100" i="40"/>
  <c r="BE100" i="40" s="1"/>
  <c r="CH108" i="40"/>
  <c r="AS150" i="40"/>
  <c r="BH150" i="40"/>
  <c r="BH167" i="40"/>
  <c r="W15" i="44"/>
  <c r="AB189" i="40"/>
  <c r="CO4" i="40"/>
  <c r="CJ6" i="40"/>
  <c r="CP6" i="40" s="1"/>
  <c r="BH6" i="40"/>
  <c r="AR6" i="40" s="1"/>
  <c r="AR10" i="40" s="1"/>
  <c r="U6" i="40"/>
  <c r="S6" i="40" s="1"/>
  <c r="BJ190" i="40"/>
  <c r="BJ21" i="40"/>
  <c r="BR190" i="40"/>
  <c r="CM190" i="40"/>
  <c r="AQ15" i="40"/>
  <c r="BE15" i="40" s="1"/>
  <c r="BS34" i="40"/>
  <c r="CG34" i="40" s="1"/>
  <c r="BF39" i="40"/>
  <c r="CH41" i="40"/>
  <c r="BF46" i="40"/>
  <c r="CN187" i="40"/>
  <c r="CH63" i="40"/>
  <c r="CH65" i="40"/>
  <c r="V188" i="40"/>
  <c r="V191" i="40" s="1"/>
  <c r="V193" i="40" s="1"/>
  <c r="U72" i="40"/>
  <c r="V86" i="40"/>
  <c r="CL188" i="40"/>
  <c r="AQ74" i="40"/>
  <c r="BE74" i="40" s="1"/>
  <c r="AQ77" i="40"/>
  <c r="BE77" i="40" s="1"/>
  <c r="AC189" i="40"/>
  <c r="U84" i="40"/>
  <c r="CO146" i="40"/>
  <c r="S90" i="40"/>
  <c r="CO185" i="40"/>
  <c r="CO191" i="40" s="1"/>
  <c r="CO193" i="40" s="1"/>
  <c r="Y185" i="40"/>
  <c r="Y191" i="40" s="1"/>
  <c r="Y193" i="40" s="1"/>
  <c r="Y197" i="40" s="1"/>
  <c r="Y146" i="40"/>
  <c r="Y183" i="40" s="1"/>
  <c r="CL92" i="40"/>
  <c r="BJ92" i="40"/>
  <c r="BF92" i="40" s="1"/>
  <c r="CH94" i="40"/>
  <c r="CO186" i="40"/>
  <c r="CH99" i="40"/>
  <c r="BS105" i="40"/>
  <c r="CG105" i="40" s="1"/>
  <c r="AQ106" i="40"/>
  <c r="BE106" i="40" s="1"/>
  <c r="CH109" i="40"/>
  <c r="BF125" i="40"/>
  <c r="BF138" i="40"/>
  <c r="CS157" i="40"/>
  <c r="CH157" i="40" s="1"/>
  <c r="CI192" i="40"/>
  <c r="CQ192" i="40"/>
  <c r="BS162" i="40"/>
  <c r="CG162" i="40" s="1"/>
  <c r="CI167" i="40"/>
  <c r="BS171" i="40"/>
  <c r="CG171" i="40" s="1"/>
  <c r="BF172" i="40"/>
  <c r="AA183" i="40"/>
  <c r="AL183" i="40"/>
  <c r="CC183" i="40"/>
  <c r="CC195" i="40" s="1"/>
  <c r="AA185" i="40"/>
  <c r="AA191" i="40" s="1"/>
  <c r="AA193" i="40" s="1"/>
  <c r="AA197" i="40" s="1"/>
  <c r="BO189" i="40"/>
  <c r="BO10" i="40"/>
  <c r="AE10" i="40"/>
  <c r="BI4" i="40"/>
  <c r="CN8" i="40"/>
  <c r="BL8" i="40"/>
  <c r="CN9" i="40"/>
  <c r="CH9" i="40" s="1"/>
  <c r="BL9" i="40"/>
  <c r="AI10" i="40"/>
  <c r="AC190" i="40"/>
  <c r="U12" i="40"/>
  <c r="BK190" i="40"/>
  <c r="BK21" i="40"/>
  <c r="CN190" i="40"/>
  <c r="CN21" i="40"/>
  <c r="CP13" i="40"/>
  <c r="CH13" i="40" s="1"/>
  <c r="BN13" i="40"/>
  <c r="BF13" i="40" s="1"/>
  <c r="CH23" i="40"/>
  <c r="CQ86" i="40"/>
  <c r="AQ24" i="40"/>
  <c r="BE24" i="40" s="1"/>
  <c r="CH44" i="40"/>
  <c r="BF58" i="40"/>
  <c r="BL187" i="40"/>
  <c r="CO187" i="40"/>
  <c r="BF63" i="40"/>
  <c r="W188" i="40"/>
  <c r="W86" i="40"/>
  <c r="CJ72" i="40"/>
  <c r="CI72" i="40" s="1"/>
  <c r="CH72" i="40" s="1"/>
  <c r="CH76" i="40"/>
  <c r="BS82" i="40"/>
  <c r="CG82" i="40" s="1"/>
  <c r="AQ82" i="40"/>
  <c r="BE82" i="40" s="1"/>
  <c r="U83" i="40"/>
  <c r="CP83" i="40"/>
  <c r="BN83" i="40"/>
  <c r="BG88" i="40"/>
  <c r="BH146" i="40"/>
  <c r="BQ146" i="40"/>
  <c r="BL185" i="40"/>
  <c r="CH92" i="40"/>
  <c r="CH93" i="40"/>
  <c r="AT185" i="40"/>
  <c r="AT146" i="40"/>
  <c r="BF99" i="40"/>
  <c r="BF109" i="40"/>
  <c r="CH115" i="40"/>
  <c r="CH117" i="40"/>
  <c r="CH124" i="40"/>
  <c r="CH133" i="40"/>
  <c r="CH137" i="40"/>
  <c r="CH139" i="40"/>
  <c r="BF144" i="40"/>
  <c r="AE183" i="40"/>
  <c r="U181" i="40"/>
  <c r="CL181" i="40"/>
  <c r="CL183" i="40" s="1"/>
  <c r="CT181" i="40"/>
  <c r="CH179" i="40"/>
  <c r="AB183" i="40"/>
  <c r="W16" i="44"/>
  <c r="BH4" i="40"/>
  <c r="BP4" i="40"/>
  <c r="CJ4" i="40"/>
  <c r="CR4" i="40"/>
  <c r="BL5" i="40"/>
  <c r="BJ7" i="40"/>
  <c r="BR7" i="40"/>
  <c r="BH9" i="40"/>
  <c r="BF9" i="40" s="1"/>
  <c r="BP9" i="40"/>
  <c r="BM190" i="40"/>
  <c r="CO190" i="40"/>
  <c r="BG21" i="40"/>
  <c r="AQ20" i="40"/>
  <c r="BE20" i="40" s="1"/>
  <c r="AQ36" i="40"/>
  <c r="BE36" i="40" s="1"/>
  <c r="BO187" i="40"/>
  <c r="CQ187" i="40"/>
  <c r="AI188" i="40"/>
  <c r="BO188" i="40"/>
  <c r="CN188" i="40"/>
  <c r="Q189" i="40"/>
  <c r="Q191" i="40" s="1"/>
  <c r="Q193" i="40" s="1"/>
  <c r="Q183" i="40"/>
  <c r="CI88" i="40"/>
  <c r="CR146" i="40"/>
  <c r="BN185" i="40"/>
  <c r="CM100" i="40"/>
  <c r="CM186" i="40" s="1"/>
  <c r="BK100" i="40"/>
  <c r="BF100" i="40" s="1"/>
  <c r="CH107" i="40"/>
  <c r="CH112" i="40"/>
  <c r="BF114" i="40"/>
  <c r="BF124" i="40"/>
  <c r="BS126" i="40"/>
  <c r="CG126" i="40" s="1"/>
  <c r="AQ126" i="40"/>
  <c r="BE126" i="40" s="1"/>
  <c r="BF130" i="40"/>
  <c r="CH136" i="40"/>
  <c r="CH140" i="40"/>
  <c r="H183" i="40"/>
  <c r="CO167" i="40"/>
  <c r="CH155" i="40"/>
  <c r="BT155" i="40" s="1"/>
  <c r="BS155" i="40" s="1"/>
  <c r="CG155" i="40" s="1"/>
  <c r="CJ192" i="40"/>
  <c r="BW183" i="40"/>
  <c r="BW195" i="40" s="1"/>
  <c r="CH174" i="40"/>
  <c r="BF179" i="40"/>
  <c r="AJ191" i="40"/>
  <c r="AJ193" i="40" s="1"/>
  <c r="Z186" i="40"/>
  <c r="AW52" i="43"/>
  <c r="W189" i="40"/>
  <c r="AG189" i="40"/>
  <c r="AG191" i="40" s="1"/>
  <c r="AG193" i="40" s="1"/>
  <c r="AG197" i="40" s="1"/>
  <c r="BR4" i="40"/>
  <c r="CL189" i="40"/>
  <c r="CT4" i="40"/>
  <c r="BR9" i="40"/>
  <c r="AG10" i="40"/>
  <c r="AG183" i="40" s="1"/>
  <c r="BO190" i="40"/>
  <c r="CQ190" i="40"/>
  <c r="CQ21" i="40"/>
  <c r="CH31" i="40"/>
  <c r="U187" i="40"/>
  <c r="BI187" i="40"/>
  <c r="BQ187" i="40"/>
  <c r="CK187" i="40"/>
  <c r="CS187" i="40"/>
  <c r="BI188" i="40"/>
  <c r="BQ188" i="40"/>
  <c r="AX183" i="40"/>
  <c r="AX195" i="40" s="1"/>
  <c r="U88" i="40"/>
  <c r="CL146" i="40"/>
  <c r="CT146" i="40"/>
  <c r="U91" i="40"/>
  <c r="BH91" i="40"/>
  <c r="BH185" i="40" s="1"/>
  <c r="BH191" i="40" s="1"/>
  <c r="BH193" i="40" s="1"/>
  <c r="CJ91" i="40"/>
  <c r="CJ185" i="40" s="1"/>
  <c r="CJ191" i="40" s="1"/>
  <c r="CJ193" i="40" s="1"/>
  <c r="CR185" i="40"/>
  <c r="U93" i="40"/>
  <c r="BH95" i="40"/>
  <c r="U96" i="40"/>
  <c r="BH96" i="40"/>
  <c r="BF96" i="40" s="1"/>
  <c r="CR186" i="40"/>
  <c r="BF113" i="40"/>
  <c r="BS134" i="40"/>
  <c r="CG134" i="40" s="1"/>
  <c r="W146" i="40"/>
  <c r="W183" i="40" s="1"/>
  <c r="BM167" i="40"/>
  <c r="CQ167" i="40"/>
  <c r="CH153" i="40"/>
  <c r="CL192" i="40"/>
  <c r="X186" i="40"/>
  <c r="U170" i="40"/>
  <c r="CK170" i="40"/>
  <c r="X181" i="40"/>
  <c r="BJ181" i="40"/>
  <c r="BR181" i="40"/>
  <c r="BP181" i="40"/>
  <c r="CH42" i="40"/>
  <c r="BJ187" i="40"/>
  <c r="CL187" i="40"/>
  <c r="BJ188" i="40"/>
  <c r="BR188" i="40"/>
  <c r="BN146" i="40"/>
  <c r="CI89" i="40"/>
  <c r="CH89" i="40" s="1"/>
  <c r="CK185" i="40"/>
  <c r="CK191" i="40" s="1"/>
  <c r="CK193" i="40" s="1"/>
  <c r="Z191" i="40"/>
  <c r="Z193" i="40" s="1"/>
  <c r="Z197" i="40" s="1"/>
  <c r="X185" i="40"/>
  <c r="X191" i="40" s="1"/>
  <c r="X193" i="40" s="1"/>
  <c r="X197" i="40" s="1"/>
  <c r="X146" i="40"/>
  <c r="W186" i="40"/>
  <c r="BI186" i="40"/>
  <c r="BQ186" i="40"/>
  <c r="CS186" i="40"/>
  <c r="AA186" i="40"/>
  <c r="CN102" i="40"/>
  <c r="CH102" i="40" s="1"/>
  <c r="BL102" i="40"/>
  <c r="BF102" i="40" s="1"/>
  <c r="CH106" i="40"/>
  <c r="BF127" i="40"/>
  <c r="BS142" i="40"/>
  <c r="CG142" i="40" s="1"/>
  <c r="AQ142" i="40"/>
  <c r="BE142" i="40" s="1"/>
  <c r="CH145" i="40"/>
  <c r="Z146" i="40"/>
  <c r="CH152" i="40"/>
  <c r="CJ167" i="40"/>
  <c r="BL167" i="40"/>
  <c r="AI192" i="40"/>
  <c r="BN192" i="40"/>
  <c r="CM192" i="40"/>
  <c r="AI181" i="40"/>
  <c r="BK181" i="40"/>
  <c r="BY183" i="40"/>
  <c r="BH190" i="40"/>
  <c r="BP190" i="40"/>
  <c r="CJ190" i="40"/>
  <c r="CR190" i="40"/>
  <c r="CR21" i="40"/>
  <c r="BR187" i="40"/>
  <c r="CT187" i="40"/>
  <c r="AQ69" i="40"/>
  <c r="BE69" i="40" s="1"/>
  <c r="CQ188" i="40"/>
  <c r="BP5" i="40"/>
  <c r="BF5" i="40" s="1"/>
  <c r="BI190" i="40"/>
  <c r="BQ190" i="40"/>
  <c r="CK190" i="40"/>
  <c r="CS190" i="40"/>
  <c r="CJ21" i="40"/>
  <c r="CS21" i="40"/>
  <c r="AQ41" i="40"/>
  <c r="BE41" i="40" s="1"/>
  <c r="AQ49" i="40"/>
  <c r="BE49" i="40" s="1"/>
  <c r="CM187" i="40"/>
  <c r="BK188" i="40"/>
  <c r="CR188" i="40"/>
  <c r="AI146" i="40"/>
  <c r="BO88" i="40"/>
  <c r="AI185" i="40"/>
  <c r="AI191" i="40" s="1"/>
  <c r="AI193" i="40" s="1"/>
  <c r="BJ185" i="40"/>
  <c r="BR185" i="40"/>
  <c r="CL185" i="40"/>
  <c r="CT185" i="40"/>
  <c r="BJ186" i="40"/>
  <c r="BR186" i="40"/>
  <c r="BR199" i="40" s="1"/>
  <c r="CL186" i="40"/>
  <c r="CT186" i="40"/>
  <c r="BF106" i="40"/>
  <c r="BF123" i="40"/>
  <c r="CH143" i="40"/>
  <c r="BO149" i="40"/>
  <c r="BO150" i="40" s="1"/>
  <c r="CQ149" i="40"/>
  <c r="CH149" i="40" s="1"/>
  <c r="AD150" i="40"/>
  <c r="U149" i="40"/>
  <c r="S149" i="40" s="1"/>
  <c r="BF152" i="40"/>
  <c r="BO167" i="40"/>
  <c r="CK167" i="40"/>
  <c r="BL181" i="40"/>
  <c r="V181" i="40"/>
  <c r="V183" i="40" s="1"/>
  <c r="BG176" i="40"/>
  <c r="BF176" i="40" s="1"/>
  <c r="CI176" i="40"/>
  <c r="CH176" i="40" s="1"/>
  <c r="AK183" i="40"/>
  <c r="AV183" i="40"/>
  <c r="AV195" i="40" s="1"/>
  <c r="BZ183" i="40"/>
  <c r="AN191" i="40"/>
  <c r="AN193" i="40" s="1"/>
  <c r="BF120" i="40"/>
  <c r="BF136" i="40"/>
  <c r="AI167" i="40"/>
  <c r="CH160" i="40"/>
  <c r="CH177" i="40"/>
  <c r="AN183" i="40"/>
  <c r="AC191" i="40"/>
  <c r="AC193" i="40" s="1"/>
  <c r="AC197" i="40" s="1"/>
  <c r="AM191" i="40"/>
  <c r="AM193" i="40" s="1"/>
  <c r="AO58" i="43"/>
  <c r="AQ58" i="43" s="1"/>
  <c r="AY58" i="43"/>
  <c r="AZ58" i="43" s="1"/>
  <c r="AA58" i="43"/>
  <c r="AS58" i="43"/>
  <c r="AU58" i="43" s="1"/>
  <c r="AC58" i="43"/>
  <c r="Y58" i="43"/>
  <c r="W36" i="44"/>
  <c r="P69" i="44"/>
  <c r="P37" i="44"/>
  <c r="P33" i="44" s="1"/>
  <c r="BF112" i="40"/>
  <c r="CH119" i="40"/>
  <c r="BS121" i="40"/>
  <c r="CG121" i="40" s="1"/>
  <c r="CH128" i="40"/>
  <c r="CH135" i="40"/>
  <c r="BS137" i="40"/>
  <c r="CG137" i="40" s="1"/>
  <c r="CH144" i="40"/>
  <c r="BG192" i="40"/>
  <c r="BO192" i="40"/>
  <c r="CN192" i="40"/>
  <c r="BF158" i="40"/>
  <c r="CD183" i="40"/>
  <c r="CD195" i="40" s="1"/>
  <c r="AE191" i="40"/>
  <c r="AE193" i="40" s="1"/>
  <c r="AE197" i="40" s="1"/>
  <c r="AY57" i="43"/>
  <c r="AZ57" i="43" s="1"/>
  <c r="AC57" i="43"/>
  <c r="Y57" i="43"/>
  <c r="BL186" i="40"/>
  <c r="CN186" i="40"/>
  <c r="BF119" i="40"/>
  <c r="BF135" i="40"/>
  <c r="BF145" i="40"/>
  <c r="AM183" i="40"/>
  <c r="BN167" i="40"/>
  <c r="BH192" i="40"/>
  <c r="BP192" i="40"/>
  <c r="CO192" i="40"/>
  <c r="AJ192" i="40"/>
  <c r="AJ167" i="40"/>
  <c r="AJ183" i="40" s="1"/>
  <c r="BS164" i="40"/>
  <c r="CG164" i="40" s="1"/>
  <c r="S164" i="40"/>
  <c r="CS181" i="40"/>
  <c r="AQ180" i="40"/>
  <c r="BE180" i="40" s="1"/>
  <c r="CH180" i="40"/>
  <c r="AP191" i="40"/>
  <c r="AP193" i="40" s="1"/>
  <c r="CF191" i="40"/>
  <c r="CF193" i="40" s="1"/>
  <c r="Z183" i="40"/>
  <c r="BD183" i="40"/>
  <c r="AX191" i="40"/>
  <c r="AX193" i="40" s="1"/>
  <c r="BZ191" i="40"/>
  <c r="BZ193" i="40" s="1"/>
  <c r="CR192" i="40"/>
  <c r="BS161" i="40"/>
  <c r="CG161" i="40" s="1"/>
  <c r="AF192" i="40"/>
  <c r="BS166" i="40"/>
  <c r="CG166" i="40" s="1"/>
  <c r="G191" i="40"/>
  <c r="G193" i="40" s="1"/>
  <c r="AC20" i="43"/>
  <c r="AS20" i="43"/>
  <c r="AM20" i="43"/>
  <c r="AQ20" i="43" s="1"/>
  <c r="AA20" i="43"/>
  <c r="AY20" i="43"/>
  <c r="AZ20" i="43" s="1"/>
  <c r="T4" i="44"/>
  <c r="T3" i="44" s="1"/>
  <c r="P22" i="44"/>
  <c r="I54" i="44"/>
  <c r="T58" i="44"/>
  <c r="T57" i="44" s="1"/>
  <c r="H57" i="44"/>
  <c r="H56" i="44" s="1"/>
  <c r="BL192" i="40"/>
  <c r="AQ161" i="40"/>
  <c r="BE161" i="40" s="1"/>
  <c r="CQ181" i="40"/>
  <c r="CH171" i="40"/>
  <c r="AD186" i="40"/>
  <c r="AD181" i="40"/>
  <c r="AD183" i="40" s="1"/>
  <c r="CF183" i="40"/>
  <c r="CF195" i="40" s="1"/>
  <c r="BD191" i="40"/>
  <c r="BD193" i="40" s="1"/>
  <c r="Y20" i="43"/>
  <c r="AG47" i="43"/>
  <c r="AG75" i="43" s="1"/>
  <c r="AQ42" i="43"/>
  <c r="AQ47" i="43" s="1"/>
  <c r="M13" i="44"/>
  <c r="L13" i="44"/>
  <c r="U192" i="40"/>
  <c r="S157" i="40"/>
  <c r="BM192" i="40"/>
  <c r="BQ162" i="40"/>
  <c r="BF162" i="40" s="1"/>
  <c r="AQ169" i="40"/>
  <c r="BE169" i="40" s="1"/>
  <c r="BS169" i="40"/>
  <c r="CG169" i="40" s="1"/>
  <c r="BF171" i="40"/>
  <c r="I191" i="40"/>
  <c r="I193" i="40" s="1"/>
  <c r="BW191" i="40"/>
  <c r="BW193" i="40" s="1"/>
  <c r="Q17" i="44"/>
  <c r="I21" i="44"/>
  <c r="L34" i="44"/>
  <c r="AQ154" i="40"/>
  <c r="BE154" i="40" s="1"/>
  <c r="AQ155" i="40"/>
  <c r="BE155" i="40" s="1"/>
  <c r="CK192" i="40"/>
  <c r="CT192" i="40"/>
  <c r="BS163" i="40"/>
  <c r="CG163" i="40" s="1"/>
  <c r="BQ164" i="40"/>
  <c r="BF164" i="40" s="1"/>
  <c r="AO191" i="40"/>
  <c r="AO193" i="40" s="1"/>
  <c r="BY191" i="40"/>
  <c r="BY193" i="40" s="1"/>
  <c r="AY30" i="43"/>
  <c r="AZ30" i="43" s="1"/>
  <c r="AW47" i="43"/>
  <c r="AY61" i="43"/>
  <c r="AZ61" i="43" s="1"/>
  <c r="AC61" i="43"/>
  <c r="L17" i="44"/>
  <c r="R69" i="44"/>
  <c r="R37" i="44"/>
  <c r="R33" i="44" s="1"/>
  <c r="I46" i="44"/>
  <c r="P76" i="44"/>
  <c r="H76" i="44"/>
  <c r="H52" i="44"/>
  <c r="R76" i="44"/>
  <c r="BQ31" i="43"/>
  <c r="BM47" i="43"/>
  <c r="BQ40" i="43"/>
  <c r="W11" i="44"/>
  <c r="M17" i="44"/>
  <c r="U34" i="44"/>
  <c r="M44" i="44"/>
  <c r="M43" i="44" s="1"/>
  <c r="F49" i="44"/>
  <c r="W64" i="44"/>
  <c r="U13" i="43"/>
  <c r="AC31" i="43"/>
  <c r="AY31" i="43"/>
  <c r="AZ31" i="43" s="1"/>
  <c r="AA31" i="43"/>
  <c r="Y31" i="43"/>
  <c r="AR31" i="43"/>
  <c r="BK75" i="43"/>
  <c r="V10" i="44"/>
  <c r="F71" i="44"/>
  <c r="T52" i="44"/>
  <c r="V65" i="44"/>
  <c r="AM19" i="43"/>
  <c r="AQ19" i="43" s="1"/>
  <c r="AY19" i="43"/>
  <c r="AZ19" i="43" s="1"/>
  <c r="AA19" i="43"/>
  <c r="AS30" i="43"/>
  <c r="AR30" i="43"/>
  <c r="AM30" i="43"/>
  <c r="AQ30" i="43" s="1"/>
  <c r="Y30" i="43"/>
  <c r="AA32" i="43"/>
  <c r="Y32" i="43"/>
  <c r="AS32" i="43"/>
  <c r="AC40" i="43"/>
  <c r="AS40" i="43"/>
  <c r="AS47" i="43" s="1"/>
  <c r="N22" i="44"/>
  <c r="H37" i="44"/>
  <c r="T41" i="44"/>
  <c r="D48" i="44"/>
  <c r="O56" i="44"/>
  <c r="F56" i="44"/>
  <c r="AC9" i="43"/>
  <c r="AC16" i="43"/>
  <c r="AY25" i="43"/>
  <c r="AZ25" i="43" s="1"/>
  <c r="AS60" i="43"/>
  <c r="AU60" i="43" s="1"/>
  <c r="M9" i="44"/>
  <c r="M8" i="44" s="1"/>
  <c r="N13" i="44"/>
  <c r="H34" i="44"/>
  <c r="H33" i="44" s="1"/>
  <c r="D37" i="44"/>
  <c r="D33" i="44" s="1"/>
  <c r="D66" i="44" s="1"/>
  <c r="V39" i="44"/>
  <c r="V70" i="44" s="1"/>
  <c r="O70" i="44"/>
  <c r="O49" i="44"/>
  <c r="AY18" i="43"/>
  <c r="AZ18" i="43" s="1"/>
  <c r="AC36" i="43"/>
  <c r="AQ52" i="43"/>
  <c r="AY64" i="43"/>
  <c r="AZ64" i="43" s="1"/>
  <c r="L4" i="44"/>
  <c r="L3" i="44" s="1"/>
  <c r="U73" i="44"/>
  <c r="N9" i="44"/>
  <c r="N8" i="44" s="1"/>
  <c r="P9" i="44"/>
  <c r="P8" i="44" s="1"/>
  <c r="N71" i="44"/>
  <c r="F22" i="44"/>
  <c r="N30" i="44"/>
  <c r="M34" i="44"/>
  <c r="I55" i="44"/>
  <c r="U56" i="44"/>
  <c r="W63" i="44"/>
  <c r="AW38" i="43"/>
  <c r="BL75" i="43"/>
  <c r="U65" i="43"/>
  <c r="AC64" i="43"/>
  <c r="Q9" i="44"/>
  <c r="Q8" i="44" s="1"/>
  <c r="U17" i="44"/>
  <c r="N72" i="44"/>
  <c r="Q70" i="44"/>
  <c r="W42" i="44"/>
  <c r="N49" i="44"/>
  <c r="AI75" i="43"/>
  <c r="Y60" i="43"/>
  <c r="Y64" i="43"/>
  <c r="T9" i="44"/>
  <c r="T8" i="44" s="1"/>
  <c r="Q13" i="44"/>
  <c r="P13" i="44"/>
  <c r="P71" i="44"/>
  <c r="I26" i="44"/>
  <c r="R70" i="44"/>
  <c r="Q44" i="44"/>
  <c r="Q43" i="44" s="1"/>
  <c r="L76" i="44"/>
  <c r="BT52" i="40"/>
  <c r="BS52" i="40" s="1"/>
  <c r="CG52" i="40" s="1"/>
  <c r="F9" i="36"/>
  <c r="F8" i="36" s="1"/>
  <c r="AO6" i="29"/>
  <c r="F38" i="33"/>
  <c r="J38" i="33" s="1"/>
  <c r="M38" i="33" s="1"/>
  <c r="AR54" i="40"/>
  <c r="AQ54" i="40" s="1"/>
  <c r="BE54" i="40" s="1"/>
  <c r="AT6" i="43"/>
  <c r="AA72" i="43"/>
  <c r="BT6" i="40"/>
  <c r="BS6" i="40" s="1"/>
  <c r="CG6" i="40" s="1"/>
  <c r="BT31" i="40"/>
  <c r="BS31" i="40" s="1"/>
  <c r="CG31" i="40" s="1"/>
  <c r="BT79" i="40"/>
  <c r="AR158" i="40"/>
  <c r="AQ158" i="40" s="1"/>
  <c r="BE158" i="40" s="1"/>
  <c r="AR78" i="40"/>
  <c r="AQ78" i="40" s="1"/>
  <c r="BE78" i="40" s="1"/>
  <c r="AR40" i="40"/>
  <c r="AQ40" i="40" s="1"/>
  <c r="BE40" i="40" s="1"/>
  <c r="AR58" i="40"/>
  <c r="AQ58" i="40" s="1"/>
  <c r="BE58" i="40" s="1"/>
  <c r="AR67" i="40"/>
  <c r="AQ67" i="40" s="1"/>
  <c r="BE67" i="40" s="1"/>
  <c r="AJ64" i="29"/>
  <c r="AJ74" i="29" s="1"/>
  <c r="AJ76" i="29" s="1"/>
  <c r="BJ74" i="29"/>
  <c r="BJ76" i="29" s="1"/>
  <c r="AN13" i="29"/>
  <c r="AY75" i="29"/>
  <c r="AY76" i="29" s="1"/>
  <c r="BM13" i="43"/>
  <c r="BQ8" i="43"/>
  <c r="BQ13" i="43" s="1"/>
  <c r="AU46" i="29"/>
  <c r="BF74" i="29"/>
  <c r="BF76" i="29" s="1"/>
  <c r="U74" i="29"/>
  <c r="AW74" i="29" s="1"/>
  <c r="AW76" i="29" s="1"/>
  <c r="AG74" i="29"/>
  <c r="AG76" i="29" s="1"/>
  <c r="AD76" i="29"/>
  <c r="G71" i="44"/>
  <c r="V20" i="44"/>
  <c r="V71" i="44" s="1"/>
  <c r="AR78" i="29"/>
  <c r="Q38" i="44"/>
  <c r="BF46" i="29"/>
  <c r="X46" i="29"/>
  <c r="R64" i="29"/>
  <c r="R74" i="29" s="1"/>
  <c r="V63" i="29"/>
  <c r="AZ72" i="29"/>
  <c r="AZ74" i="29" s="1"/>
  <c r="AZ76" i="29"/>
  <c r="AS12" i="43"/>
  <c r="AA12" i="43"/>
  <c r="AY12" i="43"/>
  <c r="AZ12" i="43" s="1"/>
  <c r="AW13" i="43"/>
  <c r="W38" i="43"/>
  <c r="AS15" i="43"/>
  <c r="AS38" i="43" s="1"/>
  <c r="AA15" i="43"/>
  <c r="AC15" i="43"/>
  <c r="AY24" i="43"/>
  <c r="AZ24" i="43" s="1"/>
  <c r="AA24" i="43"/>
  <c r="AS24" i="43"/>
  <c r="AF24" i="43"/>
  <c r="BO65" i="43"/>
  <c r="BO75" i="43" s="1"/>
  <c r="BQ56" i="43"/>
  <c r="AH75" i="43"/>
  <c r="AQ69" i="43"/>
  <c r="AQ73" i="43" s="1"/>
  <c r="BH75" i="43"/>
  <c r="AU8" i="29"/>
  <c r="AL15" i="29"/>
  <c r="AT15" i="29"/>
  <c r="AL23" i="29"/>
  <c r="AT23" i="29"/>
  <c r="AU23" i="29" s="1"/>
  <c r="Q26" i="44"/>
  <c r="Q72" i="44" s="1"/>
  <c r="AR32" i="29"/>
  <c r="AR38" i="29" s="1"/>
  <c r="S35" i="44"/>
  <c r="AU42" i="29"/>
  <c r="V64" i="29"/>
  <c r="V74" i="29" s="1"/>
  <c r="BL53" i="29"/>
  <c r="S51" i="44"/>
  <c r="S49" i="44" s="1"/>
  <c r="S48" i="44" s="1"/>
  <c r="BL54" i="29"/>
  <c r="X100" i="29"/>
  <c r="AA100" i="29" s="1"/>
  <c r="AN63" i="29"/>
  <c r="X72" i="29"/>
  <c r="AT72" i="29"/>
  <c r="BG72" i="29"/>
  <c r="BG74" i="29" s="1"/>
  <c r="BG76" i="29" s="1"/>
  <c r="AF76" i="29"/>
  <c r="AW6" i="43"/>
  <c r="Y15" i="43"/>
  <c r="BE71" i="43"/>
  <c r="BQ17" i="43"/>
  <c r="BQ38" i="43" s="1"/>
  <c r="BE38" i="43"/>
  <c r="BM52" i="43"/>
  <c r="BQ50" i="43"/>
  <c r="BQ52" i="43" s="1"/>
  <c r="AY54" i="43"/>
  <c r="Y54" i="43"/>
  <c r="AC54" i="43"/>
  <c r="AA54" i="43"/>
  <c r="AS54" i="43"/>
  <c r="AF54" i="43"/>
  <c r="U72" i="44"/>
  <c r="U22" i="44"/>
  <c r="AT3" i="29"/>
  <c r="AL5" i="29"/>
  <c r="AL6" i="29" s="1"/>
  <c r="X98" i="29"/>
  <c r="AA98" i="29" s="1"/>
  <c r="BH8" i="29"/>
  <c r="AT10" i="29"/>
  <c r="AU10" i="29" s="1"/>
  <c r="AL13" i="29"/>
  <c r="AR13" i="29"/>
  <c r="AH16" i="29"/>
  <c r="AL16" i="29" s="1"/>
  <c r="AL18" i="29"/>
  <c r="R17" i="44"/>
  <c r="AA24" i="29"/>
  <c r="AA25" i="29"/>
  <c r="R24" i="44"/>
  <c r="R72" i="44" s="1"/>
  <c r="AH82" i="29"/>
  <c r="AH85" i="29" s="1"/>
  <c r="AM32" i="29"/>
  <c r="AL36" i="29"/>
  <c r="BF38" i="29"/>
  <c r="BL40" i="29"/>
  <c r="AN42" i="29"/>
  <c r="AN46" i="29" s="1"/>
  <c r="BL42" i="29"/>
  <c r="AN43" i="29"/>
  <c r="AP43" i="29" s="1"/>
  <c r="AR91" i="29"/>
  <c r="AS90" i="29" s="1"/>
  <c r="AB46" i="29"/>
  <c r="AB74" i="29" s="1"/>
  <c r="AB76" i="29" s="1"/>
  <c r="BL55" i="29"/>
  <c r="AJ63" i="29"/>
  <c r="AL63" i="29" s="1"/>
  <c r="AT63" i="29"/>
  <c r="AU63" i="29" s="1"/>
  <c r="AU64" i="29" s="1"/>
  <c r="AR64" i="29"/>
  <c r="BH70" i="29"/>
  <c r="S62" i="44" s="1"/>
  <c r="S59" i="44" s="1"/>
  <c r="AT70" i="29"/>
  <c r="AU70" i="29" s="1"/>
  <c r="AN71" i="29"/>
  <c r="AN72" i="29" s="1"/>
  <c r="P65" i="44"/>
  <c r="P70" i="44" s="1"/>
  <c r="P75" i="44" s="1"/>
  <c r="BE72" i="29"/>
  <c r="BE74" i="29" s="1"/>
  <c r="T74" i="29"/>
  <c r="AE74" i="29"/>
  <c r="AE76" i="29" s="1"/>
  <c r="AW75" i="29"/>
  <c r="BC72" i="29"/>
  <c r="BC74" i="29" s="1"/>
  <c r="BC76" i="29" s="1"/>
  <c r="BH72" i="29"/>
  <c r="BD79" i="29"/>
  <c r="BD85" i="29" s="1"/>
  <c r="AP81" i="29"/>
  <c r="Z99" i="29"/>
  <c r="Z101" i="29" s="1"/>
  <c r="AA3" i="43"/>
  <c r="AA6" i="43" s="1"/>
  <c r="AS8" i="43"/>
  <c r="AS13" i="43" s="1"/>
  <c r="AA8" i="43"/>
  <c r="AA13" i="43" s="1"/>
  <c r="W13" i="43"/>
  <c r="AY8" i="43"/>
  <c r="AM8" i="43"/>
  <c r="AC10" i="43"/>
  <c r="AY28" i="43"/>
  <c r="AZ28" i="43" s="1"/>
  <c r="AR28" i="43"/>
  <c r="AA28" i="43"/>
  <c r="AS28" i="43"/>
  <c r="Y28" i="43"/>
  <c r="AS33" i="43"/>
  <c r="AC33" i="43"/>
  <c r="AR33" i="43"/>
  <c r="Y33" i="43"/>
  <c r="AM33" i="43"/>
  <c r="AQ33" i="43" s="1"/>
  <c r="AY33" i="43"/>
  <c r="AZ33" i="43" s="1"/>
  <c r="AA33" i="43"/>
  <c r="Z47" i="43"/>
  <c r="Z75" i="43" s="1"/>
  <c r="AA40" i="43"/>
  <c r="AA55" i="43"/>
  <c r="AC55" i="43"/>
  <c r="AY55" i="43"/>
  <c r="AZ55" i="43" s="1"/>
  <c r="AS55" i="43"/>
  <c r="AY62" i="43"/>
  <c r="AZ62" i="43" s="1"/>
  <c r="Y62" i="43"/>
  <c r="AC62" i="43"/>
  <c r="AA62" i="43"/>
  <c r="AS62" i="43"/>
  <c r="G73" i="44"/>
  <c r="G4" i="44"/>
  <c r="G3" i="44" s="1"/>
  <c r="M73" i="44"/>
  <c r="M4" i="44"/>
  <c r="M3" i="44" s="1"/>
  <c r="Q73" i="44"/>
  <c r="Q4" i="44"/>
  <c r="Q3" i="44" s="1"/>
  <c r="V5" i="44"/>
  <c r="W5" i="44" s="1"/>
  <c r="K4" i="44"/>
  <c r="K3" i="44" s="1"/>
  <c r="W6" i="44"/>
  <c r="U12" i="44"/>
  <c r="M22" i="44"/>
  <c r="H72" i="44"/>
  <c r="T24" i="44"/>
  <c r="T72" i="44" s="1"/>
  <c r="H49" i="44"/>
  <c r="H48" i="44" s="1"/>
  <c r="T50" i="44"/>
  <c r="T49" i="44" s="1"/>
  <c r="T48" i="44" s="1"/>
  <c r="K57" i="44"/>
  <c r="S58" i="44"/>
  <c r="S57" i="44" s="1"/>
  <c r="I62" i="44"/>
  <c r="V62" i="44"/>
  <c r="L26" i="44"/>
  <c r="W26" i="44" s="1"/>
  <c r="AH38" i="29"/>
  <c r="AH74" i="29" s="1"/>
  <c r="AH76" i="29" s="1"/>
  <c r="AN64" i="29"/>
  <c r="AT64" i="29"/>
  <c r="AU72" i="29"/>
  <c r="K59" i="44"/>
  <c r="BE76" i="29"/>
  <c r="AG82" i="29"/>
  <c r="AG85" i="29" s="1"/>
  <c r="AR94" i="29"/>
  <c r="AM12" i="43"/>
  <c r="AQ12" i="43" s="1"/>
  <c r="AY27" i="43"/>
  <c r="AZ27" i="43" s="1"/>
  <c r="AR27" i="43"/>
  <c r="AA27" i="43"/>
  <c r="AC27" i="43"/>
  <c r="AS27" i="43"/>
  <c r="W51" i="44"/>
  <c r="AH83" i="29"/>
  <c r="AW94" i="29"/>
  <c r="R25" i="44"/>
  <c r="L25" i="44"/>
  <c r="AL31" i="29"/>
  <c r="AL82" i="29" s="1"/>
  <c r="BA32" i="29"/>
  <c r="BL32" i="29" s="1"/>
  <c r="BL38" i="29" s="1"/>
  <c r="AL35" i="29"/>
  <c r="BA38" i="29"/>
  <c r="AL42" i="29"/>
  <c r="AL78" i="29" s="1"/>
  <c r="S38" i="44"/>
  <c r="BH78" i="29"/>
  <c r="BH85" i="29" s="1"/>
  <c r="AT43" i="29"/>
  <c r="AU43" i="29" s="1"/>
  <c r="S40" i="44"/>
  <c r="S70" i="44" s="1"/>
  <c r="BL44" i="29"/>
  <c r="S46" i="44"/>
  <c r="S44" i="44" s="1"/>
  <c r="S43" i="44" s="1"/>
  <c r="BL49" i="29"/>
  <c r="BL51" i="29" s="1"/>
  <c r="AL61" i="29"/>
  <c r="AL80" i="29" s="1"/>
  <c r="X64" i="29"/>
  <c r="BB71" i="29"/>
  <c r="BB79" i="29"/>
  <c r="AP72" i="29"/>
  <c r="BB72" i="29"/>
  <c r="BB74" i="29" s="1"/>
  <c r="BB76" i="29" s="1"/>
  <c r="AL75" i="29"/>
  <c r="BA76" i="29"/>
  <c r="AA95" i="29"/>
  <c r="Y12" i="43"/>
  <c r="Y24" i="43"/>
  <c r="AS43" i="43"/>
  <c r="AU43" i="43" s="1"/>
  <c r="AA45" i="43"/>
  <c r="AA49" i="43"/>
  <c r="AC49" i="43"/>
  <c r="W52" i="43"/>
  <c r="Y49" i="43"/>
  <c r="AW73" i="43"/>
  <c r="BM67" i="43"/>
  <c r="H73" i="44"/>
  <c r="H17" i="44"/>
  <c r="T18" i="44"/>
  <c r="T17" i="44" s="1"/>
  <c r="I20" i="44"/>
  <c r="I71" i="44" s="1"/>
  <c r="AH6" i="29"/>
  <c r="R10" i="44"/>
  <c r="AH84" i="29"/>
  <c r="X97" i="29"/>
  <c r="AA97" i="29" s="1"/>
  <c r="AT24" i="29"/>
  <c r="AU24" i="29" s="1"/>
  <c r="L24" i="44"/>
  <c r="BA82" i="29"/>
  <c r="X31" i="29"/>
  <c r="BH51" i="29"/>
  <c r="AL53" i="29"/>
  <c r="K50" i="44"/>
  <c r="AJ80" i="29"/>
  <c r="AJ85" i="29" s="1"/>
  <c r="M61" i="44"/>
  <c r="M59" i="44" s="1"/>
  <c r="AC79" i="29"/>
  <c r="AC85" i="29" s="1"/>
  <c r="G59" i="44"/>
  <c r="G56" i="44" s="1"/>
  <c r="V61" i="44"/>
  <c r="W61" i="44" s="1"/>
  <c r="L65" i="44"/>
  <c r="W65" i="44" s="1"/>
  <c r="BA72" i="29"/>
  <c r="BA74" i="29" s="1"/>
  <c r="BL71" i="29"/>
  <c r="AR72" i="29"/>
  <c r="BI74" i="29"/>
  <c r="BI76" i="29" s="1"/>
  <c r="BD76" i="29"/>
  <c r="BL75" i="29"/>
  <c r="AK85" i="29"/>
  <c r="BB78" i="29"/>
  <c r="BB85" i="29" s="1"/>
  <c r="BF78" i="29"/>
  <c r="BF85" i="29" s="1"/>
  <c r="BG83" i="29"/>
  <c r="BG85" i="29" s="1"/>
  <c r="AS91" i="29"/>
  <c r="AR85" i="29" s="1"/>
  <c r="AA94" i="29"/>
  <c r="AQ3" i="43"/>
  <c r="AQ6" i="43" s="1"/>
  <c r="AA10" i="43"/>
  <c r="AS10" i="43"/>
  <c r="AC12" i="43"/>
  <c r="AM15" i="43"/>
  <c r="AY15" i="43"/>
  <c r="AC24" i="43"/>
  <c r="AF25" i="43"/>
  <c r="AQ25" i="43" s="1"/>
  <c r="Y25" i="43"/>
  <c r="AM26" i="43"/>
  <c r="AQ26" i="43" s="1"/>
  <c r="Y26" i="43"/>
  <c r="AC26" i="43"/>
  <c r="AS26" i="43"/>
  <c r="AA26" i="43"/>
  <c r="AM27" i="43"/>
  <c r="AQ27" i="43" s="1"/>
  <c r="AY49" i="43"/>
  <c r="AS50" i="43"/>
  <c r="AA50" i="43"/>
  <c r="AY50" i="43"/>
  <c r="AZ50" i="43" s="1"/>
  <c r="AC50" i="43"/>
  <c r="AC52" i="43" s="1"/>
  <c r="R73" i="43"/>
  <c r="R75" i="43" s="1"/>
  <c r="U69" i="43"/>
  <c r="U73" i="43" s="1"/>
  <c r="AK75" i="43"/>
  <c r="I73" i="44"/>
  <c r="I4" i="44"/>
  <c r="I3" i="44" s="1"/>
  <c r="N73" i="44"/>
  <c r="R5" i="44"/>
  <c r="W46" i="44"/>
  <c r="V52" i="44"/>
  <c r="V76" i="44"/>
  <c r="AR79" i="29"/>
  <c r="AC3" i="43"/>
  <c r="AC6" i="43" s="1"/>
  <c r="AC5" i="43"/>
  <c r="AB75" i="43"/>
  <c r="AS21" i="43"/>
  <c r="AA21" i="43"/>
  <c r="AM21" i="43"/>
  <c r="AQ21" i="43" s="1"/>
  <c r="AY21" i="43"/>
  <c r="AZ21" i="43" s="1"/>
  <c r="BF38" i="43"/>
  <c r="AS29" i="43"/>
  <c r="AC29" i="43"/>
  <c r="AA29" i="43"/>
  <c r="AY29" i="43"/>
  <c r="AZ29" i="43" s="1"/>
  <c r="AC32" i="43"/>
  <c r="AR34" i="43"/>
  <c r="AA34" i="43"/>
  <c r="AY34" i="43"/>
  <c r="AZ34" i="43" s="1"/>
  <c r="AM34" i="43"/>
  <c r="AQ34" i="43" s="1"/>
  <c r="AC34" i="43"/>
  <c r="AR37" i="43"/>
  <c r="AA37" i="43"/>
  <c r="AC37" i="43"/>
  <c r="AS37" i="43"/>
  <c r="AC43" i="43"/>
  <c r="AO56" i="43"/>
  <c r="Y56" i="43"/>
  <c r="AY56" i="43"/>
  <c r="AZ56" i="43" s="1"/>
  <c r="AC56" i="43"/>
  <c r="AA56" i="43"/>
  <c r="BE65" i="43"/>
  <c r="AS72" i="43"/>
  <c r="AY72" i="43"/>
  <c r="AZ72" i="43" s="1"/>
  <c r="BI75" i="43"/>
  <c r="Q75" i="43"/>
  <c r="AL75" i="43"/>
  <c r="D74" i="44"/>
  <c r="D9" i="44"/>
  <c r="D8" i="44" s="1"/>
  <c r="I10" i="44"/>
  <c r="V74" i="44"/>
  <c r="V9" i="44"/>
  <c r="V8" i="44" s="1"/>
  <c r="G13" i="44"/>
  <c r="G12" i="44" s="1"/>
  <c r="I14" i="44"/>
  <c r="I13" i="44" s="1"/>
  <c r="V14" i="44"/>
  <c r="V13" i="44" s="1"/>
  <c r="V12" i="44" s="1"/>
  <c r="P12" i="44"/>
  <c r="R22" i="44"/>
  <c r="W27" i="44"/>
  <c r="W28" i="44"/>
  <c r="W29" i="44"/>
  <c r="I50" i="44"/>
  <c r="I49" i="44" s="1"/>
  <c r="F52" i="44"/>
  <c r="F48" i="44" s="1"/>
  <c r="U53" i="44"/>
  <c r="W53" i="44" s="1"/>
  <c r="F76" i="44"/>
  <c r="M76" i="44"/>
  <c r="M52" i="44"/>
  <c r="M48" i="44" s="1"/>
  <c r="Q76" i="44"/>
  <c r="Q52" i="44"/>
  <c r="Q48" i="44" s="1"/>
  <c r="N76" i="44"/>
  <c r="W54" i="44"/>
  <c r="L70" i="44"/>
  <c r="G44" i="44"/>
  <c r="G43" i="44" s="1"/>
  <c r="I45" i="44"/>
  <c r="I44" i="44" s="1"/>
  <c r="I43" i="44" s="1"/>
  <c r="Y3" i="43"/>
  <c r="Y6" i="43" s="1"/>
  <c r="Y5" i="43"/>
  <c r="AM16" i="43"/>
  <c r="AQ16" i="43" s="1"/>
  <c r="Y16" i="43"/>
  <c r="AY16" i="43"/>
  <c r="AZ16" i="43" s="1"/>
  <c r="AC18" i="43"/>
  <c r="Y21" i="43"/>
  <c r="S38" i="43"/>
  <c r="S75" i="43" s="1"/>
  <c r="T25" i="43"/>
  <c r="AS25" i="43"/>
  <c r="BQ27" i="43"/>
  <c r="Y29" i="43"/>
  <c r="AR29" i="43"/>
  <c r="Y34" i="43"/>
  <c r="Y37" i="43"/>
  <c r="U47" i="43"/>
  <c r="AS42" i="43"/>
  <c r="AY42" i="43"/>
  <c r="BQ43" i="43"/>
  <c r="BF42" i="43"/>
  <c r="BP75" i="43"/>
  <c r="AA52" i="43"/>
  <c r="AS59" i="43"/>
  <c r="AU59" i="43" s="1"/>
  <c r="AA59" i="43"/>
  <c r="AC59" i="43"/>
  <c r="Y59" i="43"/>
  <c r="AY59" i="43"/>
  <c r="AZ59" i="43" s="1"/>
  <c r="AC72" i="43"/>
  <c r="AC73" i="43" s="1"/>
  <c r="P4" i="44"/>
  <c r="P3" i="44" s="1"/>
  <c r="U4" i="44"/>
  <c r="U3" i="44" s="1"/>
  <c r="I7" i="44"/>
  <c r="F9" i="44"/>
  <c r="F8" i="44" s="1"/>
  <c r="F74" i="44"/>
  <c r="K74" i="44"/>
  <c r="K9" i="44"/>
  <c r="K8" i="44" s="1"/>
  <c r="O74" i="44"/>
  <c r="O9" i="44"/>
  <c r="O8" i="44" s="1"/>
  <c r="F12" i="44"/>
  <c r="S12" i="44"/>
  <c r="K13" i="44"/>
  <c r="O13" i="44"/>
  <c r="O12" i="44" s="1"/>
  <c r="T23" i="44"/>
  <c r="H22" i="44"/>
  <c r="I35" i="44"/>
  <c r="I34" i="44" s="1"/>
  <c r="T35" i="44"/>
  <c r="T34" i="44" s="1"/>
  <c r="K37" i="44"/>
  <c r="K33" i="44" s="1"/>
  <c r="K69" i="44"/>
  <c r="V45" i="44"/>
  <c r="V44" i="44" s="1"/>
  <c r="V43" i="44" s="1"/>
  <c r="K76" i="44"/>
  <c r="AY35" i="43"/>
  <c r="AZ35" i="43" s="1"/>
  <c r="Y35" i="43"/>
  <c r="AR35" i="43"/>
  <c r="AY44" i="43"/>
  <c r="AZ44" i="43" s="1"/>
  <c r="AS44" i="43"/>
  <c r="AC44" i="43"/>
  <c r="AO57" i="43"/>
  <c r="AQ57" i="43" s="1"/>
  <c r="AO61" i="43"/>
  <c r="AQ61" i="43" s="1"/>
  <c r="BN75" i="43"/>
  <c r="L74" i="44"/>
  <c r="L9" i="44"/>
  <c r="L8" i="44" s="1"/>
  <c r="P74" i="44"/>
  <c r="T74" i="44"/>
  <c r="F73" i="44"/>
  <c r="I23" i="44"/>
  <c r="I22" i="44" s="1"/>
  <c r="F72" i="44"/>
  <c r="P72" i="44"/>
  <c r="I27" i="44"/>
  <c r="I28" i="44"/>
  <c r="I29" i="44"/>
  <c r="W31" i="44"/>
  <c r="W30" i="44" s="1"/>
  <c r="H44" i="44"/>
  <c r="H43" i="44" s="1"/>
  <c r="T45" i="44"/>
  <c r="R48" i="44"/>
  <c r="N48" i="44"/>
  <c r="T65" i="44"/>
  <c r="T70" i="44" s="1"/>
  <c r="H70" i="44"/>
  <c r="H59" i="44"/>
  <c r="AY40" i="43"/>
  <c r="Y40" i="43"/>
  <c r="W47" i="43"/>
  <c r="AW65" i="43"/>
  <c r="BM55" i="43"/>
  <c r="AS57" i="43"/>
  <c r="AA57" i="43"/>
  <c r="AS61" i="43"/>
  <c r="AA61" i="43"/>
  <c r="BQ69" i="43"/>
  <c r="BG72" i="43"/>
  <c r="BG73" i="43" s="1"/>
  <c r="BG75" i="43" s="1"/>
  <c r="BD75" i="43"/>
  <c r="BJ75" i="43"/>
  <c r="L73" i="44"/>
  <c r="P73" i="44"/>
  <c r="H71" i="44"/>
  <c r="M71" i="44"/>
  <c r="Q71" i="44"/>
  <c r="M72" i="44"/>
  <c r="I36" i="44"/>
  <c r="I41" i="44"/>
  <c r="AC30" i="43"/>
  <c r="AC42" i="43"/>
  <c r="AS63" i="43"/>
  <c r="AA63" i="43"/>
  <c r="W73" i="43"/>
  <c r="AY67" i="43"/>
  <c r="AS67" i="43"/>
  <c r="AS73" i="43" s="1"/>
  <c r="Y67" i="43"/>
  <c r="AA71" i="43"/>
  <c r="AY71" i="43"/>
  <c r="AZ71" i="43" s="1"/>
  <c r="W7" i="44"/>
  <c r="D12" i="44"/>
  <c r="I18" i="44"/>
  <c r="I17" i="44" s="1"/>
  <c r="N17" i="44"/>
  <c r="I24" i="44"/>
  <c r="I72" i="44" s="1"/>
  <c r="I25" i="44"/>
  <c r="W25" i="44"/>
  <c r="V35" i="44"/>
  <c r="V34" i="44" s="1"/>
  <c r="G34" i="44"/>
  <c r="G33" i="44" s="1"/>
  <c r="F69" i="44"/>
  <c r="L69" i="44"/>
  <c r="L75" i="44" s="1"/>
  <c r="L77" i="44" s="1"/>
  <c r="M69" i="44"/>
  <c r="M75" i="44" s="1"/>
  <c r="M37" i="44"/>
  <c r="M33" i="44" s="1"/>
  <c r="T69" i="44"/>
  <c r="U69" i="44"/>
  <c r="U37" i="44"/>
  <c r="W41" i="44"/>
  <c r="N44" i="44"/>
  <c r="N43" i="44" s="1"/>
  <c r="R44" i="44"/>
  <c r="R43" i="44" s="1"/>
  <c r="I51" i="44"/>
  <c r="G76" i="44"/>
  <c r="G77" i="44" s="1"/>
  <c r="G52" i="44"/>
  <c r="G136" i="28"/>
  <c r="K73" i="44"/>
  <c r="O73" i="44"/>
  <c r="H74" i="44"/>
  <c r="M74" i="44"/>
  <c r="Q74" i="44"/>
  <c r="U74" i="44"/>
  <c r="L71" i="44"/>
  <c r="U71" i="44"/>
  <c r="O72" i="44"/>
  <c r="V69" i="44"/>
  <c r="V75" i="44" s="1"/>
  <c r="V37" i="44"/>
  <c r="K70" i="44"/>
  <c r="W39" i="44"/>
  <c r="W70" i="44" s="1"/>
  <c r="T37" i="44"/>
  <c r="T33" i="44" s="1"/>
  <c r="I47" i="44"/>
  <c r="W47" i="44"/>
  <c r="L49" i="44"/>
  <c r="L48" i="44" s="1"/>
  <c r="P49" i="44"/>
  <c r="P52" i="44"/>
  <c r="T76" i="44"/>
  <c r="U55" i="44"/>
  <c r="W55" i="44" s="1"/>
  <c r="M56" i="44"/>
  <c r="V59" i="44"/>
  <c r="V56" i="44" s="1"/>
  <c r="T144" i="28"/>
  <c r="T146" i="28" s="1"/>
  <c r="I53" i="44"/>
  <c r="I61" i="44"/>
  <c r="Q59" i="44"/>
  <c r="Q56" i="44" s="1"/>
  <c r="I65" i="44"/>
  <c r="AE282" i="45" s="1"/>
  <c r="D76" i="44"/>
  <c r="D77" i="44" s="1"/>
  <c r="H69" i="44"/>
  <c r="M70" i="44"/>
  <c r="G49" i="44"/>
  <c r="V50" i="44"/>
  <c r="V49" i="44" s="1"/>
  <c r="V48" i="44" s="1"/>
  <c r="K52" i="44"/>
  <c r="O52" i="44"/>
  <c r="O48" i="44" s="1"/>
  <c r="I58" i="44"/>
  <c r="I57" i="44" s="1"/>
  <c r="I56" i="44" s="1"/>
  <c r="W60" i="44"/>
  <c r="P9" i="28"/>
  <c r="R9" i="28" s="1"/>
  <c r="O76" i="44"/>
  <c r="AG142" i="28"/>
  <c r="F36" i="33"/>
  <c r="G36" i="33" s="1"/>
  <c r="BT20" i="40"/>
  <c r="BS20" i="40" s="1"/>
  <c r="CG20" i="40" s="1"/>
  <c r="BG24" i="40"/>
  <c r="BF24" i="40" s="1"/>
  <c r="BT28" i="40"/>
  <c r="BS28" i="40" s="1"/>
  <c r="CG28" i="40" s="1"/>
  <c r="AR31" i="40"/>
  <c r="AQ31" i="40" s="1"/>
  <c r="BE31" i="40" s="1"/>
  <c r="BT42" i="40"/>
  <c r="BS42" i="40" s="1"/>
  <c r="CG42" i="40" s="1"/>
  <c r="AR148" i="40"/>
  <c r="AQ148" i="40" s="1"/>
  <c r="BE148" i="40" s="1"/>
  <c r="AR162" i="40"/>
  <c r="AQ162" i="40" s="1"/>
  <c r="BE162" i="40" s="1"/>
  <c r="AT52" i="43"/>
  <c r="L37" i="44"/>
  <c r="L33" i="44" s="1"/>
  <c r="W38" i="44"/>
  <c r="W69" i="44" s="1"/>
  <c r="W75" i="44" s="1"/>
  <c r="C30" i="33"/>
  <c r="C37" i="33"/>
  <c r="CP20" i="40"/>
  <c r="AR38" i="40"/>
  <c r="AQ38" i="40" s="1"/>
  <c r="BE38" i="40" s="1"/>
  <c r="AR85" i="40"/>
  <c r="AQ85" i="40" s="1"/>
  <c r="BE85" i="40" s="1"/>
  <c r="BT89" i="40"/>
  <c r="BS89" i="40" s="1"/>
  <c r="CG89" i="40" s="1"/>
  <c r="AR164" i="40"/>
  <c r="AQ164" i="40" s="1"/>
  <c r="BE164" i="40" s="1"/>
  <c r="F37" i="44"/>
  <c r="F33" i="44" s="1"/>
  <c r="BN20" i="40"/>
  <c r="BF20" i="40" s="1"/>
  <c r="BU21" i="40"/>
  <c r="BG35" i="40"/>
  <c r="BF35" i="40" s="1"/>
  <c r="BG52" i="40"/>
  <c r="BF52" i="40" s="1"/>
  <c r="BG69" i="40"/>
  <c r="BF69" i="40" s="1"/>
  <c r="BG154" i="40"/>
  <c r="BF154" i="40" s="1"/>
  <c r="F53" i="33"/>
  <c r="G53" i="33" s="1"/>
  <c r="AO38" i="29"/>
  <c r="BG6" i="40"/>
  <c r="BF6" i="40" s="1"/>
  <c r="CB10" i="40"/>
  <c r="BG148" i="40"/>
  <c r="BF148" i="40" s="1"/>
  <c r="Y42" i="43"/>
  <c r="Y72" i="43"/>
  <c r="AY4" i="28"/>
  <c r="CI19" i="40"/>
  <c r="CI21" i="40" s="1"/>
  <c r="BG155" i="40"/>
  <c r="BF155" i="40" s="1"/>
  <c r="F34" i="36"/>
  <c r="G39" i="33"/>
  <c r="F15" i="33"/>
  <c r="J15" i="33" s="1"/>
  <c r="M15" i="33" s="1"/>
  <c r="F18" i="33"/>
  <c r="J18" i="33" s="1"/>
  <c r="F28" i="33"/>
  <c r="G28" i="33" s="1"/>
  <c r="C50" i="36"/>
  <c r="F50" i="36" s="1"/>
  <c r="AQ6" i="40"/>
  <c r="BE6" i="40" s="1"/>
  <c r="AS10" i="40"/>
  <c r="BT19" i="40"/>
  <c r="BS19" i="40" s="1"/>
  <c r="CG19" i="40" s="1"/>
  <c r="AR39" i="40"/>
  <c r="AQ39" i="40" s="1"/>
  <c r="BE39" i="40" s="1"/>
  <c r="AR71" i="40"/>
  <c r="AQ71" i="40" s="1"/>
  <c r="BE71" i="40" s="1"/>
  <c r="BT157" i="40"/>
  <c r="BS157" i="40" s="1"/>
  <c r="CG157" i="40" s="1"/>
  <c r="AT47" i="43"/>
  <c r="AC9" i="28"/>
  <c r="AC136" i="28" s="1"/>
  <c r="J26" i="33"/>
  <c r="M26" i="33" s="1"/>
  <c r="G26" i="33"/>
  <c r="G50" i="33"/>
  <c r="G48" i="33" s="1"/>
  <c r="J50" i="33"/>
  <c r="M50" i="33" s="1"/>
  <c r="J56" i="33"/>
  <c r="M57" i="33"/>
  <c r="M56" i="33" s="1"/>
  <c r="J20" i="33"/>
  <c r="M20" i="33" s="1"/>
  <c r="G20" i="33"/>
  <c r="CI71" i="40"/>
  <c r="CH71" i="40" s="1"/>
  <c r="BT71" i="40"/>
  <c r="BS71" i="40" s="1"/>
  <c r="CG71" i="40" s="1"/>
  <c r="F14" i="33"/>
  <c r="G14" i="33" s="1"/>
  <c r="F27" i="33"/>
  <c r="G45" i="33"/>
  <c r="C26" i="36"/>
  <c r="F26" i="36" s="1"/>
  <c r="AO72" i="29"/>
  <c r="CI85" i="40"/>
  <c r="CH85" i="40" s="1"/>
  <c r="BT85" i="40"/>
  <c r="BS85" i="40" s="1"/>
  <c r="CG85" i="40" s="1"/>
  <c r="AU185" i="40"/>
  <c r="AU191" i="40" s="1"/>
  <c r="AU193" i="40" s="1"/>
  <c r="BI95" i="40"/>
  <c r="AT13" i="43"/>
  <c r="C13" i="33"/>
  <c r="F23" i="33"/>
  <c r="G23" i="33" s="1"/>
  <c r="F64" i="33"/>
  <c r="C44" i="36"/>
  <c r="F44" i="36" s="1"/>
  <c r="AO64" i="29"/>
  <c r="BH178" i="40"/>
  <c r="BH186" i="40" s="1"/>
  <c r="BF186" i="40" s="1"/>
  <c r="AR178" i="40"/>
  <c r="AT186" i="40"/>
  <c r="AR186" i="40" s="1"/>
  <c r="BU10" i="40"/>
  <c r="AR68" i="40"/>
  <c r="AQ68" i="40" s="1"/>
  <c r="BE68" i="40" s="1"/>
  <c r="BG68" i="40"/>
  <c r="BF68" i="40" s="1"/>
  <c r="BT68" i="40"/>
  <c r="BS68" i="40" s="1"/>
  <c r="CG68" i="40" s="1"/>
  <c r="CI68" i="40"/>
  <c r="CH68" i="40" s="1"/>
  <c r="BQ165" i="40"/>
  <c r="BF165" i="40" s="1"/>
  <c r="F6" i="33"/>
  <c r="F7" i="33"/>
  <c r="F31" i="33"/>
  <c r="J31" i="33" s="1"/>
  <c r="M31" i="33" s="1"/>
  <c r="F35" i="33"/>
  <c r="J35" i="33" s="1"/>
  <c r="M35" i="33" s="1"/>
  <c r="C71" i="33"/>
  <c r="AR84" i="29"/>
  <c r="AP83" i="29" s="1"/>
  <c r="CP47" i="40"/>
  <c r="CH47" i="40" s="1"/>
  <c r="F10" i="33"/>
  <c r="G10" i="33" s="1"/>
  <c r="F24" i="33"/>
  <c r="J24" i="33" s="1"/>
  <c r="M24" i="33" s="1"/>
  <c r="C34" i="33"/>
  <c r="C48" i="33"/>
  <c r="C51" i="33"/>
  <c r="F54" i="33"/>
  <c r="G54" i="33" s="1"/>
  <c r="C20" i="36"/>
  <c r="F20" i="36" s="1"/>
  <c r="AY185" i="40"/>
  <c r="BA146" i="40" s="1"/>
  <c r="BA183" i="40" s="1"/>
  <c r="CE191" i="40"/>
  <c r="AT65" i="43"/>
  <c r="C22" i="33"/>
  <c r="C43" i="33"/>
  <c r="C42" i="33" s="1"/>
  <c r="F46" i="33"/>
  <c r="F43" i="33" s="1"/>
  <c r="F42" i="33" s="1"/>
  <c r="AU96" i="29"/>
  <c r="BG8" i="40"/>
  <c r="BF8" i="40" s="1"/>
  <c r="AR8" i="40"/>
  <c r="AQ8" i="40" s="1"/>
  <c r="BE8" i="40" s="1"/>
  <c r="CB86" i="40"/>
  <c r="AR43" i="40"/>
  <c r="AQ43" i="40" s="1"/>
  <c r="BE43" i="40" s="1"/>
  <c r="AR51" i="40"/>
  <c r="AQ51" i="40" s="1"/>
  <c r="BE51" i="40" s="1"/>
  <c r="BT70" i="40"/>
  <c r="BS70" i="40" s="1"/>
  <c r="CG70" i="40" s="1"/>
  <c r="AR73" i="40"/>
  <c r="AQ73" i="40" s="1"/>
  <c r="BE73" i="40" s="1"/>
  <c r="BN73" i="40"/>
  <c r="BN74" i="40"/>
  <c r="BF74" i="40" s="1"/>
  <c r="AY188" i="40"/>
  <c r="BM79" i="40"/>
  <c r="BM188" i="40" s="1"/>
  <c r="AR79" i="40"/>
  <c r="AU146" i="40"/>
  <c r="AU183" i="40" s="1"/>
  <c r="BT160" i="40"/>
  <c r="BS160" i="40" s="1"/>
  <c r="CG160" i="40" s="1"/>
  <c r="AT191" i="40"/>
  <c r="AT193" i="40" s="1"/>
  <c r="AR185" i="40"/>
  <c r="BF185" i="40"/>
  <c r="AZ188" i="40"/>
  <c r="BV86" i="40"/>
  <c r="BC191" i="40"/>
  <c r="CB190" i="40"/>
  <c r="BT190" i="40" s="1"/>
  <c r="AA42" i="43"/>
  <c r="X73" i="43"/>
  <c r="I39" i="44"/>
  <c r="F70" i="44"/>
  <c r="AO46" i="29"/>
  <c r="AO51" i="29"/>
  <c r="BG36" i="40"/>
  <c r="BF36" i="40" s="1"/>
  <c r="BG50" i="40"/>
  <c r="BF50" i="40" s="1"/>
  <c r="BN78" i="40"/>
  <c r="BF78" i="40" s="1"/>
  <c r="AS167" i="40"/>
  <c r="BQ163" i="40"/>
  <c r="BF163" i="40" s="1"/>
  <c r="AS189" i="40"/>
  <c r="AR189" i="40" s="1"/>
  <c r="AT73" i="43"/>
  <c r="AD9" i="28"/>
  <c r="AE9" i="28" s="1"/>
  <c r="F4" i="36"/>
  <c r="F3" i="36" s="1"/>
  <c r="F18" i="36"/>
  <c r="CH74" i="40"/>
  <c r="C19" i="36"/>
  <c r="F19" i="36" s="1"/>
  <c r="F19" i="33"/>
  <c r="J44" i="33"/>
  <c r="BU86" i="40"/>
  <c r="BT24" i="40"/>
  <c r="AR47" i="40"/>
  <c r="AQ47" i="40" s="1"/>
  <c r="BE47" i="40" s="1"/>
  <c r="BN47" i="40"/>
  <c r="BF47" i="40" s="1"/>
  <c r="CO79" i="40"/>
  <c r="CA188" i="40"/>
  <c r="CA191" i="40" s="1"/>
  <c r="CA193" i="40" s="1"/>
  <c r="CA86" i="40"/>
  <c r="CA183" i="40" s="1"/>
  <c r="BF88" i="40"/>
  <c r="BC167" i="40"/>
  <c r="BC183" i="40" s="1"/>
  <c r="BQ157" i="40"/>
  <c r="AR157" i="40"/>
  <c r="AQ157" i="40" s="1"/>
  <c r="BE157" i="40" s="1"/>
  <c r="F5" i="33"/>
  <c r="C9" i="33"/>
  <c r="C8" i="33" s="1"/>
  <c r="F11" i="33"/>
  <c r="F16" i="33"/>
  <c r="C17" i="33"/>
  <c r="F21" i="33"/>
  <c r="F41" i="33"/>
  <c r="C41" i="36"/>
  <c r="F41" i="36" s="1"/>
  <c r="G44" i="33"/>
  <c r="G57" i="33"/>
  <c r="G56" i="33" s="1"/>
  <c r="F56" i="33"/>
  <c r="C58" i="33"/>
  <c r="C60" i="36"/>
  <c r="C68" i="33"/>
  <c r="C69" i="33"/>
  <c r="C70" i="33"/>
  <c r="C34" i="36"/>
  <c r="CI24" i="40"/>
  <c r="BN41" i="40"/>
  <c r="BF41" i="40" s="1"/>
  <c r="BN49" i="40"/>
  <c r="BF49" i="40" s="1"/>
  <c r="BU188" i="40"/>
  <c r="BT188" i="40" s="1"/>
  <c r="BT72" i="40"/>
  <c r="BS72" i="40" s="1"/>
  <c r="CG72" i="40" s="1"/>
  <c r="BH80" i="40"/>
  <c r="AR80" i="40"/>
  <c r="AQ80" i="40" s="1"/>
  <c r="BE80" i="40" s="1"/>
  <c r="AT188" i="40"/>
  <c r="AT86" i="40"/>
  <c r="AT183" i="40" s="1"/>
  <c r="BU146" i="40"/>
  <c r="BT88" i="40"/>
  <c r="BU167" i="40"/>
  <c r="BT153" i="40"/>
  <c r="CS159" i="40"/>
  <c r="CH159" i="40" s="1"/>
  <c r="BT159" i="40"/>
  <c r="BS159" i="40" s="1"/>
  <c r="CG159" i="40" s="1"/>
  <c r="BQ160" i="40"/>
  <c r="BF160" i="40" s="1"/>
  <c r="AR160" i="40"/>
  <c r="AQ160" i="40" s="1"/>
  <c r="BE160" i="40" s="1"/>
  <c r="CS162" i="40"/>
  <c r="CH162" i="40" s="1"/>
  <c r="AZ181" i="40"/>
  <c r="BN178" i="40"/>
  <c r="AZ186" i="40"/>
  <c r="AZ191" i="40" s="1"/>
  <c r="AZ193" i="40" s="1"/>
  <c r="CJ178" i="40"/>
  <c r="BT178" i="40"/>
  <c r="BV186" i="40"/>
  <c r="BV191" i="40" s="1"/>
  <c r="BV193" i="40" s="1"/>
  <c r="BV181" i="40"/>
  <c r="AS187" i="40"/>
  <c r="AR187" i="40" s="1"/>
  <c r="BC192" i="40"/>
  <c r="AR192" i="40" s="1"/>
  <c r="AQ192" i="40" s="1"/>
  <c r="BE192" i="40" s="1"/>
  <c r="C4" i="36"/>
  <c r="C3" i="36" s="1"/>
  <c r="C61" i="36"/>
  <c r="F61" i="36" s="1"/>
  <c r="F61" i="33"/>
  <c r="F73" i="36"/>
  <c r="CB188" i="40"/>
  <c r="BT74" i="40"/>
  <c r="BS74" i="40" s="1"/>
  <c r="CG74" i="40" s="1"/>
  <c r="CP78" i="40"/>
  <c r="CH78" i="40" s="1"/>
  <c r="BT78" i="40"/>
  <c r="BS78" i="40" s="1"/>
  <c r="CG78" i="40" s="1"/>
  <c r="C4" i="33"/>
  <c r="C3" i="33" s="1"/>
  <c r="F14" i="36"/>
  <c r="F13" i="36" s="1"/>
  <c r="C13" i="36"/>
  <c r="F25" i="33"/>
  <c r="C25" i="36"/>
  <c r="F25" i="36" s="1"/>
  <c r="F29" i="33"/>
  <c r="C29" i="36"/>
  <c r="F29" i="36" s="1"/>
  <c r="C40" i="36"/>
  <c r="F40" i="36" s="1"/>
  <c r="F40" i="33"/>
  <c r="G60" i="33"/>
  <c r="J60" i="33"/>
  <c r="F38" i="36"/>
  <c r="C45" i="36"/>
  <c r="AO13" i="29"/>
  <c r="BN6" i="40"/>
  <c r="AZ10" i="40"/>
  <c r="AZ189" i="40"/>
  <c r="BT8" i="40"/>
  <c r="BS8" i="40" s="1"/>
  <c r="CG8" i="40" s="1"/>
  <c r="CI8" i="40"/>
  <c r="CH8" i="40" s="1"/>
  <c r="BG25" i="40"/>
  <c r="BF25" i="40" s="1"/>
  <c r="AR25" i="40"/>
  <c r="AQ25" i="40" s="1"/>
  <c r="BE25" i="40" s="1"/>
  <c r="BG28" i="40"/>
  <c r="BF28" i="40" s="1"/>
  <c r="AR28" i="40"/>
  <c r="AQ28" i="40" s="1"/>
  <c r="BE28" i="40" s="1"/>
  <c r="BF67" i="40"/>
  <c r="CI69" i="40"/>
  <c r="CH69" i="40" s="1"/>
  <c r="BT69" i="40"/>
  <c r="BS69" i="40" s="1"/>
  <c r="CG69" i="40" s="1"/>
  <c r="BU187" i="40"/>
  <c r="BT187" i="40" s="1"/>
  <c r="BS187" i="40" s="1"/>
  <c r="CG187" i="40" s="1"/>
  <c r="BG70" i="40"/>
  <c r="BF70" i="40" s="1"/>
  <c r="AR70" i="40"/>
  <c r="AQ70" i="40" s="1"/>
  <c r="BE70" i="40" s="1"/>
  <c r="CI188" i="40"/>
  <c r="CJ80" i="40"/>
  <c r="CH80" i="40" s="1"/>
  <c r="BT80" i="40"/>
  <c r="BS80" i="40" s="1"/>
  <c r="CG80" i="40" s="1"/>
  <c r="CI146" i="40"/>
  <c r="CH88" i="40"/>
  <c r="BG188" i="40"/>
  <c r="C52" i="36"/>
  <c r="F52" i="33"/>
  <c r="C75" i="33"/>
  <c r="BG190" i="40"/>
  <c r="BF19" i="40"/>
  <c r="AR42" i="40"/>
  <c r="AQ42" i="40" s="1"/>
  <c r="BE42" i="40" s="1"/>
  <c r="BN42" i="40"/>
  <c r="BF42" i="40" s="1"/>
  <c r="C73" i="36"/>
  <c r="C9" i="36"/>
  <c r="C8" i="36" s="1"/>
  <c r="J49" i="33"/>
  <c r="F48" i="33"/>
  <c r="C72" i="33"/>
  <c r="C73" i="33"/>
  <c r="C39" i="36"/>
  <c r="C49" i="36"/>
  <c r="AS190" i="40"/>
  <c r="AS21" i="40"/>
  <c r="AR19" i="40"/>
  <c r="CP40" i="40"/>
  <c r="BT40" i="40"/>
  <c r="BS40" i="40" s="1"/>
  <c r="CG40" i="40" s="1"/>
  <c r="AS188" i="40"/>
  <c r="AR72" i="40"/>
  <c r="AQ72" i="40" s="1"/>
  <c r="BE72" i="40" s="1"/>
  <c r="AS146" i="40"/>
  <c r="AR88" i="40"/>
  <c r="BG89" i="40"/>
  <c r="BF89" i="40" s="1"/>
  <c r="AR89" i="40"/>
  <c r="AQ89" i="40" s="1"/>
  <c r="BE89" i="40" s="1"/>
  <c r="BT158" i="40"/>
  <c r="BS158" i="40" s="1"/>
  <c r="CG158" i="40" s="1"/>
  <c r="CE192" i="40"/>
  <c r="CS158" i="40"/>
  <c r="CH158" i="40" s="1"/>
  <c r="CS163" i="40"/>
  <c r="CH163" i="40" s="1"/>
  <c r="AR166" i="40"/>
  <c r="AQ166" i="40" s="1"/>
  <c r="BE166" i="40" s="1"/>
  <c r="BQ166" i="40"/>
  <c r="BF166" i="40" s="1"/>
  <c r="C31" i="36"/>
  <c r="AP46" i="29"/>
  <c r="AP75" i="29" s="1"/>
  <c r="BU189" i="40"/>
  <c r="BT189" i="40" s="1"/>
  <c r="CI6" i="40"/>
  <c r="AZ21" i="40"/>
  <c r="AZ190" i="40"/>
  <c r="AS86" i="40"/>
  <c r="BG23" i="40"/>
  <c r="AR23" i="40"/>
  <c r="CI51" i="40"/>
  <c r="CH51" i="40" s="1"/>
  <c r="BT51" i="40"/>
  <c r="BS51" i="40" s="1"/>
  <c r="CG51" i="40" s="1"/>
  <c r="CI67" i="40"/>
  <c r="BT67" i="40"/>
  <c r="BS67" i="40" s="1"/>
  <c r="CG67" i="40" s="1"/>
  <c r="AY146" i="40"/>
  <c r="AY183" i="40" s="1"/>
  <c r="BU150" i="40"/>
  <c r="CI148" i="40"/>
  <c r="BT148" i="40"/>
  <c r="CE167" i="40"/>
  <c r="CE183" i="40" s="1"/>
  <c r="CB181" i="40"/>
  <c r="CB186" i="40"/>
  <c r="CB191" i="40" s="1"/>
  <c r="CB193" i="40" s="1"/>
  <c r="CP178" i="40"/>
  <c r="BT185" i="40"/>
  <c r="I38" i="44"/>
  <c r="N69" i="44"/>
  <c r="N75" i="44" s="1"/>
  <c r="N77" i="44" s="1"/>
  <c r="N37" i="44"/>
  <c r="N33" i="44" s="1"/>
  <c r="AX7" i="28"/>
  <c r="AX9" i="28" s="1"/>
  <c r="AB9" i="28"/>
  <c r="AB136" i="28" s="1"/>
  <c r="AB142" i="28"/>
  <c r="O37" i="44"/>
  <c r="O33" i="44" s="1"/>
  <c r="O69" i="44"/>
  <c r="O75" i="44" s="1"/>
  <c r="C32" i="36"/>
  <c r="F32" i="36" s="1"/>
  <c r="F32" i="33"/>
  <c r="C57" i="36"/>
  <c r="C56" i="33"/>
  <c r="CP8" i="40"/>
  <c r="CB189" i="40"/>
  <c r="CI35" i="40"/>
  <c r="CH35" i="40" s="1"/>
  <c r="BT35" i="40"/>
  <c r="BS35" i="40" s="1"/>
  <c r="CG35" i="40" s="1"/>
  <c r="CJ79" i="40"/>
  <c r="AZ86" i="40"/>
  <c r="BM95" i="40"/>
  <c r="BG153" i="40"/>
  <c r="AR153" i="40"/>
  <c r="BQ159" i="40"/>
  <c r="BF159" i="40" s="1"/>
  <c r="CS165" i="40"/>
  <c r="CH165" i="40" s="1"/>
  <c r="CS166" i="40"/>
  <c r="CH166" i="40" s="1"/>
  <c r="Y43" i="43"/>
  <c r="X47" i="43"/>
  <c r="AA43" i="43"/>
  <c r="AE283" i="45"/>
  <c r="AE6" i="28"/>
  <c r="AT38" i="43"/>
  <c r="AW9" i="28"/>
  <c r="AC142" i="28"/>
  <c r="BC85" i="29"/>
  <c r="BE85" i="29"/>
  <c r="V197" i="40" l="1"/>
  <c r="U197" i="40" s="1"/>
  <c r="V200" i="40"/>
  <c r="CS191" i="40"/>
  <c r="BQ191" i="40"/>
  <c r="BJ191" i="40"/>
  <c r="BJ193" i="40" s="1"/>
  <c r="BJ189" i="40"/>
  <c r="AQ93" i="40"/>
  <c r="BE93" i="40" s="1"/>
  <c r="BS93" i="40"/>
  <c r="CG93" i="40" s="1"/>
  <c r="S93" i="40"/>
  <c r="BR189" i="40"/>
  <c r="BR191" i="40" s="1"/>
  <c r="BR193" i="40" s="1"/>
  <c r="BR10" i="40"/>
  <c r="BR183" i="40" s="1"/>
  <c r="BR195" i="40" s="1"/>
  <c r="CQ183" i="40"/>
  <c r="CQ195" i="40" s="1"/>
  <c r="BS79" i="40"/>
  <c r="CG79" i="40" s="1"/>
  <c r="BY195" i="40"/>
  <c r="CH170" i="40"/>
  <c r="CK181" i="40"/>
  <c r="CK183" i="40" s="1"/>
  <c r="CK195" i="40" s="1"/>
  <c r="BP189" i="40"/>
  <c r="BP191" i="40" s="1"/>
  <c r="BP193" i="40" s="1"/>
  <c r="BP10" i="40"/>
  <c r="BL191" i="40"/>
  <c r="BL193" i="40" s="1"/>
  <c r="S97" i="40"/>
  <c r="BS97" i="40"/>
  <c r="CG97" i="40" s="1"/>
  <c r="BL189" i="40"/>
  <c r="BL10" i="40"/>
  <c r="BL183" i="40" s="1"/>
  <c r="BL195" i="40" s="1"/>
  <c r="AY6" i="43"/>
  <c r="AZ3" i="43"/>
  <c r="AZ6" i="43" s="1"/>
  <c r="CH4" i="40"/>
  <c r="S81" i="40"/>
  <c r="AQ81" i="40"/>
  <c r="BE81" i="40" s="1"/>
  <c r="BS81" i="40"/>
  <c r="CG81" i="40" s="1"/>
  <c r="AQ185" i="40"/>
  <c r="BE185" i="40" s="1"/>
  <c r="Y73" i="43"/>
  <c r="N12" i="44"/>
  <c r="N66" i="44" s="1"/>
  <c r="M12" i="44"/>
  <c r="Y65" i="43"/>
  <c r="BF149" i="40"/>
  <c r="S170" i="40"/>
  <c r="AQ170" i="40"/>
  <c r="BE170" i="40" s="1"/>
  <c r="BS170" i="40"/>
  <c r="CG170" i="40" s="1"/>
  <c r="BH189" i="40"/>
  <c r="BH10" i="40"/>
  <c r="CH100" i="40"/>
  <c r="U188" i="40"/>
  <c r="S72" i="40"/>
  <c r="S188" i="40" s="1"/>
  <c r="AQ10" i="40"/>
  <c r="BE10" i="40" s="1"/>
  <c r="U86" i="40"/>
  <c r="U87" i="40" s="1"/>
  <c r="CI181" i="40"/>
  <c r="CN189" i="40"/>
  <c r="CN191" i="40" s="1"/>
  <c r="CN193" i="40" s="1"/>
  <c r="CN10" i="40"/>
  <c r="CN183" i="40" s="1"/>
  <c r="CN195" i="40" s="1"/>
  <c r="BJ146" i="40"/>
  <c r="BJ183" i="40" s="1"/>
  <c r="BJ195" i="40" s="1"/>
  <c r="BF4" i="40"/>
  <c r="CH91" i="40"/>
  <c r="CQ189" i="40"/>
  <c r="S9" i="40"/>
  <c r="AQ9" i="40"/>
  <c r="BE9" i="40" s="1"/>
  <c r="BS9" i="40"/>
  <c r="CG9" i="40" s="1"/>
  <c r="X183" i="40"/>
  <c r="CM189" i="40"/>
  <c r="CM191" i="40" s="1"/>
  <c r="CM193" i="40" s="1"/>
  <c r="CM10" i="40"/>
  <c r="W35" i="44"/>
  <c r="W34" i="44" s="1"/>
  <c r="Q22" i="44"/>
  <c r="Q12" i="44" s="1"/>
  <c r="BS149" i="40"/>
  <c r="CG149" i="40" s="1"/>
  <c r="U185" i="40"/>
  <c r="U191" i="40" s="1"/>
  <c r="U193" i="40" s="1"/>
  <c r="U196" i="40" s="1"/>
  <c r="O196" i="40" s="1"/>
  <c r="BS91" i="40"/>
  <c r="CG91" i="40" s="1"/>
  <c r="S91" i="40"/>
  <c r="AQ91" i="40"/>
  <c r="BE91" i="40" s="1"/>
  <c r="AI190" i="40"/>
  <c r="AI21" i="40"/>
  <c r="AI183" i="40" s="1"/>
  <c r="U189" i="40"/>
  <c r="BS189" i="40" s="1"/>
  <c r="CG189" i="40" s="1"/>
  <c r="U10" i="40"/>
  <c r="U11" i="40" s="1"/>
  <c r="S4" i="40"/>
  <c r="BS4" i="40"/>
  <c r="CG4" i="40" s="1"/>
  <c r="AQ4" i="40"/>
  <c r="BE4" i="40" s="1"/>
  <c r="W37" i="44"/>
  <c r="BF150" i="40"/>
  <c r="CP21" i="40"/>
  <c r="T22" i="44"/>
  <c r="T12" i="44" s="1"/>
  <c r="AA73" i="43"/>
  <c r="S192" i="40"/>
  <c r="BD195" i="40"/>
  <c r="CK186" i="40"/>
  <c r="AQ97" i="40"/>
  <c r="BE97" i="40" s="1"/>
  <c r="U190" i="40"/>
  <c r="BS190" i="40" s="1"/>
  <c r="CG190" i="40" s="1"/>
  <c r="U21" i="40"/>
  <c r="U22" i="40" s="1"/>
  <c r="AQ12" i="40"/>
  <c r="BE12" i="40" s="1"/>
  <c r="BG181" i="40"/>
  <c r="BS84" i="40"/>
  <c r="CG84" i="40" s="1"/>
  <c r="AQ84" i="40"/>
  <c r="BE84" i="40" s="1"/>
  <c r="S84" i="40"/>
  <c r="CO189" i="40"/>
  <c r="CO10" i="40"/>
  <c r="CR189" i="40"/>
  <c r="CR191" i="40" s="1"/>
  <c r="CR193" i="40" s="1"/>
  <c r="CR10" i="40"/>
  <c r="CR183" i="40" s="1"/>
  <c r="CL195" i="40"/>
  <c r="S83" i="40"/>
  <c r="BS83" i="40"/>
  <c r="CG83" i="40" s="1"/>
  <c r="AQ83" i="40"/>
  <c r="BE83" i="40" s="1"/>
  <c r="BS188" i="40"/>
  <c r="CG188" i="40" s="1"/>
  <c r="CJ146" i="40"/>
  <c r="BK186" i="40"/>
  <c r="BK191" i="40" s="1"/>
  <c r="BK193" i="40" s="1"/>
  <c r="H75" i="44"/>
  <c r="H77" i="44" s="1"/>
  <c r="G79" i="44" s="1"/>
  <c r="U33" i="44"/>
  <c r="AC65" i="43"/>
  <c r="P77" i="44"/>
  <c r="U150" i="40"/>
  <c r="U151" i="40" s="1"/>
  <c r="CM146" i="40"/>
  <c r="CM183" i="40" s="1"/>
  <c r="BP183" i="40"/>
  <c r="U186" i="40"/>
  <c r="AQ186" i="40" s="1"/>
  <c r="BE186" i="40" s="1"/>
  <c r="BS96" i="40"/>
  <c r="CG96" i="40" s="1"/>
  <c r="S96" i="40"/>
  <c r="S186" i="40" s="1"/>
  <c r="AQ96" i="40"/>
  <c r="BE96" i="40" s="1"/>
  <c r="CT189" i="40"/>
  <c r="CT191" i="40" s="1"/>
  <c r="CT193" i="40" s="1"/>
  <c r="CT10" i="40"/>
  <c r="BK146" i="40"/>
  <c r="BK183" i="40" s="1"/>
  <c r="BK195" i="40" s="1"/>
  <c r="AQ149" i="40"/>
  <c r="BE149" i="40" s="1"/>
  <c r="AQ5" i="40"/>
  <c r="BE5" i="40" s="1"/>
  <c r="S5" i="40"/>
  <c r="BS5" i="40"/>
  <c r="CG5" i="40" s="1"/>
  <c r="CS10" i="40"/>
  <c r="BS7" i="40"/>
  <c r="CG7" i="40" s="1"/>
  <c r="S7" i="40"/>
  <c r="AQ7" i="40"/>
  <c r="BE7" i="40" s="1"/>
  <c r="CJ189" i="40"/>
  <c r="CJ10" i="40"/>
  <c r="U182" i="40"/>
  <c r="S56" i="44"/>
  <c r="W20" i="44"/>
  <c r="BI189" i="40"/>
  <c r="BI10" i="40"/>
  <c r="CH146" i="40"/>
  <c r="AQ79" i="40"/>
  <c r="BE79" i="40" s="1"/>
  <c r="BF10" i="40"/>
  <c r="L59" i="44"/>
  <c r="L56" i="44" s="1"/>
  <c r="L66" i="44" s="1"/>
  <c r="T73" i="44"/>
  <c r="AA65" i="43"/>
  <c r="M77" i="44"/>
  <c r="BZ195" i="40"/>
  <c r="CL191" i="40"/>
  <c r="CL193" i="40" s="1"/>
  <c r="U146" i="40"/>
  <c r="U147" i="40" s="1"/>
  <c r="S88" i="40"/>
  <c r="CT183" i="40"/>
  <c r="CK189" i="40"/>
  <c r="CK10" i="40"/>
  <c r="BQ189" i="40"/>
  <c r="BQ10" i="40"/>
  <c r="G38" i="33"/>
  <c r="AR150" i="40"/>
  <c r="X75" i="43"/>
  <c r="X80" i="43" s="1"/>
  <c r="G24" i="33"/>
  <c r="BA185" i="40"/>
  <c r="BA191" i="40" s="1"/>
  <c r="BA193" i="40" s="1"/>
  <c r="BA195" i="40" s="1"/>
  <c r="F75" i="44"/>
  <c r="F77" i="44" s="1"/>
  <c r="AY191" i="40"/>
  <c r="AY193" i="40" s="1"/>
  <c r="AY195" i="40" s="1"/>
  <c r="G18" i="33"/>
  <c r="CB183" i="40"/>
  <c r="CB195" i="40" s="1"/>
  <c r="AT195" i="40"/>
  <c r="BM86" i="40"/>
  <c r="F66" i="44"/>
  <c r="BC193" i="40"/>
  <c r="BC195" i="40" s="1"/>
  <c r="J28" i="33"/>
  <c r="M28" i="33" s="1"/>
  <c r="BG189" i="40"/>
  <c r="BF189" i="40" s="1"/>
  <c r="J36" i="33"/>
  <c r="M36" i="33" s="1"/>
  <c r="M34" i="33" s="1"/>
  <c r="AC47" i="43"/>
  <c r="C37" i="36"/>
  <c r="C33" i="36" s="1"/>
  <c r="BT21" i="40"/>
  <c r="BS21" i="40" s="1"/>
  <c r="CG21" i="40" s="1"/>
  <c r="BG10" i="40"/>
  <c r="BN190" i="40"/>
  <c r="BF190" i="40" s="1"/>
  <c r="AN75" i="29"/>
  <c r="T38" i="43"/>
  <c r="T75" i="43" s="1"/>
  <c r="U25" i="43"/>
  <c r="U38" i="43" s="1"/>
  <c r="AY52" i="43"/>
  <c r="AZ49" i="43"/>
  <c r="AZ52" i="43" s="1"/>
  <c r="AL83" i="29"/>
  <c r="AL46" i="29"/>
  <c r="AZ67" i="43"/>
  <c r="AZ73" i="43" s="1"/>
  <c r="AY73" i="43"/>
  <c r="BQ55" i="43"/>
  <c r="BQ65" i="43" s="1"/>
  <c r="BM65" i="43"/>
  <c r="R4" i="44"/>
  <c r="R3" i="44" s="1"/>
  <c r="AL64" i="29"/>
  <c r="L72" i="44"/>
  <c r="W24" i="44"/>
  <c r="W72" i="44" s="1"/>
  <c r="L22" i="44"/>
  <c r="L12" i="44" s="1"/>
  <c r="BQ67" i="43"/>
  <c r="BM73" i="43"/>
  <c r="W58" i="44"/>
  <c r="W57" i="44" s="1"/>
  <c r="AT32" i="29"/>
  <c r="AU32" i="29" s="1"/>
  <c r="K23" i="44"/>
  <c r="AL25" i="29"/>
  <c r="AT6" i="29"/>
  <c r="AU3" i="29"/>
  <c r="AU6" i="29" s="1"/>
  <c r="AS65" i="43"/>
  <c r="AU54" i="43"/>
  <c r="AU65" i="43" s="1"/>
  <c r="AY65" i="43"/>
  <c r="AZ54" i="43"/>
  <c r="AZ65" i="43" s="1"/>
  <c r="AR93" i="29"/>
  <c r="AW93" i="29" s="1"/>
  <c r="O66" i="44"/>
  <c r="W40" i="44"/>
  <c r="AA47" i="43"/>
  <c r="Y47" i="43"/>
  <c r="T59" i="44"/>
  <c r="T56" i="44" s="1"/>
  <c r="G48" i="44"/>
  <c r="G66" i="44" s="1"/>
  <c r="I76" i="44"/>
  <c r="I52" i="44"/>
  <c r="I48" i="44" s="1"/>
  <c r="W75" i="43"/>
  <c r="W80" i="43" s="1"/>
  <c r="AB80" i="43" s="1"/>
  <c r="Y38" i="43"/>
  <c r="AC38" i="43"/>
  <c r="U75" i="43"/>
  <c r="AY38" i="43"/>
  <c r="AZ15" i="43"/>
  <c r="AZ38" i="43" s="1"/>
  <c r="R74" i="44"/>
  <c r="R9" i="44"/>
  <c r="R8" i="44" s="1"/>
  <c r="H12" i="44"/>
  <c r="H66" i="44" s="1"/>
  <c r="K56" i="44"/>
  <c r="BL70" i="29"/>
  <c r="BL72" i="29" s="1"/>
  <c r="BL46" i="29"/>
  <c r="AW91" i="29"/>
  <c r="S10" i="44"/>
  <c r="BH84" i="29"/>
  <c r="BL8" i="29"/>
  <c r="BL13" i="29" s="1"/>
  <c r="BH13" i="29"/>
  <c r="BQ71" i="43"/>
  <c r="BE73" i="43"/>
  <c r="BE75" i="43" s="1"/>
  <c r="BH83" i="29"/>
  <c r="AU13" i="29"/>
  <c r="AQ24" i="43"/>
  <c r="AF38" i="43"/>
  <c r="Q69" i="44"/>
  <c r="Q75" i="44" s="1"/>
  <c r="Q77" i="44" s="1"/>
  <c r="Q37" i="44"/>
  <c r="Q33" i="44" s="1"/>
  <c r="R14" i="44"/>
  <c r="W76" i="44"/>
  <c r="W77" i="44" s="1"/>
  <c r="W52" i="44"/>
  <c r="T44" i="44"/>
  <c r="T43" i="44" s="1"/>
  <c r="W45" i="44"/>
  <c r="W44" i="44" s="1"/>
  <c r="W43" i="44" s="1"/>
  <c r="W73" i="44"/>
  <c r="W4" i="44"/>
  <c r="W3" i="44" s="1"/>
  <c r="W50" i="44"/>
  <c r="W49" i="44" s="1"/>
  <c r="K49" i="44"/>
  <c r="K48" i="44" s="1"/>
  <c r="AY13" i="43"/>
  <c r="AZ8" i="43"/>
  <c r="AZ13" i="43" s="1"/>
  <c r="BH74" i="29"/>
  <c r="BH76" i="29" s="1"/>
  <c r="AF65" i="43"/>
  <c r="AQ54" i="43"/>
  <c r="AQ65" i="43" s="1"/>
  <c r="AU15" i="29"/>
  <c r="AU38" i="29" s="1"/>
  <c r="AU75" i="29" s="1"/>
  <c r="O77" i="44"/>
  <c r="P59" i="44"/>
  <c r="P56" i="44" s="1"/>
  <c r="P48" i="44"/>
  <c r="V77" i="44"/>
  <c r="M66" i="44"/>
  <c r="AZ40" i="43"/>
  <c r="AZ47" i="43" s="1"/>
  <c r="AY47" i="43"/>
  <c r="BF47" i="43"/>
  <c r="BF75" i="43" s="1"/>
  <c r="BQ42" i="43"/>
  <c r="BQ47" i="43" s="1"/>
  <c r="U75" i="44"/>
  <c r="V33" i="44"/>
  <c r="V66" i="44" s="1"/>
  <c r="AU47" i="43"/>
  <c r="AZ42" i="43"/>
  <c r="U76" i="44"/>
  <c r="U52" i="44"/>
  <c r="U48" i="44" s="1"/>
  <c r="U66" i="44" s="1"/>
  <c r="I12" i="44"/>
  <c r="I74" i="44"/>
  <c r="I9" i="44"/>
  <c r="I8" i="44" s="1"/>
  <c r="AO65" i="43"/>
  <c r="AO75" i="43" s="1"/>
  <c r="AQ56" i="43"/>
  <c r="AA38" i="43"/>
  <c r="AR97" i="29"/>
  <c r="AM38" i="43"/>
  <c r="AQ15" i="43"/>
  <c r="AQ38" i="43" s="1"/>
  <c r="AR75" i="29"/>
  <c r="X96" i="29"/>
  <c r="AN31" i="29"/>
  <c r="AN38" i="29" s="1"/>
  <c r="X38" i="29"/>
  <c r="X74" i="29" s="1"/>
  <c r="AT31" i="29"/>
  <c r="AU31" i="29" s="1"/>
  <c r="AM31" i="29"/>
  <c r="AM38" i="29" s="1"/>
  <c r="S37" i="44"/>
  <c r="S69" i="44"/>
  <c r="S75" i="44" s="1"/>
  <c r="S77" i="44" s="1"/>
  <c r="W62" i="44"/>
  <c r="W59" i="44" s="1"/>
  <c r="T71" i="44"/>
  <c r="W18" i="44"/>
  <c r="W17" i="44" s="1"/>
  <c r="V73" i="44"/>
  <c r="V4" i="44"/>
  <c r="V3" i="44" s="1"/>
  <c r="AM13" i="43"/>
  <c r="AQ8" i="43"/>
  <c r="AQ13" i="43" s="1"/>
  <c r="K21" i="44"/>
  <c r="AA81" i="29"/>
  <c r="AA85" i="29" s="1"/>
  <c r="AL24" i="29"/>
  <c r="AL81" i="29" s="1"/>
  <c r="AL85" i="29" s="1"/>
  <c r="AA38" i="29"/>
  <c r="AA74" i="29" s="1"/>
  <c r="AA76" i="29" s="1"/>
  <c r="BL64" i="29"/>
  <c r="S73" i="44"/>
  <c r="S34" i="44"/>
  <c r="S33" i="44" s="1"/>
  <c r="AR96" i="29"/>
  <c r="AU97" i="29" s="1"/>
  <c r="AT46" i="29"/>
  <c r="AT13" i="29"/>
  <c r="J54" i="33"/>
  <c r="M54" i="33" s="1"/>
  <c r="BN21" i="40"/>
  <c r="J53" i="33"/>
  <c r="M53" i="33" s="1"/>
  <c r="BF79" i="40"/>
  <c r="C33" i="33"/>
  <c r="CP190" i="40"/>
  <c r="CH20" i="40"/>
  <c r="F22" i="36"/>
  <c r="C55" i="33"/>
  <c r="BF178" i="40"/>
  <c r="BF181" i="40" s="1"/>
  <c r="BF21" i="40"/>
  <c r="BG150" i="40"/>
  <c r="F37" i="33"/>
  <c r="G31" i="33"/>
  <c r="C12" i="33"/>
  <c r="F73" i="33"/>
  <c r="AU195" i="40"/>
  <c r="F69" i="33"/>
  <c r="CH19" i="40"/>
  <c r="AR188" i="40"/>
  <c r="AQ188" i="40" s="1"/>
  <c r="BE188" i="40" s="1"/>
  <c r="G35" i="33"/>
  <c r="G34" i="33" s="1"/>
  <c r="G15" i="33"/>
  <c r="CI190" i="40"/>
  <c r="J10" i="33"/>
  <c r="M10" i="33" s="1"/>
  <c r="CP189" i="40"/>
  <c r="BO95" i="40"/>
  <c r="BO185" i="40" s="1"/>
  <c r="BO191" i="40" s="1"/>
  <c r="BO193" i="40" s="1"/>
  <c r="F34" i="33"/>
  <c r="AO75" i="29"/>
  <c r="CP188" i="40"/>
  <c r="AS191" i="40"/>
  <c r="AR191" i="40" s="1"/>
  <c r="AQ191" i="40" s="1"/>
  <c r="BE191" i="40" s="1"/>
  <c r="BV183" i="40"/>
  <c r="BV195" i="40" s="1"/>
  <c r="BH181" i="40"/>
  <c r="AS183" i="40"/>
  <c r="BT10" i="40"/>
  <c r="BS10" i="40" s="1"/>
  <c r="CG10" i="40" s="1"/>
  <c r="F17" i="36"/>
  <c r="BN188" i="40"/>
  <c r="BF73" i="40"/>
  <c r="C47" i="33"/>
  <c r="J6" i="33"/>
  <c r="M6" i="33" s="1"/>
  <c r="G6" i="33"/>
  <c r="BI146" i="40"/>
  <c r="BI183" i="40" s="1"/>
  <c r="BI185" i="40"/>
  <c r="BI191" i="40" s="1"/>
  <c r="BI193" i="40" s="1"/>
  <c r="AR181" i="40"/>
  <c r="AQ181" i="40" s="1"/>
  <c r="BE181" i="40" s="1"/>
  <c r="AQ178" i="40"/>
  <c r="BE178" i="40" s="1"/>
  <c r="G64" i="33"/>
  <c r="J64" i="33"/>
  <c r="M64" i="33" s="1"/>
  <c r="J27" i="33"/>
  <c r="M27" i="33" s="1"/>
  <c r="G27" i="33"/>
  <c r="J7" i="33"/>
  <c r="M7" i="33" s="1"/>
  <c r="G7" i="33"/>
  <c r="F71" i="36"/>
  <c r="J23" i="33"/>
  <c r="M23" i="33" s="1"/>
  <c r="J14" i="33"/>
  <c r="M14" i="33" s="1"/>
  <c r="I70" i="44"/>
  <c r="AE168" i="45"/>
  <c r="G46" i="33"/>
  <c r="G43" i="33" s="1"/>
  <c r="G42" i="33" s="1"/>
  <c r="J46" i="33"/>
  <c r="M46" i="33" s="1"/>
  <c r="AR86" i="29"/>
  <c r="AS93" i="29" s="1"/>
  <c r="AO93" i="29" s="1"/>
  <c r="AE284" i="45"/>
  <c r="BG167" i="40"/>
  <c r="BF153" i="40"/>
  <c r="I69" i="44"/>
  <c r="I75" i="44" s="1"/>
  <c r="I37" i="44"/>
  <c r="I33" i="44" s="1"/>
  <c r="AE219" i="45" s="1"/>
  <c r="AE159" i="45"/>
  <c r="CH148" i="40"/>
  <c r="CH150" i="40" s="1"/>
  <c r="CI150" i="40"/>
  <c r="AR86" i="40"/>
  <c r="AQ23" i="40"/>
  <c r="BE23" i="40" s="1"/>
  <c r="J52" i="33"/>
  <c r="F51" i="33"/>
  <c r="F47" i="33" s="1"/>
  <c r="F75" i="33"/>
  <c r="G52" i="33"/>
  <c r="CH167" i="40"/>
  <c r="G25" i="33"/>
  <c r="J25" i="33"/>
  <c r="J61" i="33"/>
  <c r="M61" i="33" s="1"/>
  <c r="G61" i="33"/>
  <c r="AS198" i="40"/>
  <c r="AQ187" i="40"/>
  <c r="BE187" i="40" s="1"/>
  <c r="BN186" i="40"/>
  <c r="BN191" i="40" s="1"/>
  <c r="BN193" i="40" s="1"/>
  <c r="BN181" i="40"/>
  <c r="BS153" i="40"/>
  <c r="CG153" i="40" s="1"/>
  <c r="BT167" i="40"/>
  <c r="BS167" i="40" s="1"/>
  <c r="CG167" i="40" s="1"/>
  <c r="BF80" i="40"/>
  <c r="BH86" i="40"/>
  <c r="J5" i="33"/>
  <c r="F4" i="33"/>
  <c r="F3" i="33" s="1"/>
  <c r="G5" i="33"/>
  <c r="F72" i="33"/>
  <c r="BF146" i="40"/>
  <c r="BM146" i="40"/>
  <c r="BM185" i="40"/>
  <c r="BM191" i="40" s="1"/>
  <c r="BM193" i="40" s="1"/>
  <c r="J32" i="33"/>
  <c r="G32" i="33"/>
  <c r="CP186" i="40"/>
  <c r="CP191" i="40" s="1"/>
  <c r="CP193" i="40" s="1"/>
  <c r="CP181" i="40"/>
  <c r="CI187" i="40"/>
  <c r="CH67" i="40"/>
  <c r="BF23" i="40"/>
  <c r="BG86" i="40"/>
  <c r="AQ88" i="40"/>
  <c r="BE88" i="40" s="1"/>
  <c r="AR146" i="40"/>
  <c r="AR190" i="40"/>
  <c r="F49" i="36"/>
  <c r="C48" i="36"/>
  <c r="C75" i="36"/>
  <c r="C51" i="36"/>
  <c r="F52" i="36"/>
  <c r="CS167" i="40"/>
  <c r="BG187" i="40"/>
  <c r="C43" i="36"/>
  <c r="C42" i="36" s="1"/>
  <c r="F45" i="36"/>
  <c r="F43" i="36" s="1"/>
  <c r="F42" i="36" s="1"/>
  <c r="G40" i="33"/>
  <c r="J40" i="33"/>
  <c r="C71" i="36"/>
  <c r="M18" i="33"/>
  <c r="BT186" i="40"/>
  <c r="BS186" i="40" s="1"/>
  <c r="CG186" i="40" s="1"/>
  <c r="BT181" i="40"/>
  <c r="BS178" i="40"/>
  <c r="CG178" i="40" s="1"/>
  <c r="AZ183" i="40"/>
  <c r="AZ195" i="40" s="1"/>
  <c r="BU183" i="40"/>
  <c r="BH188" i="40"/>
  <c r="BF188" i="40" s="1"/>
  <c r="C74" i="33"/>
  <c r="C76" i="33" s="1"/>
  <c r="G41" i="33"/>
  <c r="F68" i="33"/>
  <c r="J41" i="33"/>
  <c r="G11" i="33"/>
  <c r="G9" i="33" s="1"/>
  <c r="G8" i="33" s="1"/>
  <c r="J11" i="33"/>
  <c r="M11" i="33" s="1"/>
  <c r="BQ192" i="40"/>
  <c r="BF192" i="40" s="1"/>
  <c r="BQ167" i="40"/>
  <c r="BQ183" i="40" s="1"/>
  <c r="BF157" i="40"/>
  <c r="CA195" i="40"/>
  <c r="BT86" i="40"/>
  <c r="BS24" i="40"/>
  <c r="CG24" i="40" s="1"/>
  <c r="J19" i="33"/>
  <c r="M19" i="33" s="1"/>
  <c r="G19" i="33"/>
  <c r="F58" i="33"/>
  <c r="F55" i="33" s="1"/>
  <c r="C30" i="36"/>
  <c r="F31" i="36"/>
  <c r="BT192" i="40"/>
  <c r="BS192" i="40" s="1"/>
  <c r="CG192" i="40" s="1"/>
  <c r="CE193" i="40"/>
  <c r="CE195" i="40" s="1"/>
  <c r="CH40" i="40"/>
  <c r="CP86" i="40"/>
  <c r="C69" i="36"/>
  <c r="F39" i="36"/>
  <c r="F37" i="36" s="1"/>
  <c r="F33" i="36" s="1"/>
  <c r="CP10" i="40"/>
  <c r="BN189" i="40"/>
  <c r="BN10" i="40"/>
  <c r="F68" i="36"/>
  <c r="C22" i="36"/>
  <c r="G29" i="33"/>
  <c r="J29" i="33"/>
  <c r="M29" i="33" s="1"/>
  <c r="F22" i="33"/>
  <c r="CJ181" i="40"/>
  <c r="CJ186" i="40"/>
  <c r="CH186" i="40" s="1"/>
  <c r="CH178" i="40"/>
  <c r="CH181" i="40" s="1"/>
  <c r="CH24" i="40"/>
  <c r="CI86" i="40"/>
  <c r="C58" i="36"/>
  <c r="F60" i="36"/>
  <c r="F58" i="36" s="1"/>
  <c r="J21" i="33"/>
  <c r="G21" i="33"/>
  <c r="G70" i="33" s="1"/>
  <c r="J16" i="33"/>
  <c r="M16" i="33" s="1"/>
  <c r="G16" i="33"/>
  <c r="C17" i="36"/>
  <c r="F9" i="33"/>
  <c r="F8" i="33" s="1"/>
  <c r="AQ153" i="40"/>
  <c r="BE153" i="40" s="1"/>
  <c r="AR167" i="40"/>
  <c r="CJ188" i="40"/>
  <c r="CH188" i="40" s="1"/>
  <c r="CJ86" i="40"/>
  <c r="CH79" i="40"/>
  <c r="F57" i="36"/>
  <c r="F56" i="36" s="1"/>
  <c r="C56" i="36"/>
  <c r="BU191" i="40"/>
  <c r="BT150" i="40"/>
  <c r="BS148" i="40"/>
  <c r="CG148" i="40" s="1"/>
  <c r="CI10" i="40"/>
  <c r="CI189" i="40"/>
  <c r="CH189" i="40" s="1"/>
  <c r="CH6" i="40"/>
  <c r="CH10" i="40" s="1"/>
  <c r="AR21" i="40"/>
  <c r="AQ19" i="40"/>
  <c r="BE19" i="40" s="1"/>
  <c r="J48" i="33"/>
  <c r="M49" i="33"/>
  <c r="M48" i="33" s="1"/>
  <c r="F71" i="33"/>
  <c r="CS192" i="40"/>
  <c r="CH192" i="40" s="1"/>
  <c r="BN86" i="40"/>
  <c r="C68" i="36"/>
  <c r="M60" i="33"/>
  <c r="F30" i="33"/>
  <c r="C72" i="36"/>
  <c r="BT146" i="40"/>
  <c r="BS88" i="40"/>
  <c r="CG88" i="40" s="1"/>
  <c r="C70" i="36"/>
  <c r="F70" i="33"/>
  <c r="BG146" i="40"/>
  <c r="CO188" i="40"/>
  <c r="CO86" i="40"/>
  <c r="M44" i="33"/>
  <c r="F17" i="33"/>
  <c r="F13" i="33"/>
  <c r="Y75" i="43" l="1"/>
  <c r="Y81" i="43" s="1"/>
  <c r="BS146" i="40"/>
  <c r="CG146" i="40" s="1"/>
  <c r="BS150" i="40"/>
  <c r="CG150" i="40" s="1"/>
  <c r="AQ190" i="40"/>
  <c r="BE190" i="40" s="1"/>
  <c r="U183" i="40"/>
  <c r="S183" i="40" s="1"/>
  <c r="W33" i="44"/>
  <c r="AQ189" i="40"/>
  <c r="BE189" i="40" s="1"/>
  <c r="T75" i="44"/>
  <c r="T77" i="44" s="1"/>
  <c r="U184" i="40"/>
  <c r="AQ75" i="43"/>
  <c r="Q66" i="44"/>
  <c r="S185" i="40"/>
  <c r="S191" i="40" s="1"/>
  <c r="S193" i="40" s="1"/>
  <c r="AQ146" i="40"/>
  <c r="BE146" i="40" s="1"/>
  <c r="CO183" i="40"/>
  <c r="CO195" i="40" s="1"/>
  <c r="BS86" i="40"/>
  <c r="CG86" i="40" s="1"/>
  <c r="CS183" i="40"/>
  <c r="BP195" i="40"/>
  <c r="T66" i="44"/>
  <c r="AQ150" i="40"/>
  <c r="BE150" i="40" s="1"/>
  <c r="AQ21" i="40"/>
  <c r="BE21" i="40" s="1"/>
  <c r="CM195" i="40"/>
  <c r="S189" i="40"/>
  <c r="AQ86" i="40"/>
  <c r="BE86" i="40" s="1"/>
  <c r="AF75" i="43"/>
  <c r="CT195" i="40"/>
  <c r="BS185" i="40"/>
  <c r="CG185" i="40" s="1"/>
  <c r="CR195" i="40"/>
  <c r="G68" i="33"/>
  <c r="F33" i="33"/>
  <c r="I77" i="44"/>
  <c r="S76" i="43" s="1"/>
  <c r="G30" i="33"/>
  <c r="G71" i="33"/>
  <c r="CH190" i="40"/>
  <c r="BM183" i="40"/>
  <c r="BM195" i="40" s="1"/>
  <c r="BO146" i="40"/>
  <c r="BO183" i="40" s="1"/>
  <c r="BO195" i="40" s="1"/>
  <c r="J34" i="33"/>
  <c r="AA96" i="29"/>
  <c r="X99" i="29"/>
  <c r="X101" i="29" s="1"/>
  <c r="U77" i="44"/>
  <c r="BQ73" i="43"/>
  <c r="BQ75" i="43" s="1"/>
  <c r="AL74" i="29"/>
  <c r="AL76" i="29" s="1"/>
  <c r="BL74" i="29"/>
  <c r="BL76" i="29" s="1"/>
  <c r="AL38" i="29"/>
  <c r="W56" i="44"/>
  <c r="W21" i="44"/>
  <c r="W71" i="44" s="1"/>
  <c r="K17" i="44"/>
  <c r="K71" i="44"/>
  <c r="K75" i="44" s="1"/>
  <c r="K77" i="44" s="1"/>
  <c r="W48" i="44"/>
  <c r="R13" i="44"/>
  <c r="R12" i="44" s="1"/>
  <c r="R66" i="44" s="1"/>
  <c r="W14" i="44"/>
  <c r="W13" i="44" s="1"/>
  <c r="S74" i="44"/>
  <c r="S9" i="44"/>
  <c r="S8" i="44" s="1"/>
  <c r="S66" i="44" s="1"/>
  <c r="W10" i="44"/>
  <c r="R73" i="44"/>
  <c r="R75" i="44" s="1"/>
  <c r="R77" i="44" s="1"/>
  <c r="AM75" i="43"/>
  <c r="P66" i="44"/>
  <c r="AT38" i="29"/>
  <c r="AT75" i="29" s="1"/>
  <c r="K22" i="44"/>
  <c r="W23" i="44"/>
  <c r="W22" i="44" s="1"/>
  <c r="BM75" i="43"/>
  <c r="G58" i="33"/>
  <c r="G55" i="33" s="1"/>
  <c r="CH21" i="40"/>
  <c r="BQ193" i="40"/>
  <c r="BQ195" i="40" s="1"/>
  <c r="F12" i="33"/>
  <c r="C65" i="33"/>
  <c r="C55" i="36"/>
  <c r="BH183" i="40"/>
  <c r="BH195" i="40" s="1"/>
  <c r="BI195" i="40"/>
  <c r="G13" i="33"/>
  <c r="G17" i="33"/>
  <c r="G73" i="33"/>
  <c r="J43" i="33"/>
  <c r="J42" i="33" s="1"/>
  <c r="J22" i="33"/>
  <c r="J58" i="33"/>
  <c r="J55" i="33" s="1"/>
  <c r="AS193" i="40"/>
  <c r="AR193" i="40" s="1"/>
  <c r="AQ193" i="40" s="1"/>
  <c r="BE193" i="40" s="1"/>
  <c r="CS193" i="40"/>
  <c r="BF86" i="40"/>
  <c r="M43" i="33"/>
  <c r="M42" i="33" s="1"/>
  <c r="C12" i="36"/>
  <c r="J73" i="33"/>
  <c r="CI183" i="40"/>
  <c r="I66" i="44"/>
  <c r="AE286" i="45" s="1"/>
  <c r="CH86" i="40"/>
  <c r="G37" i="33"/>
  <c r="G33" i="33" s="1"/>
  <c r="G69" i="33"/>
  <c r="G22" i="33"/>
  <c r="C74" i="36"/>
  <c r="C76" i="36" s="1"/>
  <c r="F30" i="36"/>
  <c r="F12" i="36" s="1"/>
  <c r="F72" i="36"/>
  <c r="M21" i="33"/>
  <c r="M70" i="33" s="1"/>
  <c r="J70" i="33"/>
  <c r="J17" i="33"/>
  <c r="CP183" i="40"/>
  <c r="CP195" i="40" s="1"/>
  <c r="BN183" i="40"/>
  <c r="BN195" i="40" s="1"/>
  <c r="M41" i="33"/>
  <c r="M68" i="33" s="1"/>
  <c r="J68" i="33"/>
  <c r="F75" i="36"/>
  <c r="F51" i="36"/>
  <c r="J72" i="33"/>
  <c r="J4" i="33"/>
  <c r="J3" i="33" s="1"/>
  <c r="M5" i="33"/>
  <c r="F74" i="33"/>
  <c r="F76" i="33" s="1"/>
  <c r="BT183" i="40"/>
  <c r="BS181" i="40"/>
  <c r="CG181" i="40" s="1"/>
  <c r="C47" i="36"/>
  <c r="CH187" i="40"/>
  <c r="CI191" i="40"/>
  <c r="J13" i="33"/>
  <c r="J9" i="33"/>
  <c r="J8" i="33" s="1"/>
  <c r="J75" i="33"/>
  <c r="M52" i="33"/>
  <c r="J51" i="33"/>
  <c r="J47" i="33" s="1"/>
  <c r="BF167" i="40"/>
  <c r="M25" i="33"/>
  <c r="M71" i="33" s="1"/>
  <c r="J71" i="33"/>
  <c r="M58" i="33"/>
  <c r="M55" i="33" s="1"/>
  <c r="BU193" i="40"/>
  <c r="BT193" i="40" s="1"/>
  <c r="BS193" i="40" s="1"/>
  <c r="CG193" i="40" s="1"/>
  <c r="BT191" i="40"/>
  <c r="BS191" i="40" s="1"/>
  <c r="CG191" i="40" s="1"/>
  <c r="F55" i="36"/>
  <c r="AQ167" i="40"/>
  <c r="BE167" i="40" s="1"/>
  <c r="AR183" i="40"/>
  <c r="CJ183" i="40"/>
  <c r="CJ195" i="40" s="1"/>
  <c r="F69" i="36"/>
  <c r="J37" i="33"/>
  <c r="M40" i="33"/>
  <c r="J69" i="33"/>
  <c r="BF187" i="40"/>
  <c r="BG191" i="40"/>
  <c r="F48" i="36"/>
  <c r="F70" i="36"/>
  <c r="M32" i="33"/>
  <c r="M30" i="33" s="1"/>
  <c r="J30" i="33"/>
  <c r="G72" i="33"/>
  <c r="G4" i="33"/>
  <c r="G3" i="33" s="1"/>
  <c r="M13" i="33"/>
  <c r="M9" i="33"/>
  <c r="M8" i="33" s="1"/>
  <c r="M73" i="33"/>
  <c r="G51" i="33"/>
  <c r="G47" i="33" s="1"/>
  <c r="G75" i="33"/>
  <c r="BG183" i="40"/>
  <c r="CS195" i="40" l="1"/>
  <c r="W12" i="44"/>
  <c r="W66" i="44" s="1"/>
  <c r="F65" i="33"/>
  <c r="CH183" i="40"/>
  <c r="J33" i="33"/>
  <c r="K12" i="44"/>
  <c r="K66" i="44" s="1"/>
  <c r="W74" i="44"/>
  <c r="W9" i="44"/>
  <c r="W8" i="44" s="1"/>
  <c r="F74" i="36"/>
  <c r="F76" i="36" s="1"/>
  <c r="BF183" i="40"/>
  <c r="G12" i="33"/>
  <c r="G65" i="33" s="1"/>
  <c r="G74" i="33"/>
  <c r="G76" i="33" s="1"/>
  <c r="BU195" i="40"/>
  <c r="C65" i="36"/>
  <c r="F47" i="36"/>
  <c r="F65" i="36" s="1"/>
  <c r="M17" i="33"/>
  <c r="AS195" i="40"/>
  <c r="J74" i="33"/>
  <c r="J76" i="33" s="1"/>
  <c r="BT195" i="40"/>
  <c r="BS183" i="40"/>
  <c r="CG183" i="40" s="1"/>
  <c r="M37" i="33"/>
  <c r="M33" i="33" s="1"/>
  <c r="M69" i="33"/>
  <c r="AQ183" i="40"/>
  <c r="BE183" i="40" s="1"/>
  <c r="AR195" i="40"/>
  <c r="M22" i="33"/>
  <c r="M51" i="33"/>
  <c r="M47" i="33" s="1"/>
  <c r="M75" i="33"/>
  <c r="CH191" i="40"/>
  <c r="CI193" i="40"/>
  <c r="BG193" i="40"/>
  <c r="BF193" i="40" s="1"/>
  <c r="BF191" i="40"/>
  <c r="J12" i="33"/>
  <c r="M72" i="33"/>
  <c r="M4" i="33"/>
  <c r="M3" i="33" s="1"/>
  <c r="J65" i="33" l="1"/>
  <c r="BF195" i="40"/>
  <c r="M74" i="33"/>
  <c r="M76" i="33" s="1"/>
  <c r="M12" i="33"/>
  <c r="M65" i="33" s="1"/>
  <c r="BG195" i="40"/>
  <c r="CH193" i="40"/>
  <c r="CH195" i="40" s="1"/>
  <c r="CI195" i="40"/>
</calcChain>
</file>

<file path=xl/comments1.xml><?xml version="1.0" encoding="utf-8"?>
<comments xmlns="http://schemas.openxmlformats.org/spreadsheetml/2006/main">
  <authors>
    <author>Planeacion</author>
  </authors>
  <commentList>
    <comment ref="L11" authorId="0">
      <text>
        <r>
          <rPr>
            <b/>
            <sz val="9"/>
            <color indexed="81"/>
            <rFont val="Tahoma"/>
            <family val="2"/>
          </rPr>
          <t>Planeacion:</t>
        </r>
        <r>
          <rPr>
            <sz val="9"/>
            <color indexed="81"/>
            <rFont val="Tahoma"/>
            <family val="2"/>
          </rPr>
          <t xml:space="preserve">
La Fac. de Educación aportó           $28.591.374
La Fac. de Salud aportó                     $2.000.000
Con recursos comunes se aportaron $10.000.000</t>
        </r>
      </text>
    </comment>
    <comment ref="N11" authorId="0">
      <text>
        <r>
          <rPr>
            <b/>
            <sz val="9"/>
            <color indexed="81"/>
            <rFont val="Tahoma"/>
            <family val="2"/>
          </rPr>
          <t>Planeacion:</t>
        </r>
        <r>
          <rPr>
            <sz val="9"/>
            <color indexed="81"/>
            <rFont val="Tahoma"/>
            <family val="2"/>
          </rPr>
          <t xml:space="preserve">
La Fac. de Educación aportó           $15.000.000
La Fac. de Salud aportó                     $2.000.000
Con recursos comunes se aportaron $10.000.000</t>
        </r>
      </text>
    </comment>
    <comment ref="M18" authorId="0">
      <text>
        <r>
          <rPr>
            <b/>
            <sz val="9"/>
            <color indexed="81"/>
            <rFont val="Tahoma"/>
            <family val="2"/>
          </rPr>
          <t>Planeacion:</t>
        </r>
        <r>
          <rPr>
            <sz val="9"/>
            <color indexed="81"/>
            <rFont val="Tahoma"/>
            <family val="2"/>
          </rPr>
          <t xml:space="preserve">
FAC.SALUD APORTÓ                $2.000.000
FAC. CSH APORTÓ                    $4.000.000
CON RECURSOS COMUNES $117.281.913 </t>
        </r>
      </text>
    </comment>
    <comment ref="N18" authorId="0">
      <text>
        <r>
          <rPr>
            <b/>
            <sz val="9"/>
            <color indexed="81"/>
            <rFont val="Tahoma"/>
            <family val="2"/>
          </rPr>
          <t>Planeacion:
FAC.SALUD APORTÓ                $1.999.956
FAC. CSH APORTÓ                    $0
CON RECURSOS COMUNES  $ 97.146.627</t>
        </r>
      </text>
    </comment>
    <comment ref="M19" authorId="0">
      <text>
        <r>
          <rPr>
            <b/>
            <sz val="9"/>
            <color indexed="81"/>
            <rFont val="Tahoma"/>
            <family val="2"/>
          </rPr>
          <t>Planeacion:</t>
        </r>
        <r>
          <rPr>
            <sz val="9"/>
            <color indexed="81"/>
            <rFont val="Tahoma"/>
            <family val="2"/>
          </rPr>
          <t xml:space="preserve">
LA FAC. SALUD APORTÓ $1.000.000
RECURSOS COMUNES   $15.000.000  </t>
        </r>
      </text>
    </comment>
    <comment ref="O23" authorId="0">
      <text>
        <r>
          <rPr>
            <b/>
            <sz val="9"/>
            <color indexed="81"/>
            <rFont val="Tahoma"/>
            <family val="2"/>
          </rPr>
          <t>Planeacion:</t>
        </r>
        <r>
          <rPr>
            <sz val="9"/>
            <color indexed="81"/>
            <rFont val="Tahoma"/>
            <family val="2"/>
          </rPr>
          <t xml:space="preserve">
Comunicación Social y Periodismo</t>
        </r>
      </text>
    </comment>
    <comment ref="O24" authorId="0">
      <text>
        <r>
          <rPr>
            <b/>
            <sz val="9"/>
            <color indexed="81"/>
            <rFont val="Tahoma"/>
            <family val="2"/>
          </rPr>
          <t>Planeacion:</t>
        </r>
        <r>
          <rPr>
            <sz val="9"/>
            <color indexed="81"/>
            <rFont val="Tahoma"/>
            <family val="2"/>
          </rPr>
          <t xml:space="preserve">
Se trabajó en Medicina</t>
        </r>
      </text>
    </comment>
    <comment ref="O29" authorId="0">
      <text>
        <r>
          <rPr>
            <b/>
            <sz val="9"/>
            <color indexed="81"/>
            <rFont val="Tahoma"/>
            <family val="2"/>
          </rPr>
          <t>Planeacion:</t>
        </r>
        <r>
          <rPr>
            <sz val="9"/>
            <color indexed="81"/>
            <rFont val="Tahoma"/>
            <family val="2"/>
          </rPr>
          <t xml:space="preserve">
Matemática aplicada
Tecnología en Obras Civiles</t>
        </r>
      </text>
    </comment>
    <comment ref="Y32" authorId="0">
      <text>
        <r>
          <rPr>
            <b/>
            <sz val="9"/>
            <color indexed="81"/>
            <rFont val="Tahoma"/>
            <family val="2"/>
          </rPr>
          <t>Planeacion:</t>
        </r>
        <r>
          <rPr>
            <sz val="9"/>
            <color indexed="81"/>
            <rFont val="Tahoma"/>
            <family val="2"/>
          </rPr>
          <t xml:space="preserve">
FEA                       : 19 Docentes y grupal  $ 43.964.937 
FACIEN                 :   6 Docentes                     5.769.036
FACSALUD            : 18 Docentes y grupal     30.030.051
FACING                 : 13 Docentes y grupal     32.874.658
FACDERECHO      :   6 Docentes y grupal      20.157.626
FACEDUCACIÓN   : 26 Docentes y grupal      36.125.647
FCSH                    ;    6 Docentes                     6.555.187</t>
        </r>
      </text>
    </comment>
    <comment ref="Y33" authorId="0">
      <text>
        <r>
          <rPr>
            <b/>
            <sz val="9"/>
            <color indexed="81"/>
            <rFont val="Tahoma"/>
            <family val="2"/>
          </rPr>
          <t>Planeacion:</t>
        </r>
        <r>
          <rPr>
            <sz val="9"/>
            <color indexed="81"/>
            <rFont val="Tahoma"/>
            <family val="2"/>
          </rPr>
          <t xml:space="preserve">
</t>
        </r>
        <r>
          <rPr>
            <b/>
            <sz val="9"/>
            <color indexed="81"/>
            <rFont val="Tahoma"/>
            <family val="2"/>
          </rPr>
          <t>COMISIONES:</t>
        </r>
        <r>
          <rPr>
            <sz val="9"/>
            <color indexed="81"/>
            <rFont val="Tahoma"/>
            <family val="2"/>
          </rPr>
          <t xml:space="preserve">
 5 DOCTORADOS Y 1 SUBESPECIALIZACIÓN
</t>
        </r>
        <r>
          <rPr>
            <b/>
            <sz val="9"/>
            <color indexed="81"/>
            <rFont val="Tahoma"/>
            <family val="2"/>
          </rPr>
          <t>APOYOS ECONÓMICOS:</t>
        </r>
        <r>
          <rPr>
            <sz val="9"/>
            <color indexed="81"/>
            <rFont val="Tahoma"/>
            <family val="2"/>
          </rPr>
          <t xml:space="preserve"> 
2 DOCTORADOS
3 MAESTRÍAS</t>
        </r>
      </text>
    </comment>
    <comment ref="Y34" authorId="0">
      <text>
        <r>
          <rPr>
            <b/>
            <sz val="9"/>
            <color indexed="81"/>
            <rFont val="Tahoma"/>
            <family val="2"/>
          </rPr>
          <t>Planeacion:</t>
        </r>
        <r>
          <rPr>
            <sz val="9"/>
            <color indexed="81"/>
            <rFont val="Tahoma"/>
            <family val="2"/>
          </rPr>
          <t xml:space="preserve">
</t>
        </r>
        <r>
          <rPr>
            <b/>
            <sz val="9"/>
            <color indexed="81"/>
            <rFont val="Tahoma"/>
            <family val="2"/>
          </rPr>
          <t xml:space="preserve">APOYOS ECONÓMICOS:
</t>
        </r>
        <r>
          <rPr>
            <sz val="9"/>
            <color indexed="81"/>
            <rFont val="Tahoma"/>
            <family val="2"/>
          </rPr>
          <t>1</t>
        </r>
      </text>
    </comment>
    <comment ref="Y35" authorId="0">
      <text>
        <r>
          <rPr>
            <b/>
            <sz val="9"/>
            <color indexed="81"/>
            <rFont val="Tahoma"/>
            <family val="2"/>
          </rPr>
          <t>Planeacion:</t>
        </r>
        <r>
          <rPr>
            <sz val="9"/>
            <color indexed="81"/>
            <rFont val="Tahoma"/>
            <family val="2"/>
          </rPr>
          <t xml:space="preserve">
</t>
        </r>
        <r>
          <rPr>
            <b/>
            <sz val="9"/>
            <color indexed="81"/>
            <rFont val="Tahoma"/>
            <family val="2"/>
          </rPr>
          <t>COMISIONES:</t>
        </r>
        <r>
          <rPr>
            <sz val="9"/>
            <color indexed="81"/>
            <rFont val="Tahoma"/>
            <family val="2"/>
          </rPr>
          <t xml:space="preserve">
1 DOCTORADO
</t>
        </r>
        <r>
          <rPr>
            <b/>
            <sz val="9"/>
            <color indexed="81"/>
            <rFont val="Tahoma"/>
            <family val="2"/>
          </rPr>
          <t>APOYOS ECONÓMICOS:</t>
        </r>
        <r>
          <rPr>
            <sz val="9"/>
            <color indexed="81"/>
            <rFont val="Tahoma"/>
            <family val="2"/>
          </rPr>
          <t xml:space="preserve">
1 MAESTRÍA</t>
        </r>
      </text>
    </comment>
    <comment ref="Y37" authorId="0">
      <text>
        <r>
          <rPr>
            <b/>
            <sz val="9"/>
            <color indexed="81"/>
            <rFont val="Tahoma"/>
            <family val="2"/>
          </rPr>
          <t>Planeacion:</t>
        </r>
        <r>
          <rPr>
            <sz val="9"/>
            <color indexed="81"/>
            <rFont val="Tahoma"/>
            <family val="2"/>
          </rPr>
          <t xml:space="preserve">
</t>
        </r>
        <r>
          <rPr>
            <b/>
            <sz val="9"/>
            <color indexed="81"/>
            <rFont val="Tahoma"/>
            <family val="2"/>
          </rPr>
          <t xml:space="preserve">COMISIONES DE ESTUDIO:
</t>
        </r>
        <r>
          <rPr>
            <sz val="9"/>
            <color indexed="81"/>
            <rFont val="Tahoma"/>
            <family val="2"/>
          </rPr>
          <t>2 DOCTORADOS</t>
        </r>
        <r>
          <rPr>
            <b/>
            <sz val="9"/>
            <color indexed="81"/>
            <rFont val="Tahoma"/>
            <family val="2"/>
          </rPr>
          <t xml:space="preserve">
</t>
        </r>
        <r>
          <rPr>
            <sz val="9"/>
            <color indexed="81"/>
            <rFont val="Tahoma"/>
            <family val="2"/>
          </rPr>
          <t>APOY</t>
        </r>
        <r>
          <rPr>
            <b/>
            <sz val="9"/>
            <color indexed="81"/>
            <rFont val="Tahoma"/>
            <family val="2"/>
          </rPr>
          <t>OS ECONÓMICOS:</t>
        </r>
        <r>
          <rPr>
            <sz val="9"/>
            <color indexed="81"/>
            <rFont val="Tahoma"/>
            <family val="2"/>
          </rPr>
          <t xml:space="preserve">
</t>
        </r>
      </text>
    </comment>
    <comment ref="J108" authorId="0">
      <text>
        <r>
          <rPr>
            <b/>
            <sz val="9"/>
            <color indexed="81"/>
            <rFont val="Tahoma"/>
            <family val="2"/>
          </rPr>
          <t>Planeacion:</t>
        </r>
        <r>
          <rPr>
            <sz val="9"/>
            <color indexed="81"/>
            <rFont val="Tahoma"/>
            <family val="2"/>
          </rPr>
          <t xml:space="preserve">
BASE 662</t>
        </r>
      </text>
    </comment>
    <comment ref="J111" authorId="0">
      <text>
        <r>
          <rPr>
            <b/>
            <sz val="9"/>
            <color indexed="81"/>
            <rFont val="Tahoma"/>
            <family val="2"/>
          </rPr>
          <t>Planeacion:</t>
        </r>
        <r>
          <rPr>
            <sz val="9"/>
            <color indexed="81"/>
            <rFont val="Tahoma"/>
            <family val="2"/>
          </rPr>
          <t xml:space="preserve">
BASE 90</t>
        </r>
      </text>
    </comment>
  </commentList>
</comments>
</file>

<file path=xl/comments10.xml><?xml version="1.0" encoding="utf-8"?>
<comments xmlns="http://schemas.openxmlformats.org/spreadsheetml/2006/main">
  <authors>
    <author>Planeación</author>
  </authors>
  <commentList>
    <comment ref="AN207" authorId="0">
      <text>
        <r>
          <rPr>
            <b/>
            <sz val="9"/>
            <color indexed="81"/>
            <rFont val="Tahoma"/>
            <family val="2"/>
          </rPr>
          <t>Planeación:</t>
        </r>
        <r>
          <rPr>
            <sz val="9"/>
            <color indexed="81"/>
            <rFont val="Tahoma"/>
            <family val="2"/>
          </rPr>
          <t xml:space="preserve">
300.000.000 F.Educación
597.519.551 traslado F.E
176.737.279</t>
        </r>
      </text>
    </comment>
  </commentList>
</comments>
</file>

<file path=xl/comments11.xml><?xml version="1.0" encoding="utf-8"?>
<comments xmlns="http://schemas.openxmlformats.org/spreadsheetml/2006/main">
  <authors>
    <author>Planeación</author>
  </authors>
  <commentList>
    <comment ref="AN207" authorId="0">
      <text>
        <r>
          <rPr>
            <b/>
            <sz val="9"/>
            <color indexed="81"/>
            <rFont val="Tahoma"/>
            <family val="2"/>
          </rPr>
          <t>Planeación:</t>
        </r>
        <r>
          <rPr>
            <sz val="9"/>
            <color indexed="81"/>
            <rFont val="Tahoma"/>
            <family val="2"/>
          </rPr>
          <t xml:space="preserve">
300.000.000 F.Educación
597.519.551 traslado F.E
176.737.279</t>
        </r>
      </text>
    </comment>
  </commentList>
</comments>
</file>

<file path=xl/comments2.xml><?xml version="1.0" encoding="utf-8"?>
<comments xmlns="http://schemas.openxmlformats.org/spreadsheetml/2006/main">
  <authors>
    <author>Planeacion</author>
  </authors>
  <commentList>
    <comment ref="J9" authorId="0">
      <text>
        <r>
          <rPr>
            <b/>
            <sz val="9"/>
            <color indexed="81"/>
            <rFont val="Tahoma"/>
            <family val="2"/>
          </rPr>
          <t>Planeacion:</t>
        </r>
        <r>
          <rPr>
            <sz val="9"/>
            <color indexed="81"/>
            <rFont val="Tahoma"/>
            <family val="2"/>
          </rPr>
          <t xml:space="preserve">
OJO SI SON COFINANCIADOS SE DEBEN PROYECTAR INGRESOS DE CONVENIOS</t>
        </r>
      </text>
    </comment>
    <comment ref="AT15" authorId="0">
      <text>
        <r>
          <rPr>
            <b/>
            <sz val="9"/>
            <color indexed="81"/>
            <rFont val="Tahoma"/>
            <family val="2"/>
          </rPr>
          <t>Planeacion:</t>
        </r>
        <r>
          <rPr>
            <sz val="9"/>
            <color indexed="81"/>
            <rFont val="Tahoma"/>
            <family val="2"/>
          </rPr>
          <t xml:space="preserve">
Fac. eco $20</t>
        </r>
      </text>
    </comment>
    <comment ref="S26" authorId="0">
      <text>
        <r>
          <rPr>
            <b/>
            <sz val="9"/>
            <color indexed="81"/>
            <rFont val="Tahoma"/>
            <family val="2"/>
          </rPr>
          <t>Planeacion:</t>
        </r>
        <r>
          <rPr>
            <sz val="9"/>
            <color indexed="81"/>
            <rFont val="Tahoma"/>
            <family val="2"/>
          </rPr>
          <t xml:space="preserve">
solicita $140 millones más</t>
        </r>
      </text>
    </comment>
    <comment ref="S27" authorId="0">
      <text>
        <r>
          <rPr>
            <b/>
            <sz val="9"/>
            <color indexed="81"/>
            <rFont val="Tahoma"/>
            <family val="2"/>
          </rPr>
          <t>Planeacion:</t>
        </r>
        <r>
          <rPr>
            <sz val="9"/>
            <color indexed="81"/>
            <rFont val="Tahoma"/>
            <family val="2"/>
          </rPr>
          <t xml:space="preserve">
solicita $50 millones más</t>
        </r>
      </text>
    </comment>
    <comment ref="S28" authorId="0">
      <text>
        <r>
          <rPr>
            <b/>
            <sz val="9"/>
            <color indexed="81"/>
            <rFont val="Tahoma"/>
            <family val="2"/>
          </rPr>
          <t>Planeacion:</t>
        </r>
        <r>
          <rPr>
            <sz val="9"/>
            <color indexed="81"/>
            <rFont val="Tahoma"/>
            <family val="2"/>
          </rPr>
          <t xml:space="preserve">
solicita $36 millones más</t>
        </r>
      </text>
    </comment>
    <comment ref="S29" authorId="0">
      <text>
        <r>
          <rPr>
            <b/>
            <sz val="9"/>
            <color indexed="81"/>
            <rFont val="Tahoma"/>
            <family val="2"/>
          </rPr>
          <t>Planeacion:</t>
        </r>
        <r>
          <rPr>
            <sz val="9"/>
            <color indexed="81"/>
            <rFont val="Tahoma"/>
            <family val="2"/>
          </rPr>
          <t xml:space="preserve">
Solicita $259.5 millones más</t>
        </r>
      </text>
    </comment>
    <comment ref="AP29" authorId="0">
      <text>
        <r>
          <rPr>
            <b/>
            <sz val="9"/>
            <color indexed="81"/>
            <rFont val="Tahoma"/>
            <family val="2"/>
          </rPr>
          <t>Planeacion:</t>
        </r>
        <r>
          <rPr>
            <sz val="9"/>
            <color indexed="81"/>
            <rFont val="Tahoma"/>
            <family val="2"/>
          </rPr>
          <t xml:space="preserve">
Según Oficio 7.JARR-698 del 10/12/10 solicita reasignar saldo no ejecutado por $119.400.000.</t>
        </r>
      </text>
    </comment>
    <comment ref="AP31" authorId="0">
      <text>
        <r>
          <rPr>
            <b/>
            <sz val="9"/>
            <color indexed="81"/>
            <rFont val="Tahoma"/>
            <family val="2"/>
          </rPr>
          <t>Planeacion:</t>
        </r>
        <r>
          <rPr>
            <sz val="9"/>
            <color indexed="81"/>
            <rFont val="Tahoma"/>
            <family val="2"/>
          </rPr>
          <t xml:space="preserve">
Según cuadro reportado por VIPS están en ejecución convenios donde la Universidad se compromete a aportar $200.452.457, de los cuales ya hay asignados $200 millones y faltarían $500 mil mesos.</t>
        </r>
      </text>
    </comment>
    <comment ref="AQ31" authorId="0">
      <text>
        <r>
          <rPr>
            <b/>
            <sz val="9"/>
            <color indexed="81"/>
            <rFont val="Tahoma"/>
            <family val="2"/>
          </rPr>
          <t>Planeacion:</t>
        </r>
        <r>
          <rPr>
            <sz val="9"/>
            <color indexed="81"/>
            <rFont val="Tahoma"/>
            <family val="2"/>
          </rPr>
          <t xml:space="preserve">
Según oficio 7.JARR-022 del 20 de enero de 2011, solicita adicionar $886.739.318 por convenios ya firmados.</t>
        </r>
      </text>
    </comment>
    <comment ref="S32" authorId="0">
      <text>
        <r>
          <rPr>
            <b/>
            <sz val="9"/>
            <color indexed="81"/>
            <rFont val="Tahoma"/>
            <family val="2"/>
          </rPr>
          <t>Planeacion:</t>
        </r>
        <r>
          <rPr>
            <sz val="9"/>
            <color indexed="81"/>
            <rFont val="Tahoma"/>
            <family val="2"/>
          </rPr>
          <t xml:space="preserve">
solicita $1.000 millones más</t>
        </r>
      </text>
    </comment>
    <comment ref="AO32" authorId="0">
      <text>
        <r>
          <rPr>
            <b/>
            <sz val="9"/>
            <color indexed="81"/>
            <rFont val="Tahoma"/>
            <family val="2"/>
          </rPr>
          <t>Planeacion:</t>
        </r>
        <r>
          <rPr>
            <sz val="9"/>
            <color indexed="81"/>
            <rFont val="Tahoma"/>
            <family val="2"/>
          </rPr>
          <t xml:space="preserve">
Según oficio 7.JARR-717 del 21 de dic/10 se solitita reasignar $69.600.000 ejecutados por trámites de contratación para la adquisición del equipo Nefelómetro programado dentro de un proyecto de investigación</t>
        </r>
      </text>
    </comment>
    <comment ref="S35" authorId="0">
      <text>
        <r>
          <rPr>
            <b/>
            <sz val="9"/>
            <color indexed="81"/>
            <rFont val="Tahoma"/>
            <family val="2"/>
          </rPr>
          <t>Planeacion:</t>
        </r>
        <r>
          <rPr>
            <sz val="9"/>
            <color indexed="81"/>
            <rFont val="Tahoma"/>
            <family val="2"/>
          </rPr>
          <t xml:space="preserve">
solicita $50 millones mas</t>
        </r>
      </text>
    </comment>
    <comment ref="AP35" authorId="0">
      <text>
        <r>
          <rPr>
            <b/>
            <sz val="9"/>
            <color indexed="81"/>
            <rFont val="Tahoma"/>
            <family val="2"/>
          </rPr>
          <t>Planeacion:</t>
        </r>
        <r>
          <rPr>
            <sz val="9"/>
            <color indexed="81"/>
            <rFont val="Tahoma"/>
            <family val="2"/>
          </rPr>
          <t xml:space="preserve">
PACA recaudo por actividades en 2010 $10 millones los cuales deben asignarse al 2011</t>
        </r>
      </text>
    </comment>
    <comment ref="AO37" authorId="0">
      <text>
        <r>
          <rPr>
            <b/>
            <sz val="9"/>
            <color indexed="81"/>
            <rFont val="Tahoma"/>
            <family val="2"/>
          </rPr>
          <t>Planeacion:</t>
        </r>
        <r>
          <rPr>
            <sz val="9"/>
            <color indexed="81"/>
            <rFont val="Tahoma"/>
            <family val="2"/>
          </rPr>
          <t xml:space="preserve">
Según oficio del Dr. Pedro Reyes del 18 de nov/10 solicita reasignar recursos no ejecutados en 2010 al 2011 por $10.076.336.</t>
        </r>
      </text>
    </comment>
    <comment ref="AP37" authorId="0">
      <text>
        <r>
          <rPr>
            <b/>
            <sz val="9"/>
            <color indexed="81"/>
            <rFont val="Tahoma"/>
            <family val="2"/>
          </rPr>
          <t>Planeacion:</t>
        </r>
        <r>
          <rPr>
            <sz val="9"/>
            <color indexed="81"/>
            <rFont val="Tahoma"/>
            <family val="2"/>
          </rPr>
          <t xml:space="preserve">
Según oficio 2.6-GCT-231 del 21 de dic/10 ORNI solicita la asignación de $230 millones para el desarrollo de 14 convenios.
Se han asignado $50 millones + $10.076.336 que no se ejecutaron en 2010, quedarían así, pendientes por asignar $120 millones.</t>
        </r>
      </text>
    </comment>
    <comment ref="Z43" authorId="0">
      <text>
        <r>
          <rPr>
            <b/>
            <sz val="9"/>
            <color indexed="81"/>
            <rFont val="Tahoma"/>
            <family val="2"/>
          </rPr>
          <t>Planeacion:</t>
        </r>
        <r>
          <rPr>
            <sz val="9"/>
            <color indexed="81"/>
            <rFont val="Tahoma"/>
            <family val="2"/>
          </rPr>
          <t xml:space="preserve">
Investigación  $500'
Dotación 421-2 (a y o)    $200'
Servicios  722-1(de mant.h y s) $  25'</t>
        </r>
      </text>
    </comment>
    <comment ref="AO43" authorId="0">
      <text>
        <r>
          <rPr>
            <b/>
            <sz val="9"/>
            <color indexed="81"/>
            <rFont val="Tahoma"/>
            <family val="2"/>
          </rPr>
          <t>Planeacion:</t>
        </r>
        <r>
          <rPr>
            <sz val="9"/>
            <color indexed="81"/>
            <rFont val="Tahoma"/>
            <family val="2"/>
          </rPr>
          <t xml:space="preserve">
Incluye recursos de estampilla de los Municipios</t>
        </r>
      </text>
    </comment>
    <comment ref="Z44" authorId="0">
      <text>
        <r>
          <rPr>
            <b/>
            <sz val="9"/>
            <color indexed="81"/>
            <rFont val="Tahoma"/>
            <family val="2"/>
          </rPr>
          <t>Planeacion:</t>
        </r>
        <r>
          <rPr>
            <sz val="9"/>
            <color indexed="81"/>
            <rFont val="Tahoma"/>
            <family val="2"/>
          </rPr>
          <t xml:space="preserve">
Mantenimiento:
planta física 421-1    $232'
equipos 421-3(lab)   $200'</t>
        </r>
      </text>
    </comment>
    <comment ref="AP44" authorId="0">
      <text>
        <r>
          <rPr>
            <b/>
            <sz val="9"/>
            <color indexed="81"/>
            <rFont val="Tahoma"/>
            <family val="2"/>
          </rPr>
          <t>Planeacion:</t>
        </r>
        <r>
          <rPr>
            <sz val="9"/>
            <color indexed="81"/>
            <rFont val="Tahoma"/>
            <family val="2"/>
          </rPr>
          <t xml:space="preserve">
Falta electrónica $20 millones</t>
        </r>
      </text>
    </comment>
    <comment ref="AQ45" authorId="0">
      <text>
        <r>
          <rPr>
            <b/>
            <sz val="9"/>
            <color indexed="81"/>
            <rFont val="Tahoma"/>
            <family val="2"/>
          </rPr>
          <t>Planeacion:</t>
        </r>
        <r>
          <rPr>
            <sz val="9"/>
            <color indexed="81"/>
            <rFont val="Tahoma"/>
            <family val="2"/>
          </rPr>
          <t xml:space="preserve">
Convenio con la Gobernación para adquirir nuevo campus</t>
        </r>
      </text>
    </comment>
    <comment ref="AP54" authorId="0">
      <text>
        <r>
          <rPr>
            <b/>
            <sz val="9"/>
            <color indexed="81"/>
            <rFont val="Tahoma"/>
            <family val="2"/>
          </rPr>
          <t>Planeacion:</t>
        </r>
        <r>
          <rPr>
            <sz val="9"/>
            <color indexed="81"/>
            <rFont val="Tahoma"/>
            <family val="2"/>
          </rPr>
          <t xml:space="preserve">
el Viceaca solicita $15 millones</t>
        </r>
      </text>
    </comment>
    <comment ref="AP66" authorId="0">
      <text>
        <r>
          <rPr>
            <b/>
            <sz val="9"/>
            <color indexed="81"/>
            <rFont val="Tahoma"/>
            <family val="2"/>
          </rPr>
          <t>Planeacion:</t>
        </r>
        <r>
          <rPr>
            <sz val="9"/>
            <color indexed="81"/>
            <rFont val="Tahoma"/>
            <family val="2"/>
          </rPr>
          <t xml:space="preserve">
Con oficio 7.JARR-719 del 28/12/10 solicita asignar los recursos para continuar con el proyecto</t>
        </r>
      </text>
    </comment>
    <comment ref="AT68" authorId="0">
      <text>
        <r>
          <rPr>
            <b/>
            <sz val="9"/>
            <color indexed="81"/>
            <rFont val="Tahoma"/>
            <family val="2"/>
          </rPr>
          <t>Planeacion:</t>
        </r>
        <r>
          <rPr>
            <sz val="9"/>
            <color indexed="81"/>
            <rFont val="Tahoma"/>
            <family val="2"/>
          </rPr>
          <t xml:space="preserve">
Fac. Derecho $15
Facien           $15
FCSH            $15
Feco             $12</t>
        </r>
      </text>
    </comment>
    <comment ref="V94" authorId="0">
      <text>
        <r>
          <rPr>
            <b/>
            <sz val="9"/>
            <color indexed="81"/>
            <rFont val="Tahoma"/>
            <family val="2"/>
          </rPr>
          <t>Planeacion:</t>
        </r>
        <r>
          <rPr>
            <sz val="9"/>
            <color indexed="81"/>
            <rFont val="Tahoma"/>
            <family val="2"/>
          </rPr>
          <t xml:space="preserve">
Construcciones     $
Dotación equipos   $
</t>
        </r>
      </text>
    </comment>
    <comment ref="AA94" authorId="0">
      <text>
        <r>
          <rPr>
            <b/>
            <sz val="9"/>
            <color indexed="81"/>
            <rFont val="Tahoma"/>
            <family val="2"/>
          </rPr>
          <t>Planeacion:</t>
        </r>
        <r>
          <rPr>
            <sz val="9"/>
            <color indexed="81"/>
            <rFont val="Tahoma"/>
            <family val="2"/>
          </rPr>
          <t xml:space="preserve">
- $1.300' del depto.</t>
        </r>
      </text>
    </comment>
    <comment ref="V95" authorId="0">
      <text>
        <r>
          <rPr>
            <b/>
            <sz val="9"/>
            <color indexed="81"/>
            <rFont val="Tahoma"/>
            <family val="2"/>
          </rPr>
          <t>Planeacion:</t>
        </r>
        <r>
          <rPr>
            <sz val="9"/>
            <color indexed="81"/>
            <rFont val="Tahoma"/>
            <family val="2"/>
          </rPr>
          <t xml:space="preserve">
Lab.ciencias básicas 421-3  $77'
Dotac. Aulas inteel 721-3   $100'</t>
        </r>
      </text>
    </comment>
  </commentList>
</comments>
</file>

<file path=xl/comments3.xml><?xml version="1.0" encoding="utf-8"?>
<comments xmlns="http://schemas.openxmlformats.org/spreadsheetml/2006/main">
  <authors>
    <author>Planeacion</author>
  </authors>
  <commentList>
    <comment ref="AG50" authorId="0">
      <text>
        <r>
          <rPr>
            <b/>
            <sz val="9"/>
            <color indexed="81"/>
            <rFont val="Tahoma"/>
            <family val="2"/>
          </rPr>
          <t>Planeacion:</t>
        </r>
        <r>
          <rPr>
            <sz val="9"/>
            <color indexed="81"/>
            <rFont val="Tahoma"/>
            <family val="2"/>
          </rPr>
          <t xml:space="preserve">
que presupuesto ajuste
$816.952</t>
        </r>
      </text>
    </comment>
  </commentList>
</comments>
</file>

<file path=xl/comments4.xml><?xml version="1.0" encoding="utf-8"?>
<comments xmlns="http://schemas.openxmlformats.org/spreadsheetml/2006/main">
  <authors>
    <author>Planeacion</author>
  </authors>
  <commentList>
    <comment ref="J9" authorId="0">
      <text>
        <r>
          <rPr>
            <b/>
            <sz val="9"/>
            <color indexed="81"/>
            <rFont val="Tahoma"/>
            <family val="2"/>
          </rPr>
          <t>Planeacion:</t>
        </r>
        <r>
          <rPr>
            <sz val="9"/>
            <color indexed="81"/>
            <rFont val="Tahoma"/>
            <family val="2"/>
          </rPr>
          <t xml:space="preserve">
OJO SI SON COFINANCIADOS SE DEBEN PROYECTAR INGRESOS DE CONVENIOS</t>
        </r>
      </text>
    </comment>
    <comment ref="AY15" authorId="0">
      <text>
        <r>
          <rPr>
            <b/>
            <sz val="9"/>
            <color indexed="81"/>
            <rFont val="Tahoma"/>
            <family val="2"/>
          </rPr>
          <t>Planeacion:</t>
        </r>
        <r>
          <rPr>
            <sz val="9"/>
            <color indexed="81"/>
            <rFont val="Tahoma"/>
            <family val="2"/>
          </rPr>
          <t xml:space="preserve">
Fac. eco $20</t>
        </r>
      </text>
    </comment>
    <comment ref="S26" authorId="0">
      <text>
        <r>
          <rPr>
            <b/>
            <sz val="9"/>
            <color indexed="81"/>
            <rFont val="Tahoma"/>
            <family val="2"/>
          </rPr>
          <t>Planeacion:</t>
        </r>
        <r>
          <rPr>
            <sz val="9"/>
            <color indexed="81"/>
            <rFont val="Tahoma"/>
            <family val="2"/>
          </rPr>
          <t xml:space="preserve">
solicita $140 millones más</t>
        </r>
      </text>
    </comment>
    <comment ref="S27" authorId="0">
      <text>
        <r>
          <rPr>
            <b/>
            <sz val="9"/>
            <color indexed="81"/>
            <rFont val="Tahoma"/>
            <family val="2"/>
          </rPr>
          <t>Planeacion:</t>
        </r>
        <r>
          <rPr>
            <sz val="9"/>
            <color indexed="81"/>
            <rFont val="Tahoma"/>
            <family val="2"/>
          </rPr>
          <t xml:space="preserve">
solicita $50 millones más</t>
        </r>
      </text>
    </comment>
    <comment ref="S28" authorId="0">
      <text>
        <r>
          <rPr>
            <b/>
            <sz val="9"/>
            <color indexed="81"/>
            <rFont val="Tahoma"/>
            <family val="2"/>
          </rPr>
          <t>Planeacion:</t>
        </r>
        <r>
          <rPr>
            <sz val="9"/>
            <color indexed="81"/>
            <rFont val="Tahoma"/>
            <family val="2"/>
          </rPr>
          <t xml:space="preserve">
solicita $36 millones más</t>
        </r>
      </text>
    </comment>
    <comment ref="S29" authorId="0">
      <text>
        <r>
          <rPr>
            <b/>
            <sz val="9"/>
            <color indexed="81"/>
            <rFont val="Tahoma"/>
            <family val="2"/>
          </rPr>
          <t>Planeacion:</t>
        </r>
        <r>
          <rPr>
            <sz val="9"/>
            <color indexed="81"/>
            <rFont val="Tahoma"/>
            <family val="2"/>
          </rPr>
          <t xml:space="preserve">
Solicita $259.5 millones más</t>
        </r>
      </text>
    </comment>
    <comment ref="AU29" authorId="0">
      <text>
        <r>
          <rPr>
            <b/>
            <sz val="9"/>
            <color indexed="81"/>
            <rFont val="Tahoma"/>
            <family val="2"/>
          </rPr>
          <t>Planeacion:</t>
        </r>
        <r>
          <rPr>
            <sz val="9"/>
            <color indexed="81"/>
            <rFont val="Tahoma"/>
            <family val="2"/>
          </rPr>
          <t xml:space="preserve">
Según Oficio 7.JARR-698 del 10/12/10 solicita reasignar saldo no ejecutado por $119.400.000.</t>
        </r>
      </text>
    </comment>
    <comment ref="AU31" authorId="0">
      <text>
        <r>
          <rPr>
            <b/>
            <sz val="9"/>
            <color indexed="81"/>
            <rFont val="Tahoma"/>
            <family val="2"/>
          </rPr>
          <t>Planeacion:</t>
        </r>
        <r>
          <rPr>
            <sz val="9"/>
            <color indexed="81"/>
            <rFont val="Tahoma"/>
            <family val="2"/>
          </rPr>
          <t xml:space="preserve">
Según cuadro reportado por VIPS están en ejecución convenios donde la Universidad se compromete a aportar $200.452.457, de los cuales ya hay asignados $200 millones y faltarían $500 mil mesos.</t>
        </r>
      </text>
    </comment>
    <comment ref="AV31" authorId="0">
      <text>
        <r>
          <rPr>
            <b/>
            <sz val="9"/>
            <color indexed="81"/>
            <rFont val="Tahoma"/>
            <family val="2"/>
          </rPr>
          <t>Planeacion:</t>
        </r>
        <r>
          <rPr>
            <sz val="9"/>
            <color indexed="81"/>
            <rFont val="Tahoma"/>
            <family val="2"/>
          </rPr>
          <t xml:space="preserve">
Según oficio 7.JARR-022 del 20 de enero de 2011, solicita adicionar $886.739.318 por convenios ya firmados.</t>
        </r>
      </text>
    </comment>
    <comment ref="S32" authorId="0">
      <text>
        <r>
          <rPr>
            <b/>
            <sz val="9"/>
            <color indexed="81"/>
            <rFont val="Tahoma"/>
            <family val="2"/>
          </rPr>
          <t>Planeacion:</t>
        </r>
        <r>
          <rPr>
            <sz val="9"/>
            <color indexed="81"/>
            <rFont val="Tahoma"/>
            <family val="2"/>
          </rPr>
          <t xml:space="preserve">
solicita $1.000 millones más</t>
        </r>
      </text>
    </comment>
    <comment ref="AT32" authorId="0">
      <text>
        <r>
          <rPr>
            <b/>
            <sz val="9"/>
            <color indexed="81"/>
            <rFont val="Tahoma"/>
            <family val="2"/>
          </rPr>
          <t>Planeacion:</t>
        </r>
        <r>
          <rPr>
            <sz val="9"/>
            <color indexed="81"/>
            <rFont val="Tahoma"/>
            <family val="2"/>
          </rPr>
          <t xml:space="preserve">
Según oficio 7.JARR-717 del 21 de dic/10 se solitita reasignar $69.600.000 ejecutados por trámites de contratación para la adquisición del equipo Nefelómetro programado dentro de un proyecto de investigación</t>
        </r>
      </text>
    </comment>
    <comment ref="S35" authorId="0">
      <text>
        <r>
          <rPr>
            <b/>
            <sz val="9"/>
            <color indexed="81"/>
            <rFont val="Tahoma"/>
            <family val="2"/>
          </rPr>
          <t>Planeacion:</t>
        </r>
        <r>
          <rPr>
            <sz val="9"/>
            <color indexed="81"/>
            <rFont val="Tahoma"/>
            <family val="2"/>
          </rPr>
          <t xml:space="preserve">
solicita $50 millones mas</t>
        </r>
      </text>
    </comment>
    <comment ref="AU35" authorId="0">
      <text>
        <r>
          <rPr>
            <b/>
            <sz val="9"/>
            <color indexed="81"/>
            <rFont val="Tahoma"/>
            <family val="2"/>
          </rPr>
          <t>Planeacion:</t>
        </r>
        <r>
          <rPr>
            <sz val="9"/>
            <color indexed="81"/>
            <rFont val="Tahoma"/>
            <family val="2"/>
          </rPr>
          <t xml:space="preserve">
PACA recaudo por actividades en 2010 $10 millones los cuales deben asignarse al 2011</t>
        </r>
      </text>
    </comment>
    <comment ref="AT37" authorId="0">
      <text>
        <r>
          <rPr>
            <b/>
            <sz val="9"/>
            <color indexed="81"/>
            <rFont val="Tahoma"/>
            <family val="2"/>
          </rPr>
          <t>Planeacion:</t>
        </r>
        <r>
          <rPr>
            <sz val="9"/>
            <color indexed="81"/>
            <rFont val="Tahoma"/>
            <family val="2"/>
          </rPr>
          <t xml:space="preserve">
Según oficio del Dr. Pedro Reyes del 18 de nov/10 solicita reasignar recursos no ejecutados en 2010 al 2011 por $10.076.336.</t>
        </r>
      </text>
    </comment>
    <comment ref="AU37" authorId="0">
      <text>
        <r>
          <rPr>
            <b/>
            <sz val="9"/>
            <color indexed="81"/>
            <rFont val="Tahoma"/>
            <family val="2"/>
          </rPr>
          <t>Planeacion:</t>
        </r>
        <r>
          <rPr>
            <sz val="9"/>
            <color indexed="81"/>
            <rFont val="Tahoma"/>
            <family val="2"/>
          </rPr>
          <t xml:space="preserve">
Según oficio 2.6-GCT-231 del 21 de dic/10 ORNI solicita la asignación de $230 millones para el desarrollo de 14 convenios.
Se han asignado $50 millones + $10.076.336 que no se ejecutaron en 2010, quedarían así, pendientes por asignar $120 millones.</t>
        </r>
      </text>
    </comment>
    <comment ref="AE43" authorId="0">
      <text>
        <r>
          <rPr>
            <b/>
            <sz val="9"/>
            <color indexed="81"/>
            <rFont val="Tahoma"/>
            <family val="2"/>
          </rPr>
          <t>Planeacion:</t>
        </r>
        <r>
          <rPr>
            <sz val="9"/>
            <color indexed="81"/>
            <rFont val="Tahoma"/>
            <family val="2"/>
          </rPr>
          <t xml:space="preserve">
Investigación  $500'
Dotación 421-2 (a y o)    $200'
Servicios  722-1(de mant.h y s) $  25'</t>
        </r>
      </text>
    </comment>
    <comment ref="AT43" authorId="0">
      <text>
        <r>
          <rPr>
            <b/>
            <sz val="9"/>
            <color indexed="81"/>
            <rFont val="Tahoma"/>
            <family val="2"/>
          </rPr>
          <t>Planeacion:</t>
        </r>
        <r>
          <rPr>
            <sz val="9"/>
            <color indexed="81"/>
            <rFont val="Tahoma"/>
            <family val="2"/>
          </rPr>
          <t xml:space="preserve">
Incluye recursos de estampilla de los Municipios</t>
        </r>
      </text>
    </comment>
    <comment ref="AE44" authorId="0">
      <text>
        <r>
          <rPr>
            <b/>
            <sz val="9"/>
            <color indexed="81"/>
            <rFont val="Tahoma"/>
            <family val="2"/>
          </rPr>
          <t>Planeacion:</t>
        </r>
        <r>
          <rPr>
            <sz val="9"/>
            <color indexed="81"/>
            <rFont val="Tahoma"/>
            <family val="2"/>
          </rPr>
          <t xml:space="preserve">
Mantenimiento:
planta física 421-1    $232'
equipos 421-3(lab)   $200'</t>
        </r>
      </text>
    </comment>
    <comment ref="AU44" authorId="0">
      <text>
        <r>
          <rPr>
            <b/>
            <sz val="9"/>
            <color indexed="81"/>
            <rFont val="Tahoma"/>
            <family val="2"/>
          </rPr>
          <t>Planeacion:</t>
        </r>
        <r>
          <rPr>
            <sz val="9"/>
            <color indexed="81"/>
            <rFont val="Tahoma"/>
            <family val="2"/>
          </rPr>
          <t xml:space="preserve">
Falta electrónica $20 millones</t>
        </r>
      </text>
    </comment>
    <comment ref="AV45" authorId="0">
      <text>
        <r>
          <rPr>
            <b/>
            <sz val="9"/>
            <color indexed="81"/>
            <rFont val="Tahoma"/>
            <family val="2"/>
          </rPr>
          <t>Planeacion:</t>
        </r>
        <r>
          <rPr>
            <sz val="9"/>
            <color indexed="81"/>
            <rFont val="Tahoma"/>
            <family val="2"/>
          </rPr>
          <t xml:space="preserve">
Convenio con la Gobernación para adquirir nuevo campus</t>
        </r>
      </text>
    </comment>
    <comment ref="AU55" authorId="0">
      <text>
        <r>
          <rPr>
            <b/>
            <sz val="9"/>
            <color indexed="81"/>
            <rFont val="Tahoma"/>
            <family val="2"/>
          </rPr>
          <t>Planeacion:</t>
        </r>
        <r>
          <rPr>
            <sz val="9"/>
            <color indexed="81"/>
            <rFont val="Tahoma"/>
            <family val="2"/>
          </rPr>
          <t xml:space="preserve">
el Viceaca solicita $15 millones</t>
        </r>
      </text>
    </comment>
    <comment ref="AU67" authorId="0">
      <text>
        <r>
          <rPr>
            <b/>
            <sz val="9"/>
            <color indexed="81"/>
            <rFont val="Tahoma"/>
            <family val="2"/>
          </rPr>
          <t>Planeacion:</t>
        </r>
        <r>
          <rPr>
            <sz val="9"/>
            <color indexed="81"/>
            <rFont val="Tahoma"/>
            <family val="2"/>
          </rPr>
          <t xml:space="preserve">
Con oficio 7.JARR-719 del 28/12/10 solicita asignar los recursos para continuar con el proyecto</t>
        </r>
      </text>
    </comment>
    <comment ref="AY69" authorId="0">
      <text>
        <r>
          <rPr>
            <b/>
            <sz val="9"/>
            <color indexed="81"/>
            <rFont val="Tahoma"/>
            <family val="2"/>
          </rPr>
          <t>Planeacion:</t>
        </r>
        <r>
          <rPr>
            <sz val="9"/>
            <color indexed="81"/>
            <rFont val="Tahoma"/>
            <family val="2"/>
          </rPr>
          <t xml:space="preserve">
Fac. Derecho $15
Facien           $15
FCSH            $15
Feco             $12</t>
        </r>
      </text>
    </comment>
  </commentList>
</comments>
</file>

<file path=xl/comments5.xml><?xml version="1.0" encoding="utf-8"?>
<comments xmlns="http://schemas.openxmlformats.org/spreadsheetml/2006/main">
  <authors>
    <author>Planeacion</author>
  </authors>
  <commentList>
    <comment ref="X14" authorId="0">
      <text>
        <r>
          <rPr>
            <b/>
            <sz val="9"/>
            <color indexed="81"/>
            <rFont val="Tahoma"/>
            <family val="2"/>
          </rPr>
          <t>Planeacion:</t>
        </r>
        <r>
          <rPr>
            <sz val="9"/>
            <color indexed="81"/>
            <rFont val="Tahoma"/>
            <family val="2"/>
          </rPr>
          <t xml:space="preserve">
VER DISTRIBUCIÓN SEGÚN ACTA GTPEA</t>
        </r>
      </text>
    </comment>
    <comment ref="X20" authorId="0">
      <text>
        <r>
          <rPr>
            <b/>
            <sz val="9"/>
            <color indexed="81"/>
            <rFont val="Tahoma"/>
            <family val="2"/>
          </rPr>
          <t>Planeacion:</t>
        </r>
        <r>
          <rPr>
            <sz val="9"/>
            <color indexed="81"/>
            <rFont val="Tahoma"/>
            <family val="2"/>
          </rPr>
          <t xml:space="preserve">
SOLICITAR A VICEACAD Y VIPS DEFINIR ACTIVIDAD O LLEVAR AL GTPEA</t>
        </r>
      </text>
    </comment>
    <comment ref="L38" authorId="0">
      <text>
        <r>
          <rPr>
            <b/>
            <sz val="9"/>
            <color indexed="81"/>
            <rFont val="Tahoma"/>
            <family val="2"/>
          </rPr>
          <t>Planeacion:</t>
        </r>
        <r>
          <rPr>
            <sz val="9"/>
            <color indexed="81"/>
            <rFont val="Tahoma"/>
            <family val="2"/>
          </rPr>
          <t xml:space="preserve">
sumar 110.134.871 y restarlos al 421 dotación oficinas y aulas</t>
        </r>
      </text>
    </comment>
    <comment ref="S38" authorId="0">
      <text>
        <r>
          <rPr>
            <b/>
            <sz val="9"/>
            <color indexed="81"/>
            <rFont val="Tahoma"/>
            <family val="2"/>
          </rPr>
          <t>Planeacion:</t>
        </r>
        <r>
          <rPr>
            <sz val="9"/>
            <color indexed="81"/>
            <rFont val="Tahoma"/>
            <family val="2"/>
          </rPr>
          <t xml:space="preserve">
restar 110.134.871 y sumarlos al 421 dotación aulas y oficinas</t>
        </r>
      </text>
    </comment>
    <comment ref="L39" authorId="0">
      <text>
        <r>
          <rPr>
            <b/>
            <sz val="9"/>
            <color indexed="81"/>
            <rFont val="Tahoma"/>
            <family val="2"/>
          </rPr>
          <t>Planeacion:</t>
        </r>
        <r>
          <rPr>
            <sz val="9"/>
            <color indexed="81"/>
            <rFont val="Tahoma"/>
            <family val="2"/>
          </rPr>
          <t xml:space="preserve">
restar 110.134.871 y sumarlos al 421 construcciones</t>
        </r>
      </text>
    </comment>
    <comment ref="S39" authorId="0">
      <text>
        <r>
          <rPr>
            <b/>
            <sz val="9"/>
            <color indexed="81"/>
            <rFont val="Tahoma"/>
            <family val="2"/>
          </rPr>
          <t>Planeacion:</t>
        </r>
        <r>
          <rPr>
            <sz val="9"/>
            <color indexed="81"/>
            <rFont val="Tahoma"/>
            <family val="2"/>
          </rPr>
          <t xml:space="preserve">
sumar 110.134.871 que resto del 421 construcciones</t>
        </r>
      </text>
    </comment>
  </commentList>
</comments>
</file>

<file path=xl/comments6.xml><?xml version="1.0" encoding="utf-8"?>
<comments xmlns="http://schemas.openxmlformats.org/spreadsheetml/2006/main">
  <authors>
    <author>Planeacion</author>
  </authors>
  <commentList>
    <comment ref="L11" authorId="0">
      <text>
        <r>
          <rPr>
            <b/>
            <sz val="9"/>
            <color indexed="81"/>
            <rFont val="Tahoma"/>
            <family val="2"/>
          </rPr>
          <t>Planeacion:</t>
        </r>
        <r>
          <rPr>
            <sz val="9"/>
            <color indexed="81"/>
            <rFont val="Tahoma"/>
            <family val="2"/>
          </rPr>
          <t xml:space="preserve">
La Fac. de Educación aportó           $28.591.374
La Fac. de Salud aportó                     $2.000.000
Con recursos comunes se aportaron $10.000.000</t>
        </r>
      </text>
    </comment>
    <comment ref="N11" authorId="0">
      <text>
        <r>
          <rPr>
            <b/>
            <sz val="9"/>
            <color indexed="81"/>
            <rFont val="Tahoma"/>
            <family val="2"/>
          </rPr>
          <t>Planeacion:</t>
        </r>
        <r>
          <rPr>
            <sz val="9"/>
            <color indexed="81"/>
            <rFont val="Tahoma"/>
            <family val="2"/>
          </rPr>
          <t xml:space="preserve">
La Fac. de Educación aportó           $15.000.000
La Fac. de Salud aportó                     $2.000.000
Con recursos comunes se aportaron $10.000.000</t>
        </r>
      </text>
    </comment>
    <comment ref="M18" authorId="0">
      <text>
        <r>
          <rPr>
            <b/>
            <sz val="9"/>
            <color indexed="81"/>
            <rFont val="Tahoma"/>
            <family val="2"/>
          </rPr>
          <t>Planeacion:</t>
        </r>
        <r>
          <rPr>
            <sz val="9"/>
            <color indexed="81"/>
            <rFont val="Tahoma"/>
            <family val="2"/>
          </rPr>
          <t xml:space="preserve">
FAC.SALUD APORTÓ                $2.000.000
FAC. CSH APORTÓ                    $4.000.000
CON RECURSOS COMUNES $117.281.913 </t>
        </r>
      </text>
    </comment>
    <comment ref="N18" authorId="0">
      <text>
        <r>
          <rPr>
            <b/>
            <sz val="9"/>
            <color indexed="81"/>
            <rFont val="Tahoma"/>
            <family val="2"/>
          </rPr>
          <t>Planeacion:
FAC.SALUD APORTÓ                $1.999.956
FAC. CSH APORTÓ                    $0
CON RECURSOS COMUNES  $ 97.146.627</t>
        </r>
      </text>
    </comment>
    <comment ref="M19" authorId="0">
      <text>
        <r>
          <rPr>
            <b/>
            <sz val="9"/>
            <color indexed="81"/>
            <rFont val="Tahoma"/>
            <family val="2"/>
          </rPr>
          <t>Planeacion:</t>
        </r>
        <r>
          <rPr>
            <sz val="9"/>
            <color indexed="81"/>
            <rFont val="Tahoma"/>
            <family val="2"/>
          </rPr>
          <t xml:space="preserve">
LA FAC. SALUD APORTÓ $1.000.000
RECURSOS COMUNES   $15.000.000  </t>
        </r>
      </text>
    </comment>
    <comment ref="O23" authorId="0">
      <text>
        <r>
          <rPr>
            <b/>
            <sz val="9"/>
            <color indexed="81"/>
            <rFont val="Tahoma"/>
            <family val="2"/>
          </rPr>
          <t>Planeacion:</t>
        </r>
        <r>
          <rPr>
            <sz val="9"/>
            <color indexed="81"/>
            <rFont val="Tahoma"/>
            <family val="2"/>
          </rPr>
          <t xml:space="preserve">
Comunicación Social y Periodismo</t>
        </r>
      </text>
    </comment>
    <comment ref="O24" authorId="0">
      <text>
        <r>
          <rPr>
            <b/>
            <sz val="9"/>
            <color indexed="81"/>
            <rFont val="Tahoma"/>
            <family val="2"/>
          </rPr>
          <t>Planeacion:</t>
        </r>
        <r>
          <rPr>
            <sz val="9"/>
            <color indexed="81"/>
            <rFont val="Tahoma"/>
            <family val="2"/>
          </rPr>
          <t xml:space="preserve">
Se trabajó en Medicina</t>
        </r>
      </text>
    </comment>
    <comment ref="O29" authorId="0">
      <text>
        <r>
          <rPr>
            <b/>
            <sz val="9"/>
            <color indexed="81"/>
            <rFont val="Tahoma"/>
            <family val="2"/>
          </rPr>
          <t>Planeacion:</t>
        </r>
        <r>
          <rPr>
            <sz val="9"/>
            <color indexed="81"/>
            <rFont val="Tahoma"/>
            <family val="2"/>
          </rPr>
          <t xml:space="preserve">
Matemática aplicada
Tecnología en Obras Civiles</t>
        </r>
      </text>
    </comment>
    <comment ref="AC32" authorId="0">
      <text>
        <r>
          <rPr>
            <b/>
            <sz val="9"/>
            <color indexed="81"/>
            <rFont val="Tahoma"/>
            <family val="2"/>
          </rPr>
          <t>Planeacion:</t>
        </r>
        <r>
          <rPr>
            <sz val="9"/>
            <color indexed="81"/>
            <rFont val="Tahoma"/>
            <family val="2"/>
          </rPr>
          <t xml:space="preserve">
FEA                       : 19 Docentes y grupal  $ 43.964.937 
FACIEN                 :   6 Docentes                     5.769.036
FACSALUD            : 18 Docentes y grupal     30.030.051
FACING                 : 13 Docentes y grupal     32.874.658
FACDERECHO      :   6 Docentes y grupal      20.157.626
FACEDUCACIÓN   : 26 Docentes y grupal      36.125.647
FCSH                    ;    6 Docentes                     6.555.187</t>
        </r>
      </text>
    </comment>
    <comment ref="AC33" authorId="0">
      <text>
        <r>
          <rPr>
            <b/>
            <sz val="9"/>
            <color indexed="81"/>
            <rFont val="Tahoma"/>
            <family val="2"/>
          </rPr>
          <t>Planeacion:</t>
        </r>
        <r>
          <rPr>
            <sz val="9"/>
            <color indexed="81"/>
            <rFont val="Tahoma"/>
            <family val="2"/>
          </rPr>
          <t xml:space="preserve">
</t>
        </r>
        <r>
          <rPr>
            <b/>
            <sz val="9"/>
            <color indexed="81"/>
            <rFont val="Tahoma"/>
            <family val="2"/>
          </rPr>
          <t>COMISIONES:</t>
        </r>
        <r>
          <rPr>
            <sz val="9"/>
            <color indexed="81"/>
            <rFont val="Tahoma"/>
            <family val="2"/>
          </rPr>
          <t xml:space="preserve">
 5 DOCTORADOS Y 1 SUBESPECIALIZACIÓN
</t>
        </r>
        <r>
          <rPr>
            <b/>
            <sz val="9"/>
            <color indexed="81"/>
            <rFont val="Tahoma"/>
            <family val="2"/>
          </rPr>
          <t>APOYOS ECONÓMICOS:</t>
        </r>
        <r>
          <rPr>
            <sz val="9"/>
            <color indexed="81"/>
            <rFont val="Tahoma"/>
            <family val="2"/>
          </rPr>
          <t xml:space="preserve"> 
2 DOCTORADOS
3 MAESTRÍAS</t>
        </r>
      </text>
    </comment>
    <comment ref="AC34" authorId="0">
      <text>
        <r>
          <rPr>
            <b/>
            <sz val="9"/>
            <color indexed="81"/>
            <rFont val="Tahoma"/>
            <family val="2"/>
          </rPr>
          <t>Planeacion:</t>
        </r>
        <r>
          <rPr>
            <sz val="9"/>
            <color indexed="81"/>
            <rFont val="Tahoma"/>
            <family val="2"/>
          </rPr>
          <t xml:space="preserve">
</t>
        </r>
        <r>
          <rPr>
            <b/>
            <sz val="9"/>
            <color indexed="81"/>
            <rFont val="Tahoma"/>
            <family val="2"/>
          </rPr>
          <t xml:space="preserve">APOYOS ECONÓMICOS:
</t>
        </r>
        <r>
          <rPr>
            <sz val="9"/>
            <color indexed="81"/>
            <rFont val="Tahoma"/>
            <family val="2"/>
          </rPr>
          <t>1</t>
        </r>
      </text>
    </comment>
    <comment ref="AC35" authorId="0">
      <text>
        <r>
          <rPr>
            <b/>
            <sz val="9"/>
            <color indexed="81"/>
            <rFont val="Tahoma"/>
            <family val="2"/>
          </rPr>
          <t>Planeacion:</t>
        </r>
        <r>
          <rPr>
            <sz val="9"/>
            <color indexed="81"/>
            <rFont val="Tahoma"/>
            <family val="2"/>
          </rPr>
          <t xml:space="preserve">
</t>
        </r>
        <r>
          <rPr>
            <b/>
            <sz val="9"/>
            <color indexed="81"/>
            <rFont val="Tahoma"/>
            <family val="2"/>
          </rPr>
          <t>COMISIONES:</t>
        </r>
        <r>
          <rPr>
            <sz val="9"/>
            <color indexed="81"/>
            <rFont val="Tahoma"/>
            <family val="2"/>
          </rPr>
          <t xml:space="preserve">
1 DOCTORADO
</t>
        </r>
        <r>
          <rPr>
            <b/>
            <sz val="9"/>
            <color indexed="81"/>
            <rFont val="Tahoma"/>
            <family val="2"/>
          </rPr>
          <t>APOYOS ECONÓMICOS:</t>
        </r>
        <r>
          <rPr>
            <sz val="9"/>
            <color indexed="81"/>
            <rFont val="Tahoma"/>
            <family val="2"/>
          </rPr>
          <t xml:space="preserve">
1 MAESTRÍA</t>
        </r>
      </text>
    </comment>
    <comment ref="AC37" authorId="0">
      <text>
        <r>
          <rPr>
            <b/>
            <sz val="9"/>
            <color indexed="81"/>
            <rFont val="Tahoma"/>
            <family val="2"/>
          </rPr>
          <t>Planeacion:</t>
        </r>
        <r>
          <rPr>
            <sz val="9"/>
            <color indexed="81"/>
            <rFont val="Tahoma"/>
            <family val="2"/>
          </rPr>
          <t xml:space="preserve">
</t>
        </r>
        <r>
          <rPr>
            <b/>
            <sz val="9"/>
            <color indexed="81"/>
            <rFont val="Tahoma"/>
            <family val="2"/>
          </rPr>
          <t xml:space="preserve">COMISIONES DE ESTUDIO:
</t>
        </r>
        <r>
          <rPr>
            <sz val="9"/>
            <color indexed="81"/>
            <rFont val="Tahoma"/>
            <family val="2"/>
          </rPr>
          <t>2 DOCTORADOS</t>
        </r>
        <r>
          <rPr>
            <b/>
            <sz val="9"/>
            <color indexed="81"/>
            <rFont val="Tahoma"/>
            <family val="2"/>
          </rPr>
          <t xml:space="preserve">
</t>
        </r>
        <r>
          <rPr>
            <sz val="9"/>
            <color indexed="81"/>
            <rFont val="Tahoma"/>
            <family val="2"/>
          </rPr>
          <t>APOY</t>
        </r>
        <r>
          <rPr>
            <b/>
            <sz val="9"/>
            <color indexed="81"/>
            <rFont val="Tahoma"/>
            <family val="2"/>
          </rPr>
          <t>OS ECONÓMICOS:</t>
        </r>
        <r>
          <rPr>
            <sz val="9"/>
            <color indexed="81"/>
            <rFont val="Tahoma"/>
            <family val="2"/>
          </rPr>
          <t xml:space="preserve">
</t>
        </r>
      </text>
    </comment>
    <comment ref="J108" authorId="0">
      <text>
        <r>
          <rPr>
            <b/>
            <sz val="9"/>
            <color indexed="81"/>
            <rFont val="Tahoma"/>
            <family val="2"/>
          </rPr>
          <t>Planeacion:</t>
        </r>
        <r>
          <rPr>
            <sz val="9"/>
            <color indexed="81"/>
            <rFont val="Tahoma"/>
            <family val="2"/>
          </rPr>
          <t xml:space="preserve">
BASE 662</t>
        </r>
      </text>
    </comment>
    <comment ref="J111" authorId="0">
      <text>
        <r>
          <rPr>
            <b/>
            <sz val="9"/>
            <color indexed="81"/>
            <rFont val="Tahoma"/>
            <family val="2"/>
          </rPr>
          <t>Planeacion:</t>
        </r>
        <r>
          <rPr>
            <sz val="9"/>
            <color indexed="81"/>
            <rFont val="Tahoma"/>
            <family val="2"/>
          </rPr>
          <t xml:space="preserve">
BASE 90</t>
        </r>
      </text>
    </comment>
  </commentList>
</comments>
</file>

<file path=xl/comments7.xml><?xml version="1.0" encoding="utf-8"?>
<comments xmlns="http://schemas.openxmlformats.org/spreadsheetml/2006/main">
  <authors>
    <author>Planeacion</author>
  </authors>
  <commentList>
    <comment ref="AC76" authorId="0">
      <text>
        <r>
          <rPr>
            <b/>
            <sz val="9"/>
            <color indexed="81"/>
            <rFont val="Tahoma"/>
            <family val="2"/>
          </rPr>
          <t>Planeacion:</t>
        </r>
        <r>
          <rPr>
            <sz val="9"/>
            <color indexed="81"/>
            <rFont val="Tahoma"/>
            <family val="2"/>
          </rPr>
          <t xml:space="preserve">
que presupuesto ajuste
$816.952</t>
        </r>
      </text>
    </comment>
  </commentList>
</comments>
</file>

<file path=xl/comments8.xml><?xml version="1.0" encoding="utf-8"?>
<comments xmlns="http://schemas.openxmlformats.org/spreadsheetml/2006/main">
  <authors>
    <author>Planeacion</author>
  </authors>
  <commentList>
    <comment ref="J9" authorId="0">
      <text>
        <r>
          <rPr>
            <b/>
            <sz val="9"/>
            <color indexed="81"/>
            <rFont val="Tahoma"/>
            <family val="2"/>
          </rPr>
          <t>Planeacion:</t>
        </r>
        <r>
          <rPr>
            <sz val="9"/>
            <color indexed="81"/>
            <rFont val="Tahoma"/>
            <family val="2"/>
          </rPr>
          <t xml:space="preserve">
OJO SI SON COFINANCIADOS SE DEBEN PROYECTAR INGRESOS DE CONVENIOS</t>
        </r>
      </text>
    </comment>
    <comment ref="S26" authorId="0">
      <text>
        <r>
          <rPr>
            <b/>
            <sz val="9"/>
            <color indexed="81"/>
            <rFont val="Tahoma"/>
            <family val="2"/>
          </rPr>
          <t>Planeacion:</t>
        </r>
        <r>
          <rPr>
            <sz val="9"/>
            <color indexed="81"/>
            <rFont val="Tahoma"/>
            <family val="2"/>
          </rPr>
          <t xml:space="preserve">
solicita $140 millones más</t>
        </r>
      </text>
    </comment>
    <comment ref="S27" authorId="0">
      <text>
        <r>
          <rPr>
            <b/>
            <sz val="9"/>
            <color indexed="81"/>
            <rFont val="Tahoma"/>
            <family val="2"/>
          </rPr>
          <t>Planeacion:</t>
        </r>
        <r>
          <rPr>
            <sz val="9"/>
            <color indexed="81"/>
            <rFont val="Tahoma"/>
            <family val="2"/>
          </rPr>
          <t xml:space="preserve">
solicita $50 millones más</t>
        </r>
      </text>
    </comment>
    <comment ref="S28" authorId="0">
      <text>
        <r>
          <rPr>
            <b/>
            <sz val="9"/>
            <color indexed="81"/>
            <rFont val="Tahoma"/>
            <family val="2"/>
          </rPr>
          <t>Planeacion:</t>
        </r>
        <r>
          <rPr>
            <sz val="9"/>
            <color indexed="81"/>
            <rFont val="Tahoma"/>
            <family val="2"/>
          </rPr>
          <t xml:space="preserve">
solicita $36 millones más</t>
        </r>
      </text>
    </comment>
    <comment ref="S29" authorId="0">
      <text>
        <r>
          <rPr>
            <b/>
            <sz val="9"/>
            <color indexed="81"/>
            <rFont val="Tahoma"/>
            <family val="2"/>
          </rPr>
          <t>Planeacion:</t>
        </r>
        <r>
          <rPr>
            <sz val="9"/>
            <color indexed="81"/>
            <rFont val="Tahoma"/>
            <family val="2"/>
          </rPr>
          <t xml:space="preserve">
Solicita $259.5 millones más</t>
        </r>
      </text>
    </comment>
    <comment ref="S32" authorId="0">
      <text>
        <r>
          <rPr>
            <b/>
            <sz val="9"/>
            <color indexed="81"/>
            <rFont val="Tahoma"/>
            <family val="2"/>
          </rPr>
          <t>Planeacion:</t>
        </r>
        <r>
          <rPr>
            <sz val="9"/>
            <color indexed="81"/>
            <rFont val="Tahoma"/>
            <family val="2"/>
          </rPr>
          <t xml:space="preserve">
solicita $1.000 millones más</t>
        </r>
      </text>
    </comment>
    <comment ref="S35" authorId="0">
      <text>
        <r>
          <rPr>
            <b/>
            <sz val="9"/>
            <color indexed="81"/>
            <rFont val="Tahoma"/>
            <family val="2"/>
          </rPr>
          <t>Planeacion:</t>
        </r>
        <r>
          <rPr>
            <sz val="9"/>
            <color indexed="81"/>
            <rFont val="Tahoma"/>
            <family val="2"/>
          </rPr>
          <t xml:space="preserve">
solicita $50 millones mas</t>
        </r>
      </text>
    </comment>
  </commentList>
</comments>
</file>

<file path=xl/comments9.xml><?xml version="1.0" encoding="utf-8"?>
<comments xmlns="http://schemas.openxmlformats.org/spreadsheetml/2006/main">
  <authors>
    <author>Planeación</author>
  </authors>
  <commentList>
    <comment ref="AN207" authorId="0">
      <text>
        <r>
          <rPr>
            <b/>
            <sz val="9"/>
            <color indexed="81"/>
            <rFont val="Tahoma"/>
            <family val="2"/>
          </rPr>
          <t>Planeación:</t>
        </r>
        <r>
          <rPr>
            <sz val="9"/>
            <color indexed="81"/>
            <rFont val="Tahoma"/>
            <family val="2"/>
          </rPr>
          <t xml:space="preserve">
300.000.000 F.Educación
597.519.551 traslado F.E
176.737.279</t>
        </r>
      </text>
    </comment>
  </commentList>
</comments>
</file>

<file path=xl/sharedStrings.xml><?xml version="1.0" encoding="utf-8"?>
<sst xmlns="http://schemas.openxmlformats.org/spreadsheetml/2006/main" count="20621" uniqueCount="4998">
  <si>
    <t>#</t>
  </si>
  <si>
    <t>SIGLA</t>
  </si>
  <si>
    <t>ACTIVIDAD</t>
  </si>
  <si>
    <t>ACT-OPE-424</t>
  </si>
  <si>
    <t>ACTIVIDAD FUNCIONAMIENTO - SERVICIO SOCIOECONÃ“MICO Y RESTAURANTE</t>
  </si>
  <si>
    <t>ACT-OPE-452</t>
  </si>
  <si>
    <t>ACTIVIDAD FUNCIONAMIENTO - ASEO</t>
  </si>
  <si>
    <t>ACT-OPE-453</t>
  </si>
  <si>
    <t>ACTIVIDAD FUNCIONAMIENTO - SEGURIDAD</t>
  </si>
  <si>
    <t>ACT-OPE-474</t>
  </si>
  <si>
    <t>ACTIVIDAD DE FUNCIONAMIENTO - BILBIOTECA DE SALUD</t>
  </si>
  <si>
    <t>ACT-OPE-313-2</t>
  </si>
  <si>
    <t>ACTIVIDAD FUNCIONAMIENTO - CENTRO DE ADMISION REGISTRO Y CONTROL ACADEMICO</t>
  </si>
  <si>
    <t>CENTRO DE DIRECCION DE EXTENSION</t>
  </si>
  <si>
    <t>ACT-OPE-331</t>
  </si>
  <si>
    <t>ACTIVIDAD FUNCIONAMIENTO - CENTRO DE DIRECCION DE EXTENSION</t>
  </si>
  <si>
    <t>ACT-PY-323</t>
  </si>
  <si>
    <t>CAPACITACIÃ“N DE DOCENTES Y ADMINISTRATIVOS EN EMPRENDIMIENTO</t>
  </si>
  <si>
    <t>ACT-PY-212-1</t>
  </si>
  <si>
    <t>CONVENIOS INTERINSTITUCIONALES</t>
  </si>
  <si>
    <t>ACT-PY-211</t>
  </si>
  <si>
    <t>FOMENTO DE LA CONFORMACIÃ“N DE ASOCIACIONES DE EGRESADOS</t>
  </si>
  <si>
    <t>ACT-PY-212-2</t>
  </si>
  <si>
    <t>GRUPOS DE PROYECCIÃ“N SOCIAL</t>
  </si>
  <si>
    <t>ACT-PY-212-3</t>
  </si>
  <si>
    <t>INCORPORAR EL SERVICIO SOCIAL EN LOS PROGRAMAS DE LA UNIVERSIDAD</t>
  </si>
  <si>
    <t>ACT-PY-711-1</t>
  </si>
  <si>
    <t>REALIZAR EL PERFIL TECNOLÃ“GICO DE LA UNIVERSIDAD</t>
  </si>
  <si>
    <t>ACT-OPE-313-3</t>
  </si>
  <si>
    <t>ACTIVIDAD FUNCIONAMIENTO - BIBLIOTECA CENTRAL</t>
  </si>
  <si>
    <t>CENTRO DE TECNOLOGIA DE INFORMACION Y DE COMUNICACION</t>
  </si>
  <si>
    <t>ACT-OPE-461</t>
  </si>
  <si>
    <t>ACTIVIDAD FUNCIONAMIENTO - CENTRO DE TECNOLOGIA DE INFORMACION Y DE COMUNICACION</t>
  </si>
  <si>
    <t>ACT-PY-722-2</t>
  </si>
  <si>
    <t>ADQUISICIÃ“N DE HARDWARE</t>
  </si>
  <si>
    <t>ACT-PY-722-3</t>
  </si>
  <si>
    <t>DESARROLLO Y ADQUISICIÃ“N DE SOFTWARE</t>
  </si>
  <si>
    <t>ACT-PY-711-2</t>
  </si>
  <si>
    <t>IMPLEMENTAR SISTEMA DE INFORMACIÃ“N INTEGRAL</t>
  </si>
  <si>
    <t>ACT-PY-722-1</t>
  </si>
  <si>
    <t>MANTENIMIENTO DE HARDWARE Y SOFTWARE</t>
  </si>
  <si>
    <t>CENTRO DIRECCION DE CURRICULO</t>
  </si>
  <si>
    <t>ACT-PY-311-1</t>
  </si>
  <si>
    <t>ACREDITACIÃ“N PROGRAMAS DE PREGRADO</t>
  </si>
  <si>
    <t>ACT-OPE-313-1</t>
  </si>
  <si>
    <t>ACTIVIDAD FUNCIONAMIENTO - CENTRO DIRECCION DE CURRICULO</t>
  </si>
  <si>
    <t>ACT-PY-322-1</t>
  </si>
  <si>
    <t>ARTICULACIÃ“N CON LA EDUCACIÃ“N MEDIA</t>
  </si>
  <si>
    <t>ACT-PY-312</t>
  </si>
  <si>
    <t>AUTOEVALUACIÃ“N PROGRAMAS DE POSTGRADO</t>
  </si>
  <si>
    <t>ACT-PY-513</t>
  </si>
  <si>
    <t>INCORPORACIÃ“N DE TEMAS AMBIENTALES EL LOS PROGRAMAS ACADÃ‰MICOS</t>
  </si>
  <si>
    <t>ACT-PY-322-2</t>
  </si>
  <si>
    <t>NUEVOS PROGRAMAS ACADÃ‰MICOS</t>
  </si>
  <si>
    <t>ACT-PY-311-2</t>
  </si>
  <si>
    <t>REACREDITACIÃ“N PROGRAMAS DE PREGRADO</t>
  </si>
  <si>
    <t>CENTRO DIRECCION DE INVESTIGACION</t>
  </si>
  <si>
    <t>ACT-OPE-321-1</t>
  </si>
  <si>
    <t>ACTIVIDAD DE FUNCIONAMIENTO - CENTRO DIRECCION DE INVESTIGACION</t>
  </si>
  <si>
    <t>ACT-PY-332-3</t>
  </si>
  <si>
    <t>AMPLIAR CANTIDAD SEMILLEROS</t>
  </si>
  <si>
    <t>ACT-PY-332-2</t>
  </si>
  <si>
    <t>AUMENTAR CANTIDAD DE JÃ“VENES INVESTIGADORES</t>
  </si>
  <si>
    <t>ACT-PY-332-1</t>
  </si>
  <si>
    <t>AUMENTAR GRUPOS DE INVESTIGACIÃ“N RECONOCIDOS POR COLCIENCIAS</t>
  </si>
  <si>
    <t>ACT-PY-334-2</t>
  </si>
  <si>
    <t>SOSTENIMIENTO PROYECTOS DE INVESTIGACIÃ“N</t>
  </si>
  <si>
    <t>CONTABILIDAD</t>
  </si>
  <si>
    <t>ACT-OPE-435</t>
  </si>
  <si>
    <t>ACTIVIDAD FUNCIONAMIENTO - CONTABILIDAD</t>
  </si>
  <si>
    <t>COORDINACIÃ’N LABORATORIOS SALUD</t>
  </si>
  <si>
    <t>ACT-OPE-445</t>
  </si>
  <si>
    <t>ACTIVIDAD DE FUNCIONAMIENTO - COORDINACIÃ’N LABORATORIOS DE SALUD</t>
  </si>
  <si>
    <t>ACT-PY-421-3-16</t>
  </si>
  <si>
    <t>LABORATORIOS FACULTAD DE SALUD</t>
  </si>
  <si>
    <t>COORDINACION DE DEPORTES</t>
  </si>
  <si>
    <t>ACT-OPE-426</t>
  </si>
  <si>
    <t>ACTIVIDAD FUNCIONAMIENTO - RECREACIÃ“N Y DEPORTES</t>
  </si>
  <si>
    <t>ACT-PY-623-2</t>
  </si>
  <si>
    <t>ACTIVIDADES DEPORTIVAS</t>
  </si>
  <si>
    <t>ACT-OPE-446</t>
  </si>
  <si>
    <t>ACTIVIDAD FUNCIONAMIENTO - COORDINACION FONDOS ESPECIALES</t>
  </si>
  <si>
    <t>ACT-OPE-312-20</t>
  </si>
  <si>
    <t>ACTIVIDAD FUNCIONAMIENTO - DEPARTAMENTO GESTION EDUCATIVA</t>
  </si>
  <si>
    <t>ACT-OPE-312-19</t>
  </si>
  <si>
    <t>ACTIVIDAD FUNCIONAMIENTO . DEPARTAMENTO DE PSICOPEDAGOGIA</t>
  </si>
  <si>
    <t>ACT-OPE-416</t>
  </si>
  <si>
    <t>ACTIVIDAD FUNCIONAMIENTO - CONTROL DISCIPLINARIO</t>
  </si>
  <si>
    <t>DIRECCION DE SEDES</t>
  </si>
  <si>
    <t>ACT-OPE-513</t>
  </si>
  <si>
    <t>ACTIVIDAD DE FUNCIONAMIENTO - DIRECCIÃ“N DE SEDES</t>
  </si>
  <si>
    <t>ACT-PY-421-2-1</t>
  </si>
  <si>
    <t>DOTACIÃ“N DE AULAS Y OFICINAS SEDE GARZON</t>
  </si>
  <si>
    <t>ACT-PY-421-2-2</t>
  </si>
  <si>
    <t>DOTACIÃ“N DE AULAS Y OFICINAS SEDE LA PLATA</t>
  </si>
  <si>
    <t>ACT-PY-421-2-4</t>
  </si>
  <si>
    <t>DOTACIÃ“N DE AULAS Y OFICINAS SEDE NEIVA</t>
  </si>
  <si>
    <t>ACT-PY-421-2-3</t>
  </si>
  <si>
    <t>DOTACIÃ“N DE AULAS Y OFICINAS SEDE PITALITO</t>
  </si>
  <si>
    <t>ACT-PY-721-3-9</t>
  </si>
  <si>
    <t>DOTACION DE AULAS VIRTUALES - SEDE GARZÃ“N</t>
  </si>
  <si>
    <t>ACT-PY-721-3-8</t>
  </si>
  <si>
    <t>DOTACION DE AULAS VIRTUALES - SEDE LA PLATA</t>
  </si>
  <si>
    <t>ACT-PY-721-3-10</t>
  </si>
  <si>
    <t>DOTACION DE AULAS VIRTUALES - SEDE PITALITO</t>
  </si>
  <si>
    <t>DIVISION DE BIENESTAR UNIVERSITARIO</t>
  </si>
  <si>
    <t>ACT-OPE-421</t>
  </si>
  <si>
    <t>ACTIVIDAD DE FUNCIONAMIENTO - DIVISION DE BIENESTAR UNIVERSITARIO</t>
  </si>
  <si>
    <t>ACT-PY-623-1</t>
  </si>
  <si>
    <t>ATENCIÃ“N A PERSONAS INVOLUCRADAS EN DROGADICCIÃ“N, PROSTITUCIÃ“N Y ETV</t>
  </si>
  <si>
    <t>ACT-PY-621-6</t>
  </si>
  <si>
    <t>PRESTACIÃ“N SERVICIO DE RESTAURANTE A LOS ESTUDIANTES</t>
  </si>
  <si>
    <t>ACT-PY-622</t>
  </si>
  <si>
    <t>PREVENCIÃ“N Y RESOLUCIÃ“N DE CONFLICTOS</t>
  </si>
  <si>
    <t>ACT-OPE-411</t>
  </si>
  <si>
    <t>ACTIVIDAD DE FUNCIONAMIENTO - DIVISIÃ“N DE PERSONAL</t>
  </si>
  <si>
    <t>ACT-OPE-412</t>
  </si>
  <si>
    <t>ACTIVIDAD FUNCIONAMIENTO - DIVISION DE RECURSOS</t>
  </si>
  <si>
    <t>ACT-OPE-451</t>
  </si>
  <si>
    <t>ACTIVIDAD FUNCIONAMIENTO - DIVISION DE SERVICIOS GENERALES</t>
  </si>
  <si>
    <t>ACT-OPE-431</t>
  </si>
  <si>
    <t>ACTIVIDAD DE FUNCIONAMIENTO - DIVISION FINANCIERA</t>
  </si>
  <si>
    <t>ACT-OPE-323</t>
  </si>
  <si>
    <t>ACTIVIDAD DE FUNCIONAMIENTO - EDITORIAL</t>
  </si>
  <si>
    <t>EXTENSION CULTURAL</t>
  </si>
  <si>
    <t>ACT-OPE-425</t>
  </si>
  <si>
    <t>ACTIVIDAD FUNCIONAMIENTO - EXTENSIÃ“N CULTURAL</t>
  </si>
  <si>
    <t>ACT-PY-623-3</t>
  </si>
  <si>
    <t>ACTIVIDADES CULTURALES</t>
  </si>
  <si>
    <t>FACULTAD CIENCIAS DE LA SALUD</t>
  </si>
  <si>
    <t>ACT-OPE-312-4</t>
  </si>
  <si>
    <t>ACTIVIDAD FUNCIONAMIENTO - FACULTAD CIENCIAS DE LA SALUD</t>
  </si>
  <si>
    <t>ACT-PY-721-3-1</t>
  </si>
  <si>
    <t>DOTACION DE AULAS VIRTUALES - FACULTAD DE SALUD</t>
  </si>
  <si>
    <t>ACT-PY-331-1</t>
  </si>
  <si>
    <t>FORMACIÃ“N DE ALTO NIVEL PARA DOCENTES (COMISIONES DE ESTUDIO Y APOYOS ECONÃ“MICOS)</t>
  </si>
  <si>
    <t>FACULTAD DE CIENCIAS EXACTAS Y NATURALES</t>
  </si>
  <si>
    <t>ACT-OPE-312-6</t>
  </si>
  <si>
    <t>ACTIVIDAD FUNCIONAMIENTO - FACULTAD DE CIENCIAS EXACTAS Y NATURALES</t>
  </si>
  <si>
    <t>ACT-PY-721-3-2</t>
  </si>
  <si>
    <t>DOTACION DE AULAS VIRTUALES - FACULTAD DE CIENCIAS EXACTAS Y NATURALES</t>
  </si>
  <si>
    <t>ACT-PY-331-4</t>
  </si>
  <si>
    <t>ACT-PY-421-3-12</t>
  </si>
  <si>
    <t>LABORATORIOS DE BIOLOGÃŒA</t>
  </si>
  <si>
    <t>ACT-PY-421-3-11</t>
  </si>
  <si>
    <t>LABORATORIOS DE FÃŒSICA</t>
  </si>
  <si>
    <t>ACT-PY-421-3-10</t>
  </si>
  <si>
    <t>LABORATORIOS DE QUÃŒMICA</t>
  </si>
  <si>
    <t>FACULTAD DE CIENCIAS SOCIALES HUMANAS</t>
  </si>
  <si>
    <t>ACT-OPE-312-7</t>
  </si>
  <si>
    <t>ACTIVIDAD FUNCIONAMIENTO - FACULTAD DE CIENCIAS SOCIALES HUMANAS</t>
  </si>
  <si>
    <t>ACT-PY-721-3-3</t>
  </si>
  <si>
    <t>DOTACION DE AULAS VIRTUALES - FACULTAD DE CIENCIAS SOCIALES Y HUMANAS</t>
  </si>
  <si>
    <t>ACT-PY-331-3</t>
  </si>
  <si>
    <t>ACT-PY-421-3-9</t>
  </si>
  <si>
    <t>LABORATORIOS FACULTAD DE CIENCIAS SOCIALES Y HUMANAS</t>
  </si>
  <si>
    <t>ACT-PY-113-1</t>
  </si>
  <si>
    <t>SISTEMA DE MEDIOS DE COMUNICACIÃ“N</t>
  </si>
  <si>
    <t>FACULTAD DE DERECHO</t>
  </si>
  <si>
    <t>ACT-OPE-312-5</t>
  </si>
  <si>
    <t>ACTIVIDAD FUNCIONAMIENTO - FACULTAD DE DERECHO</t>
  </si>
  <si>
    <t>ACT-PY-721-3-4</t>
  </si>
  <si>
    <t>DOTACION DE AULAS VIRTUALES - FACULTAD DE DERECHO</t>
  </si>
  <si>
    <t>ACT-PY-331-2</t>
  </si>
  <si>
    <t>ACT-PY-421-3-14</t>
  </si>
  <si>
    <t>LABORATORIOS DE DERECHO</t>
  </si>
  <si>
    <t>FACULTAD DE ECONOMIA Y ADMINISTRACION</t>
  </si>
  <si>
    <t>ACT-OPE-312-1</t>
  </si>
  <si>
    <t>ACTIVIDAD FUNCIONAMIENTO - FACULTAD DE ECONOMIA Y ADMINISTRACION</t>
  </si>
  <si>
    <t>ACT-PY-721-3-5</t>
  </si>
  <si>
    <t>DOTACION DE AULAS VIRTUALES - FACULTAD DE ECONOMÃA Y ADMINISTRACIÃ“N</t>
  </si>
  <si>
    <t>ACT-PY-331-5</t>
  </si>
  <si>
    <t>ACT-PY-421-3-15</t>
  </si>
  <si>
    <t>LABORATORIOS FACULTAD DE ECONOMÃŒA Y ADMINISTRACIÃ’N</t>
  </si>
  <si>
    <t>FACULTAD DE EDUCACION</t>
  </si>
  <si>
    <t>ACT-OPE-312-2</t>
  </si>
  <si>
    <t>ACTIVIDAD FUNCIONAMIENTO - FACULTAD DE EDUCACION</t>
  </si>
  <si>
    <t>ACT-PY-721-3-6</t>
  </si>
  <si>
    <t>DOTACION DE AULAS VIRTUALES - FACULTAD DE EDUCACIÃ“N</t>
  </si>
  <si>
    <t>ACT-PY-331-6</t>
  </si>
  <si>
    <t>ACT-PY-421-3-3</t>
  </si>
  <si>
    <t>LABORATORIO SALA DE INFORMÃ€TICA</t>
  </si>
  <si>
    <t>FACULTAD DE INGENIERIA</t>
  </si>
  <si>
    <t>ACT-OPE-312-3</t>
  </si>
  <si>
    <t>ACTIVIDAD FUNCIONAMIENTO - FACULTAD DE INGENIERIA</t>
  </si>
  <si>
    <t>ACT-PY-721-3-7</t>
  </si>
  <si>
    <t>DOTACION DE AULAS VIRTUALES - FACULTAD DE INGENIERÃA</t>
  </si>
  <si>
    <t>ACT-PY-331-7</t>
  </si>
  <si>
    <t>ACT-PY-421-3-8</t>
  </si>
  <si>
    <t>LABORATORIOS SALAS DE INFORMÃ€TICA</t>
  </si>
  <si>
    <t>GESTIÃ’N AMBIENTAL</t>
  </si>
  <si>
    <t>ACT-OPE-514</t>
  </si>
  <si>
    <t>ACTIVIDAD DE FUNCIONAMIENTO - GESTIÃ’N AMBIENTAL</t>
  </si>
  <si>
    <t>ACT-OPE-481</t>
  </si>
  <si>
    <t>ACT-PY-512</t>
  </si>
  <si>
    <t>CUMPLIMIENTO DE NORMAS AMBIENTALES DENTRO DE LOS PROCESOS DE LA UNIVERSIDAD</t>
  </si>
  <si>
    <t>ACT-PY-511</t>
  </si>
  <si>
    <t>IMPLEMENTAR SISTEMA DE GESTIÃ“N AMBIENTAL</t>
  </si>
  <si>
    <t>ACT-OPE-471</t>
  </si>
  <si>
    <t>ACTIVIDAD FUNCIONAMIENTO - GRUPO DE ADMINISTRACION DE DOCUMENTOS Y RECEPCION</t>
  </si>
  <si>
    <t>ACT-OPE-434</t>
  </si>
  <si>
    <t>ACTIVIDAD FUNCIONAMIENTO - TESORERIA</t>
  </si>
  <si>
    <t>LABORATORIO DE GENETICA</t>
  </si>
  <si>
    <t>ACT-PY-421-3-19</t>
  </si>
  <si>
    <t>LABORATORIO DE GENÃˆTICA</t>
  </si>
  <si>
    <t>LABORATORIO DE INMUNOLOGÃŒA</t>
  </si>
  <si>
    <t>ACT-PY-421-3-17</t>
  </si>
  <si>
    <t>LABORATORIO DE NEUROCIENCIAS Y FISIOLOGÃŒA</t>
  </si>
  <si>
    <t>ACT-PY-421-3-18</t>
  </si>
  <si>
    <t>LABORATORIO DE SIMULACIÃ’N DE ENFERMERÃŒA</t>
  </si>
  <si>
    <t>ACT-PY-421-3-20</t>
  </si>
  <si>
    <t>ACT-OPE-432</t>
  </si>
  <si>
    <t>ACTIVIDAD FUNCIONAMIENTO - LIQUIDACION DE DERECHOS PECUNARIOS</t>
  </si>
  <si>
    <t>MANTENIMIENTO</t>
  </si>
  <si>
    <t>ACT-OPE-454</t>
  </si>
  <si>
    <t>ACTIVIDAD FUNCIONAMIENTO - MANTENIMIENTO INFRAESTRUCTURA</t>
  </si>
  <si>
    <t>ODONTOLOGIA</t>
  </si>
  <si>
    <t>ACT-OPE-427</t>
  </si>
  <si>
    <t>ACTIVIDAD FUNCIONAMIENTO - SERVICIO ODONTOLÃ“GICO</t>
  </si>
  <si>
    <t>ACT-PY-621-4</t>
  </si>
  <si>
    <t>PRESTACIÃ“N SERVICIO ODONTOLÃ“GICO A ESTUDIANTES</t>
  </si>
  <si>
    <t>ACT-OPE-211</t>
  </si>
  <si>
    <t>ACTIVIDAD FUNCIONAMIENTO - OFICINA DE CONTROL INTERNO</t>
  </si>
  <si>
    <t>OFICINA DE PLANEACION</t>
  </si>
  <si>
    <t>ACT-OPE-111</t>
  </si>
  <si>
    <t>ACTIVIDAD FUNCIONAMIENTO - OFICINA DE PLANEACIÃ“N</t>
  </si>
  <si>
    <t>ACT-PY-721-1</t>
  </si>
  <si>
    <t>ADECUACIÃ“N DE AULAS VIRTUALES</t>
  </si>
  <si>
    <t>ACT-PY-721-2</t>
  </si>
  <si>
    <t>ADECUACIÃ“N LABORATORIO DE OBJETOS VIRTUALES</t>
  </si>
  <si>
    <t>ACT-PY-421-1-2</t>
  </si>
  <si>
    <t>ADECUACIONES DE PLANTA FÃSICA</t>
  </si>
  <si>
    <t>ACT-PY-421-1-1</t>
  </si>
  <si>
    <t>CONSTRUCCIONES DE PLANTA FÃSICA</t>
  </si>
  <si>
    <t>ACT-PY-421-1-3</t>
  </si>
  <si>
    <t>MANTENIMIENTO DE PLANTA FÃSICA</t>
  </si>
  <si>
    <t>ACT-PY-422</t>
  </si>
  <si>
    <t>NUEVO CAMPUS UNIVERSITARIO</t>
  </si>
  <si>
    <t>ACT-OPE-491</t>
  </si>
  <si>
    <t>ACTIVIDAD FUNCIONAMIENTO - OFICINA JURIDICA</t>
  </si>
  <si>
    <t>OFICINA RELACIONES NACIONALES E INTERNACIONALES</t>
  </si>
  <si>
    <t>ACT-PY-342</t>
  </si>
  <si>
    <t>CONVENIOS CON OTRAS UNIVERSIDADES NACIONALES E INTERNACIONALES</t>
  </si>
  <si>
    <t>FUNCIONAMIENTO ANUAL - OFICINA RELACIONES NACIONALES E INTERNACIONALES</t>
  </si>
  <si>
    <t>PRESUPUESTO</t>
  </si>
  <si>
    <t>ACT-OPE-433</t>
  </si>
  <si>
    <t>ACTIVIDAD FUNCIONAMIENTO - PRESUPUESTO</t>
  </si>
  <si>
    <t>PROGRAMA ACUICULTURA</t>
  </si>
  <si>
    <t>ACT-OPE-312-29</t>
  </si>
  <si>
    <t>ACTIVIDAD FUNCIONAMIENTO - PROGRAMA ACUICULTURA</t>
  </si>
  <si>
    <t>ACT-PY-421-3-13</t>
  </si>
  <si>
    <t>INSUMOS ACUICULTURA</t>
  </si>
  <si>
    <t>ACT-OPE-312-8</t>
  </si>
  <si>
    <t>ACTIVIDAD FUNCIONAMIENTO - ADMINISTRACION DE EMPRESAS</t>
  </si>
  <si>
    <t>ACT-OPE-312-9</t>
  </si>
  <si>
    <t>ACTIVIDAD FUNCIONAMIENTO - CONTADURIA PUBLICA</t>
  </si>
  <si>
    <t>ACT-OPE-312-12</t>
  </si>
  <si>
    <t>ACTIVIDAD FUNCIONAMIENTO - PROGRAMA DE ARTES VISUALES Y/O ARTISTICA</t>
  </si>
  <si>
    <t>ACT-OPE-312-17</t>
  </si>
  <si>
    <t>ACTIVIDAD FUNCIONAMIENTO - PROGRAMA DE CIENCIAS NATURALES</t>
  </si>
  <si>
    <t>ACT-OPE-312-31</t>
  </si>
  <si>
    <t>ACTIVIDAD FUNCIONAMIENTO - PROGRAMA DE COMUNICACION SOCIAL Y PERIODISMO</t>
  </si>
  <si>
    <t>ACT-OPE-312-28</t>
  </si>
  <si>
    <t>ACTIVIDAD FUNCIONAMIENTO - PROGRAMA DE DERECHO</t>
  </si>
  <si>
    <t>ACT-OPE-312-10</t>
  </si>
  <si>
    <t>ACTIVIDAD FUNCIONAMIENTO - PROGRAMA DE ECONOMIA</t>
  </si>
  <si>
    <t>ACT-OPE-312-25</t>
  </si>
  <si>
    <t>ACTIVIDAD FUNCIONAMIENTO - PROGRAMA DE ENFERMERIA</t>
  </si>
  <si>
    <t>ACT-OPE-312-13</t>
  </si>
  <si>
    <t>ACTIVIDAD FUNCIONAMIENTO - PROGRAMA DE ESPAÃ‘OL Y COMUNICACIÃƒ?N EDUCATIVA</t>
  </si>
  <si>
    <t>ACT-OPE-312-26</t>
  </si>
  <si>
    <t>ACTIVIDAD FUNCIONAMIENTO - PROGRAMA DE MEDICINA</t>
  </si>
  <si>
    <t>ACT-OPE-312-27</t>
  </si>
  <si>
    <t>ACTIVIDAD FUNCIONAMIENTO - PROGRAMA DE PSICOLOGIA</t>
  </si>
  <si>
    <t>PROGRAMA EDUCACION FISICA</t>
  </si>
  <si>
    <t>ACT-OPE-312-14</t>
  </si>
  <si>
    <t>ACTIVIDAD FUNCIONAMIENTO - PROGRAMA EDUCACION FISICA</t>
  </si>
  <si>
    <t>ACT-PY-421-3-2</t>
  </si>
  <si>
    <t>LABORATORIO EDUCACIÃ’N FÃŒSICA</t>
  </si>
  <si>
    <t>ACT-OPE-312-15</t>
  </si>
  <si>
    <t>ACTIVIDAD FUNCIONAMIENTO - PROGRAMA EDUCACION INFANTIL</t>
  </si>
  <si>
    <t>PROGRAMA INGENIERÃA AGRICOLA</t>
  </si>
  <si>
    <t>ACT-OPE-312-21</t>
  </si>
  <si>
    <t>ACTIVIDAD FUNCIONAMIENTO - PROGRAMA INGENIERÃA AGRICOLA</t>
  </si>
  <si>
    <t>ACT-PY-421-3-4</t>
  </si>
  <si>
    <t>LABORATORIOS INGENIERÃŒA AGRÃŒCOLA</t>
  </si>
  <si>
    <t>PROGRAMA INGENIERÃA DE PETROLEOS</t>
  </si>
  <si>
    <t>ACT-OPE-312-22</t>
  </si>
  <si>
    <t>ACTIVIDAD FUNCIONAMIENTO - PROGRAMA INGENIERÃA DE PETROLEOS</t>
  </si>
  <si>
    <t>ACT-PY-421-3-5</t>
  </si>
  <si>
    <t>LABORATORIOS INGENIERÃŒA DE PETROLEOS</t>
  </si>
  <si>
    <t>PROGRAMA INGENIERÃA ELECTRONICA</t>
  </si>
  <si>
    <t>ACT-OPE-312-23</t>
  </si>
  <si>
    <t>ACTIVIDAD FUNCIONAMIENTO - PROGRAMA INGENIERÃÂA ELECTRÃ“NICA</t>
  </si>
  <si>
    <t>ACT-PY-421-3-6</t>
  </si>
  <si>
    <t>LABORATORIOS INGENIERÃŒA ELECTRÃ’NICA</t>
  </si>
  <si>
    <t>PROGRAMA LENGUAS MODERNAS</t>
  </si>
  <si>
    <t>ACT-OPE-312-18</t>
  </si>
  <si>
    <t>ACTIVIDAD FUNCIONAMIENTO - PROGRAMA LENGUAS MODERNAS</t>
  </si>
  <si>
    <t>ACT-PY-421-3-1</t>
  </si>
  <si>
    <t>LABORATORIO IDIOMAS</t>
  </si>
  <si>
    <t>ACT-OPE-312-30</t>
  </si>
  <si>
    <t>ACTIVIDAD FUNCIONAMIENTO - PROGRAMA MATEMATICA APLICADA</t>
  </si>
  <si>
    <t>ACT-OPE-312-16</t>
  </si>
  <si>
    <t>ACTIVIDAD FUNCIONAMIENTO - PROGRAMA MATEMÃTICAS Y FÃSICA</t>
  </si>
  <si>
    <t>PROGRAMA TECNOLOGÃA EN OBRAS CIVILES</t>
  </si>
  <si>
    <t>ACT-OPE-312-24</t>
  </si>
  <si>
    <t>ACTIVIDAD FUNCIONAMIENTO - PROGRAMA TECNOLOGÃA EN OBRAS CIVILES</t>
  </si>
  <si>
    <t>ACT-PY-421-3-7</t>
  </si>
  <si>
    <t>LABORATORIOS TECNOLOGÃŒA EN OBRAS CIVILES</t>
  </si>
  <si>
    <t>ACT-OPE-312-11</t>
  </si>
  <si>
    <t>ACTIVIDAD FUNCIONAMIENTO - PROGRAMA TECNOLOGIA ADMINISTRACION FINANCIERA</t>
  </si>
  <si>
    <t>RECTORIA</t>
  </si>
  <si>
    <t>ACT-OPE-511</t>
  </si>
  <si>
    <t>ACTIVIDAD FUNCIONAMIENTO - RECTORÃA</t>
  </si>
  <si>
    <t>ACT-PY-111</t>
  </si>
  <si>
    <t>ACTUALIZACIÃ“N DE LA NORMATIVIDAD</t>
  </si>
  <si>
    <t>ACT-PY-112</t>
  </si>
  <si>
    <t>CÃ“DIGOS DE Ã‰TICA Y BUEN GOBIERNO</t>
  </si>
  <si>
    <t>ACT-PY-411-2</t>
  </si>
  <si>
    <t>IMPLEMENTACIÃ“N MECI (MODELO ESTANDAR DE CONTROL INTERNO)</t>
  </si>
  <si>
    <t>ACT-PY-411-3</t>
  </si>
  <si>
    <t>IMPLEMENTACIÃ“N Y AJUSTE DEL SISTEMA DE GESTIÃ“N ADMINISTRATIVA SGAD</t>
  </si>
  <si>
    <t>ACT-PY-411-1</t>
  </si>
  <si>
    <t>IMPLEMENTACIÃ“N Y DESARROLLO NTCGP1000 (GESTIÃ“N DE CALIDAD)</t>
  </si>
  <si>
    <t>ACT-PY-412</t>
  </si>
  <si>
    <t>MEJORAMIENTO DEL NIVEL DE ACEPTACIÃ“N DE LA GESTIÃ“N INSTITUCIONAL</t>
  </si>
  <si>
    <t>ACT-PY-113-2</t>
  </si>
  <si>
    <t>PERÃODICOS INSTITUCIONALES</t>
  </si>
  <si>
    <t>SALUD OCUPACIONAL</t>
  </si>
  <si>
    <t>ACT-OPE-423</t>
  </si>
  <si>
    <t>ACTIVIDAD DE FUNCIONAMIENTO - SALUD OCUPACIONAL</t>
  </si>
  <si>
    <t>ACT-OPE-131</t>
  </si>
  <si>
    <t>ACTIVIDAD FUNCIONAMIENTO - SECRETARÃA GENERAL</t>
  </si>
  <si>
    <t>SERVICIO MEDICO</t>
  </si>
  <si>
    <t>ACT-OPE-422</t>
  </si>
  <si>
    <t>ACTIVIDAD FUNCIONAMIENTO - SERVICIO MEDICO</t>
  </si>
  <si>
    <t>ACT-PY-621-3</t>
  </si>
  <si>
    <t>PRESTACIÃ“N DE SERVICIO MÃ‰DICO A ESTUDIANTES</t>
  </si>
  <si>
    <t>ACT-OPE-428</t>
  </si>
  <si>
    <t>ACTIVIDAD FUNCIONAMIENTO - SERVICIO SICOLÃ“GICO</t>
  </si>
  <si>
    <t>ACT-PY-621-5</t>
  </si>
  <si>
    <t>PRESTACIÃ“N SERVICIO SICOLOGICO</t>
  </si>
  <si>
    <t>TRANSPORTE</t>
  </si>
  <si>
    <t>ACT-OPE-455</t>
  </si>
  <si>
    <t>ACTIVIDAD FUNCIONAMIENTO - TRANSPORTE</t>
  </si>
  <si>
    <t>ACT-OPE-444</t>
  </si>
  <si>
    <t>ACTIVIDAD DE FUNCIONAMIENTO - UNIDAD DE CONTRATACIÃ’N</t>
  </si>
  <si>
    <t>VICERRECTORÃA ADMINISTRATIVA</t>
  </si>
  <si>
    <t>ACT-OPE-512</t>
  </si>
  <si>
    <t>ACTIVIDAD FUNCIONAMIENTO - VICERRECTORÃA ADMINISTRATIVA</t>
  </si>
  <si>
    <t>ACT-PY-611</t>
  </si>
  <si>
    <t>CAPACITACIÃ“N PERSONAL ADMINISTRATIVO</t>
  </si>
  <si>
    <t>VICERRECTORIA ACADEMICA</t>
  </si>
  <si>
    <t>ACT-OPE-311</t>
  </si>
  <si>
    <t>ACTIVIDAD DE FUNCIONAMIENTO - VICERRECTORIA ACADEMICA</t>
  </si>
  <si>
    <t>ACT-PY-324</t>
  </si>
  <si>
    <t>CAPACITACIÃ“N DE DOCENTES (ASISTENCIA A EVENTOS)</t>
  </si>
  <si>
    <t>ACT-PY-313</t>
  </si>
  <si>
    <t>CERTIFICACIÃ“N DE LABORATORIOS Y TALLERES</t>
  </si>
  <si>
    <t>ACT-PY-721-4</t>
  </si>
  <si>
    <t>DOTACION DE LABORATORIO DE OBJETOS VIRTUALES</t>
  </si>
  <si>
    <t>ACT-PY-612</t>
  </si>
  <si>
    <t>ENTRENAMIENTO ESTUDIANTES EN PRUEBAS ECAES</t>
  </si>
  <si>
    <t>ACT-PY-721-5</t>
  </si>
  <si>
    <t>IMPLEMENTACIÃ“N PROYECTO DE OBJETOS VIRTUALES</t>
  </si>
  <si>
    <t>ACT-PY-341</t>
  </si>
  <si>
    <t>PROGRAMAS CON DOBLE TITULACIÃ“N</t>
  </si>
  <si>
    <t>ACT-PY-321</t>
  </si>
  <si>
    <t>PROGRAMAS POR CICLOS PROPEDÃ‰UTICOS</t>
  </si>
  <si>
    <t>ACT-PY-322-3</t>
  </si>
  <si>
    <t>READSCRIPCIÃ“N DE DOCENTES POR FACULTADES</t>
  </si>
  <si>
    <t>ACT-PY-621-2</t>
  </si>
  <si>
    <t>RETENCIÃ“N DE ESTUDIANTES</t>
  </si>
  <si>
    <t>ACT-PY-621-1</t>
  </si>
  <si>
    <t>VINCULACIÃ“N DE ESTUDIANTES EN PROCESOS INSTITUCIONALES</t>
  </si>
  <si>
    <t>VICERRECTORIA DE INVESTIGACION Y PROYECCION SOCIAL</t>
  </si>
  <si>
    <t>ACT-OPE-321-2</t>
  </si>
  <si>
    <t>ACTIVIDAD DE FUNCIONAMIENTO - VICERRECTORIA DE INVESTIGACION Y PROYECCION SOCIAL</t>
  </si>
  <si>
    <t>ACT-PY-333-2</t>
  </si>
  <si>
    <t>ARTÃCULOS EN REVISTAS INDEXADAS</t>
  </si>
  <si>
    <t>ACT-PY-337</t>
  </si>
  <si>
    <t>CENTRO DE INVESTIGACIÃ“N</t>
  </si>
  <si>
    <t>ACT-PY-334-1</t>
  </si>
  <si>
    <t>CONVENIOS Y/O ALIANZAS DE FINANCIACIÃ“N DE LA INVESTIGACIÃ“N</t>
  </si>
  <si>
    <t>ACT-PY-335</t>
  </si>
  <si>
    <t>MEMBRESÃAS A REDES DE INVESTIGACIÃ“N</t>
  </si>
  <si>
    <t>ACT-PY-336</t>
  </si>
  <si>
    <t>OBTENER PATENTES O REGISTROS DE MARCA</t>
  </si>
  <si>
    <t>ACT-PY-113-3</t>
  </si>
  <si>
    <t>PORTAFOLIO DE SERVICIOS</t>
  </si>
  <si>
    <t>ACT-PY-333-1</t>
  </si>
  <si>
    <t>PUBLICACIÃ“N DE LIBROS</t>
  </si>
  <si>
    <t>ACT-PY-333-3</t>
  </si>
  <si>
    <t>REVISTAS INSTITUCIONALES INDEXADAS</t>
  </si>
  <si>
    <t>Rubro Código</t>
  </si>
  <si>
    <t>Rubro Nombre</t>
  </si>
  <si>
    <t>12-CENTRO DE DIRECCION DE EXTENSION</t>
  </si>
  <si>
    <t>22-CENTRO DE TECNOLOGIA DE INFORMACION Y DE COMUNICACION</t>
  </si>
  <si>
    <t>13-CENTRO DIRECCION DE CURRICULO</t>
  </si>
  <si>
    <t>10-CENTRO DIRECCION DE INVESTIGACION</t>
  </si>
  <si>
    <t>125-COORDINACIÃ’N LABORATORIOS SALUD</t>
  </si>
  <si>
    <t>49-COORDINACION DE DEPORTES</t>
  </si>
  <si>
    <t>52-DIRECCION DE SEDES</t>
  </si>
  <si>
    <t>23-DIVISION DE BIENESTAR UNIVERSITARIO</t>
  </si>
  <si>
    <t>64-EXTENSION CULTURAL</t>
  </si>
  <si>
    <t>17-FACULTAD CIENCIAS DE LA SALUD</t>
  </si>
  <si>
    <t>19-FACULTAD DE CIENCIAS EXACTAS Y NATURALES</t>
  </si>
  <si>
    <t>18-FACULTAD DE CIENCIAS SOCIALES HUMANAS</t>
  </si>
  <si>
    <t>20-FACULTAD DE DERECHO</t>
  </si>
  <si>
    <t>14-FACULTAD DE ECONOMIA Y ADMINISTRACION</t>
  </si>
  <si>
    <t>16-FACULTAD DE EDUCACION</t>
  </si>
  <si>
    <t>15-FACULTAD DE INGENIERIA</t>
  </si>
  <si>
    <t>124-GESTIÃ’N AMBIENTAL</t>
  </si>
  <si>
    <t>84-ODONTOLOGIA</t>
  </si>
  <si>
    <t>5-OFICINA DE PLANEACION</t>
  </si>
  <si>
    <t>8-OFICINA RELACIONES NACIONALES E INTERNACIONALES</t>
  </si>
  <si>
    <t>36-PROGRAMA ACUICULTURA</t>
  </si>
  <si>
    <t>102-PROGRAMA DE DERECHO</t>
  </si>
  <si>
    <t>60-PROGRAMA EDUCACION FISICA</t>
  </si>
  <si>
    <t>71-PROGRAMA INGENIERÃA AGRICOLA</t>
  </si>
  <si>
    <t>72-PROGRAMA INGENIERÃA DE PETROLEOS</t>
  </si>
  <si>
    <t>73-PROGRAMA INGENIERÃA ELECTRONICA</t>
  </si>
  <si>
    <t>77-PROGRAMA LENGUAS MODERNAS</t>
  </si>
  <si>
    <t>122-PROGRAMA TECNOLOGÃA EN OBRAS CIVILES</t>
  </si>
  <si>
    <t>1-RECTORIA</t>
  </si>
  <si>
    <t>96-SERVICIO MEDICO</t>
  </si>
  <si>
    <t>116-SICOLOGÃA</t>
  </si>
  <si>
    <t>30-VICERRECTORÃA ADMINISTRATIVA</t>
  </si>
  <si>
    <t>9-VICERRECTORIA ACADEMICA</t>
  </si>
  <si>
    <t>21-VICERRECTORIA DE INVESTIGACION Y PROYECCION SOCIAL</t>
  </si>
  <si>
    <t>Total Rubro</t>
  </si>
  <si>
    <t>Totales</t>
  </si>
  <si>
    <t>$</t>
  </si>
  <si>
    <t>FORTALECIMIENTO DEL BIENESTAR UNIVERSITARIO</t>
  </si>
  <si>
    <t>REPORTE PLAN NECESIDADES - INVERSION</t>
  </si>
  <si>
    <t>76-LABORATORIO DE GENETICA</t>
  </si>
  <si>
    <t>127-LABORATORIO DE INMUNOLOGÃŒA</t>
  </si>
  <si>
    <t>128-LABORATORIO DE NEUROCIENCIAS Y FISIOLOGÃŒA</t>
  </si>
  <si>
    <t>129-LABORATORIO DE SIMULACIÃ’N DE ENFERMERÃŒA</t>
  </si>
  <si>
    <t>CONSTRUCCIÃ“N ADECUACIÃ“N Y MANTENIMIENTO PLANTA FÃSICA</t>
  </si>
  <si>
    <t>ADQUISICIÃ“N DE MATERIALES Y EQUIPOS EDUCATIVOS</t>
  </si>
  <si>
    <t>CAPACITACIÃ“N PERSONAL DOCENTE Y ADMINISTRATIVO</t>
  </si>
  <si>
    <t>INVESTIGACIONES</t>
  </si>
  <si>
    <t>PLANEACIÃ“N</t>
  </si>
  <si>
    <t>EXTENSIÃ“N</t>
  </si>
  <si>
    <t>NA</t>
  </si>
  <si>
    <t>RUBRO</t>
  </si>
  <si>
    <t>REPORTE - PLAN DESARROLLO FUNCIONAMIENTO METAS, INDICADORES, TECHOS Y ACTIVIDADES</t>
  </si>
  <si>
    <t>PROGRAMA SIGLA</t>
  </si>
  <si>
    <t>PROGRAMA NOMBRE</t>
  </si>
  <si>
    <t>PROYECTO SIGLA</t>
  </si>
  <si>
    <t>PROYECTO NOMBRE</t>
  </si>
  <si>
    <t>OPERACION SIGLA</t>
  </si>
  <si>
    <t>OPERACION NOMBRE</t>
  </si>
  <si>
    <t>OPERACION COSTO</t>
  </si>
  <si>
    <t>OPERACION TECHO</t>
  </si>
  <si>
    <t>INDICADORES - METAS</t>
  </si>
  <si>
    <t>INDICADOR</t>
  </si>
  <si>
    <t>META</t>
  </si>
  <si>
    <t>TECHO</t>
  </si>
  <si>
    <t>ACTIVIDADES</t>
  </si>
  <si>
    <t>VALOR</t>
  </si>
  <si>
    <t>PRG05</t>
  </si>
  <si>
    <t>PRY.5.1</t>
  </si>
  <si>
    <t>OPE.5.1.2</t>
  </si>
  <si>
    <t>OPE.5.1.1</t>
  </si>
  <si>
    <t>OPE.5.1.3</t>
  </si>
  <si>
    <t>OPE.5.1.4</t>
  </si>
  <si>
    <t>PRG04</t>
  </si>
  <si>
    <t>PROCESOS DE APOYO</t>
  </si>
  <si>
    <t>PRY.4.8</t>
  </si>
  <si>
    <t>OPE.4.8.3</t>
  </si>
  <si>
    <t>OPE.4.8.1</t>
  </si>
  <si>
    <t>OPE.4.8.2</t>
  </si>
  <si>
    <t>MANEJO DE RESIDUOS Y BASURAS</t>
  </si>
  <si>
    <t>PRY.4.4</t>
  </si>
  <si>
    <t>OPE.4.4.4</t>
  </si>
  <si>
    <t>OPE.4.4.1</t>
  </si>
  <si>
    <t>OPE.4.4.5</t>
  </si>
  <si>
    <t>LABORATORIOS</t>
  </si>
  <si>
    <t>OPE.4.4.3</t>
  </si>
  <si>
    <t>MANEJO DE INVENTARIOS</t>
  </si>
  <si>
    <t>OPE.4.4.2</t>
  </si>
  <si>
    <t>PLAN DE COMPRAS</t>
  </si>
  <si>
    <t>INDICADOR 0001</t>
  </si>
  <si>
    <t>100% DE LOS BIENES REQUERIDOS / EJECUTADOS</t>
  </si>
  <si>
    <t>ACTIVIDAD 001</t>
  </si>
  <si>
    <t>PRY.4.2</t>
  </si>
  <si>
    <t>OPE.4.2.1</t>
  </si>
  <si>
    <t>OPE.4.2.5</t>
  </si>
  <si>
    <t>OPE.4.2.6</t>
  </si>
  <si>
    <t>OPE.4.2.3</t>
  </si>
  <si>
    <t>OPE.4.2.2</t>
  </si>
  <si>
    <t>OPE.4.2.7</t>
  </si>
  <si>
    <t>OPE.4.2.8</t>
  </si>
  <si>
    <t>OPE.4.2.4</t>
  </si>
  <si>
    <t>PRY.4.5</t>
  </si>
  <si>
    <t>OPE.4.5.2</t>
  </si>
  <si>
    <t>ASEO</t>
  </si>
  <si>
    <t>OPE.4.5.1</t>
  </si>
  <si>
    <t>OPE.4.5.4</t>
  </si>
  <si>
    <t>MANTENIMIENTO INFRAESTRUCTURA</t>
  </si>
  <si>
    <t>OPE.4.5.3</t>
  </si>
  <si>
    <t>SEGURIDAD</t>
  </si>
  <si>
    <t>OPE.4.5.5</t>
  </si>
  <si>
    <t>PRY.4.6</t>
  </si>
  <si>
    <t>OPE.4.6.1</t>
  </si>
  <si>
    <t>OPE.4.6.3</t>
  </si>
  <si>
    <t>MANTENIMIENTO APLICACIONES</t>
  </si>
  <si>
    <t>OPE.4.6.4</t>
  </si>
  <si>
    <t>OPE.4.6.2</t>
  </si>
  <si>
    <t>MANTENIMIENTO Y SOPORTE REDES</t>
  </si>
  <si>
    <t>PRY.4.1</t>
  </si>
  <si>
    <t>OPE.4.1.6</t>
  </si>
  <si>
    <t>CONTROL DISCIPLINARIO</t>
  </si>
  <si>
    <t>OPE.4.1.1</t>
  </si>
  <si>
    <t>OPE.4.1.5</t>
  </si>
  <si>
    <t>DESARROLLO HUMANO</t>
  </si>
  <si>
    <t>OPE.4.1.2</t>
  </si>
  <si>
    <t>HOJAS DE VIDA</t>
  </si>
  <si>
    <t>OPE.4.1.4</t>
  </si>
  <si>
    <t>OPE.4.1.3</t>
  </si>
  <si>
    <t>PRY.4.7</t>
  </si>
  <si>
    <t>OPE.4.7.4</t>
  </si>
  <si>
    <t>BIBLIOTECA SALUD</t>
  </si>
  <si>
    <t>OPE.4.7.1</t>
  </si>
  <si>
    <t>OPE.4.7.2</t>
  </si>
  <si>
    <t>MANEJO DOCUMENTOS</t>
  </si>
  <si>
    <t>OPE.4.7.3</t>
  </si>
  <si>
    <t>PRY.4.3</t>
  </si>
  <si>
    <t>OPE.4.3.5</t>
  </si>
  <si>
    <t>OPE.4.3.1</t>
  </si>
  <si>
    <t>OPE.4.4.6</t>
  </si>
  <si>
    <t>FONDOS ESPECIALES</t>
  </si>
  <si>
    <t>OPE.4.3.2</t>
  </si>
  <si>
    <t>OPE.4.3.3</t>
  </si>
  <si>
    <t>OPE.4.3.4</t>
  </si>
  <si>
    <t>PRY.4.9</t>
  </si>
  <si>
    <t>OPE.4.9.4</t>
  </si>
  <si>
    <t>CONTRATOS Y CONVENIOS</t>
  </si>
  <si>
    <t>OPE.4.9.1</t>
  </si>
  <si>
    <t>OPE.4.9.3</t>
  </si>
  <si>
    <t>OPE.4.9.2</t>
  </si>
  <si>
    <t>PROCESOS PREJUDICIALES Y JUDICIALES</t>
  </si>
  <si>
    <t>PRG02</t>
  </si>
  <si>
    <t>PRY.2.2</t>
  </si>
  <si>
    <t>OPE.2.2.4</t>
  </si>
  <si>
    <t>OPE.2.2.6</t>
  </si>
  <si>
    <t>OPE.2.2.5</t>
  </si>
  <si>
    <t>CONTROL DE DOCUMENTOS</t>
  </si>
  <si>
    <t>OPE.2.2.1</t>
  </si>
  <si>
    <t>OPE.2.2.2</t>
  </si>
  <si>
    <t>OPE.2.2.3</t>
  </si>
  <si>
    <t>QUEJAS Y RECLAMOS</t>
  </si>
  <si>
    <t>PRY.2.1</t>
  </si>
  <si>
    <t>OPE.2.1.5</t>
  </si>
  <si>
    <t>OPE.2.1.2</t>
  </si>
  <si>
    <t>OPE.2.1.1</t>
  </si>
  <si>
    <t>OPE.2.1.4</t>
  </si>
  <si>
    <t>FOMENTO DEL AUTOCONTROL</t>
  </si>
  <si>
    <t>OPE.2.1.3</t>
  </si>
  <si>
    <t>SEGUIMIENTO PLANES DE MEJORAMIENTO</t>
  </si>
  <si>
    <t>PRG01</t>
  </si>
  <si>
    <t>PRY.1.3</t>
  </si>
  <si>
    <t>OPE.1.3.1</t>
  </si>
  <si>
    <t>OPE.1.3.2</t>
  </si>
  <si>
    <t>PRENSA</t>
  </si>
  <si>
    <t>OPE.1.3.3</t>
  </si>
  <si>
    <t>RADIO</t>
  </si>
  <si>
    <t>OPE.1.3.4</t>
  </si>
  <si>
    <t>PRY.1.2</t>
  </si>
  <si>
    <t>RELACIONES INTERINSTITUCIONALES</t>
  </si>
  <si>
    <t>OPE.1.2.1</t>
  </si>
  <si>
    <t>ACT-OPE-121</t>
  </si>
  <si>
    <t>OPE.1.2.2</t>
  </si>
  <si>
    <t>EVENTOS</t>
  </si>
  <si>
    <t>OPE.1.2.3</t>
  </si>
  <si>
    <t>MOVILIDAD</t>
  </si>
  <si>
    <t>PRY.1.1</t>
  </si>
  <si>
    <t>OPE.1.1.1</t>
  </si>
  <si>
    <t>IND-OPE-111</t>
  </si>
  <si>
    <t>IMPLEMENTACIÃ“N Y SEGUIMIENTO AL SISTEMA DE PLANEACIÃ“N</t>
  </si>
  <si>
    <t>OPE.1.1.5</t>
  </si>
  <si>
    <t>OPE.1.1.2</t>
  </si>
  <si>
    <t>OPE.1.1.4</t>
  </si>
  <si>
    <t>IND-OPE-114</t>
  </si>
  <si>
    <t>IMPLEMENTACIÃ“N METODOLOGÃA EVALUACIÃ“N PROYECTOS</t>
  </si>
  <si>
    <t>OPE.1.1.3</t>
  </si>
  <si>
    <t>OPE.1.1.6</t>
  </si>
  <si>
    <t>PROYECTOS</t>
  </si>
  <si>
    <t>PRG03</t>
  </si>
  <si>
    <t>PROCESOS MISIONALES</t>
  </si>
  <si>
    <t>PRY.3.1</t>
  </si>
  <si>
    <t>DOCENCIA</t>
  </si>
  <si>
    <t>OPE.3.1.3</t>
  </si>
  <si>
    <t>OPE.3.1.1</t>
  </si>
  <si>
    <t>IND-OPE-311</t>
  </si>
  <si>
    <t>FUNCIONAMIENTO DEL PROGRAMA</t>
  </si>
  <si>
    <t>OPE.3.1.2</t>
  </si>
  <si>
    <t>IND-FOR-01</t>
  </si>
  <si>
    <t>ACT-FUN-FAC-02</t>
  </si>
  <si>
    <t>FUNCIONAMIENTO FACULTAD CIENCIAS EXACTAS Y NATURALES</t>
  </si>
  <si>
    <t>ACT-FUN-PRO-03</t>
  </si>
  <si>
    <t>FUNCIONAMIENTO PROG. INGENIERIA DE PETROLEOS</t>
  </si>
  <si>
    <t>ACT-FUN-PRO-01</t>
  </si>
  <si>
    <t>FUNCIONAMIENTO PROG. ADMINISTRACION DE EMPRESAS</t>
  </si>
  <si>
    <t>ACT-FUN-FAC-01</t>
  </si>
  <si>
    <t>FUNCIONAMIENTO FACULTAD DERECHO</t>
  </si>
  <si>
    <t>ACT-FUN-PRO-02</t>
  </si>
  <si>
    <t>FUNCIONAMIENTO PROG. DE DERECHO</t>
  </si>
  <si>
    <t>OPE.3.1.4</t>
  </si>
  <si>
    <t>SEGUIMIENTO A EGRESADOS</t>
  </si>
  <si>
    <t>PRY.3.2</t>
  </si>
  <si>
    <t>OPE.3.2.1</t>
  </si>
  <si>
    <t>OPE.3.2.2</t>
  </si>
  <si>
    <t>OPE.3.2.3</t>
  </si>
  <si>
    <t>PRY.3.3</t>
  </si>
  <si>
    <t>OPE.3.3.1</t>
  </si>
  <si>
    <t>OPE.3.3.2</t>
  </si>
  <si>
    <t>OPE.3.3.3</t>
  </si>
  <si>
    <t>TRANSFERENCIA DE RESULTADOS</t>
  </si>
  <si>
    <t>TOTALES</t>
  </si>
  <si>
    <t>GESTIÓN Y DIRECCIÓN</t>
  </si>
  <si>
    <t>COORDINACION DE LABORATORIO. DEPARTAMENTO. PROGRAMA O FACULTAD</t>
  </si>
  <si>
    <t>DIRECCIÓN</t>
  </si>
  <si>
    <t>GESTIÓN AMBIENTAL</t>
  </si>
  <si>
    <t>GESTION DE BIENES Y SERVICIOS</t>
  </si>
  <si>
    <t>ACTIVIDAD FUNCIONAMIENTO - GESTION AMBIENTAL</t>
  </si>
  <si>
    <t>GESTION DE BIENESTAR UNIVERSITARIO</t>
  </si>
  <si>
    <t>GESTION DE INFRAESTRUCTURA</t>
  </si>
  <si>
    <t>GESTION DEL TALENTO HUMANO</t>
  </si>
  <si>
    <t>GESTION DOCUMENTAL</t>
  </si>
  <si>
    <t>GESTION FINANCIERA</t>
  </si>
  <si>
    <t>GESTION DE CALIDAD</t>
  </si>
  <si>
    <t>GESTION DE CONTROL</t>
  </si>
  <si>
    <t>ADMINISTRACION</t>
  </si>
  <si>
    <t>ADMINISTRACION DE RIESGOS</t>
  </si>
  <si>
    <t>COORDINACION</t>
  </si>
  <si>
    <t>COORDINACION DEL SISTEMA</t>
  </si>
  <si>
    <t>COORDINACION DE LA GESTION Y DIRECCIÓN</t>
  </si>
  <si>
    <t>GESTION DE TECNOLOGICA</t>
  </si>
  <si>
    <t>GESTION JURIDICA</t>
  </si>
  <si>
    <t>GESTION DE COMUNICACIÓN</t>
  </si>
  <si>
    <t>PROCESOS DE EVALUACIÓN</t>
  </si>
  <si>
    <t>PROCESOS ESTRATEGICOS</t>
  </si>
  <si>
    <t>SISTEMA DE PLANEACIÓN</t>
  </si>
  <si>
    <t>INVESTIGACIÓN</t>
  </si>
  <si>
    <t>PROYECCIÓN SOCIAL</t>
  </si>
  <si>
    <t>PROYECTOS DE INVESTIGACIÓN</t>
  </si>
  <si>
    <t>PUBLICACIÓN DE INVESTIGACIONES</t>
  </si>
  <si>
    <t>PROYECTOS DE PROYECCIÓN SOCIAL SOLIDARIOS</t>
  </si>
  <si>
    <t>FORMACIÓN</t>
  </si>
  <si>
    <t>PLANEAMIENTO PLANTA FÍSICA</t>
  </si>
  <si>
    <t>PLANEAMIENTO ECONÓMICO Y ADMINISTRATIVO</t>
  </si>
  <si>
    <t>PLANEAMIENTO ACADÉMICO</t>
  </si>
  <si>
    <t>INFORMACIÓN</t>
  </si>
  <si>
    <t>RECEPCIÓN Y TRAMITE COMUNICACIONES</t>
  </si>
  <si>
    <t>AUDITORIAS</t>
  </si>
  <si>
    <t>METODOS Y PROCEDIMIENTOS</t>
  </si>
  <si>
    <t>AUDITORIAS DE CALIDAD</t>
  </si>
  <si>
    <t>ATENCIÓN AL CLIENTE</t>
  </si>
  <si>
    <t>DERECHOS DE PETICIÓN</t>
  </si>
  <si>
    <t>TESORERIA</t>
  </si>
  <si>
    <t>LIQUIDACION DERECHOS PECUNIARIOS</t>
  </si>
  <si>
    <t>PROTECCION Y SEGURIDAD</t>
  </si>
  <si>
    <t>VINCULACION</t>
  </si>
  <si>
    <t>NOMINA</t>
  </si>
  <si>
    <t>MANTENIMIENTO INFRAESTRUCTURA DE COMPUTO</t>
  </si>
  <si>
    <t>SERVICIO SOCIOECONOMICO Y RESTAURANTE</t>
  </si>
  <si>
    <t>SERVICIO SICOLOGICO</t>
  </si>
  <si>
    <t>SERVICIO ODONTOLOGICO</t>
  </si>
  <si>
    <t>RECREACION Y DEPORTES</t>
  </si>
  <si>
    <t>CONTRATACION</t>
  </si>
  <si>
    <t>CAPACITACION</t>
  </si>
  <si>
    <t>GESTION AMBIENTAL</t>
  </si>
  <si>
    <t>150,000,000</t>
  </si>
  <si>
    <t>12,185,434,225</t>
  </si>
  <si>
    <t>6,000,000</t>
  </si>
  <si>
    <t>2,373,998,450</t>
  </si>
  <si>
    <t>10,000,000</t>
  </si>
  <si>
    <t>40,000,000</t>
  </si>
  <si>
    <t>1,822,999,988</t>
  </si>
  <si>
    <t>16,000,000</t>
  </si>
  <si>
    <t>1,916,266,975</t>
  </si>
  <si>
    <t>4,320,000</t>
  </si>
  <si>
    <t>112,000,000</t>
  </si>
  <si>
    <t>90,000,000</t>
  </si>
  <si>
    <t>PLAN DE NECESIDADES INVERSION</t>
  </si>
  <si>
    <t>DEDENDENCIA</t>
  </si>
  <si>
    <t>GENERICO</t>
  </si>
  <si>
    <t>PRODUCTO</t>
  </si>
  <si>
    <t>DESCRIPCION</t>
  </si>
  <si>
    <t>CANT</t>
  </si>
  <si>
    <t>VLR UNIT</t>
  </si>
  <si>
    <t>TOTAL</t>
  </si>
  <si>
    <t>OTROS GASTOS POR SERVICIOS</t>
  </si>
  <si>
    <t>CUOTA COMPRA LOTE</t>
  </si>
  <si>
    <t>1,000,000,000</t>
  </si>
  <si>
    <t>EDIFICIO DE ECONOMIA Y ADMINISTRACION</t>
  </si>
  <si>
    <t>500,000,000</t>
  </si>
  <si>
    <t>EDIFICIO DE ARTES</t>
  </si>
  <si>
    <t>PISOS 3 Y 4 BLOQUE 13-FACULTAD DE EDUCACION</t>
  </si>
  <si>
    <t>NUEVO EDIFICIO B-28-INGENIERIA</t>
  </si>
  <si>
    <t>CERRAMIENTO ESCENARIOS DEPORTIVOS</t>
  </si>
  <si>
    <t>100,000,000</t>
  </si>
  <si>
    <t>ESTUDIOS Y DISEÃ‘OS AMPLIACION BLOQUE 21-COLISEO (ESTUDIO TV)</t>
  </si>
  <si>
    <t>25,000,000</t>
  </si>
  <si>
    <t>ADECUACION OFICINAS ACADÃ‰MICAS Y ADMINISTRATIVAS</t>
  </si>
  <si>
    <t>ADECUACIONES SEDES LA PLATA Y GARZON</t>
  </si>
  <si>
    <t>105,000,000</t>
  </si>
  <si>
    <t>MANTENIMIENTO ZONAS VERDES (OTROS GASTOS)</t>
  </si>
  <si>
    <t>70,000,000</t>
  </si>
  <si>
    <t>MANTENIMIENTO AREAS CUBIERTAS (FERRETERIA Y DEMAS)</t>
  </si>
  <si>
    <t>Rubro 211 - ADQUISICIÃ“N DE MATERIALES Y EQUIPOS EDUCATIVOS</t>
  </si>
  <si>
    <t>ACCESORIOS LABORATORIO</t>
  </si>
  <si>
    <t>TUBOS DE MICROHEMATOCRITO X FRASCOS HEPARINIZADOS</t>
  </si>
  <si>
    <t>BARRAS MAGNETICAS</t>
  </si>
  <si>
    <t>AudÃ­fono de diadema Sony MDR-110</t>
  </si>
  <si>
    <t>Base para micrÃ³fono unidireccional - Emisora Institucional.</t>
  </si>
  <si>
    <t>Rollo papel aluminio</t>
  </si>
  <si>
    <t>Rollo de papel graff</t>
  </si>
  <si>
    <t>Contenedores para congelaciÃ³n para REVCO</t>
  </si>
  <si>
    <t>1,600,000</t>
  </si>
  <si>
    <t>Rollos papel vinilpel</t>
  </si>
  <si>
    <t>Cajas de crioconservaciÃ³n para 96 tubos.</t>
  </si>
  <si>
    <t>1,000,000</t>
  </si>
  <si>
    <t>Gel para realizar electrocardiografÃ­a (galÃ³n)</t>
  </si>
  <si>
    <t>La Carta de Snellen para evaluar la agudeza visual</t>
  </si>
  <si>
    <t>Dos (2) rollos de 700 metros de limpiÃ³n industrial ecolÃ³gico suplex, para el laboratorio de yacimientos</t>
  </si>
  <si>
    <t>Dos (2) bultos de trapo cosido, para el laboratorio de yacimientos</t>
  </si>
  <si>
    <t>Papel industrial limpieza, para el laboratorio de yacimientos</t>
  </si>
  <si>
    <t>Carga cilindro de gas Helio (Criogas) para el laboratorio de yacimientos</t>
  </si>
  <si>
    <t>Micropipeteador, para el laboratoriod e yacimientos</t>
  </si>
  <si>
    <t>un software para bloquear memorias USB</t>
  </si>
  <si>
    <t>Un antivirus para los equipos de computaciÃ³n</t>
  </si>
  <si>
    <t>3,000,000</t>
  </si>
  <si>
    <t>ACEITE PARA VEHICULO</t>
  </si>
  <si>
    <t>FRASCO DE ACEITE JHONSON</t>
  </si>
  <si>
    <t>ACEITE 2 T CUARTO 12 GRANJA</t>
  </si>
  <si>
    <t>ACUARIO</t>
  </si>
  <si>
    <t>Acuarios de dimensiones 60cm X 40cm X 50cm de 4 mm de espesor</t>
  </si>
  <si>
    <t>2,500,000</t>
  </si>
  <si>
    <t>AGITADOR DE LABORATORIO</t>
  </si>
  <si>
    <t>AGITADOR MAGNETICO DE LABORATORIO</t>
  </si>
  <si>
    <t>Plancha estufa de agitacion</t>
  </si>
  <si>
    <t>2 agistaroers elÃ©ctricos para peuba de Bouyucos para el laboratorio de suelos</t>
  </si>
  <si>
    <t>5,000,000</t>
  </si>
  <si>
    <t>AGUA OXIGENADA</t>
  </si>
  <si>
    <t>LITRO DE ISODINE ESPUMA Y LITRO DE ISODINE SOLUCION</t>
  </si>
  <si>
    <t>AIRE ACONDICIONADO TIPO MINI SPLIT 24000 BTU</t>
  </si>
  <si>
    <t>2,552,000</t>
  </si>
  <si>
    <t>5,104,000</t>
  </si>
  <si>
    <t>2 aires para laboratorio de informatica y 2 para factoria de software.</t>
  </si>
  <si>
    <t>10,208,000</t>
  </si>
  <si>
    <t>2 aires para el Laboratorio de Informatica y 2 para Laboratorio de Factoria de Software.</t>
  </si>
  <si>
    <t>22,968,000</t>
  </si>
  <si>
    <t>2 aires para el laboratorio de sala de informatica y 2 para el Laboratorio - factoria de software.</t>
  </si>
  <si>
    <t>AIRES MINI SPLIT - SALONES 202-206-212</t>
  </si>
  <si>
    <t>7,656,000</t>
  </si>
  <si>
    <t>AIRES ACONDICONADOS 36000BTU</t>
  </si>
  <si>
    <t>AIRES ACONDICONADOS 24.000 BTUH -</t>
  </si>
  <si>
    <t>40 Aires Acondicionados para las Aulas virtuales y oficinas del nuevo edificio de la Facultad de EconomÃ­a y AdministraciÃ³n</t>
  </si>
  <si>
    <t>102,080,000</t>
  </si>
  <si>
    <t>AIRE ACONDICIONADO TIPO MINI SPLIT DE 12000 BTU</t>
  </si>
  <si>
    <t>1,740,000</t>
  </si>
  <si>
    <t>15,660,000</t>
  </si>
  <si>
    <t>3,480,000</t>
  </si>
  <si>
    <t>PARA LA DECANATURA DE INGENIERIA 83) EL IDEI (4) Y LABORATORIO DE SISTEMAS (2)</t>
  </si>
  <si>
    <t>Aire acontidiconado de 12.000 BTU para la oficina de (Ervin Aranda, Jorge Arturo Camargo y Carmen PinzÃ³n)</t>
  </si>
  <si>
    <t>8,700,000</t>
  </si>
  <si>
    <t>Aire acondicionado para el Centro de DocumentaciÃ³n de AgrÃ­cola y Laboratorio mÃ¡quinas AgrÃ­colas</t>
  </si>
  <si>
    <t>Aire acondicionado de 12000BTU para laboratorio de suelos</t>
  </si>
  <si>
    <t>PARA EL LABORATORIO DE FOTOINTERPRETACION</t>
  </si>
  <si>
    <t>Aire acondicionado para el Centro de DocumentaciÃ³n de AgrÃ­cola, lab. mÃ¡quiinas agrÃ­cola</t>
  </si>
  <si>
    <t>AIRE ACONDICIONADO TIPO MINI SPLIT DE 18.000BTU</t>
  </si>
  <si>
    <t>2,088,000</t>
  </si>
  <si>
    <t>6,264,000</t>
  </si>
  <si>
    <t>8,352,000</t>
  </si>
  <si>
    <t>10,440,000</t>
  </si>
  <si>
    <t>12,528,000</t>
  </si>
  <si>
    <t>10 Aires Acondicionados de 24000 BTU</t>
  </si>
  <si>
    <t>20,880,000</t>
  </si>
  <si>
    <t>4,176,000</t>
  </si>
  <si>
    <t>Para la oficina del programa IngenierÃ­a AgrÃ­cola, LaboratorioMÃ¡quinas herramientas y Laboratorio de de Suelos,</t>
  </si>
  <si>
    <t>AIRE ACONDICIONADO TIPO VENTANA DE 24000 BTU</t>
  </si>
  <si>
    <t>3,960,000</t>
  </si>
  <si>
    <t>Aire necesario para mantenimiento de microambiente del laboratorio de InmunologÃ­a, necesario para cultivos y procedimientos de biologÃ­a celular.</t>
  </si>
  <si>
    <t>PARA EL LABORATORIO DE MECANICA DE SUELOS</t>
  </si>
  <si>
    <t>1,980,000</t>
  </si>
  <si>
    <t>AIRE ACONDICIONADO CENTRAL</t>
  </si>
  <si>
    <t>Aire L.G Mini Split G091CB de 9000 Btu</t>
  </si>
  <si>
    <t>1,913,800</t>
  </si>
  <si>
    <t>1 Aire Acondicionado Central para el nuevo edificio de la Facultad de EconomÃ­a y AdministraciÃ³n</t>
  </si>
  <si>
    <t>300,000,000</t>
  </si>
  <si>
    <t>AIRE ACONDICIONADO TIPO VENTANA DE 18000 BTU</t>
  </si>
  <si>
    <t>4,500,000</t>
  </si>
  <si>
    <t>PARA EL LABORATORIO DE BIOTECNOLOGIA</t>
  </si>
  <si>
    <t>AIREADORES</t>
  </si>
  <si>
    <t>Motor aireador para acuario de dos salidas</t>
  </si>
  <si>
    <t>1,500,000</t>
  </si>
  <si>
    <t>ALCOHOL</t>
  </si>
  <si>
    <t>Alcohol para las prÃ¡cticas de fisiologÃ­a y neurociencias</t>
  </si>
  <si>
    <t>BOTELLA DE ALCOHOL</t>
  </si>
  <si>
    <t>ALFILERES</t>
  </si>
  <si>
    <t>DECANATURA DE INGENIERIA E IDEI</t>
  </si>
  <si>
    <t>ALGODON</t>
  </si>
  <si>
    <t>AlgodÃ³n hopitalario que viene en rollos y se vende por libra</t>
  </si>
  <si>
    <t>ROLLO DE ALGODON HOSPITALARIO</t>
  </si>
  <si>
    <t>ALIMENTOS ANIMALES CONSENTRADO X BULTO</t>
  </si>
  <si>
    <t>CONEJINA X 40 KILOS RINGO PARA CACHORROS POR 15 kL X BULTO CASCARILLA DE ARROZ X BULTO</t>
  </si>
  <si>
    <t>Nivel de proteina 30% para peces</t>
  </si>
  <si>
    <t>AMPLIFICADOR EQUIPO PARA AUDITORIO MARCA</t>
  </si>
  <si>
    <t>amplificador dos cabinas con microfono</t>
  </si>
  <si>
    <t>2,000,000</t>
  </si>
  <si>
    <t>ARCHIVADOR METALICO</t>
  </si>
  <si>
    <t>ARCHIVADOR METALICO DE 4 GAVETAS, DOBLE CORRDERA, PITURA AL HORNO</t>
  </si>
  <si>
    <t>LAB. MECANICA DE SUELOS</t>
  </si>
  <si>
    <t>ARCHIVADOR RODANTE</t>
  </si>
  <si>
    <t>ARCHIVADORES LABORATORIO CONTABLE</t>
  </si>
  <si>
    <t>18,000,000</t>
  </si>
  <si>
    <t>ARCHIVADOR VERTICAL DE 4 GAVETAS MADERA</t>
  </si>
  <si>
    <t>1,102,000</t>
  </si>
  <si>
    <t>ARCHIVADORES PARA LOS DOCENTES DEL PROGRAMA DE CONTADURIA PUBLICA</t>
  </si>
  <si>
    <t>2,204,000</t>
  </si>
  <si>
    <t>ARCHIVADORES EN MADERA PARA LOS DOCENTES DEL PROGRAMA DE ADMINISTRACION FINANCIERA</t>
  </si>
  <si>
    <t>ARCHIVADORES EN MADERA PARA DOCENTES DEL PROGRAMA DE ECONOMIA</t>
  </si>
  <si>
    <t>CONSULTORIO JURIDICO Y CENTRO DE CONCILIACION</t>
  </si>
  <si>
    <t>Para archivar la correspondencia</t>
  </si>
  <si>
    <t>AUTOCLAVE</t>
  </si>
  <si>
    <t>AUTOCLAVES DE 40 LITROS</t>
  </si>
  <si>
    <t>BAFLE</t>
  </si>
  <si>
    <t>Bafle modelo NS-100 Yamaha.</t>
  </si>
  <si>
    <t>3,120,000</t>
  </si>
  <si>
    <t>BAJALENGUAS X PAQUETE</t>
  </si>
  <si>
    <t>Bajalenguas para practicas de fisiologia</t>
  </si>
  <si>
    <t>BALANZA.. ANALITICA DIGITAL</t>
  </si>
  <si>
    <t>BALANZA ANALITICA SNSIBILIDAD 0.0001 GR -</t>
  </si>
  <si>
    <t>12,000,000</t>
  </si>
  <si>
    <t>BALANZA OHAUS DE OKATI 499 g 0.1G</t>
  </si>
  <si>
    <t>BALANZA ANALITICA DE 1/10 MILESIMA</t>
  </si>
  <si>
    <t>BALANZA ANALITI A AROTEZ PARA EL LABORATORIO DE BIOTECNOLOGIA</t>
  </si>
  <si>
    <t>3,400,000</t>
  </si>
  <si>
    <t>Balanza anÃ¡litica con 0.001g de precisiÃ³n para el balaratorio de suelso</t>
  </si>
  <si>
    <t>Balanza de presiÃ³n digital, capacidad 600 g y sensibilidad 0.01 gr. (Macroquimica, Artilab Ltda) para el laboratorio de yacimientos.</t>
  </si>
  <si>
    <t>4,000,000</t>
  </si>
  <si>
    <t>Balanza analÃ­tica Marca Ohaus capacidad 210 gramos. lect. 0.0001 con RS-232C. (laboratorio de crudos y derivados)</t>
  </si>
  <si>
    <t>5,375,000</t>
  </si>
  <si>
    <t>Balanza anÃ¡litica, serie pioner 210gx0.1 mg marca OHAUS sensibilidad 0.0001/0.1; capacidad 250 g, para el laboratorio de aguas</t>
  </si>
  <si>
    <t>7,000,000</t>
  </si>
  <si>
    <t>Balanza de presiciÃ³n de dos (2) digitos, para el laboratorio de yacimientos</t>
  </si>
  <si>
    <t>BALANZA.. DE PRECISION DE PLATILLO</t>
  </si>
  <si>
    <t>BALANZA DE PRECISION DE PLATO EXPUESTO 400 GR- SENSIBILIDAD 0.1 GR - OHAUS</t>
  </si>
  <si>
    <t>BALANZA.. ELECTRONICA ANALITICA</t>
  </si>
  <si>
    <t>balanza ohaus de triple brazo capacidad 3610 aprox 0.1 G</t>
  </si>
  <si>
    <t>BALANZA..CON TALLIMETRO</t>
  </si>
  <si>
    <t>BALANZA ANALITICA PRECISION 0.01G</t>
  </si>
  <si>
    <t>BALANZA ANALITICA PRECISION 0.0001G METTLER-TOLEDO</t>
  </si>
  <si>
    <t>BALANZA DHAUS MECANICA CAPAC 20 KGS</t>
  </si>
  <si>
    <t>BALANZA MECANICA DAPAC 20 KG. DAHAUS PARA EL LABORATORIO MECANICA DE SUELOS</t>
  </si>
  <si>
    <t>BALANZA TRIPLE BRAZO CAPAC 2600G. DHAUS LAB. MATERIALES DE LA CONSTRUCCION</t>
  </si>
  <si>
    <t>1,800,000</t>
  </si>
  <si>
    <t>BALON</t>
  </si>
  <si>
    <t>BALON MEDICINAL DE 3 KG</t>
  </si>
  <si>
    <t>BALON MEDICINAL DE 4 KG</t>
  </si>
  <si>
    <t>BALONES MEDICINALES DE 2 KG</t>
  </si>
  <si>
    <t>BALONES VOLIPLAYA MOLTEN</t>
  </si>
  <si>
    <t>2,400,000</t>
  </si>
  <si>
    <t>BALON BALONCESTO</t>
  </si>
  <si>
    <t>#7</t>
  </si>
  <si>
    <t>#6</t>
  </si>
  <si>
    <t>BALON DE FUTBOL</t>
  </si>
  <si>
    <t>blones de fÃºtbol profesional No.5</t>
  </si>
  <si>
    <t>BALON FUTBOL DE SALON</t>
  </si>
  <si>
    <t>balones molten para fÃºtbol de salÃ³n</t>
  </si>
  <si>
    <t>3,250,000</t>
  </si>
  <si>
    <t>BALON MICROFUTBOL</t>
  </si>
  <si>
    <t>molten pvc</t>
  </si>
  <si>
    <t>BALON VOLEIBOL</t>
  </si>
  <si>
    <t>molten VX5SLC1</t>
  </si>
  <si>
    <t>3,600,000</t>
  </si>
  <si>
    <t>BANCO HIDRAULICO</t>
  </si>
  <si>
    <t>Banco de pruebas en bombas para el laboratorio de hidraulica</t>
  </si>
  <si>
    <t>20,000,000</t>
  </si>
  <si>
    <t>Para el laboratorio de Hidraulica</t>
  </si>
  <si>
    <t>Banco de pruebas de tuberÃ­as y accesorios para el laboratorio de hidraulica</t>
  </si>
  <si>
    <t>BANDA DE CAUCHO CAJA X 100 UNIDADES</t>
  </si>
  <si>
    <t>BANDAS JUEGO</t>
  </si>
  <si>
    <t>BANDAS ELASTICAS VARIOS COLORES</t>
  </si>
  <si>
    <t>BANDEJA DE COCINA</t>
  </si>
  <si>
    <t>BANDEJA DE DISECCION MESMALTADA 60X40 CM X 5 CM DE PROFUNDIDAD . VALOR CDA UNO $30.000=</t>
  </si>
  <si>
    <t>BANDERAS</t>
  </si>
  <si>
    <t>Con asta, de la universidad de Colombia y del Municipio.</t>
  </si>
  <si>
    <t>BASCULA</t>
  </si>
  <si>
    <t>BASCULA DE APROXIMACION DE 25 KG</t>
  </si>
  <si>
    <t>Bascula para medir el peso</t>
  </si>
  <si>
    <t>BASCULA DE APROXIMACION 25 G</t>
  </si>
  <si>
    <t>BATAS DOTACION</t>
  </si>
  <si>
    <t>Batas de Dacron manga corta talla M (6) y talla L (4)</t>
  </si>
  <si>
    <t>Batas de Dril marga larga Talla L</t>
  </si>
  <si>
    <t>para protegerse de los Ã¡cidos de la piscina.</t>
  </si>
  <si>
    <t>BATERIA</t>
  </si>
  <si>
    <t>BaterÃ­as de larga duraciÃ³n para camara Panasonic modelo PV-GS320 Con cargador</t>
  </si>
  <si>
    <t>BaterÃ­as de larga duraciÃ³n para cÃ¡mara Sony HDR - HC9 con cargador</t>
  </si>
  <si>
    <t>Baterias para la UPS</t>
  </si>
  <si>
    <t>BAYETILLA BLANCA</t>
  </si>
  <si>
    <t>Bayetilla Blanca para limpiar los equipos</t>
  </si>
  <si>
    <t>1 metro de bayetilal blanca para el laboratorio de construcciones</t>
  </si>
  <si>
    <t>BAYETILLA ROJA</t>
  </si>
  <si>
    <t>i mdetro bayetilla rojas para el laboratorio de construcciones</t>
  </si>
  <si>
    <t>BAYETILLA ROJAS PARA EL LABORATORIO DE SUELOS</t>
  </si>
  <si>
    <t>BIBLIOTECA EN MADERA</t>
  </si>
  <si>
    <t>BIBLIOTECAS EN MADERA PARA LOS DOCENTES DEL PROGRAMA DE ADMINISTRACION FINANCIERA</t>
  </si>
  <si>
    <t>3,040,000</t>
  </si>
  <si>
    <t>BIBLIOTECAS PARA DOCENTES DEL PROGRAMA DE ECONOMIA</t>
  </si>
  <si>
    <t>BIBLIOTECAS PARA LOS DOCENTES PARA EL PROGRAMA DE CONTADURIA PUBLICA</t>
  </si>
  <si>
    <t>BIBLIOTECA PARA GUARDAR CATALGOOS DE EQUIPOS MANUALES DE EQUIPOS, MANUALES DE EXPERIMENTCION</t>
  </si>
  <si>
    <t>BIBLIOTECA VITRINA METALICA</t>
  </si>
  <si>
    <t>Con destino a los tres nuevos profesores de tiempo completo de planta que se vinculan a partir del primer semestre de 2010</t>
  </si>
  <si>
    <t>BIBLOTECA METALICA DE 4 ENTREPAÃ‘OS</t>
  </si>
  <si>
    <t>Biblioteca metÃ¡lica de 1.80 por 1.20 con 4 entrepaÃ±os y 5 compartimientos para el Herbariocolor gris y Centro de DocumentaciÃ³n del Programa</t>
  </si>
  <si>
    <t>BLOWER</t>
  </si>
  <si>
    <t>BLOWER DE 1 CABALLO DE POTENCIA</t>
  </si>
  <si>
    <t>1,200,000</t>
  </si>
  <si>
    <t>BOLSAS PARA BASURA</t>
  </si>
  <si>
    <t>6 PAQUETES DE BOLSAS NEGRAS Y 6 BOLSAS ROJAS</t>
  </si>
  <si>
    <t>BOMBILLO</t>
  </si>
  <si>
    <t>BOMBILLOS DE LUZ HALOGENA Y LUZ VISIBLE</t>
  </si>
  <si>
    <t>BOMBILLO DE LUZ ULTRAVIOLETA PARA CAMARA D SIEMBRA DE CULTIVOS MICROBIOLOGICOS</t>
  </si>
  <si>
    <t>BOMBILLO BASE DE ROSCA PARA MICROSCOPIO INVERTIDO LWT-P5t 6 V - 15 w, A2</t>
  </si>
  <si>
    <t>BOMBILLA 6 V 5 W PARA MICROSCOPIO</t>
  </si>
  <si>
    <t>1,440,000</t>
  </si>
  <si>
    <t>BOMBILLA 6 V 15 W PARA ESTEREOSCOPIO</t>
  </si>
  <si>
    <t>Bombillas para luces de t.v. 500 W. 120 V REF: 6da-PF801R</t>
  </si>
  <si>
    <t>LÃ¡mparas auxiliares portÃ¡tiles para cÃ¡mara de video</t>
  </si>
  <si>
    <t>Bombillos para las vitrinas del museo geolÃ³gico</t>
  </si>
  <si>
    <t>BOMBILLO AHORRADOR 120 WATTIOS</t>
  </si>
  <si>
    <t>BOMBILLO PARA RETROPROYECTOR DE 82 W</t>
  </si>
  <si>
    <t>Bombillos para retroproyector para las clases</t>
  </si>
  <si>
    <t>BOMBILLO PARA VIDEO BEAM</t>
  </si>
  <si>
    <t>2,700,000</t>
  </si>
  <si>
    <t>BORRADOR DE LAPIZ NATA</t>
  </si>
  <si>
    <t>BORRADOR PARA TABLERO ACRILICO</t>
  </si>
  <si>
    <t>200 Borradores para tablero acrÃ­lico</t>
  </si>
  <si>
    <t>BUTACO</t>
  </si>
  <si>
    <t>BUTACOS FIJOS ALTURA 0.45 M, ESTRUCTURA EN TUBO DE UNA PULGADA. ASIENTO EN TRIPLES DE 14 MM - 30 CM DIAMETRO</t>
  </si>
  <si>
    <t>3,500,000</t>
  </si>
  <si>
    <t>BUTAVO GIRATORIO ALTO, ESTRUCTURA EN TUBO METALICO, ASIENTO REDONDO EN POLIESTIRENO TAPIZADO 0.65 M DE ALTURA</t>
  </si>
  <si>
    <t>7,200,000</t>
  </si>
  <si>
    <t>butacos en madera de 70 cmts de alto y 35 cmts de diametro para el laboratorio de Basica II</t>
  </si>
  <si>
    <t>en madera para los laboratorios de comunicaciones de 50 cm de altura por 35 de diametro</t>
  </si>
  <si>
    <t>butacos en madera de 70 cmts de alto y 35 cmts de diametro para el laboratorio de Control</t>
  </si>
  <si>
    <t>butacos en madera de 70 cms de alto y 35 cmts de diametro para el laboratorio de Basica I</t>
  </si>
  <si>
    <t>CABLE</t>
  </si>
  <si>
    <t>Cables RCA a RCA para video stereo</t>
  </si>
  <si>
    <t>Cables firewire de 6 pines a 4 pines</t>
  </si>
  <si>
    <t>Cabe firewire de 4 a 4 pines</t>
  </si>
  <si>
    <t>Cables fire wire de 6 pines a 4 pines</t>
  </si>
  <si>
    <t>Cables fire wire de 4 pines a 4 pines</t>
  </si>
  <si>
    <t>Cable conexion titulador Kart Fisher para balanza (laboratorio de crudos y derivados)</t>
  </si>
  <si>
    <t>CABLE DE BAJA</t>
  </si>
  <si>
    <t>Cables fire wire de 6 pines a 4 pines.</t>
  </si>
  <si>
    <t>Cable para micrÃ³fono de canon a canon.</t>
  </si>
  <si>
    <t>Cable miniplug a plug de 5 mts.</t>
  </si>
  <si>
    <t>Cable de plug a plug de 6 mts.</t>
  </si>
  <si>
    <t>Cable de RCA a RCA de 20 mts de muy buena calidad.</t>
  </si>
  <si>
    <t>Cable de plug a canon de 6 mts.</t>
  </si>
  <si>
    <t>Cbles fire wire de 4 pines a 4 pines.</t>
  </si>
  <si>
    <t>Cable RCA a RCA doble de 10 Mts.</t>
  </si>
  <si>
    <t>Cable de RCA a RCA de 10 mts de muy buena calidad.</t>
  </si>
  <si>
    <t>Cable para micrÃ³fono de canon a plug.</t>
  </si>
  <si>
    <t>Cable de RCA a RCA de 5 mts de muy buena calidad.</t>
  </si>
  <si>
    <t>Cable de RCA a RCA de 15 mts de muy buena calidad.</t>
  </si>
  <si>
    <t>Cable de canon a canon de 6 mts.</t>
  </si>
  <si>
    <t>Cable miniplug a miniplug de 5 mts.</t>
  </si>
  <si>
    <t>Cable para micrÃ³fono de canon a mini plug.</t>
  </si>
  <si>
    <t>CALCULADORA MANUAL</t>
  </si>
  <si>
    <t>CALIBRADOR DE AIRE</t>
  </si>
  <si>
    <t>CALIBRADOR MANUAL EN ACERO INOXIDABLE-</t>
  </si>
  <si>
    <t>CAMARA</t>
  </si>
  <si>
    <t>CÃ¡maras para estudio de televisiÃ³n</t>
  </si>
  <si>
    <t>45,000,000</t>
  </si>
  <si>
    <t>180,000,000</t>
  </si>
  <si>
    <t>CÃ¡mara Mini DVD HD profesionales Gama Media.</t>
  </si>
  <si>
    <t>22,500,000</t>
  </si>
  <si>
    <t>camara de sedimentacion de plancton</t>
  </si>
  <si>
    <t>CAMARA DE FLUJO LAMINAR</t>
  </si>
  <si>
    <t>15,000,000</t>
  </si>
  <si>
    <t>CAMARA DE SEDIMENTACION PLANCTON</t>
  </si>
  <si>
    <t>Camara nikon adaptable a microscopio y a estereoscopio.</t>
  </si>
  <si>
    <t>8,000,000</t>
  </si>
  <si>
    <t>CAMARA SUBACUATICA LUMIX 10 MEGA</t>
  </si>
  <si>
    <t>CAMARA DE TERMOTERAPIA AROTEZ LABORATORIO VIOTECNOLOGIA</t>
  </si>
  <si>
    <t>14,000,000</t>
  </si>
  <si>
    <t>Camara digital marca optika modelo OPTIKA PRO5 Ref. 408312 para acondicionarla a un microscopio binocular, del laboratorio de geologÃ­a</t>
  </si>
  <si>
    <t>6,463,520</t>
  </si>
  <si>
    <t>CAMARA DE VIDEO</t>
  </si>
  <si>
    <t>CAMARA DE SEDIMENTACION PARA PALNCTON</t>
  </si>
  <si>
    <t>CÃ¡mara de Video Digital profesional Gama Alta</t>
  </si>
  <si>
    <t>30,000,000</t>
  </si>
  <si>
    <t>CÃ¡mara de video digital profesional Gama Alta.</t>
  </si>
  <si>
    <t>CÃ¡mara de video de Ãºltima generaciÃ³n.</t>
  </si>
  <si>
    <t>36,000,000</t>
  </si>
  <si>
    <t>CÃ¡maras Mini DV HD profesionales Gama Media</t>
  </si>
  <si>
    <t>CÃ¡maras Mini DV 3CCD Profesionales</t>
  </si>
  <si>
    <t>17,500,000</t>
  </si>
  <si>
    <t>6 CÃ¡maras de Video para las sedes de Neiva, Pitalito, la Plata y GarzÃ³n</t>
  </si>
  <si>
    <t>7 CÃ¡maras de Video para las Aulas virtuales, auditorio, Programas y sedes de Neiva (Edificio nuevo de la Facultad de EconomÃ­a y AdministraciÃ³n), GarzÃ³n, la Plata, Pitalito de la Universidad Surcolombiana</t>
  </si>
  <si>
    <t>Registro de eventos y actividades acadÃ©micas e investigativas del Programa</t>
  </si>
  <si>
    <t>CAMARA FOTOGRAFICA</t>
  </si>
  <si>
    <t>CÃ¡maras fotogrÃ¡ficas digitales con opciÃ³n de video. 10 Megapixel Zoom Ã“ptico de 3X $600.000 cada una</t>
  </si>
  <si>
    <t>CÃ¡mara fotogrÃ¡ficas de 16 megapixeles con lente intercambiable.</t>
  </si>
  <si>
    <t>9,500,000</t>
  </si>
  <si>
    <t>CÃ¡maras fotogrÃ¡ficas de 16 megapixeles con lente intercambiable</t>
  </si>
  <si>
    <t>7 CÃ¡maras fotogrÃ¡ficas para los programas de ContadurÃ­a PÃºblica, EconomÃ­a, AdministraciÃ³n Financiera y AdministraciÃ³n de Empresas y Sedes de GarzÃ³n, Pitalito y la Plata</t>
  </si>
  <si>
    <t>4 CÃ¡maras FotogrÃ¡ficas para las sedes de Neiva, Pitalito, la Plata y GarzÃ³n</t>
  </si>
  <si>
    <t>CAMARA LAB. PARA CIRCUITO CERRADO DE TV</t>
  </si>
  <si>
    <t>CAMARA DE NEWBAUER</t>
  </si>
  <si>
    <t>CAMARA LETAL PARA ENTOMOLOGIA</t>
  </si>
  <si>
    <t>CAMILLLAS</t>
  </si>
  <si>
    <t>CANDADO</t>
  </si>
  <si>
    <t>CANDADOS PARA LOCKER - LABORATORIO DE BIOLOGIA</t>
  </si>
  <si>
    <t>CAPACITACION OPERATIVA</t>
  </si>
  <si>
    <t>CAPACITACION AUXILIAR BIOTERIO: UNVERSIDAD NACIONAL BOGOTA COLOMBIA X 5 DIAS</t>
  </si>
  <si>
    <t>CARPA</t>
  </si>
  <si>
    <t>CARPAS DE CAMPI PARA 6 A 7 PERSONAS EN LONA</t>
  </si>
  <si>
    <t>CARPETA PLASTIFICADA TAMAÃƒ?O CARTA</t>
  </si>
  <si>
    <t>CARPETA COLGANTE, VARILLA DE ACERO, PORTAGUIA PLÃSTICA</t>
  </si>
  <si>
    <t>CARTUCHO IMPRESORA HP DESKJET930C No.78 REF.C6578D TRICOLOR</t>
  </si>
  <si>
    <t>Tinta para la impresora 930 C</t>
  </si>
  <si>
    <t>CARTUCHO IMPRESORA HP PSC 1210 No.57 REF.C6657A TRICOLOR</t>
  </si>
  <si>
    <t>PreparaciÃ³n de actividades acadÃ©micas e investigativas</t>
  </si>
  <si>
    <t>Laser Jet P1006</t>
  </si>
  <si>
    <t>HP Laser Jet 1320</t>
  </si>
  <si>
    <t>CD - R TORRE X 100 UNIDADES</t>
  </si>
  <si>
    <t>1,254,825</t>
  </si>
  <si>
    <t>5 Torres de CDS regrabables</t>
  </si>
  <si>
    <t>CD PARA DVD - R. TORRE X 100 UNIDADES</t>
  </si>
  <si>
    <t>1,862,790</t>
  </si>
  <si>
    <t>CD PARA DVD - RW X UNIDAD</t>
  </si>
  <si>
    <t>CEPILLO PARA ASEO</t>
  </si>
  <si>
    <t>cepillo metalico para limpiar pisicna</t>
  </si>
  <si>
    <t>CHALECO</t>
  </si>
  <si>
    <t>CHALECOS SALVAVIDAS PARA DULTOS CON VALOR APROXIMADO DE $100.000.</t>
  </si>
  <si>
    <t>CHALECO PARA PERIODISTAS Y CAMAROGRAFOS</t>
  </si>
  <si>
    <t>CHIMCHORRO</t>
  </si>
  <si>
    <t>CHINCHORRO DE 40 MTS. CON 0.5 DE OJO DE MALLA PROF. 2 MTS. CON COLLAS Y PESOS</t>
  </si>
  <si>
    <t>CHINCHORRO DE 25 MTS.CON 0.5 DE OJO DE MALLA</t>
  </si>
  <si>
    <t>Chinchorro para pesca de 25 mts con 0.5 de ojo de malla</t>
  </si>
  <si>
    <t>CHINCHES. CAJA X 50 UNIDADES</t>
  </si>
  <si>
    <t>10 Cajas de chinches</t>
  </si>
  <si>
    <t>CILINDRO DE GAS</t>
  </si>
  <si>
    <t>Cilindro para toma de muestras de gas natural, ref: 316L-HDF4-500 Double Ended DOT, 500 cM3, 1800 psig.</t>
  </si>
  <si>
    <t>CINTA</t>
  </si>
  <si>
    <t>CINTAS METRICAS DE 30 M</t>
  </si>
  <si>
    <t>CINTAS METRICAS ( FLEXOMETRO 5 METROS X3/4Â¨)</t>
  </si>
  <si>
    <t>CINTA METRICA</t>
  </si>
  <si>
    <t>CINTA AISLANTE</t>
  </si>
  <si>
    <t>Rollo de cinta gris.</t>
  </si>
  <si>
    <t>CINTA MINI DV</t>
  </si>
  <si>
    <t>Mini DVCam</t>
  </si>
  <si>
    <t>Mini DV HD</t>
  </si>
  <si>
    <t>Cinta mini DV</t>
  </si>
  <si>
    <t>CLORO GRANULADO</t>
  </si>
  <si>
    <t>CLORO HTH GRANULADO 45KG CADA UNA HTH</t>
  </si>
  <si>
    <t>8,750,000</t>
  </si>
  <si>
    <t>COLECCION HISTOLOGICAS</t>
  </si>
  <si>
    <t>COLECCION PLACAS DE BIOLOGIA CELULAR Y DE PARASITOLOGIA X 100 PLACAS</t>
  </si>
  <si>
    <t>COLECCION PLACAS DE HISTOLOGIA X 100 PLACAS</t>
  </si>
  <si>
    <t>COMBUSTIBLES Y LUBRICANTES. ÃREA OPERATIVA</t>
  </si>
  <si>
    <t>GRASA LB GRANJA</t>
  </si>
  <si>
    <t>GASOLINA 100 GALONES GRANJA</t>
  </si>
  <si>
    <t>ACPM GRANJA 3 CANECAS POR 55 G</t>
  </si>
  <si>
    <t>3,350,000</t>
  </si>
  <si>
    <t>COMPRESOR DE AIRE TIPO PM REGULADO</t>
  </si>
  <si>
    <t>COMPUTADOR PERSONAL</t>
  </si>
  <si>
    <t>Con procesador Intel Core 2 Duo E7300/2.8 Ghz 3m 1066 FSB Memoria RAM 4 Gb Non-ECC 800 Mhz DDR2, Disco Duro 1 de 160 Gb Sata, Pantalla LCD de 17 pulgadas con parlantes, 1 Unidad de CD/DVD RW, Tarjeta de Video Integrada, Teclado en EspaÃ±ol, Mousse optico con 2 botones y Scroll, Tarjeta de Red Integrada 10/100/1000, Adaptador de Red inalambrico IEEE 802.11 b/g/ PCI, Puertos USB 2.0 4 puertos,</t>
  </si>
  <si>
    <t>2,300,000</t>
  </si>
  <si>
    <t>4,600,000</t>
  </si>
  <si>
    <t>CPU INTEL CORE 2 DUO E8600 3.33 GHZ, 4GB EN RAM, 320 GB EN DISCO DURO PANTALLA 19"</t>
  </si>
  <si>
    <t>46,000,000</t>
  </si>
  <si>
    <t>PC DE MESA, DISCO DURO 250 G, MEMORIA RAM 3G. MONITOR LCD 19</t>
  </si>
  <si>
    <t>9,200,000</t>
  </si>
  <si>
    <t>PARA LA OFICINA DE FISICA PURA</t>
  </si>
  <si>
    <t>PARA LAS OFICINAS DE LAS DOCENTES DE ENFERMERIA</t>
  </si>
  <si>
    <t>6,900,000</t>
  </si>
  <si>
    <t>FACIEN</t>
  </si>
  <si>
    <t>10, COMPUTADORES CON MEMORIA DE 2 A 3 GIGAS, DISCO DURO DE 320, QUEMADOR, PARLANTES, QUE SE COLOCARAN EN LOS CUBÃCULOS DE LA SALA ADICIONAL BIBLIOTECA ELECTRONICA SALUD.</t>
  </si>
  <si>
    <t>23,000,000</t>
  </si>
  <si>
    <t>PARA LA BIBLIOTECA CENTRAL</t>
  </si>
  <si>
    <t>92,000,000</t>
  </si>
  <si>
    <t>ReposiciÃ³n de dos computadores de escritorio al servicio de los profesores del Programa</t>
  </si>
  <si>
    <t>CONTADURIA PUBLICA</t>
  </si>
  <si>
    <t>COMPUTADOR - LABORATORIO DE FISICA</t>
  </si>
  <si>
    <t>COMPUTADORES PARA EL ANALISIS DE DATOS EXPERIMETNALES EN INTERFASE CON LA TEGNOLOGIA COBRA -</t>
  </si>
  <si>
    <t>11,500,000</t>
  </si>
  <si>
    <t>COMPUTADORES PARA SALA INFORMATICA MATEMATICA APLICADA -</t>
  </si>
  <si>
    <t>COMPUTADORES DE MESA</t>
  </si>
  <si>
    <t>COMPUTADOR MEMORIA DDR2.2 GIGAS EN RAM- DISCO DURO DE 320 GB, PROCESADOR DE 3,2 GHZ COM QUEMADOR DE DVD MONITOR DE 17Â¨.</t>
  </si>
  <si>
    <t>Computador Imac de 24 pulgadas; disco duro de 340 Gigas; procesador de 2.8 GHz; memoria RAM de 5 Gigas; Software para emisiÃ³n de radio de buena calidad.</t>
  </si>
  <si>
    <t>Computador Imac de 20 pulgadas; disco duro de 500 Gigas; procesador de 2.8 GHz; memoria RAM de 4 Gigas; Software para ediciÃ³n de radio Soundtrack.</t>
  </si>
  <si>
    <t>AsignaciÃ³n espacio fÃ­sico, dotaciÃ³n y adecuaciÃ³n completa Sala Virtual para la Facultad de Ciencias Sociales y Humanas.</t>
  </si>
  <si>
    <t>57,500,000</t>
  </si>
  <si>
    <t>Computador con disco duro de 500 gigas, procesador de 2,8 GHz, memoria RAM de 4 gigas, Software de ediciÃ³n para radio. Cada uno cuesta: $2.530.000</t>
  </si>
  <si>
    <t>13,800,000</t>
  </si>
  <si>
    <t>102 Computadores para dotar las Aulas Virtuales de los programas en el nuevo edificio de la Facultad de EconomÃ­a y AdministraciÃ³n</t>
  </si>
  <si>
    <t>COMPUTADORES DE ESCRITORIO CON TODOS SUS ACCESORIOS (PUNTOS DE RED)</t>
  </si>
  <si>
    <t>115,000,000</t>
  </si>
  <si>
    <t>234,600,000</t>
  </si>
  <si>
    <t>COMPUTADORES PARA LOS DOCENTES PARA EL PROGRAMA DE CONTADURIA PUBLICA</t>
  </si>
  <si>
    <t>69,000,000</t>
  </si>
  <si>
    <t>COMPUTADORES DE ESCRITORIO CON ACCESORIOS PARA SALA INTELIGETE DEL PROGRAMA DE ECONOMIA</t>
  </si>
  <si>
    <t>COMPUTADORES LABORATORIO CONTALE</t>
  </si>
  <si>
    <t>138,000,000</t>
  </si>
  <si>
    <t>102 Computadores para los laboratorios del edificio nuevo de EconomÃ­a</t>
  </si>
  <si>
    <t>COMPUTADORES CON PROC3ESADOR INTEL CORE 2 QUAD, MEMORIA 4 GB DISCO 320 GB, MONITOR DE 20" WIDESCREEN, QUEMADOR DVD, TECLADO EN ESPAÃ‘OL, MOUSE , WINDOWS XP PARA LA SALA DE INFORMATICA DE LA FACULTAD DE INGENIERIA</t>
  </si>
  <si>
    <t>27,600,000</t>
  </si>
  <si>
    <t>Computador personal Pentium</t>
  </si>
  <si>
    <t>Computador portatil necesario para llevar a cabo investigaciÃ³n en el laboratorio de inmunologÃ­a</t>
  </si>
  <si>
    <t>PARA EL LABOARTORIO DE FOTINPERTACION</t>
  </si>
  <si>
    <t>COMPUTADOR DE MESA LAB. MECANICA DE SUELOS</t>
  </si>
  <si>
    <t>para el laboratorio de hidraulica</t>
  </si>
  <si>
    <t>Computador alta capacidad en Procesador y Memoria RAM ARGIS Y SURFER PARA EL LABORATORIO DE SIG</t>
  </si>
  <si>
    <t>PARA EL LABORATORIO DE SIMULACION</t>
  </si>
  <si>
    <t>para laboratorio de simulacion</t>
  </si>
  <si>
    <t>COMPUTADOR PORTATIL</t>
  </si>
  <si>
    <t>Con Disco Duro 500Gb; Memoria RAM 4 Gb, Procesador AMD Turiom o Intel, Core Duo 2,3 Ghz, Puertos USB, Tarjeta de Video, Quemador de DVD doble capa (blue raid), Bus de datos a 800 Mhz, Pantalla de 17 pulgadas, tarjeta de Red, tarjeta Inalambrica</t>
  </si>
  <si>
    <t>15,312,000</t>
  </si>
  <si>
    <t>COMPUTADORES PORTATILES PARA LOS DOCENTES DEL PROGRAMA DE ECONOMIA</t>
  </si>
  <si>
    <t>para la biblioteca central</t>
  </si>
  <si>
    <t>25,520,000</t>
  </si>
  <si>
    <t>computadores para repartir entre los docentes del programa</t>
  </si>
  <si>
    <t>38,280,000</t>
  </si>
  <si>
    <t>DISCO DURO 250 G MEMORIA RAM 3G, MONITOR LCD 19 CON PESO LIVIANO. PROGRAMA DE MEDICINA</t>
  </si>
  <si>
    <t>68,904,000</t>
  </si>
  <si>
    <t>COMPUTADORES PORTATILES PARA LOS DOCENTES DEL PROGRAMA DE ADMINISTRACION FINANCIERA</t>
  </si>
  <si>
    <t>Intel Core 2 Duo P8700 (2.53GHz 3MB L2 Cache, 1066MHz) Dual core, 4GB en RAM, 320 GB en disco duro, Pantalla17".</t>
  </si>
  <si>
    <t>Intel Core 2 Duo P8700 (2.53GHz 3MB L2 Cache, 1066MHz) Dual core, 4GB en RAM, 320 GB en disco duro, Pantalla17" .</t>
  </si>
  <si>
    <t>12,760,000</t>
  </si>
  <si>
    <t>40,832,000</t>
  </si>
  <si>
    <t>PORTATIL DUAL CORE, 2 GIGAS EN RAM - DISCO DURO DE 320 GB, PROCESDOR DE 3.2 GHZ-CON QUEMADOR DE CD - DVD - LECTOR MULTITARJETAS - CMARA WEB- PANTALLA DE 15Â¨Â¨</t>
  </si>
  <si>
    <t>COMPUTADOR PORTATIL - PROGRAMA FISICA PURA - AULA MULTIMEDIAL</t>
  </si>
  <si>
    <t>COMPUTADOR PORTATILES</t>
  </si>
  <si>
    <t>CONSULTORIO JURIDICO, CENTRO DE CONCILIACION Y LABORATORIO 317</t>
  </si>
  <si>
    <t>40 Computadores PortÃ¡tiles para la dotaciÃ³n de Aulas Virtuales y docentes de la Facultad de EconomÃ­a y AdministraciÃ³n (Edificio Nuevo)</t>
  </si>
  <si>
    <t>40 Computadores PortÃ¡tiles para la adecuaciÃ³n de los laboratorios del edificio nuevo de EconomÃ­a</t>
  </si>
  <si>
    <t>Computador portatil con escaner, estabilizador, con suficiente capacidad que soporte los diferentes sotfware empleados en el museo.</t>
  </si>
  <si>
    <t>COMPUTADOR SERVIDOR</t>
  </si>
  <si>
    <t>Un servidor de Base de Datos y Dos (2) Servidores de Aplicaciones con la siguiente configuracion: Con dos (2) procesadores Intel XEON, secuencia 7000, 1066 Mhz, Disco Duro de 5 Terabytes, Memoria RAM de 24 Gb, 1066 Mhz, Quemador DVD doble capa, puertos USB, Tarjeta de Red 10/100/1000, Bus de datos de 64 bits.</t>
  </si>
  <si>
    <t>50,000,000</t>
  </si>
  <si>
    <t>Doble procesador: Intel Xeron E5502, 1.86ghz, 4M Cache, 4.86 GT/s QPI. Memoria RAM: 16GB memory (8x2GB), 1066MHz Dual Ranked UDIMMs for 2 Processors, adv ECC. Dos discos duros: 1) 160GB 7.2 K RPM SATA 3.5" Hot Plug Hard Drive, 2) 1TB 7.2K RPM SATA 3.5" Hotplug hard drive. sistema operativo: ninguno. PARA EL LABORATORIO - FACTORIA DE SOFTWARE.</t>
  </si>
  <si>
    <t>48,000,000</t>
  </si>
  <si>
    <t>CONECTOR</t>
  </si>
  <si>
    <t>Conector de mini plug a plug.</t>
  </si>
  <si>
    <t>Conector de plug a RCA.</t>
  </si>
  <si>
    <t>Conector de RCA a plug.</t>
  </si>
  <si>
    <t>Conector de plug grande a mini plug.</t>
  </si>
  <si>
    <t>CONFERENCISTAS</t>
  </si>
  <si>
    <t>CONFERENCIAS PARA EL PRIMER SEMESTRE B/2010 - MATEMATICA ALICADA</t>
  </si>
  <si>
    <t>CONMUTADOR TELEFONICO</t>
  </si>
  <si>
    <t>1 Conmutador TelefÃ³nico para adecuar el sistema de comunicaciones de los laboratorios tÃ©cnolÃ³gicos y oficinas del nuevo edificio de la Facultad de EconomÃ­a y AdministraciÃ³n</t>
  </si>
  <si>
    <t>Un (1) Conmutador el edificio nuevo de la Facultad de EconomÃ­a y AdministraciÃ³n con sus respectivas derivaciones para todas las dependencias de la misma.</t>
  </si>
  <si>
    <t>CONSOLA DIGITAL</t>
  </si>
  <si>
    <t>Consola mezcladora y grabadora de audio estÃ©reo digital, de 8 canales, con entradas y canon y lÃ­nea de plug para micrÃ³fono, marca Sony.</t>
  </si>
  <si>
    <t>CONVERTIDOR MINI PLUG</t>
  </si>
  <si>
    <t>Convertidor miniplug hembra triple a Plug Macho.</t>
  </si>
  <si>
    <t>Convertidor miniplug hembra doble a Plug Macho.</t>
  </si>
  <si>
    <t>Convertidor miniplug hembra triple a Miniplug Macho.</t>
  </si>
  <si>
    <t>Convertidor miniplug hembra doble a Mini Plug Macho.</t>
  </si>
  <si>
    <t>CONVERTIDOR RCA</t>
  </si>
  <si>
    <t>Convertidor RCA hembra doble a MiniPlug Macho.</t>
  </si>
  <si>
    <t>Convertidor RCA hembra dobrel a Mini Plug Macho.</t>
  </si>
  <si>
    <t>Convertidor RCA hembra doble a Pulg Macho.</t>
  </si>
  <si>
    <t>CORREAS FIJACION ELECTROCARDIOGRAFO</t>
  </si>
  <si>
    <t>Coadyuvante Lts 24 Lts</t>
  </si>
  <si>
    <t>CORRECTOR LIQUIDO. PRESENTACION LAPIZ</t>
  </si>
  <si>
    <t>30 correctores lÃ­quidos</t>
  </si>
  <si>
    <t>CORTINA CON SUS RESPECTIVOS CORTINERO</t>
  </si>
  <si>
    <t>CORTINAS AULA 204</t>
  </si>
  <si>
    <t>CORTINAS PARA EL CONSULTORIO JURIDICO, CENTRO DE CONCILIACION Y LABORATORIO 317</t>
  </si>
  <si>
    <t>PERSIANA</t>
  </si>
  <si>
    <t>60 Cortinas con sus respectivos cortineros para las dependencias del nuevo edificio de la Facultad de EconomÃ­a y AdministraciÃ³n</t>
  </si>
  <si>
    <t>80 Cortinas para adecuar los laboratorios, oficinas y el auditorio del nuevo edificio de la Facultad de EconomÃ­a y AdministraciÃ³n</t>
  </si>
  <si>
    <t>80,000,000</t>
  </si>
  <si>
    <t>CORTINAS</t>
  </si>
  <si>
    <t>40 Cortinas para adecuar los laboratorios virtuales y los salones del edificio nuevo de economÃ­a</t>
  </si>
  <si>
    <t>COSEDORA</t>
  </si>
  <si>
    <t>10 Cosedoras</t>
  </si>
  <si>
    <t>CRISTALERIA</t>
  </si>
  <si>
    <t>VIDRIO DE RELOJ 50 - CAJAS PETRI 10 - LAVADORES PARA PIPETAS 25 - GRADILLAS PARA TUBOS Y PIPETAS 10 - GARRFAS CON LLAVE PARA ALMACENAMIENTO 5 - RECIPIENTES PARA MUESTREO 20 - EMBUDOS ANALITICOS Y BUCHNNER 15 - TUBOS TAPA ROSCA PARA CENTRIFUGAS 50 - SOPORTES UNIVERSALES 25 - VARILLAS PARA SOPORTES 15 - PINZAS PARA SUJECCION DE VIDRIERIA 15 - MECHEROS FISHER PARA GAS PROPANO 10 - MALLAS FISHER Y PLACAS REFRACTAIRAS 10 - NUECES PARA SOPORTES 10 - ESPATULAS Y MICROESPATULAS 30 - TRIPODES 10- GRADILLAS MATALICA 10- CHURRUSCOS SURTIDOS PARA LAVADO DE VIDRIERIA 40- PINZAS PARA ESMERILADOS 20 - SOPORTES PARA ECURRIDO DE VIDRIERIA 10- PINZA MOHR PAFA MANGUERAS 10 - SOPORTES PARA EMBUDOS 20 - PINZAS PARA ELECTRODOS ET- 10 - TAMICES METALICOS SURTIDOS 50 - AGITADORES MECANICOS 5 - PERAS DE CAUCHO 50</t>
  </si>
  <si>
    <t>CAPSULAS 20 - CRISOLES 20 - CRISOLES DE PALTINO 1 - MORTEROS 20 - PLACAS PARA TINCION EN VIDRIO 10 - EMBUDOS BUCHNER 2 - MALTRACES DE 50-100-250-500 ML -25 - ERLENMEYER DE 250 Y 500 ML - 20 BOMBA IMPELENTE ASPIRANTE CON TRAMPA DE ACIETE -2 - VASOS DE PRECIPITADO 8BEAKERS) 80-100-250-300-400-500 Y 1000 ML 50 - PIPETAS DE 1,2,5, Y 10 ML - 100 - BURETAS GRADUADAS Y AFORADAS DE 25 Y 50 ML - BALONES VOLUMETRICOS DE 100-250 Y 500 ML 15 - REFIGRERANTES 15 - PROBETAS DE 50,100 Y 250 50</t>
  </si>
  <si>
    <t>CRONOMETRO</t>
  </si>
  <si>
    <t>MARCA MAX 10 MEMORIAS</t>
  </si>
  <si>
    <t>CUBREALFOMBRA</t>
  </si>
  <si>
    <t>40 Cubrealfombras para el edificio y las oficinas del nuevo edificio de la Facultad de EconomÃ­a y AdministraciÃ³n</t>
  </si>
  <si>
    <t>40 Cubrealfombras para adecuar los laboratorios y oficinas del edificio nuevo de EconomÃ­a</t>
  </si>
  <si>
    <t>DESINFECTANTE Y ESTERILIZANTE</t>
  </si>
  <si>
    <t>DESTILADOR EASYRO SISTEM</t>
  </si>
  <si>
    <t>Destilador desionizador de agua</t>
  </si>
  <si>
    <t>DESTILADOR AROTEZ PARA EL LABORATORIO DE BIOTECNOLOGIA</t>
  </si>
  <si>
    <t>DISPENSADOR DE AGUA FRIA Y CALIENTE</t>
  </si>
  <si>
    <t>DIVISIONES MODULARES</t>
  </si>
  <si>
    <t>Para el Laboratorio - Factoria de Software.</t>
  </si>
  <si>
    <t>ELECTROBOMBAS</t>
  </si>
  <si>
    <t>ELECTROBOMBA DE 1 CABALLO DE POTENCIA</t>
  </si>
  <si>
    <t>ELECTRODOS</t>
  </si>
  <si>
    <t>Electrodos adhesivos adultos para electrocardiografÃ­a (paquetes x 100)</t>
  </si>
  <si>
    <t>ELEMENTOS DEPORTIVOS</t>
  </si>
  <si>
    <t>CONOS PEQUEÃ‘OS</t>
  </si>
  <si>
    <t>36 uniformes deportivos para los estudiantes de EducaciÃ³n FÃ­sica de la sede de Pitalito</t>
  </si>
  <si>
    <t>trajes de presentaciÃ³n para los estudiantes de la Sede de Pitalito</t>
  </si>
  <si>
    <t>COLCHONETAS GRANDES DE SEGURIDAD PARA GIMNASIA</t>
  </si>
  <si>
    <t>1,400,000</t>
  </si>
  <si>
    <t>2,800,000</t>
  </si>
  <si>
    <t>CALIBRADOR DE AIRE ANALOGO</t>
  </si>
  <si>
    <t>TABLAS PARA NATACION</t>
  </si>
  <si>
    <t>JABALINAS</t>
  </si>
  <si>
    <t>ESTACAS AMARILLAS DE BASE PLASTICA MOLTEN</t>
  </si>
  <si>
    <t>COLCHONETAS PLEGABLES AZUL, PARA GIMNASIA</t>
  </si>
  <si>
    <t>AROS</t>
  </si>
  <si>
    <t>ESTACAS VERDES CON PUNTA DE ACERO MOLTEN</t>
  </si>
  <si>
    <t>LAZOS NORMALES</t>
  </si>
  <si>
    <t>PELOTAS DE CAUCHO PEQUEÃ‘AS</t>
  </si>
  <si>
    <t>PLATILLOS DE ENTRENAMIENTO</t>
  </si>
  <si>
    <t>VIGA DE EQUILIBRIO PARA EVALUACIÃ“N</t>
  </si>
  <si>
    <t>1,100,000</t>
  </si>
  <si>
    <t>PITOS PROFESIONALES</t>
  </si>
  <si>
    <t>CARRO BALONERO MIKASA PARA VOLEIBOL</t>
  </si>
  <si>
    <t>CONOS MEDIANOS</t>
  </si>
  <si>
    <t>CONOS GRANDES</t>
  </si>
  <si>
    <t>PETOS PLASTICOS</t>
  </si>
  <si>
    <t>ELEMENTOS PARA LABORATORIO</t>
  </si>
  <si>
    <t>ROLLOS DE CINTA INDICADORA DE ESTERILIZACION</t>
  </si>
  <si>
    <t>Tanque y contenedores de nitrogeno lÃ­quido.</t>
  </si>
  <si>
    <t>HORNO ELECTRICO</t>
  </si>
  <si>
    <t>15 BALONES DE FONDO PLANO DE 100 ML LAB. DE SUELOS</t>
  </si>
  <si>
    <t>5 PIPETAS AFORADAS DE 2 ML LABORATORIO DE SUELOS</t>
  </si>
  <si>
    <t>PINZA VOLTIAMPERIMÃ‰TRICA PARA EL LABORATORIO DE SECADO</t>
  </si>
  <si>
    <t>5 PIPETS AFORADAS DE 1 ML LABORATORIO DE SUELOS</t>
  </si>
  <si>
    <t>DESECADOR METTLER-TOLEDOPARA EL LABORATORIO DE SECADO</t>
  </si>
  <si>
    <t>10 PIPETAS GRADUADAS DE 1 ML PARA EL LABORATORIO DE SUELOS</t>
  </si>
  <si>
    <t>G.P.S. Galmin 76 CX laboratorio de topografia</t>
  </si>
  <si>
    <t>PROBETAS DE 1500 ML LAB. DE SUELOS</t>
  </si>
  <si>
    <t>11,250,000</t>
  </si>
  <si>
    <t>ERLENMEYER DE 100ML LAB DE SUELOS</t>
  </si>
  <si>
    <t>3,200,000</t>
  </si>
  <si>
    <t>ESTUFA DE SECACION QUIRAMED. SERIE 361 PARA EL LABORATORIO DE SECADO</t>
  </si>
  <si>
    <t>Planimetros digitales Platcom Topcon para el laboratorio se FOTOINTERPRETACION</t>
  </si>
  <si>
    <t>HIDROMETROS (CLASIFICACION TEXTUAL SUELOS)</t>
  </si>
  <si>
    <t>ESPATULAS PARA MANIPULAR SUELOS Y QUIMICOS LAB DE SUELOS</t>
  </si>
  <si>
    <t>10 BEAKER DE 100 ML LAB DE SUELOS</t>
  </si>
  <si>
    <t>ERLENMEYER CON DESPRENDIMIENTO LAGTERAL DE 100ML LAB DE SUELOS</t>
  </si>
  <si>
    <t>ANEMOMETRO DIGITAL KYORITZA 750V Y 600 A PARA EL LABORATORIO DE SECADO</t>
  </si>
  <si>
    <t>15 BEAKER DE 50 ML LAB DE SUELOS</t>
  </si>
  <si>
    <t>1,350,000</t>
  </si>
  <si>
    <t>Transito digital nikon laboratorio topografia</t>
  </si>
  <si>
    <t>Esteroscopio de espejos Galmin 76 CX para el laboratorio de topografia</t>
  </si>
  <si>
    <t>BALANZA TRIPLE BRAZO CAPAC. 2600G. DHAUS</t>
  </si>
  <si>
    <t>AUTOCLAVE AROTEZ PARA EL LABORATORIO DE BIOTECMOLOGIA</t>
  </si>
  <si>
    <t>17,000,000</t>
  </si>
  <si>
    <t>MOLDES PARA PROCTOR ESTANDAR Y MODIFICADO (2 MARTILLOS)</t>
  </si>
  <si>
    <t>Miras Nikon para el laboratorio de topografia</t>
  </si>
  <si>
    <t>SECADOR AUTOMATIZADO USCO 2007 PROYECTO DE INVESTIGACION DUBAN HENAO Y LEONARDO CAMERO PARA EL LABORATORIO DE SECADO</t>
  </si>
  <si>
    <t>TERMOMETRO DIGITAL CAPAC. 180ÂºC PARA EL LABORATORIO DE SUELOS</t>
  </si>
  <si>
    <t>PEHACHIMETRO PARA EL LAB. MECANICA DE SUELOS</t>
  </si>
  <si>
    <t>CARGADOR DE BATERIA AIR FLOW, MOD LCA 600 PARA EL LABORATORIO DE SECADO</t>
  </si>
  <si>
    <t>Nivel de presiÃ³n Nikon para el laboratorio de suelos</t>
  </si>
  <si>
    <t>EstaciÃ³n total Nikon para el laboratorio de topografÃ­a</t>
  </si>
  <si>
    <t>PROBETAS 1.000 ML. (CLASIFICACION TEXTURAL SUELOS) LAB. MECANICA DE SUELOS</t>
  </si>
  <si>
    <t>GPS PARA EL LABORATORIO DE MECANICA DE SUELOS</t>
  </si>
  <si>
    <t>ESTUFA DE 0 - 150Âºc AROTEZ</t>
  </si>
  <si>
    <t>VIDRIO DE RELOJ LAB DE SUELOS</t>
  </si>
  <si>
    <t>PRENSA PARA ENSAYOS MARSHALL Y CBR digital LAB. MECANICA DE SUELOS</t>
  </si>
  <si>
    <t>EQUIPO</t>
  </si>
  <si>
    <t>MCROTOMO: APARATO DE REALIZACION DE PLACAS HISTOLOGICAS</t>
  </si>
  <si>
    <t>35,000,000</t>
  </si>
  <si>
    <t>EQUIPO DE DISECCION COMPLETO</t>
  </si>
  <si>
    <t>CITOMETRO DE FLUJO DE 3 LASER</t>
  </si>
  <si>
    <t>EQUIPO - GPS - 8 EXPLORIST 300 GPS)</t>
  </si>
  <si>
    <t>1,300,000</t>
  </si>
  <si>
    <t>ADQUISCION DE EQUIPOS EN EXPERIMENTACION EN FISICA</t>
  </si>
  <si>
    <t>198,000,000</t>
  </si>
  <si>
    <t>Ploter.</t>
  </si>
  <si>
    <t>Juego de luces.</t>
  </si>
  <si>
    <t>9,000,000</t>
  </si>
  <si>
    <t>1 Equipo de sonido con sus respectivos amplificadores para el auditorio del nuevo edificio de la Facultad de EconomÃ­a y AdministraciÃ³n</t>
  </si>
  <si>
    <t>COLCHONETAS TRAFICO PESADO</t>
  </si>
  <si>
    <t>UNA PLATAFORMA DE FUERZA KISTLER- SALTO, EVALUACIÃ“N DE FUERZA.</t>
  </si>
  <si>
    <t>BANCOS STEEP</t>
  </si>
  <si>
    <t>EQUIPO LINEA COMPACTA (PLACAS-POLEAS)</t>
  </si>
  <si>
    <t>TEATRO EN CASA</t>
  </si>
  <si>
    <t>ELIPTICAS SPORT-TRACK</t>
  </si>
  <si>
    <t>FILMADORA</t>
  </si>
  <si>
    <t>MULTIFUERZA CUATRO ESTACIONES</t>
  </si>
  <si>
    <t>EQUIPOS PESO LIBRE - GIMNASIO</t>
  </si>
  <si>
    <t>60,000,000</t>
  </si>
  <si>
    <t>DIEZ UNIDADES (REPOTENCIADAS DE SPI ELITE) DE EVALUACIÃ“N DE RENDIMIENTO A TRAVES DE SISTEMAS DE POSICIONAMIENTO GLOBAL SATELITAL GPSPORT-WISPI. CONTRASMISIÂ´PON DE DATOS VIA WIFI, ANTENA RECEPTORA, ESTACIÃ“N DE CARGA Y TRANSMISIÃ“N DE DATOS.</t>
  </si>
  <si>
    <t>DOS GALGAS EXTENCIOMETRICAS Y SOFTWARE.</t>
  </si>
  <si>
    <t>7,500,000</t>
  </si>
  <si>
    <t>TROTADORAS ELECTRICAS SPORT- TRACK</t>
  </si>
  <si>
    <t>UN SISTEMA DE MEDICIÃ“N T-FORCE DINAMIC.</t>
  </si>
  <si>
    <t>DIEZ MONITORES DE FRECUENCIA CARDIACA (7 UNIDADES R200 Y 3 UNIDADES S1000).</t>
  </si>
  <si>
    <t>tOSTADORA DE CAFÃ‰ - TRILLADORA - MALLAS - DETERMINADOR DE HUMEDAD CAPACITIVO- VAJILLA PARA CATACION - KIT CALIDAD DE CAFE Y CATACION PARA EL LABORATORIO CONTROL DE CALIDAD</t>
  </si>
  <si>
    <t>MONTAJE DE BENEFICIO DE CAFE DE 30 KGS/H TOLVA, SINFIN, DESPULPADORA BECOLSUB 300 ETC PARA EL LABORATORIO DE PROCESOS AGROINDUSTRIALES</t>
  </si>
  <si>
    <t>Gabinete de TopografÃ­a odometro s</t>
  </si>
  <si>
    <t>Computador portÃ¡til Toshiba para el laboratorio de topografia</t>
  </si>
  <si>
    <t>EQUIPO PARA DENSIDAD (CONO,PLATINA ETC) MECANICA DE SUELOS</t>
  </si>
  <si>
    <t>Probeta graduada de plastico de 1.000 ml de capacidad</t>
  </si>
  <si>
    <t>Equipo para topografia, Nivel de precisiÃ²n referencia nikon</t>
  </si>
  <si>
    <t>probeta graduada de plastico de 500 ml de capacidad</t>
  </si>
  <si>
    <t>Termometro digital portatil con tubo de 8" de longitud con punta para penetraciÃ²n, graduado de 50 a 300 y resoluciÃ²n de 0.1 grado centigrado</t>
  </si>
  <si>
    <t>bASTIDOR DE 100 kn DE CAPACIDAD "CONTROLS 2, PARA ENSAYOS A FLEXIÃ’N DE PROBETAS DE CONCRETO, INCLUYE CONJUNTO PARA CONEXIÃ’N A LA CONSOLA</t>
  </si>
  <si>
    <t>Moldes para cubos de cemento Ref: H2810- H2806 -H2820</t>
  </si>
  <si>
    <t>Hidrometro de vidrio para suelos, segÃ¹n la designacion ASTM 152h, GRADUADO DE -5 A +60 X 1 G/LT</t>
  </si>
  <si>
    <t>Maquina de comprensiÃ²n para ensayar cilindros normales de concreto, de 1.300KN de capacidad , con bomba hidraulica electrica "SPX" de dos etapas, equipada con valvula de control de velocidad de carga de cuatro posiciones (retraer, sostener, carga controlada y avance rapido), tanque metalico y motor de 1HP y unidad de lectura digital. "CONTROLS DIGMAX PLUS", con memoria para registro de 200 ensayos, indicaciÃ²n de cadencia e interfax R232, para operacion a 110V/60Hz.</t>
  </si>
  <si>
    <t>23,500,000</t>
  </si>
  <si>
    <t>Equipo para topografia EstaciÃ²n Total referencia Nikon</t>
  </si>
  <si>
    <t>22,000,000</t>
  </si>
  <si>
    <t>Equipos para topografia Miras</t>
  </si>
  <si>
    <t>Moldes y martillos para compactaciÃ²n, Proctor standar y modificado- maritllo de 5.5 y 10 libras</t>
  </si>
  <si>
    <t>Equipo para topografia G.P.S.</t>
  </si>
  <si>
    <t>Equipos para topografia odometros</t>
  </si>
  <si>
    <t>Equipo para topografia transito digital nikon</t>
  </si>
  <si>
    <t>24,000,000</t>
  </si>
  <si>
    <t>EQUIPO AGRICOLA TROZADORA</t>
  </si>
  <si>
    <t>EQUIPO PARA ANALISIS ECOLOGICO ECOLOG XL - CODIGO ECL2E - ENVIROMENTAL PACK</t>
  </si>
  <si>
    <t>EQUIPO COMUNICACION</t>
  </si>
  <si>
    <t>Play Record en HD</t>
  </si>
  <si>
    <t>Equipo de Estudio de EmisiÃ³n-Emisora Institucional: Consola de audio marca AEQ de 12 canales, referencia BRavo TT, compuesta por: 4 canales micro-lÃ­nea; 8 canales dobles de lÃ­nea estÃ©reo; canal telefÃ³nico doble con hÃ­bridos incorporados; 2 buses estÃ©reo de programa; monitores de control 10W estÃ©reo en panel frontal; salida de monitorado estudio estÃ©reo con amplificador de potencia incorporado. Salida de auriculares.</t>
  </si>
  <si>
    <t>Unidades para producciÃ³n de campo con cÃ¡mara mini DV HD con micrÃ³fono, con luces, baterÃ­a de repuesto y trÃ­pode de cabeza fluida profesional.</t>
  </si>
  <si>
    <t>3,875,000</t>
  </si>
  <si>
    <t>15,500,000</t>
  </si>
  <si>
    <t>Equipo Estudio de GrabaciÃ³n-Emisora Institucional. Consola de audio de 16 canales en lÃ­nea marca Behringer, de alta reserva; 8 preamplificadores de micrÃ³fono; 3 envios auxiliares por canal; filtro de graves, subgrupos con salidas separadas; 3 retornos auxiliares estÃ©reo multifuncionales; procesador FX de 25 bit digital estÃ©reo integrado.</t>
  </si>
  <si>
    <t>11,000,000</t>
  </si>
  <si>
    <t>Mezcladores de sonido para estudio de televisiÃ³n.</t>
  </si>
  <si>
    <t>2,200,000</t>
  </si>
  <si>
    <t>EstaciÃ³n portÃ¡til para ediciÃ³n video.</t>
  </si>
  <si>
    <t>Mezclador profesional digital de video.</t>
  </si>
  <si>
    <t>EstaciÃ³n para ediciÃ³n profesional digital de video en Final Cut Pro.</t>
  </si>
  <si>
    <t>56,000,000</t>
  </si>
  <si>
    <t>EstaciÃ³n de EdiciÃ³n PortÃ¡til. para el Laboratorio de TelevisiÃ³n Mac Book (MAC BOOK PRO MC118E/1) MacBook Pro (15.4" LED/2.53GHz/4GB 250 GB/SuperDrive) EspaÃ±ol.</t>
  </si>
  <si>
    <t>EQUIPO DE SONIDO PANASONIC SERIE SC-AK500PY-S</t>
  </si>
  <si>
    <t>3 Equipo de sonido para el auditorio del nuevo edificio de la Facultad de EconomÃ­a</t>
  </si>
  <si>
    <t>EQUIPO LAB.. CABINA FLUJO LAMINARA MOD.</t>
  </si>
  <si>
    <t>Camara de flujo laminar, marca ESCO, clase II BSL.</t>
  </si>
  <si>
    <t>EQUIPO LAB.. CONGELADOR VERTICAL MODELO</t>
  </si>
  <si>
    <t>Equipo para ultracongelaciÃ³n -70 grados centÃ­grados, REVCO Elite plus (Referencia, Thermo Scientific, ULT1786-6-A).</t>
  </si>
  <si>
    <t>38,000,000</t>
  </si>
  <si>
    <t>EQUIPO LABORATORIO</t>
  </si>
  <si>
    <t>UPS DE 8 KW A</t>
  </si>
  <si>
    <t>MACROPIPETEADORES DE 10 ML</t>
  </si>
  <si>
    <t>PLACAS DE CALENTAMIENTO CON AGITACION MAGNETICA</t>
  </si>
  <si>
    <t>20,900,000</t>
  </si>
  <si>
    <t>125,400,000</t>
  </si>
  <si>
    <t>EQUIPO DE RMN</t>
  </si>
  <si>
    <t>REFRACTOMETRO DE MESA</t>
  </si>
  <si>
    <t>EQUII DE LIMPIEZA CON ULTRASONIDO</t>
  </si>
  <si>
    <t>AUTOMUESTREADORES PARA AA 120 VIALE Y PARA GC</t>
  </si>
  <si>
    <t>CALIRIMETROS DIGITALES</t>
  </si>
  <si>
    <t>RECARGAS DE HELIO, HIDROGENO, ACETILENO Y OXIDO NITROSO</t>
  </si>
  <si>
    <t>8,100,000</t>
  </si>
  <si>
    <t>CELDAS PARA FT - IR -1310</t>
  </si>
  <si>
    <t>DIGESTORES KHELDALL</t>
  </si>
  <si>
    <t>ESTANDARES PARA ABSORCION ATOMICA</t>
  </si>
  <si>
    <t>MACROPIPETEADORES DE 100 ML</t>
  </si>
  <si>
    <t>CUBETAS DE VIDRIO DE 10, LITROS</t>
  </si>
  <si>
    <t>DESTILADORES DE AGUA EN ACERO INOXIDABLE</t>
  </si>
  <si>
    <t>BALANZAS ANALITICAS 0.1 MG</t>
  </si>
  <si>
    <t>BAÃ‘OS DE MARIA CON TERMOSTATO DIGITAL DE 25 L.</t>
  </si>
  <si>
    <t>GAVETAS METALICAS</t>
  </si>
  <si>
    <t>6,020,000</t>
  </si>
  <si>
    <t>GAVETAS METALICAS DE 4 PUESTOS</t>
  </si>
  <si>
    <t>ALMIDON 250 GR - ALUMINIO CLORURO 500 GR - ALUMINIO HIDROXIDO 500 GR - ALIUMINIO METALICO GRANULADO 500 GR - ALUMINIO EN POVL 500 GR - ALUM,INIO SULFATO 250 GR - AMONIO ACETATO 500 GR - BARIO CLORURO 500 GR- BROMO 50 ML</t>
  </si>
  <si>
    <t>CADMIO METALICO GRANULADO 250 GR - CALCIO CARBONATO 500 GR - CALCIO CLORURO ANHIDRO PARA DESECAR - 1000 GR - COBRO I OXIDO 250 GR - COBRE II CLORURO 500 GR - COBRE II OXIDO 50 GR - COBRE II SULFATO 5H20 500 GR - DIFENILAMINA 100 GR - ESTAÃ‘O GRANULADO 100 GR- GLICRERINA 8PROPANOTRIOL) 500 ML - HIERRO CLORURO 500 GR - HIERRO II SULFATO (OSO) 7H2O 1000 GR - COLECCION DE L-AMINOACIDOS 25 GR CADA UNO - PLATA NITRATO 250 GR - PLOMO II ACETATO 250 GR-</t>
  </si>
  <si>
    <t>FUSIOMETRO DIGITALES</t>
  </si>
  <si>
    <t>BURETAS DIGITALES</t>
  </si>
  <si>
    <t>ACEITE MINERAL 500 ML - ACIDO 3-5 DINITROBENZOICO 250 GR - ACIDO BORICO 37% 2500 GR - ACIDO OLEICO 500 ML - ACIDO PERCLORICO 1000 GR - ACIDO SALICILICO 20 GR - ACIDO SULFURCIO 1N 2500 ML - ALCOHOL ETILICO 8 ETANOL ABSOLUTO9 10000 ML ALCOHOL SEC-BUTILICO 8 2 BUTANOL) 500 ML</t>
  </si>
  <si>
    <t>MANTAS DE CALENTAMIENTO 100Â° ML</t>
  </si>
  <si>
    <t>CUBETAS DE PLEXIGLAS DE 1O LITROS</t>
  </si>
  <si>
    <t>SISTEMA DE AIRE COMPRIMIDO</t>
  </si>
  <si>
    <t>JUEGO DE HERRAMIENTAS CON LLAVES MILIMETRICAS 4 A 17 MM LLAVES DE PULGADAS 5-16 A 1 PULGADA ATORNILLADOR DE PALA Y DE ESTRIAS LLAVE INGLES DE 3 PULGADAS ALICATES CORTAFRIOS PINZAS - LLAVES BRISTOS DE 2 A 12 MM.</t>
  </si>
  <si>
    <t>CENTRIFUGAS 12000 RPM</t>
  </si>
  <si>
    <t>CABINAS EXTRACTORAS</t>
  </si>
  <si>
    <t>EQUIPOS DE ELECTROFORESIS</t>
  </si>
  <si>
    <t>1,250,000</t>
  </si>
  <si>
    <t>SISTEMAS DE CONSTRUCCION ESPACIAL TIPO CASQUETE</t>
  </si>
  <si>
    <t>CALIBRADORSE DIGITALES</t>
  </si>
  <si>
    <t>JUEGO DE TUBOS DE RAYOS CATODICOS</t>
  </si>
  <si>
    <t>CARRETES DE RUMKHORF</t>
  </si>
  <si>
    <t>VISCOSIMETROS DE HOSSUALD DIGITAL</t>
  </si>
  <si>
    <t>BANDEJAS CIRCULARES DE ALUMINIO DE 50 CM DIAMETRO</t>
  </si>
  <si>
    <t>ESTEREOMICROSCOPIO 10X</t>
  </si>
  <si>
    <t>COLUMNAS DE CROMATOGRAFIA</t>
  </si>
  <si>
    <t>PUERTOS DE INYECCION PARA ABSORCION ATOMICA</t>
  </si>
  <si>
    <t>5,300,000</t>
  </si>
  <si>
    <t>15,900,000</t>
  </si>
  <si>
    <t>LAMPARAS PARA ABSORCION ATOMICA</t>
  </si>
  <si>
    <t>RED LEPIDOPTEROLOGIA JAMA ESTANDER - ARO 40 CM DE DIAMETRO- MANGO 60 CM CON MALETIN PORTA JAMA 6 UNIDADES - RED SURBER 3 UNIDADES</t>
  </si>
  <si>
    <t>ROTAVAPORES</t>
  </si>
  <si>
    <t>13,000,000</t>
  </si>
  <si>
    <t>65,000,000</t>
  </si>
  <si>
    <t>HIGROMETOS DIGITALES</t>
  </si>
  <si>
    <t>pHMETRO DE MESA</t>
  </si>
  <si>
    <t>CONDUCTIVIMETROS AMPERIMETROS</t>
  </si>
  <si>
    <t>VOLTAMETRO DE HOFFMAN</t>
  </si>
  <si>
    <t>JUEGO DE TAMICES PORO MULTIPUNTO</t>
  </si>
  <si>
    <t>Incubadora con CO2, Marca Thermo sicntific ref 8000WJ#3428</t>
  </si>
  <si>
    <t>24 carretes de hilo para Hip-Chains, cada carretel tien 3000 yardas pra el laboratorio de geolgoÃ­a</t>
  </si>
  <si>
    <t>Dinamometro digital hasta 120 pounds (Macroquimica) para el laboratorio de yacimientos</t>
  </si>
  <si>
    <t>Homogenizador digital rpm, para el laboratorio de crudos</t>
  </si>
  <si>
    <t>7,980,000</t>
  </si>
  <si>
    <t>Dos (2) soportes universal con sus respectivas pinzaz (Macroquimica) para el laboratorio de yacimientos</t>
  </si>
  <si>
    <t>Dos (2) cronometros digitales (Macroquimica) para el laboratorio de yacimientos</t>
  </si>
  <si>
    <t>Teclado para titulador KARL FISHER, para el laboratorio de crudos</t>
  </si>
  <si>
    <t>Estabilizador en serie de 8 Microscopios Binoculares, para el laboratorio de geologÃ­a</t>
  </si>
  <si>
    <t>Tarjera de video AGP de 512n MB, para el laboratorio de pruebas especiales</t>
  </si>
  <si>
    <t>Paquete 10 sets ferulas y contaferulas en teflon de 1/4" Hoke Gyrolok Ref. 4SCF-TFT, para el laboratorio de pruebas especiales.</t>
  </si>
  <si>
    <t>Front ferrule (ferula frontal) de 1/8" Hoke Gyrolok Ref. 2FF-316, para el laboratoriod e pruebas especiales.</t>
  </si>
  <si>
    <t>Nut (copa) de 1/4" Hoke Girolok Ref. 4N-316, para el laboratorio de pruebas especiales</t>
  </si>
  <si>
    <t>un equipo de HP CHANS</t>
  </si>
  <si>
    <t>Equipo de destilaciÃ³n manual (laboratorio de crudos)</t>
  </si>
  <si>
    <t>14,200,000</t>
  </si>
  <si>
    <t>Memoria RAM DDR de 1 GB, para el laboratorio de pruebas especiales</t>
  </si>
  <si>
    <t>Cap (tapon macho) de 1/8" Hoke Gyrolok Ref.2CP-316, para el laboratorio de pruebas especiales.</t>
  </si>
  <si>
    <t>Cortadora de nÃºcleos con brocas de 1" y 15" (Ingemco.eu) para el laboratorio de yacimientos</t>
  </si>
  <si>
    <t>Union tee de 1/88" Hoke Gyrolok Ref. 2TTT-316</t>
  </si>
  <si>
    <t>Union cross de 1/8" Hoke Gyrolok Ref. 2C-316, para el laboratorio de pruebas especiales</t>
  </si>
  <si>
    <t>Molinete, micro molinete, pH-metro, TermÃ³metro, Digestor para DQO, Turbidimetro, ConductivÃ­metro, CronÃ³metros, Muestreadro autormÃ¡tico, Bomba de vacÃ­o, Mufla (100-200ÂºC), Horno (mayor 500ÂºC), Nevera, unidad mÃ³vil (vehÃ­culo para recorridos de muestreo debidamente dotado), EspectrofotÃ³metro UV-Vis, Agitador magnÃ©tico con plancha de calentamiento, mesa antivibratoria.</t>
  </si>
  <si>
    <t>400,000,000</t>
  </si>
  <si>
    <t>BaÃ±o manual para viscosidad cinemÃ¡tica con control digital de temperatura constante, para el laboratorio de pruebas especiales.</t>
  </si>
  <si>
    <t>18,500,000</t>
  </si>
  <si>
    <t>Hip-Chains para el laboratorio de geologÃ­a</t>
  </si>
  <si>
    <t>Plug (tapon hemba) de 1/4" Hoke Gyrolok Ref.4P-316, para el laboratorio de puebas especiales</t>
  </si>
  <si>
    <t>Termohidrometro para determinar ÂºAPI y temperatura Rangos de -1 ÂºAPI A 61 ÂºAPI., para el laboratorio de pruebas especiales</t>
  </si>
  <si>
    <t>Medidor manual de punto Chispa en copa abierta metodo cleveland, para el laboratorio de pruebas especailes</t>
  </si>
  <si>
    <t>6,679,000</t>
  </si>
  <si>
    <t>Viscosimetro de vidrio cannon - fenske, para el laboratorio de pruebas especiales</t>
  </si>
  <si>
    <t>3,900,000</t>
  </si>
  <si>
    <t>Cap (tapon macho) de 1/4" Hoke Gyrolok Ref. 4CP-316, para el laboratorio de pruebas especiales</t>
  </si>
  <si>
    <t>Probeta plastica PP 1000 ML, para el laboratorio de pruebas especiales</t>
  </si>
  <si>
    <t>Analizador de sales en crudo (SALINOMETRO), para el laboratorio de pruebas especiales</t>
  </si>
  <si>
    <t>11,726,000</t>
  </si>
  <si>
    <t>Male conector de 1/8" Hoke Gyrolok Ref. 2CM2-316, para el laboratorio de pruebas especiales</t>
  </si>
  <si>
    <t>Equipo de cÃ¡mara abierta de Cleveland (laboratorio de crudos y derivados)</t>
  </si>
  <si>
    <t>Male concetor de 1/8" * 1/4"Hoke Gyrolok Ref. 2CM4-316, para el laboratoriod e pruebas especiales</t>
  </si>
  <si>
    <t>Nut (copa) de 1/8" Hoke Gyrolok Ref. 2N-316, para el laboratorio de pruebas especiales</t>
  </si>
  <si>
    <t>Reducing uniÃ³n 1/4" * 1/8" Hoke Gyrolok Ref. 4RU2-316, para el laboratorio de pruebas especiales.</t>
  </si>
  <si>
    <t>Rear ferrule (ferula trasera) de 1/8" Hoke Girolok Ref. 2FR-316, para el laboratorio de pruebas especiales</t>
  </si>
  <si>
    <t>Paquete 10n sets ferulas y contraferulas en teflon de 1/8" Hoke Gyrolok Ref. 2SCF-TFT, para el laboratorio de pruebas especiales</t>
  </si>
  <si>
    <t>Plug (tapon hembra) de 1/8" Hoke Gyrolok Ref. 2P-316, para el laboratorio de pruebas epeciales</t>
  </si>
  <si>
    <t>UniÃ³n de 1/8" Hoke Girolok Ref.2U-316, para el laboratorio de pruebas especiales</t>
  </si>
  <si>
    <t>Nichos en madera, para la sala del CPIP</t>
  </si>
  <si>
    <t>2,600,000</t>
  </si>
  <si>
    <t>Valvulas, valve, needle size:1/4 in x1/4 ub, nptm body material: a182 tipe 316, straight, back-up ring: tfe, oÂ´ring:viton a, valvula macho-macho, ss-14dkm4, para el laboratorio de gas</t>
  </si>
  <si>
    <t>EQUIPO LABORATORIO DE DIAGNOSTICO ORGANOS DE LOS</t>
  </si>
  <si>
    <t>Equipo de diagnÃ³stico Ã³rganos para prÃ¡cticas de laboratorio de fisiologÃ­a</t>
  </si>
  <si>
    <t>EQUIPO LABORATORIO DE DISECCION</t>
  </si>
  <si>
    <t>Equipo de disecciÃ³n para practicas de fisiologÃ­a</t>
  </si>
  <si>
    <t>EQUIPO LABORATORIO DISIONIZADOR DOTADO DE FILTRO</t>
  </si>
  <si>
    <t>Equipo para obtener agua desionizada, MilliQ</t>
  </si>
  <si>
    <t>EQUIPO LABORATORIO MACROPIPETEADOR MARCA BRAND</t>
  </si>
  <si>
    <t>Pipeta automÃ¡tica multicanal marca costar. 12 canales, volumen de 20 a 200 microlitros</t>
  </si>
  <si>
    <t>1,660,000</t>
  </si>
  <si>
    <t>EQUIPO LABORATORIO SISTEMA DE PURIFICACION QTUM</t>
  </si>
  <si>
    <t>PHMETRO DIGITAL -2,0-19.9 IMPERMEABLE CON ALARMA VISUAL</t>
  </si>
  <si>
    <t>4,800,000</t>
  </si>
  <si>
    <t>EQUIPO IP ACOPLADO A MASAS - DETECTOR DE CAPTURA ELECTRONICA - DETECTOR FOTOMETRICO DE LLAMA Y DETECTOR TERMOLONICO DE LLAMA</t>
  </si>
  <si>
    <t>480,000,000</t>
  </si>
  <si>
    <t>Extractores de gases laboratorio de suelos</t>
  </si>
  <si>
    <t>Destilador de aguas tipo I y II (Equipo cascada 18.2 M ohmio-cm TOC&lt;15 ppb, bacteria&lt;1 ufc/ml, flow rate hasta 1.2 l/min)</t>
  </si>
  <si>
    <t>EQUIPO LUCES KIT DE REFLECTORES</t>
  </si>
  <si>
    <t>3 Equipo de luces KIT de reflecores para el auditorio del nuevo edificio de la Facultad de EconomÃ­a y AdministraciÃ³n</t>
  </si>
  <si>
    <t>EQUIPO MEDICO DESFIBRILADOR DE ENTRENAMIENTO</t>
  </si>
  <si>
    <t>Desfibrilador para practicas de laboratorio de FisiologÃ­a</t>
  </si>
  <si>
    <t>ESCALERA TIJERA EN ALUMINIO</t>
  </si>
  <si>
    <t>ESCRITORIO EN MADERA TIPO SECRETARIA</t>
  </si>
  <si>
    <t>Con destino a tres nuevos profesores de tiempo completo de planta</t>
  </si>
  <si>
    <t>Con destino a los tres nuevos profesores de tiempo completo de planta que se vinculan a partir del primer semestre acadÃ©mico de 2010</t>
  </si>
  <si>
    <t>ESCRITORIO EN MADERA PAR DOCENTE DEL PROGRAMA CONTADURIA PUBLICA</t>
  </si>
  <si>
    <t>ESCRITORIO PARA OFICINA</t>
  </si>
  <si>
    <t>ESCRITORIO TIPO L - COORDIANDOR DEL LABORATORIO</t>
  </si>
  <si>
    <t>ESCRITORIO TIPO SECRETARIA</t>
  </si>
  <si>
    <t>ESCRITORIO - PARA CUATRO AULAS MULTIMEDIAL - FISICA PURA</t>
  </si>
  <si>
    <t>Escritorio en madera para secretaria, con vidrio, lÃ­nea 800.</t>
  </si>
  <si>
    <t>20 Escritorios de madera para adecuar los laboratorios, oficinas y el auditorio del nuevo edificio de la Facultad de EconomÃ­a y AdministraciÃ³n</t>
  </si>
  <si>
    <t>30 Escritorios en madera Tipo Secretaria para las aulas virtuales, auditorio y programas para el nuevo edificio de la Facultad de EconomÃ­a y AdministraciÃ³n</t>
  </si>
  <si>
    <t>ESPARADRAPO</t>
  </si>
  <si>
    <t>ROLLO MEDIANO DE ESPARADRAPO 5 CM</t>
  </si>
  <si>
    <t>ESTABILIZADOR REGULADOR</t>
  </si>
  <si>
    <t>ESTABILIZADOR DE VOLTAJE</t>
  </si>
  <si>
    <t>ESTABILIZADORES PARA LA SALA DE TECNOLOGIA INTELIGENTE DEL ADMINISTRADOR FINANCIERO EDIFICIO NUEVO</t>
  </si>
  <si>
    <t>ESTABILIZADORES SALA DE TECONOLOGIA INTELIGENTE DEL PROGRAMA DE ECONOMIA</t>
  </si>
  <si>
    <t>50 Estabilizadores para los laboratorios tecnolÃ³gicos y oficinas del nuevo edificio de EconomÃ­a y AdministraciÃ³n</t>
  </si>
  <si>
    <t>5,100,000</t>
  </si>
  <si>
    <t>102 Estabilizadores para los equipos de cÃ³mputo de las Aulas virtuales y de los Programas del edificio nuevo de la Facultad de EconomÃ­a</t>
  </si>
  <si>
    <t>ESTABILIZADOR regulador de voltaje</t>
  </si>
  <si>
    <t>ESTANTE CUERPO DE ESTANTERIA</t>
  </si>
  <si>
    <t>ESTANTE METALICO CON ENTREPAÃƒ?O</t>
  </si>
  <si>
    <t>ESTANTE METALICO CERRADO CON PUERTAS CORREDIZAS EN VIDRIO, MARCO METALICO 1.8 M. DE ALTO - 0.40 M. DE FONDO CON 4 ENTREPAÃ‘OS INTERMEDIOS GRADUABLES PINTURA AL HORNO.</t>
  </si>
  <si>
    <t>ESTANTES METALCIOS</t>
  </si>
  <si>
    <t>Estantes metÃ¡licos cerrados doble servicio de 2x0.90x0.60 estructura enteriza de piso y techo y laterales ocho entrepaÃ±os graduales a cada lado.</t>
  </si>
  <si>
    <t>20 Estantes metÃ¡licos para adecuar las oficinas, laboratorios y el auditorio del nuevo edificio de la Facultad de EconomÃ­a y AdministraciÃ³n</t>
  </si>
  <si>
    <t>40 Estantes metÃ¡licos con entrepaÃ±o para las aulas virtuales, auditorio, y oficinas del nuevo edificio de la Facultad de EconomÃ­a y AdministraciÃ³n</t>
  </si>
  <si>
    <t>ETANTERIA DE HIERRO Y MADERA PARA GUARDAR MATERIALES DEPORTIVOS</t>
  </si>
  <si>
    <t>EstaterÃ­a matÃ¡licas para el laboratorio de topografia</t>
  </si>
  <si>
    <t>ESTEREOSCOPIO</t>
  </si>
  <si>
    <t>ESTEREOMICROSCOPIO DIGITAL TRINOCULAR</t>
  </si>
  <si>
    <t>ESTEREOSCOPIO CON CAMARA LUCIDA</t>
  </si>
  <si>
    <t>ESTEREOSCOPIO BINOCULARES</t>
  </si>
  <si>
    <t>ESTEREOSCOPIO NIKON</t>
  </si>
  <si>
    <t>estereoscopio con accesorio adaptable a camara fotogrÃ fica</t>
  </si>
  <si>
    <t>ESTUCHE</t>
  </si>
  <si>
    <t>Estuches para cÃ¡maras de video</t>
  </si>
  <si>
    <t>Estuche para cÃ¡mara fotogrÃ¡fica digital</t>
  </si>
  <si>
    <t>ESTUFA</t>
  </si>
  <si>
    <t>ESTUFA INCUBADORA CON DOBLE VIDRIO METALICA</t>
  </si>
  <si>
    <t>ESTUFA - INCUBADORA</t>
  </si>
  <si>
    <t>EXTENSION</t>
  </si>
  <si>
    <t>ExtensiÃ³n de cable de energÃ­a encauchetada de 20 mts.</t>
  </si>
  <si>
    <t>ExtensiÃ³n de cable de energÃ­a ancauchetada de 10 mts.</t>
  </si>
  <si>
    <t>ExtensiÃ³n para los computadores</t>
  </si>
  <si>
    <t>EXTINGUIDOR</t>
  </si>
  <si>
    <t>30 Extinguidores para la seguridad del nuevo edificio de la Facultad de EconomÃ­a y AdministraciÃ³n</t>
  </si>
  <si>
    <t>14,400,000</t>
  </si>
  <si>
    <t>EXTINTOR PARA CARROS</t>
  </si>
  <si>
    <t>30 Extintores para el nuevo edificio de la Facultad de EconomÃ­a y AdministraciÃ³n</t>
  </si>
  <si>
    <t>EXTRACTOR DE AIRE</t>
  </si>
  <si>
    <t>EXTRACTOR DE 12Â¨INDUSTRAILES</t>
  </si>
  <si>
    <t>1,560,000</t>
  </si>
  <si>
    <t>EXTRACTOR DE GASES - CALENTADOR DE AGUA PARA EL LABORATORIO DE CONTROL Y CALIDAD</t>
  </si>
  <si>
    <t>EXTRACTOR DEAROTEZ PARA EL LABORATORIO DE BIOTECNOLOGIA</t>
  </si>
  <si>
    <t>FILTRO AIRE</t>
  </si>
  <si>
    <t>FILTROS PARA MASCARAS PARA GASES ACIDOS Y VAPORES ORGANICOS</t>
  </si>
  <si>
    <t>FISIOGRAFO</t>
  </si>
  <si>
    <t>Cambio de FisiÃ³grafo por reposiciÃ³n</t>
  </si>
  <si>
    <t>FOLDER CELUGUIA</t>
  </si>
  <si>
    <t>PARA EL LABORATORIO DE SUELOS</t>
  </si>
  <si>
    <t>FONENDOSCOPIO</t>
  </si>
  <si>
    <t>FOTOCOPIAS. ÃREA OPERATIVO</t>
  </si>
  <si>
    <t>1,750,000</t>
  </si>
  <si>
    <t>FRASCOS LABORATORIO</t>
  </si>
  <si>
    <t>FRASCOS GOTERO, TAPA ESMERILADA VIDRUIO AMBAR 100 ML - - 50 ML</t>
  </si>
  <si>
    <t>3,115,000</t>
  </si>
  <si>
    <t>FRASCOS TAPA ROSCA AZUL VIDRIO AMBAR - 50 ML- 100 ML - 250 ML - 500 ML 48 UNIDADES- VALOR CADA UNO $50.000.=</t>
  </si>
  <si>
    <t>2,079,000</t>
  </si>
  <si>
    <t>FRASCO PARA CRIA DE LARVAS , CILINDRICO DE 22 CM DE DIAMETRO X 8,5 CM DE ALTO EFC001. VENTANA CON MALLA METALICA - 50.000 CADA UNO</t>
  </si>
  <si>
    <t>1,820,000</t>
  </si>
  <si>
    <t>FRASCOS TAPA ROSCA AZUL VIDRIO CLARO DE 50ML-100ML-250ML-500ML 48 - UNIDADES $30.000.=</t>
  </si>
  <si>
    <t>1,218,000</t>
  </si>
  <si>
    <t>FRASCOS GOTERO, TAPA ESMERILADA VIDRUIO AMBAR 100 ML - - 50 ML - VALOR 70 .000 CADA FRASCO</t>
  </si>
  <si>
    <t>3,122,000</t>
  </si>
  <si>
    <t>GANCHOS CLIP. CAJA X 100 UNIDADES</t>
  </si>
  <si>
    <t>GANCHOS LOTERO</t>
  </si>
  <si>
    <t>GANCHOS PARA EL LABORATORIO DE SUELOS</t>
  </si>
  <si>
    <t>GANCHOS PARA COSEDORA X CAJA</t>
  </si>
  <si>
    <t>20 Cajas de ganchos cosedora</t>
  </si>
  <si>
    <t>GASA</t>
  </si>
  <si>
    <t>Gasa viene por rollos de 100 Yardas</t>
  </si>
  <si>
    <t>ROLLO DE GASA HOSPITALARIA</t>
  </si>
  <si>
    <t>GASES HELIO ULTRA AP</t>
  </si>
  <si>
    <t>ganchos para legajar</t>
  </si>
  <si>
    <t>GRABADORA</t>
  </si>
  <si>
    <t>Grabadora Mini Disc Sony MZ-R70 Walkman Digital Mega Bass.</t>
  </si>
  <si>
    <t>1,460,000</t>
  </si>
  <si>
    <t>sony grande con cassetera, CD, MP3</t>
  </si>
  <si>
    <t>GRABADORA TIPO PERIODISTA</t>
  </si>
  <si>
    <t>Grabadoras periodÃ­sticas Sony IC Recorder ICP-D-620 512 MB, el costo de una grabadora es de $150.000</t>
  </si>
  <si>
    <t>1,050,000</t>
  </si>
  <si>
    <t>GRABADORA RADIO DOBLE CASSETTE</t>
  </si>
  <si>
    <t>Desarrollo de ejercicios de comprensiÃ³n de escucha en las clases de inglÃ©s.</t>
  </si>
  <si>
    <t>3,750,000</t>
  </si>
  <si>
    <t>GUANTES</t>
  </si>
  <si>
    <t>GUANTES DE NITRILO TALLAS M Y S X 5 CAJAS DE CADA UNO</t>
  </si>
  <si>
    <t>Guantes de latex No. 7 1/2 o Talla L</t>
  </si>
  <si>
    <t>Guantes de latex 6 1/2 o Talla M X Cajas</t>
  </si>
  <si>
    <t>CAJAS DE GUANTES LIMPIOS</t>
  </si>
  <si>
    <t>CAJA DE GUANTES ESTERILES #: 8, 7 1/2 Y 6 1/2</t>
  </si>
  <si>
    <t>Pares de Guantes de lona Laboratorio de Construcciones</t>
  </si>
  <si>
    <t>Guantes de carnaza para el laborotorio de construcciones</t>
  </si>
  <si>
    <t>HORNO DE CERAMICA</t>
  </si>
  <si>
    <t>HORNO DE GRAFITO PARA ABSORCION ATOMICA</t>
  </si>
  <si>
    <t>HORNO REFRACTARIO A GAS</t>
  </si>
  <si>
    <t>HORNOS MUFLA HASTA 1600 oC</t>
  </si>
  <si>
    <t>HORNO DE CONVENCION FORZADA DE 400 LT - 100X80X50 CM AL INTERIOR</t>
  </si>
  <si>
    <t>9,087,000</t>
  </si>
  <si>
    <t>HORNOS PARA CIRCULACION DE AIRES (ELECTRICO-DIGITAL) CAPAC 200ÂºC LAB. MECANICA DE SUELOS</t>
  </si>
  <si>
    <t>Horno microondas para el laboratorio de suelos</t>
  </si>
  <si>
    <t>Horno electrico para laboratorio "Humboldl" de 198 lts de capacidad, con convecciÃ²n mecÃ nica, control de temperatura regulable hasta 149 grados centigrados, dimensiones internas: 26" x20" x 24" e incluye dos parrillas y soporte para operaciÃ²n a 110V/60Hz.</t>
  </si>
  <si>
    <t>4,974,200</t>
  </si>
  <si>
    <t>IMPRESORA</t>
  </si>
  <si>
    <t>Impresora con interfase RS-232C.115V/60HZ. incluido cable (laboratorio de crudos y derivados)</t>
  </si>
  <si>
    <t>IMPRESORA LASSER</t>
  </si>
  <si>
    <t>Impresoras laser de red monocromaticas (negro), para el laboratorio factoria de Software</t>
  </si>
  <si>
    <t>IMPRESORA LASER JET</t>
  </si>
  <si>
    <t>Dell 1110</t>
  </si>
  <si>
    <t>H.P. para el laboratorio de topografia</t>
  </si>
  <si>
    <t>LABORATORIO DE SIG AGRICOLA</t>
  </si>
  <si>
    <t>IMPRESORA MULTIFUNCIONAL</t>
  </si>
  <si>
    <t>IMPRESORAS LABORATORIO</t>
  </si>
  <si>
    <t>30 Impresoras</t>
  </si>
  <si>
    <t>10,500,000</t>
  </si>
  <si>
    <t>Para la correspondencia</t>
  </si>
  <si>
    <t>INCUBADORA DE PRECISION DIGITAL</t>
  </si>
  <si>
    <t>CON CO2</t>
  </si>
  <si>
    <t>INSUMOS PARA PISCINA</t>
  </si>
  <si>
    <t>ACIDO NITRICO</t>
  </si>
  <si>
    <t>SULFATO DE ALUMINIO</t>
  </si>
  <si>
    <t>ALUMBRE</t>
  </si>
  <si>
    <t>SULFATO DE COBRE</t>
  </si>
  <si>
    <t>AMINA</t>
  </si>
  <si>
    <t>JUEGO DE LLAVES DE LA 6 A LA 22</t>
  </si>
  <si>
    <t>SODA CAUSTICA</t>
  </si>
  <si>
    <t>CEPILLO METALICO PARA LA BOMBA DE 7 CABALLOS</t>
  </si>
  <si>
    <t>MASCARILLA CON FILTRO, PARA CUANDO SE UTILIZA LOS ACIDOS PISCINA</t>
  </si>
  <si>
    <t>SODA EN ESCAMA</t>
  </si>
  <si>
    <t>JABON CREMA LAVAPLATOS</t>
  </si>
  <si>
    <t>JABÃ“N TRAS EN BARRA PARA EL LABORATORIO DE CONSTRUCCIONES</t>
  </si>
  <si>
    <t>JABON DETERGENTE X LIBRA</t>
  </si>
  <si>
    <t>JABON PARA TOCADOR X UNIDAD</t>
  </si>
  <si>
    <t>PARA LABORATORIO DE SUELOS</t>
  </si>
  <si>
    <t>JABON QUIRURGICO</t>
  </si>
  <si>
    <t>LITRO DE JABON</t>
  </si>
  <si>
    <t>JERINGAS</t>
  </si>
  <si>
    <t>JERINGAS DESCHABLES 5cc - 2 CAJAS X 100</t>
  </si>
  <si>
    <t>JERINGAS DE INSULINA DE 1 mL CAJA X 100</t>
  </si>
  <si>
    <t>Jeringa de 5 cm viene por caja</t>
  </si>
  <si>
    <t>KITS LABORATORIOS</t>
  </si>
  <si>
    <t>Kit de luces para estudio de televisiÃ³n.</t>
  </si>
  <si>
    <t>Kit hach FF1A COLORIMETRICO, PARA EVALUAR LA CALIDAD DEL AGUA</t>
  </si>
  <si>
    <t>KIT HACH FF1A COLORIMETRICO</t>
  </si>
  <si>
    <t>LAMINAS CUBREOBJETOS</t>
  </si>
  <si>
    <t>LAMINAS PORTAOBJETOS X CAJA</t>
  </si>
  <si>
    <t>LAMINLAS PORTAOBJETOS X 100 5 CAJAS</t>
  </si>
  <si>
    <t>LAMINILLAS CUBREOBJETOS X 100</t>
  </si>
  <si>
    <t>caja por 50 unidades</t>
  </si>
  <si>
    <t>LAMPARAS</t>
  </si>
  <si>
    <t>PARA VIDEO BEAN</t>
  </si>
  <si>
    <t>LAPICERO TINTA NEGRA</t>
  </si>
  <si>
    <t>200 lapiceros de tinta negra</t>
  </si>
  <si>
    <t>LAPICERO TINTA ROJA</t>
  </si>
  <si>
    <t>LAPIZ MINA DE GRAFITO No. 2. NEGRO</t>
  </si>
  <si>
    <t>LECTOR CODIGO DE BARRAS MARCA</t>
  </si>
  <si>
    <t>Lector de C.D`s Sony.</t>
  </si>
  <si>
    <t>LENTE VISOR CORTA SLIDE HAMA</t>
  </si>
  <si>
    <t>LENTES CON REGLILLA MICROMETRICA PARA MICROSCOPIA 12 UNIDADES - VALOR 100.000. CADA UNIDAD</t>
  </si>
  <si>
    <t>LENTES CON PESTAÃ‘A ( INDOACREOS O SEÃ‘ALADORES 9 PARA OCULARES, MICROSCOPIA 12 UNIDADES - 20.000 UNIDADES</t>
  </si>
  <si>
    <t>LIBROS DERECHO</t>
  </si>
  <si>
    <t>ADQUISICION DE BIBLIOGRAFIA BASICA Y COMPLEMENTARIA, ADEMAS DE RENOVACION DE LEGIS, ADQUISICION DE BASE DE DATOS COMO SON . JURIDICA COLOMBIA, NOTINET, PORTAL MDS, PRISMA, REDALYC Y JURIVERSIA.</t>
  </si>
  <si>
    <t>28,400,000</t>
  </si>
  <si>
    <t>BIBLIOTECA CENTRAL</t>
  </si>
  <si>
    <t>LIBROS EDUCACION</t>
  </si>
  <si>
    <t>LIBRO MANUAL Y ATLAS FOTOGRAFICO DE ANATOMIA DEL APARATO LOCOMOTRO CON CD POR MANUEL LLUSA PEREZ, ALEX MERI VIVED,DOMINTO RUANO GIL; UN TOMO DE 438 PAGINAS ENCUADERNACIÃ“N RUSTICA FORMATO 21X28 EDICION 2004 EDITORIAL MEDICA PANAMERICANA</t>
  </si>
  <si>
    <t>ACT-PY-421-3-21</t>
  </si>
  <si>
    <t>BIBLIOGRAFÃA Y BASES DE DATOS BIBLIOTECA</t>
  </si>
  <si>
    <t>LIBRO BASES BIOLOGICAS Y FISIOLOGICAS DEL MOVIEMIENTO HUMANO POR GUILLEN DEL CASTILLO Y LINARES GIRELA EDICION 2003; ISBN 84-7903-705-9 EDITORIAL PANAMERICANA</t>
  </si>
  <si>
    <t>LIBRO FISIOLOGIA DEL EJERCICIO POR LOPEZ CHICHARRO Y FERNANDEZ VAQUERO; TERCERA EDICION 1998 ISBN84-8019-749-8 EDITORIAL MEDICA PANAMERICANA</t>
  </si>
  <si>
    <t>Libros Ã rea de QuÃ­mica</t>
  </si>
  <si>
    <t>LIBRO BASES BIOLOGICAS Y FISIOLOGICAS DEL MOVIEMIENTO HUMANO POR GUILLEN DEL CASTILLO Y LINARES GIRELA EDICION 2003; ISBN 84-7903-705-9</t>
  </si>
  <si>
    <t>libros Ã rea de pedagogÃ¬a</t>
  </si>
  <si>
    <t>LIBRO FISIOLOGIA DEL DEPORTE PRO RICHARD BOWERS Y EDWARD L.; UN TOMO DE 440 PAGINAS CON 169 ILUSTRACIONES ENCUADERNACION CARTONE FORMATO 18X25 EDITORIAL MEDICA PANAMERICANA 1995 TERCERA EDICIÃ“N.</t>
  </si>
  <si>
    <t>LIBRO FUNDAMENTOS DE FISIOLOGIA DEL EJERCICIO DE MCARDLE; SEGUNDA EDICION CODIGO INTERNO 8448605985 EDITORIAL MC.GRAW HILL</t>
  </si>
  <si>
    <t>Libros Ã rea BiologÃ¬a</t>
  </si>
  <si>
    <t>libros Ã rea de fÃ¬sica</t>
  </si>
  <si>
    <t>100 nuevos volÃºmenes con destino a la biblioteca especializada "Luis Humberto Alvarado"</t>
  </si>
  <si>
    <t>LIBROS ACTAS 200 FOLIOS</t>
  </si>
  <si>
    <t>lIBROS DE ACTA PARA EL LABORATORIO DE SUELOS</t>
  </si>
  <si>
    <t>LIBROS FACULTAD INGENIERIA</t>
  </si>
  <si>
    <t>Probabilidad y Estadistica: Estadistica y Muestreo. Editorial ECOE ediciones</t>
  </si>
  <si>
    <t>Mecanica de Fluidos: HidrÃ ulica de tuberias, Saldarriaga Editorial McGraw-Hill</t>
  </si>
  <si>
    <t>Estatica:-Mecanica Vetorial para ingenieros. Estatica Beer y Johnston, editorial McGraw-Hill</t>
  </si>
  <si>
    <t>Construcciones de Edificaciones: -DiseÃ±o simplificado de Concreto Reforzado, Harry Parker, Noriega editores.</t>
  </si>
  <si>
    <t>Fisica: Fisica principios con aplicaciones., Douglas C. Giancoli, Editorial Pearson EducaciÃ²n</t>
  </si>
  <si>
    <t>Mecanica de Suelos. Guayacan, Luis Polania, Editado por la Universidad del Quindio</t>
  </si>
  <si>
    <t>Resistencia de Materiales. Pytel y Singer, editorial Oxford</t>
  </si>
  <si>
    <t>Mecanica de Suelos : Manual de laboratorio de macanica de suelos. Arango, Antonio, Editado por la Universidad Nacional de MedellÃ¬n.</t>
  </si>
  <si>
    <t>IntroducciÃ²n a la Fotogrametria. . Daniel Deagostini Routin. Editorial CIAF. Bogota Colombia</t>
  </si>
  <si>
    <t>Mecanica de Suelos: -DiseÃ±o de Cimientos. SuarÃ¨z, Jaime, Editado por la Universidad Industrial de Santander</t>
  </si>
  <si>
    <t>Sistemas de Acueductos y Alcantarillados, editorial Escuela colombiana de ingenieria</t>
  </si>
  <si>
    <t>Acueductos y Teoria -diseÃ±o</t>
  </si>
  <si>
    <t>Construcciones de Vias y Pavimentos: Pavimentos , Claudia Maria Garcia, Olga Maria Garro, Libardo gallego Arias, Universidad de medellin</t>
  </si>
  <si>
    <t>Construcciones de Redes HidrÃ ulicas y Sanitarias: DiseÃ±o de Instalaciones Hidrosanitarias y de gas para edificaciones. Rafael Perez Carmona, Ecoe ediciones.</t>
  </si>
  <si>
    <t>Tecnologia del concreto y del mortero, Sanchez Diego, Editado por Fac. Ing. U Javeriana</t>
  </si>
  <si>
    <t>Mecanica de Suelos: Propiedades fisicas de los suelos. Montenegro, Hogo y Malagon, Dimas.</t>
  </si>
  <si>
    <t>Equipos y Movimientos de tierra, Gilberto Gomez, John Jairo Sanchez, U del Quindio</t>
  </si>
  <si>
    <t>Materiales de ConstrucciÃ²n: Manual DiseÃ±o de maderas del Grupo Andino, PiquÃ¨, Javier Editado Junta Acuerdo Cartagena</t>
  </si>
  <si>
    <t>Administracion de Obras: IntroducciÃ²n a la AdministraciÃ²n de Obras y de la Empresa</t>
  </si>
  <si>
    <t>Mecanica de Fluidos: Alcantarillado Teoria -diseÃ±o</t>
  </si>
  <si>
    <t>Topografia: Topografia .Torres y Villeta. Editorial Norma</t>
  </si>
  <si>
    <t>Modalidad de grado: formulaciÃ²n y evaluaciÃ²n de proyectos. Mendez, Rafael , editorial Fotolito Herbol Ltda.</t>
  </si>
  <si>
    <t>Administracion de obras: -AdministraciÃ²n y Gerencia, Jorge Noriega, Bhamdar editorial Ltad.</t>
  </si>
  <si>
    <t>Modalidad de Grado: ElaboraciÃ²n y presentaciÃ²n de un proyecto de investigaciÃ²n. Editorial Universitat, Barcelona</t>
  </si>
  <si>
    <t>LIBROS FACULTAD CIENCIAS EXACTAS Y NATURALES</t>
  </si>
  <si>
    <t>LIBROS - MATEAMTICA APLICADA - FISICA PURA - ACUICULTURA CONTINENTAL</t>
  </si>
  <si>
    <t>COMRPA DE LIBROS DPTO. CIENCIAS NATURALES- PROGRAMA ACUICULTURA CONTINENTAL</t>
  </si>
  <si>
    <t>LIBROS FACULTAD ECONOMIA Y ADMINISTRACION</t>
  </si>
  <si>
    <t>Libros, guias y modulos s/N ResoluciÃ³n MEN 2755 e 2006.</t>
  </si>
  <si>
    <t>Suministro de recursos bibliogrÃ¡ficos para las bibliotecas de las sedes de Neiva, Pitalito, GarzÃ³n y la Plata</t>
  </si>
  <si>
    <t>LIBROS FACULTAD SALUD</t>
  </si>
  <si>
    <t>1, COLECCIÃ“N OBRAS COMPLETAS DE SIGMUND FREUD, PARA LA CONSULTA DE USUARIOS BIBLIOTECA SALUD.</t>
  </si>
  <si>
    <t>3, LIBROS OFTALMOLOGÃA AUTOR DANIEL VANGHAN, DE MANUAL MODERNO.</t>
  </si>
  <si>
    <t>3, BASES FARMACOLOGICAS DE LA TERAPEUTICA, HARDMAN, ULTIMA EDICIÃ“N, PARA LA CONSULTA DE USUARIOS BIBLIOTECA SALUD.</t>
  </si>
  <si>
    <t>3, LIBROS SEMIOLOGÃA MEDICA DE ARGENTE, ULTIMA EDICIÃ“N, PARA LA CONSULTA DE USUARIOS BIBLIOTECA SALUD.</t>
  </si>
  <si>
    <t>3, LIBROS EPIDEMIOLOGÃA DE ROBERTO HERNANDEZ, ULTIMA EDICIÃ“N, PARA LA CONSULTA DE USUARIOS BIBLIOTECA SALUD.</t>
  </si>
  <si>
    <t>1, COLECCIÃ“N FUNDAMENTOS DE MEDICINA, ULTIMA EDICIÃ“N, PARA LA CONSULTA DE USUARIOS BIBLIOTECA SALUD.</t>
  </si>
  <si>
    <t>3, ATLAS DE ANATOMIA DE FRANK H. NETTER, ULTIMA EDICIÃ“N, PARA LA CONSULTA DE USUARIOS BIBLIOTECA SALUD.</t>
  </si>
  <si>
    <t>3, BIOLOGIA DE HELENA CURTIS, ULTIMA EDICIÃ“N, PARA LA CONSULTA DE USUARIOS BIBLIOTECA SALUD.</t>
  </si>
  <si>
    <t>3, LIBROS FISIOLOGÃA DE GUYTON EDICIÃ“N 11, PARA LA CONSULTA DE USUARIOS BIBLIOTECA SALUD.</t>
  </si>
  <si>
    <t>3, CIRUGIAS DE SCHWARTZ EDICIÃ“N 8, PARA LA CONSULTA DE USUARIOS BIBLIOTECA SALUD.</t>
  </si>
  <si>
    <t>3, MEDICINAS INTERNAS EDICIÃ“N 17, PARA LA CONSULTA DE USUARIOS BIBLIOTECA SALUD</t>
  </si>
  <si>
    <t>3, LIBROS DE BIOQUIMICA DE HARPER, ULTIMA EDICIÃ“N, PARA LA CONSULTA DE USUARIOS BIBLIOTECA SALUD.</t>
  </si>
  <si>
    <t>ENFERMERÃA MEDICOQUIRURGICA DE BRUNNER Y SUDDARTH EDICIÃ“N 10, PARA LA CONSULTA DE USUARIOS BIBLIOTECA SALUD.</t>
  </si>
  <si>
    <t>3, LIBROS GINECOLOGIA Y OBSTETRICIA DE BOTERO EDICIÃ“N 8, PARA LA CONSULTA DE USUARIOS BIBLIOTECA SALUD.</t>
  </si>
  <si>
    <t>3, LIBROS FISIOLOGÃA MEDICA DE GANNONG, EDICIÃ“N 19, PARA LA CONSULTA DE USUARIOS BIBLIOTECA SALUD.</t>
  </si>
  <si>
    <t>3, NEUROANATOMIA CLÃNICA DE SNELL, ULTIMA EDICIÃ“N, PARA LA CONSULTA DE USUARIOS BIBLIOTECA SALUD.</t>
  </si>
  <si>
    <t>3, BIOLOGÃA MOLECULAR DE LA CELULA DE ALBERT, ULTIMA EDICIÃ“N, PARA LA CONSULTA DE USUARIOS BIBLIOTECA SALUD.</t>
  </si>
  <si>
    <t>2, LIBROS PRINCIPIOS DE PSIQUIATRIA FORENCE AUTOR LISANDRO DURAN EDITOR SEÃ‘AL EDITORA.</t>
  </si>
  <si>
    <t>2, LIBROS MEDICINA FORENSE LEGAL AUTOR GRANDINI, EDITORIAL MC.GRAW HILL.</t>
  </si>
  <si>
    <t>2, LIBROS MEDICINA FISICA Y REHABILITACIÃ“N AUTOR FEDERICK.</t>
  </si>
  <si>
    <t>3, LIBRO INTRODUCCIÃ“N A LA TEORIA GENERAL DE LA ADMINISTRACIÃ“N, CHIAVENATO, PARA LA CONSULTA DE USUARIOS BIBLIOTECA SALUD.</t>
  </si>
  <si>
    <t>1, COLECCIÃ“ FUNDAMENTOS DE PEDIATRIA, ULTIMA EDICIÃ“N, PARA LA CONSULTA DE USUARIOS BIBLIOTECA SALUD</t>
  </si>
  <si>
    <t>3, FUNDAMENTO DE FARMACOLOGÃA DE CARLOS ISAZA, ULTIMA EDICIÃ“N, PARA LA CONSULTA DE USUARIOS BIBLIOTECA SALUD.</t>
  </si>
  <si>
    <t>3, LIBRO ENFERMERÃA PEDIATRICA, ULTIMA EDICIÃ“N, PARA LA CONSULTA DE USUARIOS BIBLIOTECA SALUD.</t>
  </si>
  <si>
    <t>3, ATLAS HISTOLOGÃA DE GENESER, ULTIMA EDICIÃ“N, PARA LA CONSULTA DE USUARIOS BIBLIOTECA SALUD.</t>
  </si>
  <si>
    <t>3, NEUROANATOMIA DE BUSTAMANTE, ULTIMA EDICIÃ“N, PARA LA CONSULTA DE USUARIOS BIBLIOTECA SALUD.</t>
  </si>
  <si>
    <t>3, ANATOMIA DE MOURE EDICIÃ“N 5, PARA LA CONSULTA DE USUARIOS BIBLIOTECA SALUD.</t>
  </si>
  <si>
    <t>3, LIBRO OTORRINOLARINGOLOGÃA DE WEESE, ULTIMA EDICIÃ“N, PARA LA CONSULTA DE USUARIOS BIBLIOTECA SALUD.</t>
  </si>
  <si>
    <t>3, LIBRO PATOLOGÃA ESTRUCTURAL Y FUNCIONAL DE ROBBINS, ULTIMA EDICIÃ“N, PARA LA CONSULTA DE USUARIOS BIBLIOTECA SALUD.</t>
  </si>
  <si>
    <t>3. LIBROS GENETICA DE MEDICINA THOMPSON THOMPSON.</t>
  </si>
  <si>
    <t>3, PEDIATRIA DE NELSON EDICIÃ“N 17, PARA LA CONSULTA DE USUARIOS BIBLIOTECA SALUD.</t>
  </si>
  <si>
    <t>3, LIBROS PARASITOSIS HUMANA, ULTIMA EDICIÃ“N, PARA LA CONSULTA DE USUARIOS BIBLIOTECA SALUD.</t>
  </si>
  <si>
    <t>3, ANATOMIA Y FISIOLOGÃA DE LA TORTORA EDICIÃ“N 10, PARA LA CONSULTA DE USUARIOS BIBLIOTECA SALUD.</t>
  </si>
  <si>
    <t>LIBROS SEDES</t>
  </si>
  <si>
    <t>Diccionarios, libros de gramÃ¡tica y textos de didÃ¡ctica del inglÃ©s con destino al Programa de Lengua Extranjera con sede en GarzÃ³n.</t>
  </si>
  <si>
    <t>LICENCIAMIENTO</t>
  </si>
  <si>
    <t>Certificados Digitales para Servidores por dos (2) aÃ±os</t>
  </si>
  <si>
    <t>NOD 32 Renovacion 1215 Licencias y Adquisicion de licencias para nuevos equipos de computo</t>
  </si>
  <si>
    <t>Manejador de Ancho de Banda Packeteer</t>
  </si>
  <si>
    <t>Campus Agreement</t>
  </si>
  <si>
    <t>Actualizacion de SWITE DE SIIGO</t>
  </si>
  <si>
    <t>LICUADORA</t>
  </si>
  <si>
    <t>Licuadora robusta para lodos marca Robinson</t>
  </si>
  <si>
    <t>1,002,000</t>
  </si>
  <si>
    <t>LIMPIDO BLANQUEADOR</t>
  </si>
  <si>
    <t>FRASCOS DE LIMPIDO DE 900CC PARA EL LABORATORIO DE SUELOS</t>
  </si>
  <si>
    <t>LUPA MANUAL</t>
  </si>
  <si>
    <t>LUPA DE 20X CON CORRECION - VALOR UNIDAD 60.000</t>
  </si>
  <si>
    <t>MALLAS</t>
  </si>
  <si>
    <t>mallas de zooplancton de 55 micras</t>
  </si>
  <si>
    <t>de Fitoplancton de 35 micras</t>
  </si>
  <si>
    <t>Mallas de macroinvertebrados de 250 micras</t>
  </si>
  <si>
    <t>mallas para limpiar piscina</t>
  </si>
  <si>
    <t>MALLAS PROFESIONAL PARA VOLEIBOL MOLTEN</t>
  </si>
  <si>
    <t>MANOMETRO</t>
  </si>
  <si>
    <t>MANOMETROS DIGITALES - VALOR CADA UNO $800.000.=</t>
  </si>
  <si>
    <t>Desarrollo aplicativos para Gobierno En Linea en el Portal Institucional</t>
  </si>
  <si>
    <t>Soporte y Matenimiento del Sistema Administrativo y Financiero LINIX</t>
  </si>
  <si>
    <t>MANTENIMIENTO EQUIPOS DE LABORATORIO</t>
  </si>
  <si>
    <t>Autoclave</t>
  </si>
  <si>
    <t>Equipo de congelacion FREEZER</t>
  </si>
  <si>
    <t>1,293,000</t>
  </si>
  <si>
    <t>Secuenciador</t>
  </si>
  <si>
    <t>MicrocentrÃ­fuga</t>
  </si>
  <si>
    <t>BaÃ±o SerolÃ²gico</t>
  </si>
  <si>
    <t>Equipo Purificador de agua MILLI-Q</t>
  </si>
  <si>
    <t>Pipetas</t>
  </si>
  <si>
    <t>Mantenimiento anual de los equipos de laboratorio.</t>
  </si>
  <si>
    <t>Mantenimiento anual al gasÃ­metro K4B2 marca Cosmed</t>
  </si>
  <si>
    <t>6,500,000</t>
  </si>
  <si>
    <t>Recarga del cilindro de gases especializado requerido para calibrar el gasÃ­metro K4B2 marca Cosmed</t>
  </si>
  <si>
    <t>Mantenimiento del PHmetro, densitometro, osmometro</t>
  </si>
  <si>
    <t>Mantenimiento Metalyzer 3B: RevisiÃ³n general, limpieza, cambio sensor de oxigeno, cambio de manguera de anÃ¡lisis de gases con filtro. CalibraciÃ³n de volumen y de gases. Los repuestos instalados tienen una garantÃ­a de 12 meses. RevisiÃ³n del software Metasoft 1 instalado y estado de equipos perifÃ©ricos</t>
  </si>
  <si>
    <t>MANTENIMIENTO DE EQUIPOS DE LABORATORIOS DE INGENIERIA AGRICOLA</t>
  </si>
  <si>
    <t>Mantenimiento preventivo y correctivo de 31 computadores a un valor de $1500.000 cada uno</t>
  </si>
  <si>
    <t>MANTENIMIENTO PLANTA FÃSICA</t>
  </si>
  <si>
    <t>Matenimiento de la alarma del laboratorio que requiere cambio de bateria</t>
  </si>
  <si>
    <t>MANTENIMIENTO REPARACIONES LOCATIVAS RESANES Y PINTURA GRANJA</t>
  </si>
  <si>
    <t>MANTENIMIENTO DE CERCOS, CANALES Y CONDUCCIONES DE RIEGO GRANJA</t>
  </si>
  <si>
    <t>MANTENIMIENTO VEHICULOS</t>
  </si>
  <si>
    <t>MANTENIMIENTO DE TRACTOR Y MAQUINARIA AGRICOLA GRANJA</t>
  </si>
  <si>
    <t>MAQUINA VIBRATORIA PARA TAMICES</t>
  </si>
  <si>
    <t>Maquina de los angeles para el ensayo de abrasiÃ²n segÃ¹n la norma ASTMC131, equipada con un juego de cargas, bandejas para muestras y tablero de control de montaje externo programable, con parada automÃ tica para operaciÃ²n a 115V/60Hz/1Ph.</t>
  </si>
  <si>
    <t>9,721,400</t>
  </si>
  <si>
    <t>MARCADOR BORRABLE. COLOR NEGRO</t>
  </si>
  <si>
    <t>200 Marcadores negros</t>
  </si>
  <si>
    <t>Para las clases</t>
  </si>
  <si>
    <t>MARCADOR BORRABLE. COLORES SURTIDOS</t>
  </si>
  <si>
    <t>MARCADOR PARA CUALQUIER SUPERFICIE (SHARPIE)</t>
  </si>
  <si>
    <t>MATERIAL DIDACTICO</t>
  </si>
  <si>
    <t>Material didÃ ctico Ã rea de FÃ¬sica, quimica y Biologia</t>
  </si>
  <si>
    <t>Material para el desarrollo de la GeometrÃ­a Euclidiana (compas, escuadras y transportador en madera y de gran dimension)</t>
  </si>
  <si>
    <t>material didÃ ctico Ã reas de BiologÃ¬a y QuÃ­mica</t>
  </si>
  <si>
    <t>Software especializado para aprendizaje y prÃ¡ctica de idiomas</t>
  </si>
  <si>
    <t>posters o afiches en inglÃ©s</t>
  </si>
  <si>
    <t>MEMORIA USB DE 2 GB</t>
  </si>
  <si>
    <t>MEMORIA USB DE 8 GB</t>
  </si>
  <si>
    <t>50 memorias USB</t>
  </si>
  <si>
    <t>4,452,300</t>
  </si>
  <si>
    <t>MEMORIA USB DE 4 GB</t>
  </si>
  <si>
    <t>MESA DE DISEÃƒ?O</t>
  </si>
  <si>
    <t>Mesa para biblioteca</t>
  </si>
  <si>
    <t>MESA PARA ESTEREOSCOPIOS PARA EL LABORATORIO DE FOTOINTERPRETACION</t>
  </si>
  <si>
    <t>MESA PARA NECROPCIA</t>
  </si>
  <si>
    <t>MESA DE DISECCION</t>
  </si>
  <si>
    <t>MESA RIMAX</t>
  </si>
  <si>
    <t>MESA PARA COMPUTADOR</t>
  </si>
  <si>
    <t>21 unidades para la sala de Informatica y 24 para el Laboratorio de Factoria de Software</t>
  </si>
  <si>
    <t>6,960,000</t>
  </si>
  <si>
    <t>13,920,000</t>
  </si>
  <si>
    <t>MUEBLE PARA COMPUTADOR</t>
  </si>
  <si>
    <t>MESAS COMPUTADOR SALA TECONOLOGIA INTELIGENTE PROGRAMA DE ECONOMIA</t>
  </si>
  <si>
    <t>17,400,000</t>
  </si>
  <si>
    <t>102 mesas de computador personal para las aulas virtuales del edificio nuevo de la Facultad de EconomÃ­a y AdministraciÃ³n</t>
  </si>
  <si>
    <t>35,496,000</t>
  </si>
  <si>
    <t>102 mesas de computador para los laboratorios tecnolÃ³gicos del nuevo edificio de la Facultad de EconomÃ­a y AdministraciÃ³n</t>
  </si>
  <si>
    <t>22,620,000</t>
  </si>
  <si>
    <t>MESA PARA CONFERENCIA (12 PUESTOS)</t>
  </si>
  <si>
    <t>MESA PARA CONFERENCIA (6 PUESTOS)</t>
  </si>
  <si>
    <t>mesas para el Laboratorio de Factoria de Software</t>
  </si>
  <si>
    <t>Mesa en madera para 6 personas, donde se puedan colocar micrÃ³fonos y garantizar emisiones de radio.</t>
  </si>
  <si>
    <t>CENTRO DE CONCILIACION</t>
  </si>
  <si>
    <t>MICROFONO</t>
  </si>
  <si>
    <t>MicrÃ³fono de solapa marca Genius.</t>
  </si>
  <si>
    <t>MICROFONO INALAMBRICO</t>
  </si>
  <si>
    <t>MicrÃ³fono Unidireccional de canon, marca Shure SM 58.</t>
  </si>
  <si>
    <t>MICROFONO INALAMBRICO DE SOLAPA</t>
  </si>
  <si>
    <t>MicrÃ³fono inalÃ¡mbrico de solapa para uso profesional de televisiÃ³n.</t>
  </si>
  <si>
    <t>MicrÃ³fonos para grabaciÃ³n de audio Boom.</t>
  </si>
  <si>
    <t>MicrÃ³fonos de solapa inalÃ¡mbricas para uso profesional de televsiÃ³n cada uno cuesta $1.600.000</t>
  </si>
  <si>
    <t>MICROPORE</t>
  </si>
  <si>
    <t>Espadadrapo de una pulgada de ancho</t>
  </si>
  <si>
    <t>MICROSCOPIO</t>
  </si>
  <si>
    <t>MICROSCOPIO 100X - VALOR $12.000.000.=</t>
  </si>
  <si>
    <t>MICROSCOPIO OCTOPUS</t>
  </si>
  <si>
    <t>MICROSCOPIO BINOCULARES CON LENTE MICROMETRICO Y PESTAÃ‘A INDICADORA</t>
  </si>
  <si>
    <t>42,000,000</t>
  </si>
  <si>
    <t>MICROSCOPIO INVERTIDO</t>
  </si>
  <si>
    <t>MICROSCOPIO NIKON</t>
  </si>
  <si>
    <t>MICROSCOPIO BINOCULAR ANTIHONGOS</t>
  </si>
  <si>
    <t>Marca Nikon, con accesorio adaptable a cÃ mara fotografica</t>
  </si>
  <si>
    <t>Microscopio marca NIKON modelo SMZ 445 Ref. MMA23008</t>
  </si>
  <si>
    <t>3,781,600</t>
  </si>
  <si>
    <t>15,126,400</t>
  </si>
  <si>
    <t>MINI DISCO DURO</t>
  </si>
  <si>
    <t>Discos duros de una tera para MacPro externo.</t>
  </si>
  <si>
    <t>MINI DISCOS</t>
  </si>
  <si>
    <t>Caja de minidiscos por 8 unidades.</t>
  </si>
  <si>
    <t>MODELO LAB. EN PLASTICO DEL CORAZON</t>
  </si>
  <si>
    <t>MODELO LAB. ESQUELETO ARTIFICIAL</t>
  </si>
  <si>
    <t>MODELO SISTEMA INDOCRINO Y SISTEMA CIRCULATORIO.</t>
  </si>
  <si>
    <t>MODELO DE PULMON</t>
  </si>
  <si>
    <t>MODELO SISTEMA DIGESTIVO</t>
  </si>
  <si>
    <t>MODELO ANATOMICO SISTEMA REPRODUCTOR MASCULINO Y FEMENINO</t>
  </si>
  <si>
    <t>MODELOS ANATOMICOS PLASTICOS DE LARINGE</t>
  </si>
  <si>
    <t>MODELO ANATOMICO PLASTICO DE ESQUELETO COMPLETO</t>
  </si>
  <si>
    <t>MODELO ANATOMICO PLASTICO DE CEREBRO</t>
  </si>
  <si>
    <t>MODEM</t>
  </si>
  <si>
    <t>MODEM FIJO Y MODEN INHALAMBRICO</t>
  </si>
  <si>
    <t>MODULO LABORATORIO</t>
  </si>
  <si>
    <t>INSTALACION MODULOS EN MADERA AYULAS 204-208-210</t>
  </si>
  <si>
    <t>1,080,000</t>
  </si>
  <si>
    <t>CAMILLA DE TRANSPORTE ADULTO. CAMILLA FIJA PARA TRANSPORTE DE PACIENTES, REF:E-33 ESTRUCTURA EN ANGULO DE 1-1/4 Y TUBERIA DE 7/8, PATAS EN TUBO DE 1-1/4. RUEDAS EN CAUCHO DE 5", CAMILLA DE LAMINA DE ACERO COLD ROOLED; BARANDAS ESCUALIZABLES CROMADAS DE 1.30 X 0.25 APROX. MEDIDAS APROXIMADAS LARGO 1.85; ANCHO 0.55; ALTURA 0.80 CON COLCHONETA FORRADA EN CORDOBAN NEGRO RELLENO DE ESPUMA DE 5 CMS. LARGO 1.85; CON ATRIL, ACABADO EN PINTURA ELECTROSTATICA.</t>
  </si>
  <si>
    <t>2,321,698</t>
  </si>
  <si>
    <t>4,643,396</t>
  </si>
  <si>
    <t>FIJADOR DE THOMAS ENDOTRAQUEAL ADULTO PERMITE FIJAR EL TUBO ENDOTRAQUEAL IMPIDIENDO QUE SE MUEVA O SALGA, ES DE APLICACIÃ“N SENCILLA, ESTANDARIZA EL PROCESO ES SIEMPRE IGUAL Y MUCHO MAS SEGURA</t>
  </si>
  <si>
    <t>FIJADOR DE THOMAS ENDOTRAQUEAL PEDIATRICO PERMITE FIJAR EL TUBO ENDOTRAQUEAL IMPIDIENDO QUE SE MUEVA O SALGA, ES DE APLICACIÃ“N SENCILLA, ESTANDARIZA EL PROCESO.</t>
  </si>
  <si>
    <t>TENSIOMETRO DIGITAL ALIMENTACION ELECTRICA: CC DE 6V (CUATRO PILAS ALCALINAS DE TAMAÃ‘O AA) INCLUIDAS. PANTALLA DIGITAL LCD METODO DE MEDICIÃ“N: SISTEMA OSCILOMETRICO. LIMITES DE MEDICION: PRESIÃ“N ARTERIAL DE 0 A 280 MMGH. FRECUENCIA DE PULSO DE 30 A 60 LATIDOS. CIRCUFERENCIA MÃNIMA Y MÃXIMA DEL BRAZO: DE 20 A 40 CM (7 3/4 A 15 3/4) APROXIMADAMENTE POR MINUTO. PESO 285G (10.1 OZ) APROXIMADAMENTE (SIN INCLUIR LAS PILAS) DIMENSIONES: 15,0 X 11,0 X 6,8 CM.</t>
  </si>
  <si>
    <t>SIMULADOR PARA ACCESO VENOSO IMPLANTE. ENSEÃ‘A A LOS PACIENTES Y AL PERSONAL DE SALUD EL CUIDADO Y USO DE DOS DISTINTOS TIPOS DE CATÃ‰TERES. DOTADO DE CONEXIONES DE CATÃ‰TER SITUADAS EN LA VENA SUBCLAVIA DERECHA E IZQUIERDA. UN IMPLANTE CON COLGADO DE PIEL SITUADO POR ENCIMA DEL IMPLANTE DE ESPUMA DE URETANO CON PIEL Y PUEDE LAVARSE CON JABÃ“N Y AGUA. MONTADO SOBRE SPORTE PLEGABLE Y MALETIN DE TRANSPORTE</t>
  </si>
  <si>
    <t>1,922,000</t>
  </si>
  <si>
    <t>MODULO DE MASTECTOMIA PERMITE PRACTICA DE PROCEDIMIENTO DE CUIDADO DE MASTECTOMIA POST-QUIRÃšRGICA. INCLUYE BASE</t>
  </si>
  <si>
    <t>1,965,920</t>
  </si>
  <si>
    <t>SIMULADOR DE HIGIENE Y ASEO DE ESTOMA. REPRESENTA ANATOMICAMENTE UNA COLOSTOMIA Y UNA ILEOSTOMIA CON FUNCIÃ“N Y APARIENCIA FIELES AL NATURAL. SE PUEDE DEMOSTRAR Y PRACTICAR TANTO LA DILATACIÃ“N DEL ESTOMA COMO LA COLOCACIÃ“N DE LA BOLSA ESTOMATOLOGICA POSTOPERATORIO Y/O PERMANENTE. ES POSIBLE LA IRRIGACIÃ“N (LAVADO) DE LA COLOSTOMIA. EL DRENAJE Y LA EXCRECIÃ“N DE LA ILESTOMIA (AGUA) Y/O LA COLOSTOMIA (DEFECACIÃ“N ARTIFICIAL) SE EFECTÃšAN MEDIANTE JERINGAS. SUMINISTROS CON ESES ARTIFICIALES Y MALETIN DE TRANSPORTE.</t>
  </si>
  <si>
    <t>MASCARILLA LARINGEA ADULTO. DISPOSITIVO DISEÃ‘ADO PARA EL MANEJO DE LA VIA AEREA, EL CUAL SE FIJA CIEGAS, Y SE FIJA EN TRAQUEA INFLANDO UN ANILLO SILICONADO ESTE SE FIJA EN EL ESOFAGO Y LO BLOQUEA, PERMITIENDO VENTILAR.</t>
  </si>
  <si>
    <t>MASCARILLA LARINGEA ADULTO. DISPOSITIVO DISEÃ‘ADO PARA EL MANEJO DE LA VIA AEREA, EL CUAL SE FIJA A CIEGAS Y SE FIJA EN TRAQUEA INFLANDO UN ANILLO SILICONADO, ESTE SE FIJA EN EL EXOFAGO Y BLOQUEA, PERMITIENDO VENTILAR</t>
  </si>
  <si>
    <t>MODELO DE PALPACIÃ“N ABDOMINAL. MODELO TRIDIMENCIONAL SE UTILIZA PARA DEMOSTRAR PALPACIÃ“N DEL ABDOMEN PARA DETERMINAR LA POSICION FETAL, HABILIDAD PARA REALIZAR LAS MANIOBRAS DE LEOPOLD Y PROPORCIONAR VISUALIZACIÃ“N INMEDIATA DEL FETO DESPUES DE LAS HABILIDADES DE PALPACIÃ“N. INCLUYE UN FETO CON UN CUERPO PESADO, BRAZOS Y PIERNAS MOVILES, NALGAS FIRMES, CABEZA CON FONTANELA ANTERIOR.</t>
  </si>
  <si>
    <t>2,100,000</t>
  </si>
  <si>
    <t>CONBITUBO. DISPOSITIVO DE DOBLE LUMEN, UTILIZADO PARA ESTABILIZAR LA VIA AEREA BAJO EL CONCEPTO DE ENTUBACIÃ“N A CIEGAS. PUEDE ALOJARSE EN EL EXOFAGO O EN LA TRAQUEA. CARACTERISTICAS: ELIMINA LA NECESIDAD DE LARINGOSCOPIO, PUEDE SER COLOCADO EN EL EXOFAGO. APROPIADO PARA LA ATENCIÃ“N PREHOSPITALARIA, URGENCIAS Y CIRUGIAS. DOBLE LUMEN - ESPACIO INTERIOR - UNO FARINGE COLOR AZUL, VENTANILLA A TRAVES DE 8 ORIFICIOS LATERALES, POR DEBAJO DEL BALON MAYOR. UNO TRAQUEAL DE COLOR BLANCO, VENTILA A TRAVES DE LA PUNTA POR DEBAJO DEL BALON PEQUEÃ‘O. BALONES QUE FIJA FIRMEMENTE EL TUBO Y AYUDAN A PREVENIR EL ESCAPE DE AIRE.</t>
  </si>
  <si>
    <t>SIMULADOR BEBE. ES IDEAL PARA ENTRENAR LOS PRINCIPALES CUIDADOS DEL BEBE EN EL COLEGIO Y EN CURSOS DE PREPARACIÃ“N DE PADRES JOVENES. PERMITE VESTIR, DESVESTIR, LAVAR PAÃ‘ALES Y OTROS PROCEDIMIENTOS. TIENE COYUNTURA MOVIL, LOS OJOS PARCIALMENTE ABIERTOS. LOS MIEMBROS, LA CABEZA Y LA CINTURA SON MOVILES, DE FORMA QUE TAMBIEN PUEDE PRÃCTICAR GIMNASIA PARA BEBES Y EJERCICIOS DE GINMASIA TERAPEUTICA. LOS OJOS SE PUEDE ABRIR Y CERRAR. ASEXUADO, CON ROPA.</t>
  </si>
  <si>
    <t>ATRIL PARA COLOCAR SOLUCIONES (SUERO). BASE TUBULAR CONSTRUIDA EN TUBERIA REDONDA DE 1" CON 4 RODACHINES, BARILLA TELESCOPICA DE 7/8 Y 5/8. GRADUABLE DE 1.10 A 2.10 AROS ACABADOS EN CROMO.</t>
  </si>
  <si>
    <t>ESCALERILLA DOS PELDAÃ‘OS. ESTRUCTURA DE TUBO REDONDO DE 7/8 C.16. GRADAS BOCELADAS Y PISO AMERICANO CON TACONES DE CAUCHO, LARGO 0.40, ANCHO 0.41, ACABADO EN ELECTROSTÃTICA.</t>
  </si>
  <si>
    <t>ESPIROMETRO. REF: 01002523-06 MEDICION DE LA ESPIROMETRIA EN PACIENTE ADULTO Y PEDIATRICO. CARACTERISTICAS: FUNCIONAMIENTO INDEPENDIENTE Y CONECTADO AL PC- CONEXION DIRECTA A IMPRESORA PARA EL 0 - INTERPRETACIÃ“N AUTOMATICA DEL EXAMEN - DISPONIBLE CON MEDIDOR DE FLUJO REUSABLE O DESECHABLE - PRUEBAS DE FVC, VC Y MVV CON COMPARACIÃ“N PRE/POS-26 PARAMETROS INTERPRETACIÃ“N AUTOMATICA DE LA PRUEBA Y CONTROL DE CALIDAD DE ESTA - HASTA 100 PRUEBAS GUARDADAS EN MEMORIA - SENSOR INTERNO DE TEMPERATURA PARA CONVERSIÃ“N AUTOMATICA A BTPS.</t>
  </si>
  <si>
    <t>4,348,000</t>
  </si>
  <si>
    <t>DESFIBRILADOR CARDIOVERSOR CON MONITOR Y MARCAPASOS EXTERNOS NO INVASIVO. PESA SOLO 5 KMS. INCLUYE TODO LO NECESARIO PARA LA RESUCITACIÃ“N CARDIACA. DESFIBRILACIÃ“N RAPIDA Y DE FACIL USO, ESTIMULACION INTERNA, MONITORIZACIÃ“N AVANZADA DE ECG Y OTROS SIGNOS VITALES, ALIMENTACIÃ“N INCORPORADA CC O CA Y UN SISTEMA INTEGRADO DE ADMINISTRACIÃ“N DE DATOS.</t>
  </si>
  <si>
    <t>24,893,600</t>
  </si>
  <si>
    <t>TENSIOMETRO CON BRAZALETE ADULTO - LACTANTE - RECIEN NACIDO - ESFINGOMANOMETRO DE 4 BRAZALETES.</t>
  </si>
  <si>
    <t>SIMULADOR ENEMA. EL GLUTEO SUPERIOR ES FLEXIBLE, DE FORMA QUE EL PRACTICANTE DEBE LEVANTARLO PARA LOCALIZAR Y EFECTUAR LA INTRODUCCION EN EL ANO. ES PORTATIL Y FACIL DE LAVAR. CAPACIDAD PARA ABSORBER UN LITRO DE LIQUIDO Y ADECUADO PARA LAS MAYORIAS DE LAS DEMOSTRACIONES Y PRACTICAS</t>
  </si>
  <si>
    <t>1,965,000</t>
  </si>
  <si>
    <t>HEMODIALISIS PRACTICE ARM SIMULADOR DE HEMODIALISIS BRAZO</t>
  </si>
  <si>
    <t>1,700,000</t>
  </si>
  <si>
    <t>ORGANO PELVICO FEMINO. UTERO CUBIERTO POR UNA VENTANA DE PLASTICO TRANSPARENTE PARA PERMITIR LA FACIL VISUALIZACION DE LA CORRECTA COLOCACIÃ“N DEL DIU</t>
  </si>
  <si>
    <t>MODULO PUESTOS DE TRABAJO INDIVIDUAL</t>
  </si>
  <si>
    <t>45,600,000</t>
  </si>
  <si>
    <t>MODULOS PARA COMPUTADORES SALA DE TECNOLOGIA DEL PROGRAMA DE ADMINISTRACION FINANCIERA</t>
  </si>
  <si>
    <t>MONITOR</t>
  </si>
  <si>
    <t>Monitores planos para televisiÃ³n.</t>
  </si>
  <si>
    <t>MOUSE</t>
  </si>
  <si>
    <t>Para los computadores de la Oficina</t>
  </si>
  <si>
    <t>MUEBLE PARA LABORATORIO</t>
  </si>
  <si>
    <t>MUEBLE GUARDAR CALBES DE CONEXION</t>
  </si>
  <si>
    <t>MUEBLE METALICO PARA ALMACENAMIENTO DE EQUIPOS DE MICROSCOPIA (X12 COMPARTIMIENTOS DE 35 CM DE ANCHO - 45 CM DE ALTO - 45 CM DE FONDO CADA UNO - CON PORTACANDADOS</t>
  </si>
  <si>
    <t>1,010,000</t>
  </si>
  <si>
    <t>6,060,000</t>
  </si>
  <si>
    <t>Repiza en madera tipo ventana (1.20 Mts X 1.20Mts) para acomodar C.D`s</t>
  </si>
  <si>
    <t>1,950,000</t>
  </si>
  <si>
    <t>Mueble en madera para acomodar computadores para producciÃ³n de piezas radiofÃ³nicas.</t>
  </si>
  <si>
    <t>MUEBLE EN MADERA CON CAJONES AMPLIOS PARA GUARDAR EQUIPOS DE LABORATORIO CON SUS RESPECTIVAS CHAPAS DE SEGURIDAD</t>
  </si>
  <si>
    <t>NEVERA</t>
  </si>
  <si>
    <t>MARCA CENTRALES 420 Litros COLOR ALMENDRA (CONVENCIONAL (CON ESCARCHA)</t>
  </si>
  <si>
    <t>1,150,000</t>
  </si>
  <si>
    <t>NEVERA DE 8 PIES</t>
  </si>
  <si>
    <t>NEVRA DE 14 PIES</t>
  </si>
  <si>
    <t>NEVERA LG DE 9 PIES</t>
  </si>
  <si>
    <t>ORGANIZADOR</t>
  </si>
  <si>
    <t>Organizador de CD`s</t>
  </si>
  <si>
    <t>Dos desarrolladores en JAva</t>
  </si>
  <si>
    <t>5,200,000</t>
  </si>
  <si>
    <t>62,400,000</t>
  </si>
  <si>
    <t>DiseÃ±ador y Web Master</t>
  </si>
  <si>
    <t>ACREDITACION Y CERTIFICACION DEL LABORATORIO DE QUIMICA</t>
  </si>
  <si>
    <t>Reparaciones locativas del laboratorio</t>
  </si>
  <si>
    <t>OTROS MANTENIMIENTOS</t>
  </si>
  <si>
    <t>MANO DE OBRA MANTENIMIENTO CULTIVOS GRANJA USCO</t>
  </si>
  <si>
    <t>PANTALLA PROYECCION PORTATIL</t>
  </si>
  <si>
    <t>8 Pantallas de ProyecciÃ³n para los laboratorios tecnolÃ³gicos</t>
  </si>
  <si>
    <t>2,560,000</t>
  </si>
  <si>
    <t>PAPEL ARROZ</t>
  </si>
  <si>
    <t>PAPEL CREPADO PARA ESTERILIZAR X ROLLOS</t>
  </si>
  <si>
    <t>PAPEL ARROZ - 2 CAJAS</t>
  </si>
  <si>
    <t>CAJAS PAPEL FILTRO CUALITATIVO DIAMETRO 110MMM65XM2 PARA EL LABORATORIO DE SUELOS</t>
  </si>
  <si>
    <t>PAPEL BOND BLANCO. TAMAÃƒ?O OFICIO 75 - 90 GRS. RESMA</t>
  </si>
  <si>
    <t>PAPEL BOND BLANCO. TAMAÃƒ?O CARTA 75 - 90 GRAMOS. RESMA</t>
  </si>
  <si>
    <t>PAPEL BOND CON MEMBRETE A UNA TINTA. TAMAÃƒ?O CARTA 75 - 90 GRS. RESMA</t>
  </si>
  <si>
    <t>PAPEL LAB. FILTRO 18.5 CM</t>
  </si>
  <si>
    <t>RESMAS PAPEL BOND TAMAÃ‘O CARTA BLANCO DECANATURA</t>
  </si>
  <si>
    <t>RESMA PAPEL MEMBRETEADO TAMAÃ‘O CARTA PARA LA DECANATURA DE INGENIERIA</t>
  </si>
  <si>
    <t>PAPEL BOND TAMAÃ‘O OFICIO BLANCO PARA LA DECANATURA DE INGENIERIA</t>
  </si>
  <si>
    <t>PAPEL PARA ELECTRO CARDIOGRAFO</t>
  </si>
  <si>
    <t>Papel termico para electrocardiografo de un canal de 90mm</t>
  </si>
  <si>
    <t>PAPELERA PARA ESCRITORIO</t>
  </si>
  <si>
    <t>1,110,080</t>
  </si>
  <si>
    <t>PARLANTE</t>
  </si>
  <si>
    <t>PARLANTES PARA DVD O COMPUTADOR 1 PAR</t>
  </si>
  <si>
    <t>PARLANTE CON BAFLES</t>
  </si>
  <si>
    <t>Parlante marca Sony SMS-1P</t>
  </si>
  <si>
    <t>3,560,000</t>
  </si>
  <si>
    <t>PEGANTE COLBON PARA MADERA. TAMAÃƒ?O MEDIANO</t>
  </si>
  <si>
    <t>PEGANTE COLBON. TAMAÃƒ?O 40 GR</t>
  </si>
  <si>
    <t>PILA</t>
  </si>
  <si>
    <t>PILA REDONDA MEDIANA</t>
  </si>
  <si>
    <t>PILA AA</t>
  </si>
  <si>
    <t>PILA AAA</t>
  </si>
  <si>
    <t>PILA GRANDE</t>
  </si>
  <si>
    <t>PILA GRANDE REDONDA</t>
  </si>
  <si>
    <t>PILA RECARGABLE AA DE 2500 HORAS</t>
  </si>
  <si>
    <t>Par de pilas recargables AAA con cargador.</t>
  </si>
  <si>
    <t>Par de pilas recargables AA con cargador.</t>
  </si>
  <si>
    <t>PIPETEADORAS</t>
  </si>
  <si>
    <t>MICROPIPETAS RANGO 05 Ul- 10 Ul</t>
  </si>
  <si>
    <t>PIPETAS PASTEUR PLASTICAS</t>
  </si>
  <si>
    <t>Pipetas de 10 ml, para el laboratorio de yacimientos</t>
  </si>
  <si>
    <t>Pipetas 5 ml, para el laboratorio de yacimientos</t>
  </si>
  <si>
    <t>PORTAMINA No. 0,5</t>
  </si>
  <si>
    <t>PROYECTOR VIDEO</t>
  </si>
  <si>
    <t>PROYECTOR DE ACETATOS TRANSPARENTE - PROGRAMA MATEMATICA APLICADA</t>
  </si>
  <si>
    <t>PUBLICACIONES</t>
  </si>
  <si>
    <t>Plegables alusivos al museo geolÃ³gico</t>
  </si>
  <si>
    <t>PUESTO DE TRABAJO CON ARCHIVADOR</t>
  </si>
  <si>
    <t>REACTIVO</t>
  </si>
  <si>
    <t>KIT DE CLOROLACION DE GRAM X 500 mL</t>
  </si>
  <si>
    <t>KIT COLORACION ZIELH - NEELSEN</t>
  </si>
  <si>
    <t>HIPOCLORITO X GALONES</t>
  </si>
  <si>
    <t>ETER-POR 1000 mL FRASCO</t>
  </si>
  <si>
    <t>FRASCO CREOLINA X 1000 mL</t>
  </si>
  <si>
    <t>ISODINE ESPUMA GALON X 2 l</t>
  </si>
  <si>
    <t>FORMOL X CANECA DE 55 gL EN RECIPIENTE PLASTICO</t>
  </si>
  <si>
    <t>FRASCOS DE HEMOCLASIFICADORES</t>
  </si>
  <si>
    <t>MEDIO DE CULTIVO MACONKEY 500 g</t>
  </si>
  <si>
    <t>ALCOHOL ANTESEPTICO X 500 mL</t>
  </si>
  <si>
    <t>ALCOHOL ETILICO INDUSTRIAL X GALON</t>
  </si>
  <si>
    <t>PATRONES DE PESO MOLECULAR PARA ELECTROFORESIS DE DIFERENTE CONCENTRACION</t>
  </si>
  <si>
    <t>REACTIVO DE LATEX PCR KITS.</t>
  </si>
  <si>
    <t>ALBIMIN FROM BOVINE SERUM SIGMA ALDRICH</t>
  </si>
  <si>
    <t>KIT DE REP-PCR</t>
  </si>
  <si>
    <t>ACETONA X 500 ML - ACIDO PICRICIO X 25 GR - ALUMBRE DE POTASIO X 100 GR - AZUL ALCIAN X 500 ML MERCK - CLORURO FERRICO X 250 GR - FUCSINA BASICA 25 GR - O-TOLUIDINA X 25 GR - RECTIVO DE BENEDICT X 250 ML - ROJO DE RUTENIO - ROJO NEUTRO X 10 GR - SUDAN III X 25 GR - VERDE DE METILO X 5 GR - NAFTALINA - SILICAGEL - PRESENTACION EN FRASCOS Y LIBRAS</t>
  </si>
  <si>
    <t>ACETONA X 500 ML - ACIDO PICIRCO X 25 GR - ALUMBRE DE POTASIO X 100 GR - AZUL ALCIAN 500 ML MERCK - CLORURO FERRICO X 250 GR - FUCSINA BASICA 25 GR - O-TOLUIDINA X 25 GR - X 25 GR - RECTIVO DE BENEDICT X 250 ML - ROJO DE RUTENIO - ROJO NEUTRO X 10 GR- PRESENTACION EN FRASCO</t>
  </si>
  <si>
    <t>Phitohemaglutinina Gibco x 10 ml</t>
  </si>
  <si>
    <t>Butanol x 2000 ml</t>
  </si>
  <si>
    <t>Alcohol Etilico- Etanol absoluto x 1000 ml</t>
  </si>
  <si>
    <t>Suero fetal bovino x 500 ml</t>
  </si>
  <si>
    <t>1Nitroso-2-Napthol 98% x 10 gramos</t>
  </si>
  <si>
    <t>Cromatoplacas de celulosa F para cromatografia en capa fina x 25 placas 20x20x20 cm, espesor de capa 0.1 mm</t>
  </si>
  <si>
    <t>Dinitro Fenil Hidracina 30% x 10 ml</t>
  </si>
  <si>
    <t>Albumina bovina al 20% x 10 gr</t>
  </si>
  <si>
    <t>Acido Acetico glacial x 4000 ml</t>
  </si>
  <si>
    <t>Alcohol Metilico anhidrido-Metanol x 2.5 ml</t>
  </si>
  <si>
    <t>Acido Nitrico</t>
  </si>
  <si>
    <t>Etanol x 10 ml</t>
  </si>
  <si>
    <t>Nitrato de sodio x 250 gr.</t>
  </si>
  <si>
    <t>Heparina (Liquemine) 10 Ul/ml</t>
  </si>
  <si>
    <t>Methotrexate USP x 1000 gr</t>
  </si>
  <si>
    <t>Salicilato de sodio x 10 gr</t>
  </si>
  <si>
    <t>Kit detecciÃ³n de proteina dengue NS1, Panbio</t>
  </si>
  <si>
    <t>Anticuerpos Anti CD3FITC, Anti CD19PE, Anti TNF alpha APC, anti CD14FITC,</t>
  </si>
  <si>
    <t>CASCARILLA CITRICOS TONELADA</t>
  </si>
  <si>
    <t>3 litros de etanol para el laboratorio de suelos</t>
  </si>
  <si>
    <t>Combo gramos 6.336</t>
  </si>
  <si>
    <t>Porpanil Lts</t>
  </si>
  <si>
    <t>Bispiribac100 lts 12</t>
  </si>
  <si>
    <t>1,320,000</t>
  </si>
  <si>
    <t>Sello (Butaclor) Lts</t>
  </si>
  <si>
    <t>1 litro de formol para el laboratorio de suelos</t>
  </si>
  <si>
    <t>l litro de acido clorhidrico para el laboratorio de suelos</t>
  </si>
  <si>
    <t>3 litros de Acido sulfÃºrico con 98% de pureza para el laboratorio de suelos</t>
  </si>
  <si>
    <t>5 LITROS ALCOHOL INDUSTRIAL LAB DE SUELOS</t>
  </si>
  <si>
    <t>5 LITROS DICROMATO DE POTASIO CONCENTRADO LAB DE SUELOS</t>
  </si>
  <si>
    <t>2.5 LITRO DE ACIDO CLORHIDRICO LAB DE SUELOS</t>
  </si>
  <si>
    <t>3 LITROS DE ACIDO SULFURICO CON 98% DE PUREZA LAB DE SUELOS</t>
  </si>
  <si>
    <t>MANCOCEB LTS MAIZ ARROZ GRANJA</t>
  </si>
  <si>
    <t>2000GR DE ACETATO DE AMONIO LAB DE SUELOS</t>
  </si>
  <si>
    <t>FOLIAR LTS ARROZ MAIZ GRANJA</t>
  </si>
  <si>
    <t>1,032,000</t>
  </si>
  <si>
    <t>KCI BULTO CITRICOS</t>
  </si>
  <si>
    <t>2 kilos de acetato de amonio para el laboratori de suelos</t>
  </si>
  <si>
    <t>5 litros Alcohol industrial para el laboratorio de suelos</t>
  </si>
  <si>
    <t>FUNGICIDA (STROVILURINA + TRIASC) LTS MAIZ ARROZ GRANJA</t>
  </si>
  <si>
    <t>1,872,000</t>
  </si>
  <si>
    <t>APLIACION DE ESPIG GUNGICIDA (PROTECTANTE) KD ARROZ , MAIZ GRANJA</t>
  </si>
  <si>
    <t>FUNGICIDA (strivilurina) lts arroz, maiz granja</t>
  </si>
  <si>
    <t>1,705,000</t>
  </si>
  <si>
    <t>SULFATO AMONIO X 50 KG MAIZ H. GRANJA</t>
  </si>
  <si>
    <t>fertilizantes abono urea x 50 kg bto maiz hibrido granja</t>
  </si>
  <si>
    <t>1,175,000</t>
  </si>
  <si>
    <t>MENORES BULTO GRANJA</t>
  </si>
  <si>
    <t>3,840,000</t>
  </si>
  <si>
    <t>DAP X 50 KG MAIZ H. GRANJA</t>
  </si>
  <si>
    <t>KCL X 50 KG BTO MAIZ H. GRANJA</t>
  </si>
  <si>
    <t>AGRIMINS X 56 KG MAIZ H. GRANJA</t>
  </si>
  <si>
    <t>KCI BULTO</t>
  </si>
  <si>
    <t>7,680,000</t>
  </si>
  <si>
    <t>15-15-15 X 50 KG BTO MAIZ H. GRANJA</t>
  </si>
  <si>
    <t>1,060,000</t>
  </si>
  <si>
    <t>ATRAZINA 80 KG MAIZ H. GRANJA</t>
  </si>
  <si>
    <t>PROWLT X 11 LITRO MAIZ H. GRANJA</t>
  </si>
  <si>
    <t>LORSBAN X 11 LITRO MAIZ H. GRANJA</t>
  </si>
  <si>
    <t>METHOX X 11 LITRO MAIZ H. GRANJA</t>
  </si>
  <si>
    <t>DAP BULTO GRANJA</t>
  </si>
  <si>
    <t>2,880,000</t>
  </si>
  <si>
    <t>HERBICIDAS COADVANTE LTS CULTIVO CITRICOS MANGO</t>
  </si>
  <si>
    <t>GLIFOSATO LTS CITRICOS GRANJA</t>
  </si>
  <si>
    <t>UREA BULTO CITRICOS GRANJA</t>
  </si>
  <si>
    <t>DAP BULTO CITRICOS</t>
  </si>
  <si>
    <t>15-15-15 X 50 KG CITRICOS GRANJA</t>
  </si>
  <si>
    <t>DELFOSCAMAG CITRICOS</t>
  </si>
  <si>
    <t>ORGANICO TONELADA CITRICOS</t>
  </si>
  <si>
    <t>4,200,000</t>
  </si>
  <si>
    <t>CONTROL PLAGAS INSECTICIDA LTS</t>
  </si>
  <si>
    <t>Glisofato 192.0 lts</t>
  </si>
  <si>
    <t>2,592,000</t>
  </si>
  <si>
    <t>17-6-18-2+ ORGANICO CITRICOS GRANJA</t>
  </si>
  <si>
    <t>FOLIAR LTS</t>
  </si>
  <si>
    <t>MANCOCEB CITRICOS LTS</t>
  </si>
  <si>
    <t>Preemergente (Oxadiazon)B 96 Lts para la granja</t>
  </si>
  <si>
    <t>3,556,800</t>
  </si>
  <si>
    <t>INSECTICIDA LTS CITRICOS</t>
  </si>
  <si>
    <t>1,296,000</t>
  </si>
  <si>
    <t>SAM CITRICOS GRANJA</t>
  </si>
  <si>
    <t>SELLO (CLOMAZONE) LTS 24</t>
  </si>
  <si>
    <t>1,452,000</t>
  </si>
  <si>
    <t>ABONO UREA BULTO</t>
  </si>
  <si>
    <t>9,024,000</t>
  </si>
  <si>
    <t>MENORES CITRICOS GRANJA</t>
  </si>
  <si>
    <t>SAM BULTO GRANJA</t>
  </si>
  <si>
    <t>ORGANICO BULTO GRANJA ARROZ Y MAIZ</t>
  </si>
  <si>
    <t>1,536,000</t>
  </si>
  <si>
    <t>INSECTICIDA LTS GRANAJA ARROZ Y MAIZ</t>
  </si>
  <si>
    <t>INSECTICIDA LTS GRANJA ARROZ Y MAIZ</t>
  </si>
  <si>
    <t>COADYUVANTE LTS ARROZ , MAIZ GRANJA</t>
  </si>
  <si>
    <t>FUNGICIDA LTS ARROZ Y MAIZ GRANJA</t>
  </si>
  <si>
    <t>INSECTICIDA (CYPERMETRINA) LTS ARROZ MAIZ GRANJA</t>
  </si>
  <si>
    <t>FORMOL LAB DE SUELOS</t>
  </si>
  <si>
    <t>3 LITROS DE ETANOL LAB DE SUELOS</t>
  </si>
  <si>
    <t>Sustancia Titulante de Karl Fisher. Merck Iso.1.88005.1000.4lt (Lab. Crudos y Derivados)</t>
  </si>
  <si>
    <t>1,120,000</t>
  </si>
  <si>
    <t>Gasolina extra 1 galÃ³n (laboratorio de crudos y derivados)</t>
  </si>
  <si>
    <t>Xileno reactivo analÃ­tico 1X4lt. (laboratorio de crudos y derivados)</t>
  </si>
  <si>
    <t>1,10-fenantrolina mono hidrato, 2-cloro-6(tricloro metil) piridina, Acido clorhÃ­drico, Acido glutÃ¡mico, Adico nÃ­trico, Acido sulfÃ¡mico, Almidon, Biyodato de potasio, Cloruro de amonio, Cloruro de calcio)Cloruro fÃ©rrico, Dicromato de potasio, Fluoruro de potasio, Fosfato monobasico de potasio, Ftalato de hidrÃ³geno de potasio, Glocosa, HidrÃ³xido de potasio, HidrÃ³xido de sodio, Nitruro de sodio, Sulfato de amonio ferroso, Sulfato de ferroso 7 hidrato, Sulfato manganoso, Sulfito de sodio, Tiosulfato de sodio, Hexano, para el laboratorio de aguas</t>
  </si>
  <si>
    <t>Tolueno (laboratorio de crudos y derivados)</t>
  </si>
  <si>
    <t>1,040,000</t>
  </si>
  <si>
    <t>Gasolina corriente 1X5 galones (crudos y derivados)</t>
  </si>
  <si>
    <t>10 litros de Tolueno (4 unidades de 2.5 litros) (laboratorio de yacimientos) QUIMIREL, MACROQUIMICA</t>
  </si>
  <si>
    <t>Aceite dielÃ©ctrico 1X5 galones (laboratorio de crudos y derivados)</t>
  </si>
  <si>
    <t>Agua destilada 1 galon (laboratorio de crudos y derivados)</t>
  </si>
  <si>
    <t>Gasolina JP (laboratorio de crudos y derivados)</t>
  </si>
  <si>
    <t>Aceite lubricante de diferentes clases, 1 de cada uno (laboratorio de crudos y derivados)</t>
  </si>
  <si>
    <t>Cloroformo. Merck.Iso.102445.2500.4lt</t>
  </si>
  <si>
    <t>1,160,000</t>
  </si>
  <si>
    <t>Papel filtro whaman 1- cualitativo de 90 mm 0 No.1001090 para el laboratorio de yacimientos.</t>
  </si>
  <si>
    <t>Solvente APURA 4lt Karl Fisher. Merck.ISO 1.88015.1000 (para el laboratorio de crudos y derivados)</t>
  </si>
  <si>
    <t>1,280,000</t>
  </si>
  <si>
    <t>RECIPIENTE</t>
  </si>
  <si>
    <t>RECIPIENTE COLECTOR PARA RED DE PLANCTON O TRAMPA SURBER</t>
  </si>
  <si>
    <t>rECIPIENE PARA RECOLECCION DE BASURAS SEGUN ESPECIFICA EL SISTEMA DE GESTION AMBIENTAL DE LA USCO PARA EL LABORATORIO DE SUELOS</t>
  </si>
  <si>
    <t>REFLECTORES</t>
  </si>
  <si>
    <t>Para parqueadero y zonas verdes de cada sede</t>
  </si>
  <si>
    <t>REFRIGERADOR</t>
  </si>
  <si>
    <t>REFRIGERADOR WHIRPOOL 9 PIES</t>
  </si>
  <si>
    <t>REGLETA PARA CORRIENTE (6 TOMAS)</t>
  </si>
  <si>
    <t>REGLETAS DE HIERRO</t>
  </si>
  <si>
    <t>Regleta de corriente de 6 tomas.</t>
  </si>
  <si>
    <t>REPRODUCTOR DE DVD</t>
  </si>
  <si>
    <t>REPUESTOS</t>
  </si>
  <si>
    <t>Contrato para la adquisicion de repuestos, partes, herramientas e insumos computadores e impresoras</t>
  </si>
  <si>
    <t>MANGO PARA BISTURI NO. 3 Y NO, 5 - 24 Y 24 UNIDADES DE CADA UNA</t>
  </si>
  <si>
    <t>CUCHILLAS PARA BISTURI NO. 5 X 50 - 5 PAQUETES</t>
  </si>
  <si>
    <t>CUCHILLAS PARA BISTURI NO. 3 X 50 - 5 PAQUETES</t>
  </si>
  <si>
    <t>RESISTENCIA</t>
  </si>
  <si>
    <t>Resistencia elÃ©ctrica del baÃ±o de presiÃ³n de vapor Reid (laboratorio de crudos y derivados)</t>
  </si>
  <si>
    <t>SCANNER</t>
  </si>
  <si>
    <t>10 Escaner para los laboratorios y oficinas del nuevo edificio de la Facultad de EconomÃ­a y AdministraciÃ³n</t>
  </si>
  <si>
    <t>PARA EL LABORATORIO DE SIG AGRICOLA</t>
  </si>
  <si>
    <t>SEMILLAS</t>
  </si>
  <si>
    <t>SEMILLA MAIZ HIBRIDO DK1040 BOLSA maiz granja</t>
  </si>
  <si>
    <t>1,396,500</t>
  </si>
  <si>
    <t>Maiz hibrido DK 1040 bolsa</t>
  </si>
  <si>
    <t>Semilla arroz 5.400 kg. para la granja</t>
  </si>
  <si>
    <t>2,900,000</t>
  </si>
  <si>
    <t>14,500,000</t>
  </si>
  <si>
    <t>SERVICIOS PROFESIONALES</t>
  </si>
  <si>
    <t>SE REQUIERE LA CONTRATACION DE DOS (2) PROFESIONALES EN EL AREA DE CONCILIACION PARA CAPACITAR A LOS ESTUDIANTES DE IX Y X SESMESTRE DE CONSULTORIO JURIDICO Y CENTRO DE CONCILIACION, POR TRES DIAS, EL VALOR A CANCELAR INCLUYE TRANSPORTE Y HOSPEDAJE E REQUIERE LA CONTRATACION DE DOS (2) PROFESIONALES EN EL AREA DE CONCILIACION PARA CAPACITAR A LOS ESTUDIANTES DE IX Y X SESMESTRE DE CONSULTORIO JURIDICO Y CENTRO DE CONCILIACION, POR TRES DIAS, EL VALOR A CANCELAR INCLUYE TRANSPORTE Y HOSPEDAJE</t>
  </si>
  <si>
    <t>2,190,000</t>
  </si>
  <si>
    <t>4,380,000</t>
  </si>
  <si>
    <t>SILLA RIMAX</t>
  </si>
  <si>
    <t>SILLAS PARA CUATRO AULAS MULTIMEDIAL - PROGRAMA FISICA PURA -</t>
  </si>
  <si>
    <t>200 Sillas rimax para el nuevo edificio de la Facultad de Economia y AdministraciÃ³n</t>
  </si>
  <si>
    <t>100 Sillas Rimax para el nuevo edificio de la Facultad de EconomÃ­a y AdministraciÃ³n</t>
  </si>
  <si>
    <t>SILLA FIJA CON BRAZOS</t>
  </si>
  <si>
    <t>800 Sillas fijas con brazos para el Auditorio del nuevo edificio de la Facultad de EconomÃ­a y AdministraciÃ³n</t>
  </si>
  <si>
    <t>96,000,000</t>
  </si>
  <si>
    <t>60 Sillas Fijas con brazos para la sala de profesores del nuevo edificio de la Facultad de EconomÃ­a y AdministraciÃ³n</t>
  </si>
  <si>
    <t>SILLA FIJA SIN BRAZOS</t>
  </si>
  <si>
    <t>SILLAS METALICAS TAPIZADA DE UN SOLO COLOR</t>
  </si>
  <si>
    <t>SILLA DE LABORATORIO CON ESPALDAR-</t>
  </si>
  <si>
    <t>Silla fija en tubo sin brazo, tapizada enpaÃ±o.</t>
  </si>
  <si>
    <t>LAB.DE MECANICA DE SUELOS</t>
  </si>
  <si>
    <t>SILLA UNIVERSITARIA</t>
  </si>
  <si>
    <t>SILLA DE PAÃ‘O UNIVERSITARIA</t>
  </si>
  <si>
    <t>SILLA DE PAÃ‘O TIPO UNIVERSITARIA CON SUPERFICIE PARA ESCRIBIR</t>
  </si>
  <si>
    <t>9,600,000</t>
  </si>
  <si>
    <t>1500 Sillas universitarias para el nuevo edificio de la Facultad de EconomÃ­a y AdministraciÃ³n</t>
  </si>
  <si>
    <t>240,000,000</t>
  </si>
  <si>
    <t>SILLAS GIRATORIA SIN BRAZO</t>
  </si>
  <si>
    <t>15,138,000</t>
  </si>
  <si>
    <t>SILLAS ERGONOMICAS PARA LOS DOCENTES PARA EL PROGRAMA DE CONTADURIA PUBLICA</t>
  </si>
  <si>
    <t>10,092,000</t>
  </si>
  <si>
    <t>SILLA GIRATROIO ERGONOMICAS</t>
  </si>
  <si>
    <t>3,364,000</t>
  </si>
  <si>
    <t>SILLA FIJA ERGONOMICA TIPO INTERLOCUTORA</t>
  </si>
  <si>
    <t>SILLA ERGONOMICA GIRATORIO CON BRAZOS</t>
  </si>
  <si>
    <t>Sillas para computador</t>
  </si>
  <si>
    <t>6,728,000</t>
  </si>
  <si>
    <t>SOFTWARE</t>
  </si>
  <si>
    <t>Super Proyect Promodel y WinQsb para el area de produccion y para el area contable Actualizacion de Swite de SIIGO para el area economica $10.000.000 cada uno</t>
  </si>
  <si>
    <t>Software de Analisis Financiero y Audtodiagnostico Empresarial Manag</t>
  </si>
  <si>
    <t>Adobe Creative Suite Master Collection</t>
  </si>
  <si>
    <t>Software para Administracion Integral de las Comunicaciones oficiales segun requerimiento Institucional y normatividad vigente - (Oficina de Archivo)</t>
  </si>
  <si>
    <t>Software de (1) Historias Clinicas Medicina General y Odontologica (Est, Docen,Adtivos y Trabaj). Historia Clinica Ocupaciones (Est, Docen,Adtivos y Trabaj). Historia Clinica y Psicologica (Est, Docen,Adtivos y Trabaj). Servicios de Enf en gral. Se requiere que se cumpla con la Normatividad vigente en Salud Ocupacional. Convenio 161 de OIT, Ley 387 de 1997, Constitucional Nacional del 91, Ley 100 del 93 y el Decreto 1295 de 1994 Res. No. 2346 de 2007, Cap. III. Las Pautas de la Hist. Clinica basadas en la Normas Tecnicas Colombianas NTC 4115. (2) Ayudas Diagnosticas. (3) Sistema de Gestion Empresarial para cControl y presentacion de informes en general (RIPS), registro deportivos, artisticos y culturales. (4) Software especial para control, agilizacion y y registro de servicio de Restaurante Estudiantil (La veneada y Facultad de Salud) (Bienestar Universitario)</t>
  </si>
  <si>
    <t>Software para Monitoreo PRTG Trafific Groper</t>
  </si>
  <si>
    <t>Sistema de Informacion para Gestion de Bibliotecas</t>
  </si>
  <si>
    <t>Swite de adobe Photoshop CS4 (DREAMWBER, FLASH)- Para los programas Admon Fra-Empresas y Contaduria</t>
  </si>
  <si>
    <t>Actualizacion de Licencias SPSS para el area Financiera</t>
  </si>
  <si>
    <t>SWITCHE</t>
  </si>
  <si>
    <t>MODULO DE 8 PUERTOSSFP 3C17260</t>
  </si>
  <si>
    <t>3,800,000</t>
  </si>
  <si>
    <t>SWITCHE 3 COM 5500G - E1 SFP 24 PART</t>
  </si>
  <si>
    <t>16,200,000</t>
  </si>
  <si>
    <t>TABLERO EN ACRILICO</t>
  </si>
  <si>
    <t>1 unidades para la sala de Informatica y 1 unidades para el Laboratorio de Factoria de Software.</t>
  </si>
  <si>
    <t>PARA EL SERVICIO DE LOS AUDITORIOS DE LA FACULTAD DE INGENIERIA</t>
  </si>
  <si>
    <t>60 Tableros para adecuar los salones del nuevo edificio de la Facultad de EconomÃ­a y AdministraciÃ³n</t>
  </si>
  <si>
    <t>TALADRO</t>
  </si>
  <si>
    <t>TALADRACORCHOS - POR UNIDADES</t>
  </si>
  <si>
    <t>TALCO PARA GUANTES</t>
  </si>
  <si>
    <t>TAMICES</t>
  </si>
  <si>
    <t>MICROPIPETAS AUTOMATICA DE VOLUMENN VARIABLE :</t>
  </si>
  <si>
    <t>TAMIZ</t>
  </si>
  <si>
    <t>TAMIZ EN ACERO INOXIDABLE MALLA 230(63UM) 2 UNIDADES</t>
  </si>
  <si>
    <t>TAMIZ EN ACERO INOXIDABLE MALLA 500 (25UM) - 120 8125UM) -140 (106UM) 4 UNIDADES</t>
  </si>
  <si>
    <t>2 DE 100 MICRAS - 2 DE 250 MICRAS - 2 DE 500 MICRAS</t>
  </si>
  <si>
    <t>tamiz de 100 micras, tamix de 500 micras y tamiz de 250 micrs</t>
  </si>
  <si>
    <t>JUEGOS DE TAMICES PARA EL LABORATORIO MECANICA DE SUELOS</t>
  </si>
  <si>
    <t>Serie de tamices standard ASTM C33 para agregados, con marco de acero de 8" de diÃ metro por 2" de altura, con mallas certificadas ASTME11 de acero, asÃ¬:3", 2-1/2", 2", 1-1/2", 1", 3/4", 1/2", 3/8", No. 4, No. 8, No.16, No.30, No. 50, No.100, No.200, tapa y fondo.</t>
  </si>
  <si>
    <t>1,570,000</t>
  </si>
  <si>
    <t>4,710,000</t>
  </si>
  <si>
    <t>TANQUES</t>
  </si>
  <si>
    <t>tanques de 350 litros colomplast</t>
  </si>
  <si>
    <t>Tanques de 500 litros colomplast</t>
  </si>
  <si>
    <t>Tanque diametro 0.6 m x 1m de altura con tapa en acero inoxidable. Un tanque diametro o.6 m x 1m de altura sin tapa cada tanque con nivel tipo manilla tueria en acero inoxidable soporte en tuberia cuadara de acero inoxidable</t>
  </si>
  <si>
    <t>TAPABOCAS</t>
  </si>
  <si>
    <t>TARJETAS DE RED</t>
  </si>
  <si>
    <t>TARJETAS DE VIDEO</t>
  </si>
  <si>
    <t>TELEFAX</t>
  </si>
  <si>
    <t>TELEFONO FIJO</t>
  </si>
  <si>
    <t>TELEFONO TIPO SECRETARIA</t>
  </si>
  <si>
    <t>TELEVISOR</t>
  </si>
  <si>
    <t>TELEVISOR LCD de 42 pulgadas</t>
  </si>
  <si>
    <t>PLASMA MARCO SONY DE 42" PARA LOS AUDITORIOS DE LA FACULTAD DE INGENIERIA</t>
  </si>
  <si>
    <t>TELEVISOR LCD 42Â´RESOLCUION 1920 X 1080 FULL - CONTARTE 80.000 1 SRS. TXST DOLBY DIGITAL POTENCIA DE 20 W. VIDEO COMPONENTE 2 HDMI - PC RS 232 - USB PLUS</t>
  </si>
  <si>
    <t>TELEVISOR LCD PLASMA - 47" -PARED</t>
  </si>
  <si>
    <t>TELEVISOR PLASMA LCD 36`` DE PARED</t>
  </si>
  <si>
    <t>TELON</t>
  </si>
  <si>
    <t>1 Unidades para la Sala de Informatica y 1 unidades para el Laboratorio de Factoria de Software.</t>
  </si>
  <si>
    <t>TENSIOMETRO</t>
  </si>
  <si>
    <t>Tensiometro para practicas de fisiologÃ­a</t>
  </si>
  <si>
    <t>TERMOCICLADOR DE REACCION DE PCR</t>
  </si>
  <si>
    <t>CAPACIDAAD 96 DETERMINACIONES</t>
  </si>
  <si>
    <t>TERMOMETRO</t>
  </si>
  <si>
    <t>TERMOMETROS DIGITALES</t>
  </si>
  <si>
    <t>TERMOMETRO DIGITAL</t>
  </si>
  <si>
    <t>TIJERA MEDIANA DE 7" EN ACERO</t>
  </si>
  <si>
    <t>TINTA RECARGA CARTUCHOS</t>
  </si>
  <si>
    <t>TINTA RECARGA CARTUCHOS TONER HP</t>
  </si>
  <si>
    <t>TONER IMPRESORA HP LASERJET 1000 No.15A REF C7115A COLOR NEGRO</t>
  </si>
  <si>
    <t>Para las actividades acadÃ©micas del Ã¡rea de fisiologia y neurociencias</t>
  </si>
  <si>
    <t>TORNILLO</t>
  </si>
  <si>
    <t>TORNILLOS MICROMETRICOS</t>
  </si>
  <si>
    <t>TRANSMISOR</t>
  </si>
  <si>
    <t>TRANSMISOR DE PERSION MANOMETRICO Ref: LD291 RANGO 0-36 PSI SALIDA 4-20 Ma CONEXION 1/2npt protocolo hart indicacion local</t>
  </si>
  <si>
    <t>TRANSMISOR DE NIVEL ULTRASONICO, ALIMENTACION 110vac, SENSOR em PVC DE 10MT, SALIDA 4-20mA</t>
  </si>
  <si>
    <t>TRANSMISOR DE PRESION DIFERENCIAL SENSOR CAPACITIVO DE 1.68 - 200 IN H20 SEÃ‘AL DE SALIDAD 4-20mA Y PROTOCOLO HART INDICADOR LOCAL EXACTITUD 0.075% CONEXION ELECTRICA 1/2 NPT VOLTAGE DE 12 - 45 vdc indicador de 4 1/2 DIGITOS LCD TEMPERATURA DE OPERACION -40 A 85Â°C</t>
  </si>
  <si>
    <t>DFM 4.0 TRANSMISOR PARA MEDICION DE FLUO DE NO CONTACTO, SALIDA 4-20mA. SALIDA RELE.</t>
  </si>
  <si>
    <t>LIT 25. TRANSMISOR DE NIVEL ULTRASONICO ALIMENTACION 100 130VAC SENSOR MEDOLEO PZ32 EM TEFLON, RANGO 10MT SALIDA 4-20mA</t>
  </si>
  <si>
    <t>TRANSMISOR DE PRESION DIFERENCIAL Ref: LD301D2 SENSOR CAPACITIVO DE 1.68 - 200IN H20 SEÃ‘AL DE SALIDA 4-20mA Y PROTOCOLO HART INDICACION LOCAL EXACTITUD 0.075% CONEXION ELECTRICA 1/2 npt voltage de 12-45 vdc INDICADOR DE 4 1/2 DIGITOS LCD TEMPERATURA DE OPERACION 40 a 85Â°C SENSOR CAPACITIVO DE 1.68 - 200 IN H20</t>
  </si>
  <si>
    <t>TRIPODE</t>
  </si>
  <si>
    <t>TRIPODE PARA CAMARA</t>
  </si>
  <si>
    <t>TUBO PLASTICOS</t>
  </si>
  <si>
    <t>TUBOS DE LABORATORIO VIDRIOS VACUTAINER TAPA LILA 4.0 mL</t>
  </si>
  <si>
    <t>TUBOS DE VIDRIO VACUTAINER TAPA ROJA 7.0 mL</t>
  </si>
  <si>
    <t>TULAS</t>
  </si>
  <si>
    <t>TULAS PARA 15 BALONES</t>
  </si>
  <si>
    <t>UPS</t>
  </si>
  <si>
    <t>10 KVA / 1 para la sala de informatica y 1 para el laboratorio Factoria de Software</t>
  </si>
  <si>
    <t>UPS 1500 VA 1000 W 8 salidas. Voltaje de entrada 120V/15A; voltaje de salida para cada conector 120 V.</t>
  </si>
  <si>
    <t>2,480,000</t>
  </si>
  <si>
    <t>45 UPS para las Aulas virtuales del nuevo edificio de la Facultad de EconomÃ­a y AdministraciÃ³n</t>
  </si>
  <si>
    <t>13,500,000</t>
  </si>
  <si>
    <t>SE REQUIERE PARA LA DECANATURA DE INGENIERIA 7 AUDITORIOS</t>
  </si>
  <si>
    <t>Para los computadores del laboratorio</t>
  </si>
  <si>
    <t>UPS DE 20 MINUTOS</t>
  </si>
  <si>
    <t>2 UPS TRIPLITE, para la sala del CPIP</t>
  </si>
  <si>
    <t>2,144,000</t>
  </si>
  <si>
    <t>4,288,000</t>
  </si>
  <si>
    <t>VALBULAS</t>
  </si>
  <si>
    <t>VÃ¡lvulas , valve, needle size: 1/4 in x 1/4 in, nptm body material: a 182 type 316, straight, back-up ring: tfe, oÂ´ring:viton a vÃ¡lvula macho-macho, ss-14dkm4</t>
  </si>
  <si>
    <t>VALVULA</t>
  </si>
  <si>
    <t>VALVULO PROPORCIONAL: PARA MANEJO DE NIVELES, CONEXION 1/2 ENTRADA 4-20mA 2 VALVULA ON/OFF BOMBA PARA AGUA DE 8gpm, conexiÃ³n 1" TUBERIA, CABLES, ETC</t>
  </si>
  <si>
    <t>VENDAS (CURITAS)</t>
  </si>
  <si>
    <t>CAJAS</t>
  </si>
  <si>
    <t>VENTILADOR DE PISO</t>
  </si>
  <si>
    <t>VENTILADOR DE TECHO</t>
  </si>
  <si>
    <t>6,720,000</t>
  </si>
  <si>
    <t>60 ventiladores de techo para los laboratorios, salones y oficinas del nuevo edificio de la Facultad de EconomÃ­a y AdministraciÃ³n</t>
  </si>
  <si>
    <t>16,800,000</t>
  </si>
  <si>
    <t>VIALES</t>
  </si>
  <si>
    <t>VIALES PARA DNTPÂ¨ A UNIDADES - VAILES TAQ- POLIMERASA . PROGRAMA 2 UNIDADES</t>
  </si>
  <si>
    <t>Bolsa puntas compatibles para pipetas Gilson y Brand.</t>
  </si>
  <si>
    <t>Bolsa viales eppendorf volumen de 1.5mL.</t>
  </si>
  <si>
    <t>VIATICOS Y GASTOS DE VIAJE. PERSONAL OPERATIVO</t>
  </si>
  <si>
    <t>VIATICOS Y TRANSPORTE CONFERENCISTA - PROGRAMA MATEMATICA APLICACA</t>
  </si>
  <si>
    <t>CAPACITACION - PROFESOR COORDINADOR DEL LABORATORIO</t>
  </si>
  <si>
    <t>CAPACTACION AUXILIAR DEL LABORATORIO - VIATICOS Y PASAJES</t>
  </si>
  <si>
    <t>VIDEOBEAN</t>
  </si>
  <si>
    <t>2.000 lumens. / 1 para la Sala de Informatica y 1 para el laboratorio de Factoria de Software</t>
  </si>
  <si>
    <t>5,600,000</t>
  </si>
  <si>
    <t>11,200,000</t>
  </si>
  <si>
    <t>8,400,000</t>
  </si>
  <si>
    <t>EQUIPOS PROYECTORES PARA LOS DOCENTES DEL PROGRAMA DE ADMINISTRACION FINANCIERA</t>
  </si>
  <si>
    <t>2.000 lumens. / 4 para la Sala de Informatica y 4 para el laboratorio de Factoria de Software</t>
  </si>
  <si>
    <t>22,400,000</t>
  </si>
  <si>
    <t>28,000,000</t>
  </si>
  <si>
    <t>EQUIPO PROYECTOR PARA DOCENTES DEL PROGRAMA DE ECONOMIA</t>
  </si>
  <si>
    <t>VIDEO - BEAM LUMNES</t>
  </si>
  <si>
    <t>VIDEO - BEAM PARA EL PROGRAMA DE MATEMATICA APLICADA</t>
  </si>
  <si>
    <t>VIDEO BEAN 2000 LUMENS</t>
  </si>
  <si>
    <t>VIODEO . BEAM DE TECHO - PARA 4 AULAS MULTIMEDIAL FISICA PURA</t>
  </si>
  <si>
    <t>CONSULTORIO JURIDICO Y CENTRO DE CONCILIACION, LABORATORIO 317</t>
  </si>
  <si>
    <t>20 Videobean</t>
  </si>
  <si>
    <t>20 Videobean para los programas de la Facultad de Economia y Administracion</t>
  </si>
  <si>
    <t>40 Videobean para adecuar los laboratorios, salones y el auditorio del nuevo edificio de la Facultad de EconomÃ­a y AdministraciÃ³n</t>
  </si>
  <si>
    <t>EQUIPOS PROYECTORES PARA LOS DOCENTES DEL PROGRAMA DE CONTADURIA PUBLICA</t>
  </si>
  <si>
    <t>84,000,000</t>
  </si>
  <si>
    <t>VideoBean marca EPSON</t>
  </si>
  <si>
    <t>Necesario para las clases</t>
  </si>
  <si>
    <t>Para la sala del CPIP</t>
  </si>
  <si>
    <t>videobeam dell m109 o similar caracteristicas</t>
  </si>
  <si>
    <t>Desarrollo de exposiciones, conferencias, sustentaciones y clases presenciales del Programa.</t>
  </si>
  <si>
    <t>VIDRIOS</t>
  </si>
  <si>
    <t>Vidrios para ventana tamaÃ±os variados</t>
  </si>
  <si>
    <t>VIDRIERIA Y OTROS (Bureta 10, 25, 50 ml, Pipeta volumetrica de vidrio (1,2,5,10,50 ml), Pipeta graduada de vidrio (1,2,5,10,25 ml), Erlenmeyer (100, 200, 500 ml), Erlenmeyer con desprendimiento lateral 250, 500 ml, Beaker (100, 500, 1000 ml), Embudo buchner Tapon de caucho No, Micropipeta (100-1000ul), Macropipeta (2,10,25 ml), Buretra digital de 50 ml, frasco de vidrio con tapa rosca (250, 500, 1000, 2000 ml), BalÃ³n aforado de vidrio (50, 100, 250, 500, 1000, 2000 ml), Filtros en fibra de vidrio, Papel filtro cuantitativo, Papel filtro cualitativo, para el laboratorio de aguas</t>
  </si>
  <si>
    <t>VITRINA</t>
  </si>
  <si>
    <t>VITRINAS EN VIDRIO</t>
  </si>
  <si>
    <t>VITRINA BIBLIOTECA</t>
  </si>
  <si>
    <t>para los laboratorio de comunicaiones y control</t>
  </si>
  <si>
    <t>Rubro 3011190 - IMPLEMENTOS DEPORTIVOS</t>
  </si>
  <si>
    <t>FPC5T, COSIDO, CON DISEÃ‘O DE CUBIERTA EN FORMA PENTAGONAL Y EXAGONAL, CON CUBIERTA EN PU CON NEUMATICO DE MUTILO DE DOS CAPAS APORBADO POR LA FEDERACION COLOMBIANA DE FUTBOL Y/O DIVISION MAYOR DE FUTBOL COLOMBIANO DIMAYOR</t>
  </si>
  <si>
    <t>BALON FUTBOL SALA PROFESIONAL LAMINADO , CON CUBIERTA EN PVC, CON NEUMATICO DE BUTILO DE DS CAPAS, UNA CIRCUNFERENCIA DE 62 - 54 CMS Y APORBADO POR LA FEDERACION COLOMBIANA DE FUTBOL (COMISION FUTBOL SALA FIFA)</t>
  </si>
  <si>
    <t>BALON PARA VOLEYARENA REF. BV 58SL CUERO PU</t>
  </si>
  <si>
    <t>REF. V5XSLC1 ULTRA TOUCH CUERO COMPOSITE COLOR AZUL AMARILLO No. 5</t>
  </si>
  <si>
    <t>BATAS EN DRIL DE COLOR BLANCO PARA LOS ESTUDIANTES DE ESCASOS RECURSOS ECONOMICOS QUE LABORAN COMO COOPERADORES - VEEDORES DE LOS RESTAURANTES ESTUDIANTILES DE NUESTRA INSTITUCION</t>
  </si>
  <si>
    <t>BROCHA</t>
  </si>
  <si>
    <t>No. 4, No. 2</t>
  </si>
  <si>
    <t>CABLE HEMBRA PARA ESTIMULADOR TRANSC. TENS</t>
  </si>
  <si>
    <t>CABLE ENCAUCHETADO</t>
  </si>
  <si>
    <t>Cable encauchetado 2*16</t>
  </si>
  <si>
    <t>Programa de relevo generacional.</t>
  </si>
  <si>
    <t>ELECTRODOS DE CARBONO PARA TENS</t>
  </si>
  <si>
    <t>DISCOS PROFESIONALES FRIEEESBEE</t>
  </si>
  <si>
    <t>CONOS TIPO DOMO PLASTICO POLIETILENO DE 11 CM DE ALTO</t>
  </si>
  <si>
    <t>PITOS PARA ARBITRAJE</t>
  </si>
  <si>
    <t>RAQUETAS DE TENIS DE MESA MADERA POWER 7</t>
  </si>
  <si>
    <t>PAR DE ANTENAS PARA VOLEIBOL MARCA MIKASA</t>
  </si>
  <si>
    <t>EQUIPO MEDICO LARINGOSCOPIO PEDIATRICO</t>
  </si>
  <si>
    <t>LARIGOSCOPIO ADULTO WELCH ALLYN USA COC 3 HOJAS DE FIBRA OPTICA</t>
  </si>
  <si>
    <t>EVENTOS ACTIVIDADES ESTUDIANTILES</t>
  </si>
  <si>
    <t>PROGRAMA DE ASESORIA MEDICA PARA PROMOCION DE HIGIENE URINARIA Y PREVENCION DE LA INFECCION DE LA VIA URINARIA(CISTITIS)</t>
  </si>
  <si>
    <t>PROGRAMA DETECCION TEMPRANA DE CANCER CERVICO-UTERINO</t>
  </si>
  <si>
    <t>PROGRAMA DE ASESORIA MEDICA PARA DETECCION TEMPRANA DE TUMORES DE SENO</t>
  </si>
  <si>
    <t>VALORACION OPTOMETRICA, DEIAGNOSTICO DEL DEFECTO DE REFRACCION OCULAR FORMULACION DE ANTEOJOS CORRECTORES, CONTROL OPTOMETRICO DE ADAPTACION DE ANTEOJOS</t>
  </si>
  <si>
    <t>PROGRAMA PERMANENTE DE ASESORIA MEDICA PARA DETECCION TEMPRANA Y CONTROL NO FARMACOLOGICO DE FACTORES DE RIESGO DE ENFERMEDAD CARDIOPULMONAR</t>
  </si>
  <si>
    <t>EVENTOS CULTURALES</t>
  </si>
  <si>
    <t>Jornada de integraciÃ²n folclÃ²rica administrativa para el mes de junio</t>
  </si>
  <si>
    <t>Jornada de integraciÃ²n administrativa en el mes de diciembre</t>
  </si>
  <si>
    <t>Concurso de la canciÃ²n intercolegiado</t>
  </si>
  <si>
    <t>Publicidad (plegables, invitaciones, catÃ logos, volantes, afiches, otros)</t>
  </si>
  <si>
    <t>Transporte de los grupos artisticos a representar a la universidad a festivales o concursos</t>
  </si>
  <si>
    <t>Festival de la canciÃ²n libre en espaÃ±ol triestamentario</t>
  </si>
  <si>
    <t>Muestra folclÃ²rica de integraciÃ²n</t>
  </si>
  <si>
    <t>Encuentro de mÃ¹sica andino latinoamericano</t>
  </si>
  <si>
    <t>Festival de danza folclÃ²rica</t>
  </si>
  <si>
    <t>Jornada de integraciÃ²n navideÃ±a, pesebre y novena de aguinaldos</t>
  </si>
  <si>
    <t>HidrataciÃ²n, refrigerios y restautante para las diferentes actividades culturales</t>
  </si>
  <si>
    <t>6,240,000</t>
  </si>
  <si>
    <t>Festival de la canciÃ²n andino colombiano</t>
  </si>
  <si>
    <t>CelebraciÃ²n dÃ¬a internacional del teatro</t>
  </si>
  <si>
    <t>Cine al descubierto, alquiler de pelÃ¬culas.</t>
  </si>
  <si>
    <t>Montaje pictÃ²ricos y curadurias de cerÃ mica</t>
  </si>
  <si>
    <t>Se programarÃ¡n 6 peÃ±as culturales en el aÃ±o, tres por semestre, cubrirÃ¡ honorarios de los grupos artÃ­sticos invitados</t>
  </si>
  <si>
    <t>EVENTOS DEPORTIVOS</t>
  </si>
  <si>
    <t>DEPLAZAMIENTOS DEPORTIVOS ASCUNDEPORTES DOCENTES Y ADMINISYRATIVOS $46.000.000, DESPLAZAMIENTOS DEPORTIVOS ASCUDEPORTES ESTUDIANTES $104.000.000, JUEGOS DE SINTRAUNICOL $85.000.000, JUEGOS INETRNOS $65.000.000</t>
  </si>
  <si>
    <t>INSTRUMENTOS MUSICALES</t>
  </si>
  <si>
    <t>Encordado para requito tiple - marca concertina</t>
  </si>
  <si>
    <t>Encordado para guitarra (Alta tensiÃ²n)</t>
  </si>
  <si>
    <t>Encordado para guitarra electroacÃ¹stica - marca concertina</t>
  </si>
  <si>
    <t>Encordados para bajo elÃ¨ctrico - marca consertina</t>
  </si>
  <si>
    <t>Encordado para rquito - marca concertina</t>
  </si>
  <si>
    <t>Encordado para charango</t>
  </si>
  <si>
    <t>LÃ¬neas elÃ¨ctricas para guitarra</t>
  </si>
  <si>
    <t>Accesorio de limpieza de trombÃ²n, saxo y trompeta</t>
  </si>
  <si>
    <t>Encordado para requinto guitarra - marca concertina</t>
  </si>
  <si>
    <t>LÃ¬nea elÃ¨ctrica para bajo elÃ¨ctrico</t>
  </si>
  <si>
    <t>LÃ¬quido para instrumento de madera - marca concertina</t>
  </si>
  <si>
    <t>Un charango</t>
  </si>
  <si>
    <t>Quince quenas</t>
  </si>
  <si>
    <t>Quince zampoÃ±as</t>
  </si>
  <si>
    <t>INSTRUMENTOS MUSICALES BAJO 4 CUERDAS MAK ROCKWOOD</t>
  </si>
  <si>
    <t>RepresentaciÃ³n de los grupos artÃ­sticos en otras universidades</t>
  </si>
  <si>
    <t>4,900,000</t>
  </si>
  <si>
    <t>Fender o Yamaha</t>
  </si>
  <si>
    <t>INSTRUMENTOS MUSICALES TAMBORA</t>
  </si>
  <si>
    <t>INSTRUMENTOS MUSICALES ELECTRONICO</t>
  </si>
  <si>
    <t>Tiple electroacÃ¹stico</t>
  </si>
  <si>
    <t>Guitarra electroacÃ¹stica</t>
  </si>
  <si>
    <t>5,400,000</t>
  </si>
  <si>
    <t>JUEGO DEPORTIVO</t>
  </si>
  <si>
    <t>JUEGO DE ESTRUCTURAS COLGANTES ELECTRICAS PARA BALONCESTO: CANCHAS CON DISEÃ‘O COLGANTE A LA ESTRUCTURA DEL TECHO DEL RE3CINTO DEPORTIVO: TUBERIA DE ACERO ESTRUCTURAL DE 3", PINTADAS CON BASE ANTICORROSIVO Y TERMINADOS EN LACA, TABLEROS EN VIDRIO TEMPLADO DE SEGURIDAD DE 10 MM DE ESPESOR CON MARCOS DOBLES, PROTECTOR DE CABEZA ENE SPUMA EN POLIETILENO Y LONA CARPA. MEDIDAS TABLERO TIPO NBA. SISTEMA ELECTRICO CON CONTACTORES PARA AUTOMATIZACION. CADA ESTRUCTURA CON SISTEMA ELECTRICO INDEPENDIENTE Y MOTO REDUCTOR PARA ELEVAR Y BAJAR TABLEROS.</t>
  </si>
  <si>
    <t>MALLA PARA FUTBOL TIPO CABALA PROFESIONAL DE 120 X 90</t>
  </si>
  <si>
    <t>PARA CANCHA DE FUTBOL SALA EN NYLON 3, FORMA DE CABAÃ‘A</t>
  </si>
  <si>
    <t>MANTENIMIENTO AMPLIFICADOR DE SONIDO</t>
  </si>
  <si>
    <t>MATERIAL ODONTOLOGICO</t>
  </si>
  <si>
    <t>MATERIALES O INSUMOS ODONTOLÃ“GICOS</t>
  </si>
  <si>
    <t>MEDICAMENTOS KINESIOLOGIA</t>
  </si>
  <si>
    <t>4,745,000</t>
  </si>
  <si>
    <t>MEDICAMENTOS SERVICIO MÃ‰DICO</t>
  </si>
  <si>
    <t>MEDICAMENTOS PARA EL SERVICIO MEDICO</t>
  </si>
  <si>
    <t>8,500,000</t>
  </si>
  <si>
    <t>MICROFONO ALAMBRICO</t>
  </si>
  <si>
    <t>MicrÃ²fono Shure C606</t>
  </si>
  <si>
    <t>RECARGA Y UBICACION DE EXTINTORES</t>
  </si>
  <si>
    <t>ADQUISICION DE ELEMENTOS DE PROTECCION PERSONAL (MASCARILLAS, CARTUCHOS PARA MANEJO DE RIESGOS QUIMICO Y BIOLOGICO, GUANTES DE NITRILLO PARA MANEJO DE CADAVERES)</t>
  </si>
  <si>
    <t>PROGRAMA DE INMUNOPREVENIBLES</t>
  </si>
  <si>
    <t>PREVENCION Y CONTROL DEL RIESGO CARDIOVASCULAR-TALLER LA ACTIVIDAD FISICA COMO MEDIDA TERAPEUTICA EN PREVENCION Y MANEJO DEL RIESGO CARDIOVASCULAR.</t>
  </si>
  <si>
    <t>DIAGNOSTICO DE RIESGOS PSICOLABORALES (OBSERVACION DIRECTA RECOLECCION DE INFORMACION DOCUMENTAL. ESTADISTICAS DE AUSENTISMO, ACCIDENTES DE TRABAJO-ENCUESTA DEL CLIMA ORGANIZACIONAL, COMUNICACIONES FAMILIARES.</t>
  </si>
  <si>
    <t>ELABORACION DE UN PLAN DE PREVENCION Y RESOLUCION DE CONFLICTOS - TU APTITUD ES BIENESTAR</t>
  </si>
  <si>
    <t>CONFORMACION DEL COMITE INTEGRAL CON APOYO DE EGRESADOS</t>
  </si>
  <si>
    <t>ACTIVIDADES DE DESARROLLO HUMANO</t>
  </si>
  <si>
    <t>MEJORAMIENTO DEL CLIMA ORGANIZACIONAL E INTEGRACION</t>
  </si>
  <si>
    <t>ACTIVIDADES PARA EL MEJORAMIENTO DE CALIDAD DE VIDA</t>
  </si>
  <si>
    <t>REFORMA DEL MANUAL DE CONVIVENCIA E IMPLEMENTACION DEL REGLAMENTO ESTUDIANTIL CON APOYO DE LA FACULTAD DE DERECHO</t>
  </si>
  <si>
    <t>OTROS GASTOS</t>
  </si>
  <si>
    <t>CAMPAÃ‘AS DE SENSIBILIZACION Y PREVENCION - TU SALUD ES BIENESTAR - RESPONSABLES DECANO FACULTAD DE SALUD Y FACULTAD DE DERECHO, PLANEACION , VICERRECTORIA ACADEMICA, VICERRECTORIA ADMINISTRATIVA , DIVISION BIENESTAR UNIVERSITARIO</t>
  </si>
  <si>
    <t>160 GORROS PARA EL CABELLO Y 160 TAPA BOCAS DE TELA EN DACRON PARA LOS ESTUDIANTES DE ESCASOS RECURSOS ECONOMICOS QUE LABORAN COMO COOPERADORES-VEEDORES DE LOS RESTAURANTES ESTUDIANTILES DE NUESTRA INSTITUCION</t>
  </si>
  <si>
    <t>ADQUISICION DE EQUIPOS Y ACCESORIOS ODONTOLOGICOS</t>
  </si>
  <si>
    <t>CAMPAÃ‘AS DE PROMOCION DE LA SALUD Y PREVENCION DE LA ENFERMEDAD-CONSUMO DE SUSTANCIAS PSICOACTIVAS</t>
  </si>
  <si>
    <t>SEMANA CULTURAL</t>
  </si>
  <si>
    <t>EXENCIONES: LEY 815 DE 2003-BECAS,MATRICULAS DE HONOR-EXENCIONES, MERITO DEPORTIVO-EXENCIONES MERITO CULTURAL Y ARTISTICO-EXENCIONES, VISITA DOMICILIARIA- Y OTROS.</t>
  </si>
  <si>
    <t>639,000,000</t>
  </si>
  <si>
    <t>EXAMENES MEDICOS PARA LOS COOPERADORES - VEEDORES DE LOS RESTUARANTES ESTUDIANTILES SEGUN LA NORMATIVIDAD VIGENTE DE LA SECRETARIA DE SALUD MUNICIPAL DE NEIVA PARA LA PRESTACION DEL SERVICIO DE RESTUARANTE</t>
  </si>
  <si>
    <t>PROGRAMAS DE PROMOCION DE LA SALUD Y PREVENCION DE LA ENFERMEDAD SERVICIO ODONTOLOGICO</t>
  </si>
  <si>
    <t>SEDES PITALITO, GARZON Y LA PLATA PROGRAMA TU SALUD ES BIENESTAR-PROMOCION DE LA SALUD Y PREVENCION DE LA ENFERMEDAD-PROSTITUCION, DROGADICCION, ETV - NO A LOS VICIOS Y OTROS</t>
  </si>
  <si>
    <t>CAPACITACION A LOS COOPERADORES - VEEDORES DE LOS RESTAURANTES ESTUDIANTILES, EN EL MANEJO, MANIPULACION DE ALIMENTOS Y PREVENCION DE ENFERMEDADES DOS CAPACITACIONES POR SEMESTRE.</t>
  </si>
  <si>
    <t>IMPLEMENTACION SERVICIO DE URGENCIAS PARA LAS SEDES PITALITO, GARZON Y LA PLATA</t>
  </si>
  <si>
    <t>CAMPAÃ‘AS DE PERSUACION Y ESPECTATIVAS-PROBLEMAS DE DROGADICCION, PROSTITUCION, ETV Y OTROS</t>
  </si>
  <si>
    <t>TALLERES, ACTIVIDADES PARA PERSONAL PREPENSIONADO</t>
  </si>
  <si>
    <t>ADQUISICION DE ELEMENTOS PARA PSICOLOGIA-ATENCION PSICOLOGICA-EDUCACION PARA LA VIDA-APOYO A LOS PROGRAMAS ACADEMICOS EN SUS ACTIVIDADES MEDIANTE TALLERES-APOYO PSICOLOGICO A FUNCIONARIOS Y FAMILIARES-ESTUDIOS SOCIOECONOMICOS PARA RELIQUIDACION DE MATRICULAS-PROGRAMA BIENESTAR INTEGRAL-PROYECTO TU SALUD ES BIENESTAR PARA EL PROGRAMA DE PROMOCION DE LA SALUD Y PREVENCION DE LA ENFERMEDAD (PYP) SERVICIO PSICOLOGICO</t>
  </si>
  <si>
    <t>SERVICIO DE RESTAURANTE ESTUDIANTIL - SUBSIDIO DE ALIMENTACION</t>
  </si>
  <si>
    <t>PROGRAMAS DE PROMOCION DE LA SALUD Y PREVENCION DE LA ENFERMEDAD (PYP) SERVICIO MEDICO</t>
  </si>
  <si>
    <t>FORMACION DE LIDERES UNIVERSITARIOS - PROBLEMAS DE DROGADICCION,PROSTITUCION Y ETV</t>
  </si>
  <si>
    <t>ACTUALIZACION DE DOCUMENTOS LEGALES</t>
  </si>
  <si>
    <t>CAPACITACION EN NORMAS DE BIOSEGURIDAD</t>
  </si>
  <si>
    <t>SEMANA DE LA INVESTIGACION EN DERECHO DE ACUERDO AL ESTUDIO REALIZADO EN LA UNIVERSIDAD SURCOLOMBIANA PREVENCION, NEGOCIACION Y RESOLUCION DE CONFLICTOS-PROBLEMAS DE DROGADICCION,PROSTITUCION Y ETV-NO A LOS VICIOS POR UN AMBIENTE SANO</t>
  </si>
  <si>
    <t>PAPEL CONTAC COLORES SUTIDOS. ROLLO 20 MTS.</t>
  </si>
  <si>
    <t>PAPEL CONTAC TRANSPARENTE. ROLLO 10 MTS.</t>
  </si>
  <si>
    <t>PAPEL PERIODICO. PLIEGO</t>
  </si>
  <si>
    <t>PAPEL SEDA. PLIEGO</t>
  </si>
  <si>
    <t>PINCEL PLANO</t>
  </si>
  <si>
    <t>No. 1, No. 7, No. 12,</t>
  </si>
  <si>
    <t>PINCEL REDONDO</t>
  </si>
  <si>
    <t>No. 4, No. 9,</t>
  </si>
  <si>
    <t>PINTURA. PRESENTACION GALON</t>
  </si>
  <si>
    <t>Pintura acrÃ¬lica: amarilla, azul, roja, blanco, negro.</t>
  </si>
  <si>
    <t>RODILLO DE FELPA</t>
  </si>
  <si>
    <t>Rodilla de felpa</t>
  </si>
  <si>
    <t>SERVICIOS TECNICOS</t>
  </si>
  <si>
    <t>Apoyo socio-econÃ³mico al 13% de los 7.742 estudiantes de la USCO por participar en procesos institucionales, equivalente a 1.006 estudiantes.</t>
  </si>
  <si>
    <t>59,999,852</t>
  </si>
  <si>
    <t>SILLAS EN MATERIAL PLASTICO CON BRAZOS D, DE ALTA RESISTENCIA COLOR BLANCO</t>
  </si>
  <si>
    <t>TELAS DOTACION</t>
  </si>
  <si>
    <t>Vestuario para personajes de teatro</t>
  </si>
  <si>
    <t>TRAJES (PRESENTACIONES)</t>
  </si>
  <si>
    <t>Pantalones para hombre en tela gris</t>
  </si>
  <si>
    <t>Traje de joropo dama</t>
  </si>
  <si>
    <t>Ramos de flores para la cabeza (en tela de seda)</t>
  </si>
  <si>
    <t>Trajes para hombre de cumbia (pantalÃ²n blanco)</t>
  </si>
  <si>
    <t>trajes folclÃ²ricos para hombre</t>
  </si>
  <si>
    <t>Sombreros costeÃ±os</t>
  </si>
  <si>
    <t>Cotizas llaneras</t>
  </si>
  <si>
    <t>Faldas folclÃ²ricas con su respectiva blusas en flores</t>
  </si>
  <si>
    <t>Ponchos</t>
  </si>
  <si>
    <t>Camisas manga larga con pechera</t>
  </si>
  <si>
    <t>Alpargatas en fique</t>
  </si>
  <si>
    <t>Trajes para cumbia dama</t>
  </si>
  <si>
    <t>Traje para hombre de joropo</t>
  </si>
  <si>
    <t>Trajes para los instructores</t>
  </si>
  <si>
    <t>TUBO LABORATORIO</t>
  </si>
  <si>
    <t>TUBOS OROTRAQUEALES No 8,7,Y 7.5 DOS DE CADA UNO</t>
  </si>
  <si>
    <t>TULA HORIZONTAL DE LONA CAPACIDAD 15 BALONES INFLADOS</t>
  </si>
  <si>
    <t>UNIFORMES DEPORTIVOS</t>
  </si>
  <si>
    <t>UNIFORMES DEPORTIVOS ULTIMATE ESTUDIANTES FEMENINO - CAMISETA EN TELA TOGO CON LOGO BORDADO - PANTALONETA EN TELA MILANO ESTAMPADO EN TRANSFER. MEDIAS TALLAS 6 M Y 6 L</t>
  </si>
  <si>
    <t>UNIFORMES DEPORTIVOS ULTIMATE ESTUDIANTES MASCULINO - CAMISETA EN TELA TOGO CON LOGO BORDADO - PANTALONETA EN TELA MILANO ESTAMPADO EN TRANSFER. MEDIAS TALLAS 6 M Y 6 L</t>
  </si>
  <si>
    <t>UNIFORMES DEPORTIVOS FUTBOL ESTUDIANTES CAMISETA EN TELA TOGO CON LOGO BORDADO - PANTALONETA EN TELA MILANO ESTAMPADO EN TRANSFER- MEDIAS TALLAS 5 S, 10 M, 20 L, Y 5 XL</t>
  </si>
  <si>
    <t>1,720,000</t>
  </si>
  <si>
    <t>UNIFORMES DEPORTIVOS CICLISMO (FUNC) TRUSA EN LYCRA EN TRANSFER. TALLAS 2 M Y 1 L</t>
  </si>
  <si>
    <t>CHAQUETAS DEPORTIVAS JUEGOS NACIONALES ESTUDIANTES EN TELA UNIVERSAL CON LOGO BORDADO Y TRANSFER. TALLAS 10 M, 6 L Y 6 XL</t>
  </si>
  <si>
    <t>2,207,560</t>
  </si>
  <si>
    <t>UNIFORMES DEPORTIVOS JUEGOS NACIONALES ESTUDIANTES. CAMIBUSO EN TELA LACOSTE CON LOGO BORDADO - PANTALON SUDADERA EN TELA UNIVERSAL CON LOGO BORDADO - TALLAS 10 S, 10 M , 10 L Y 20 XL</t>
  </si>
  <si>
    <t>UNIFORMES DEPORTIVOS TENIS DE CAMPO (FUNC) CAMIBUSO EN TELA LACOSTE CON LOGO BORDADO - BERMUDA EN TELA UNIVERSAL CON LOGO BORDADO - MEDIAS TALLAS 2 M Y 2 L</t>
  </si>
  <si>
    <t>JUEGOS DE PETOS COLOR DE DOBLE FAZ BLANCO Y ROJO (10) Y COLOR VERDE Y NARANJA (10)</t>
  </si>
  <si>
    <t>UNIFORMES DEPORTIVOS TENIS DE MESA (FUNC) CAMIBUSO EN TELA LACOSTE CON LOGO BORDADO - BERMUDA EN TELA UNIVERSAL CON LOGO BORDADO - MEDIAS TALLAS 2 M Y 2 L</t>
  </si>
  <si>
    <t>UNIFORMES DEPORTIVOS FUTBOL DOCENTES - CAMISETA EN TELA TOGO - PANTALONETA EN TELA MILANO ESTAMPADOS EN TRANSFER - MEDIAS TALLAS 10 L Y 10 XL</t>
  </si>
  <si>
    <t>UNIFORMES DEPORTIVOS FUTBOL ADMINISTRATIVO - CAMISETA EN TELA TOGO - PANTALONETA EN TELA MILANO ESTAMPADOS EN TRANSFER - MEDIAS TALLAS 10 L Y 10 XL</t>
  </si>
  <si>
    <t>UNIFORMES DEPORTIVOS MINITEJO (FUNC) - CAMIBUSO EN TELA LACOSTE CON LOGO BORDADO - PANTALON SUDADERA EN TELA UNIVERSAL CON LOGO BORDADO. TALLAS 3 M , 1 L Y 1 XL</t>
  </si>
  <si>
    <t>UNIFORMES DEPORTIVOS BALONCESTO MASCULINO (FUNC)- CAMISETA EN TELA TOGO - PANTALONETA EN TELA MILANO ESTAMPADOS EN TRANSFER - MEDIAS TALLAS 6L Y 6 X L</t>
  </si>
  <si>
    <t>UNIFORMES DEPORTIVOS VOLEIBOL MIXTO (FUNCIONARIOS) - CAMISETA EN TELA TOGO - PANTALONETA EN TELA MILANO ESTAMPADOS EN TRANSFER - MEDIAS TALLAS 2M . 3 L Y 7 XL</t>
  </si>
  <si>
    <t>UNIFORMES DEPORTIVOS PORRISMO ESTUDIANTES - CAMIBUSO EN TELA LACOSTE CON LOGO BORDADO - BERMUDA EN TELA UNIVERSAL CON LOGO BORDADO. MEDIAS TALLAS 6 M Y 4 L</t>
  </si>
  <si>
    <t>UNIFORME DEPORTIVOS TENIS DE MESA ESTUDIANTES - CAMIBUSO EN TELA LACOSTE CON LOGO BORDADO - BERMUDA EN TELA UNIVERSAL CON LOGO BORDADO. MEDIAS TALLAS 3 M Y 3 L</t>
  </si>
  <si>
    <t>UNIFORME DEPORTIVOS NATACION ESTUDIANTES - CAMIBUSO EN TELA LACOSTE CON LOGO BORDADO - PANTALON SUDADERA EN TELA UNIVERSAL CON LOGO BORDADO, TALLAS 5 M Y 5 L</t>
  </si>
  <si>
    <t>UNIFORME DEPORTIVOS TENIS DE CAMPO ESTUDIANTES - CAMIBUSO EN TELA LACOSTE CON LOGO BORDADO - BERMUDA EN TELA UNIVERSAL CON LOGO BORDADO. MEDIAS TALLAS 3 M Y 3 L</t>
  </si>
  <si>
    <t>UNIFORME DEPORTIVOS PESAS ESTUDIANTES - TRUSAS EN LYCRA EN TRANSFER TALLAS 1 S, 2 M, 2 L Y 1 XL</t>
  </si>
  <si>
    <t>UNIFORMES DEPORTIVOS FUTBOL SALA FEMENINO ESTUDIANTES CAMISETA EN TELA TOGO CON LOGO BORDADO - PANTALONETA EN TELA MILANO - ESTAMPADO EN TRANSFER - MEDIAS TALLAS 12 M</t>
  </si>
  <si>
    <t>UNIFORME DEPORTIVOS FUTBOL SALA MASCULINO ESTUDIANTES CAMISETA EN TELA TOGO CON LOGO BORDADO - PANTALONETA EN TELA MILANO - ESTAMPADO EN TRANSFER - MEDIAS TALLAS 6 L Y 6 XL</t>
  </si>
  <si>
    <t>UNIFORMES DEPORTIVOS TPORRISMO ESTUDIANTES (F) FALDAS SHORT Y BUSO EN LYCRA CON LOGO BORDADO Y TRANSFER. TALLAS 5 S Y 5 M</t>
  </si>
  <si>
    <t>UNIFORMES DEPORTIVOS BALONCESTO FEMENINO (FUNC) - CAMISETA EN TELA TOGO - PANTALONETA EN TELA MILANO ESTAMPADOS EN TRANSFER - MEDIAS TALLAS 6 M Y 6 L</t>
  </si>
  <si>
    <t>UNIFORMES DEPORTIVOS ATLETISMO ESTUDIANTES - CAMISETA EN TELA TOGO PANTALONETA LYCRA EN TRANSFER. MEDIAS TALLAS 5 M Y 5 L</t>
  </si>
  <si>
    <t>UNIFORMES DEPORTIVOS AJEDREZ ESTUDIANTES - CAMIBUSO EN TELA LACOSTE CON LOGO BORDADO - PANTALON SUDADERA EN TELA UNIVERSAL CON LOGO BORDADO - TALLAS 4 M Y 4 L</t>
  </si>
  <si>
    <t>UNIFORME DEPORTIVOS VOLEIBOL MASCULINO ESTUDIANTES CAMISETA EN TELA TOGO - PANTALONETA EN TELA MILANO - ESTAMPADOS EN TRANSFER - MEDIAS TALLAS 6 L Y 6 XL</t>
  </si>
  <si>
    <t>UNIFORMES DEPORTIVOS BALONCESTO MASCULINO ESTUDIANTES CAMISETA EN TELA TOGO - PANTALONETA EN TELA MILANO - ESTAMPADOS EN TRANSFER - MEDIAS LOGO BORDADO TALLAS 3M, 3 L Y 6 XL</t>
  </si>
  <si>
    <t>UNIFORME DEPORTIVOS VOLEYARENA MASCULINO ESTUDIANTES CAMISETA EN TELA TOGO- PANTALONETA LYCRA EN TRANSFER TALLAS 2 L</t>
  </si>
  <si>
    <t>UNIFORMES DEPORTIVOS BALONCESTO FEMENINO ESTUDIANTES CAMISETA EN TELA TOGO - PANTALONETA EN TELA MILANO - ESTAMPADO EN TRANSFER - MEDIAS TALLAS 3M , 3 L Y 6 XL</t>
  </si>
  <si>
    <t>UNIFORMES DEPORTIVOS VOLEIBOL FEMENINO ESTUDIANTES CAMISETA EN TELA TOGO PANTALONETA LYCRA EN TRANSFER - MEDIAS TALLAS 6M Y 6 L</t>
  </si>
  <si>
    <t>MALLA PARA FUTBOL TIPO CABAÃ‘A PROFESIONAL DE 120 X 90</t>
  </si>
  <si>
    <t>UNIFORMES DEPORTIVOS TAEKWONDO ESTUDIANTES KIMONO TIPO COMPETENCIA TALLA 2 Y 2 L, COLOR BLANCO CON SU RESPECTIVO CINTURON Y LOGO DE LAUNIVERSIDAD</t>
  </si>
  <si>
    <t>UNIFORMES DEPORTIVOS AJEDREZ (FUNC) CAMIBUSO EN TELA LACOSTE CON LOGO BORDADO - PANTALON SUDADERA EN TELA UNIVERSAL CON LOGO BORDADO - MEDIAS TALLAS 2 M Y 2 L</t>
  </si>
  <si>
    <t>UNIFORMES DEPORTIVOS TEJO (FUNC) CAMIBUSO EN TELA LACOSTE CON LOGO BORDADO - PANTALON SUDADERA EN TELA UNIVERSAL CON LOGO BORDADO. TALLAS 5 XL</t>
  </si>
  <si>
    <t>3,360,000</t>
  </si>
  <si>
    <t>VINILO. PRESENTACION GALON</t>
  </si>
  <si>
    <t>Vinilo tipo viniltex amarillo, azul, rojo, blanco y negro</t>
  </si>
  <si>
    <t>1,577,875</t>
  </si>
  <si>
    <t>CAPACITACION ADMINISTRATIVA</t>
  </si>
  <si>
    <t>COMISION DE ESTUDIOS DEL DOCENTE ALBEIRO CORTES CABEZAS POR EL PERIODO 1 DE ENERO AL 31 DE DICIEMBRE DE 2010</t>
  </si>
  <si>
    <t>4,196,886</t>
  </si>
  <si>
    <t>ESPECIALIZACIÃ“N EN BIBLIOTECOLOGÃA PARA DOS PROFESIONALES DE LA BIBLIOTECA DE SALUD, SEMINARIOS, CONGRESOS, ASISTENCIA A FERIA DEL LIBRO PARA 4 FUNCIONARIOS DE LA BIBLIOTECA FACULTAD DE SALUD.</t>
  </si>
  <si>
    <t>CAPACITACION ACTUALIZACION SISTEMA PRESUPUESTAL, ACTUALIZACION NORMAS SEGUN CONTRALORIA, ACTUALIZACION SISTEMA FINANCIERO, ACTUALIZACIONES CONTRACTUALES DEL SISTEMA PUBLICO</t>
  </si>
  <si>
    <t>19Â° Seminatio del Sistema Nacional de Archivos - Archivo General de la NaciÃ³n.</t>
  </si>
  <si>
    <t>Apoyo econÃ³mico para educaciÃ³n formal (estudios de pregrado-Profesional Universitario) y viÃ¡ticos, transporte e inscripciÃ³n seminarios - Secretaria Ejecutiva.</t>
  </si>
  <si>
    <t>PARTICIPACION DEL PERSONAL ADMINISTRATIVO ADSCRITO A LA FACULTAD DE ECONOMIA Y ADMINISTRACION EN EVENTOS, SEMINARIOS, CONGRESOS Y TALLERES</t>
  </si>
  <si>
    <t>cursos de relciones humaas y de manualidades</t>
  </si>
  <si>
    <t>Excell avanzado, software de programaciÃ³ acadÃ©mica, imagen corporativa, inglÃ©s, bases de datos, programas de diagramaciÃ³n y diseÃ±o de textos, atenciÃ³n al pÃºblico, sistema de gestiÃ³n de calidad, diseÃ±o de pÃ¡gina web, etc.</t>
  </si>
  <si>
    <t>CAPACTIACIÃ“N EN DERECHO DISCIPLINARIO, CONTRATACIÃ“N ESTATAL, DERECHO PROBATORIO, ARCHIVO Y GESTIÃ“N HUMANA.</t>
  </si>
  <si>
    <t>CAPACITACION EN CONTRATACION ESTATAL, INFORMACION EXOGENA, OFICINA DE CONTABILIDAD</t>
  </si>
  <si>
    <t>CapacitaciÃ³n Secretaria en Medellin</t>
  </si>
  <si>
    <t>CapacitaciÃ³n de la Jefe de la depencia en la Universidad de Massachusetts Boston - Estados Unidos, durante 3 meses</t>
  </si>
  <si>
    <t>CAPACITACION PARA ASISTIR A SEMINARIOS, TALLERES PARA LA SRA LUZ YANETH RAYO SECRETARIA DEL DEPTO DE PSICOPEDAGOGIA,ORGANIZADO POR CADES MEDELLIN</t>
  </si>
  <si>
    <t>participaciÃ³n seminarios</t>
  </si>
  <si>
    <t>educaciÃ²n no formal</t>
  </si>
  <si>
    <t>capacitaciÃ²n formal</t>
  </si>
  <si>
    <t>capacitacion trabajadores del Programa de Salud Ocupacional, COPASO</t>
  </si>
  <si>
    <t>ASISTENCIA A CONGRESO GERENCIA FINANZAS PUBLICAS</t>
  </si>
  <si>
    <t>ASISTENCIA CONGRESO Y SEMINARIOS TALLERES RELACIONADOS CON MANEJO DE BIENES E INVENTARIOS</t>
  </si>
  <si>
    <t>ASISTENCIA CONGRESO DE SECRETARIAS Y AUXILIARES ADMINISTATIVOS</t>
  </si>
  <si>
    <t>ComisiÃ³n de Estudios Francy Hollminn Salas Contreras</t>
  </si>
  <si>
    <t>ComisiÃ³n de Estudios Esperanza del NiÃ±o Jesus Cabrera Diaz</t>
  </si>
  <si>
    <t>121,000,000</t>
  </si>
  <si>
    <t>ComisiÃ³n de Estudios Myriam Oviedo Cordoba</t>
  </si>
  <si>
    <t>94,000,000</t>
  </si>
  <si>
    <t>ComisiÃ³n de Estudios Profesora Alba Rocio Valencia Valencia</t>
  </si>
  <si>
    <t>87,000,000</t>
  </si>
  <si>
    <t>ComisiÃ³n de Estudios JosÃ© Domingo Alarcon</t>
  </si>
  <si>
    <t>Apoyos EconÃ³micos</t>
  </si>
  <si>
    <t>ComisiÃ³n de Estudios Dr. Diego Quintero</t>
  </si>
  <si>
    <t>ComisiÃ³n de Estudios para continuar estudios de Doctorado en ComunicaciÃ³n del Profesor Juan Carlos Acebedo Restrepo, en la Universidad Nacional de La Plata (Argentina).</t>
  </si>
  <si>
    <t>ComisiÃ³n de Estudios Olmedo Polanco. Estudios de Doctorado en BogotÃ¡.</t>
  </si>
  <si>
    <t>Apoyo econÃ³mico para la MaestrÃ­a en EducaciÃ³n de los Docentes Benjamin AlarcÃ³n Yustres y Fernando Charry GonzÃ¡lez.</t>
  </si>
  <si>
    <t>CAPACITACION DE ALTO NIVEL PARA DOCENTES DE LA FACULTAD DE DERECHO Y APOYO PARA LA FORMACION DE DOCENTES</t>
  </si>
  <si>
    <t>MaestrÃ­a en EducaciÃ³n Usco profesor Fernando Galindo Perdomo</t>
  </si>
  <si>
    <t>MaestrÃ­a en EducaciÃ³n profesor Guillermo Sanchez Fierro</t>
  </si>
  <si>
    <t>Apoyo econÃ³mico de estudios doctorado en EducaciÃ³n FÃ­sica profesor Saulo Chamorro</t>
  </si>
  <si>
    <t>MaestrÃ­a en Territorio y conflicto y cultura profesor Alberto Suaza Salgado</t>
  </si>
  <si>
    <t>ComisiÃ³n de estudios MaestrÃ­a profesor Diego Fernando Macias Villegas</t>
  </si>
  <si>
    <t>ComisiÃ³n estudios doctorado en Ciencias BiolÃ³gicas Ã©nfasis fitoquÃ­mica al profesor Carlos Arturo Franco RuÃ­z y apoyo econÃ³mico matrÃ­cula, Universidad Javeriana BogotÃ¡</t>
  </si>
  <si>
    <t>ComisiÃ³n de Estudios doctorado en EducaciÃ³n Superior en la Universidad de Palermo Argentina al profesor Alejandro David Garcia Valencia (semestre B/2010) y apoyo econÃ³mico para la matrÃ­cula</t>
  </si>
  <si>
    <t>58,500,000</t>
  </si>
  <si>
    <t>MaestrÃ­a EducaciÃ³n docente Catalina Trujillo</t>
  </si>
  <si>
    <t>MaestrÃ­a EducaciÃ³n Profesora Gloria Chavarro</t>
  </si>
  <si>
    <t>COMISIÃ“N DE ESTUDIOS PROFESOR MIGUEL ANGEL MAHECHA BERMUDEZDOCTORADO EN LINGUISTICA</t>
  </si>
  <si>
    <t>MaestrÃ­a EducaciÃ³n ProfesorVirgilio Puerto POlanco</t>
  </si>
  <si>
    <t>COMISION DE ESTUDIOS DEL DOCENTE JOSE DE JESUS SALGADO PATRON POR EL PERIODO DEL 01 DE ENERO AL 31 DE DICIEMBRE DE 2010</t>
  </si>
  <si>
    <t>4,566,624</t>
  </si>
  <si>
    <t>COMISION DE ESSTUDIOS DEL DOCENTE JESUS ANTONIO MOTTA MANRIQUE POR ELL PERIODO COMPRENDIDO DEL 1 DE ENERO AL 14 DE OCTUBRE DE 2010.</t>
  </si>
  <si>
    <t>98,081,502</t>
  </si>
  <si>
    <t>Capacitacion en Sitema Operativo LINUX, SQL SERVER, Desarrollo en Java y Flex, Administracion en Redes con Enfasis en Seguridad.</t>
  </si>
  <si>
    <t>CAPACITACION DEL PERSONAL OPERATIVO ADSCRITO A LA FACULTAD DE ECONOMIA Y ADMINISTRACION</t>
  </si>
  <si>
    <t>DOCENTE DELA REA DE FISICA (ALVARO AVENDAÃ‘O )</t>
  </si>
  <si>
    <t>CAPACITACION A DOCENTES DE LA FACULTAD DE DERECHO EN LAS DIFERENTES AREAS (ASISTENCIA A EVENTOS SEGUN SU AREA DE ESPECIALIDAD)</t>
  </si>
  <si>
    <t>CAPACITACION DOCENTES DEPARTAMENTO DE CIENCIAS BASICAS</t>
  </si>
  <si>
    <t>CapacitaciÃ³n de 250 docentes de planta y ocasionales de la USCO.</t>
  </si>
  <si>
    <t>250,000,000</t>
  </si>
  <si>
    <t>UN COFERENCISTA PARA LA FACULTAD DE CIENCIAS EXACTAS Y NATURALES</t>
  </si>
  <si>
    <t>Conferencista Internacional Foro: "AnÃ¡lisis sobre la EvoluciÃ³n y Tendencias de la Comunicacion Social y Periodismo en AmÃ©rica Latina y el Mundo". (Pasajes aÃ©reos MÃ©xico-Colombia-MÃ©xico, honorarios, hospedaje y alimentaciÃ³n).</t>
  </si>
  <si>
    <t>capcitacin en vigilancai especializada</t>
  </si>
  <si>
    <t>Seminario - Taller inducciÃ³n y reinducciÃ³n sobre organizaciÃ³n Archivos de GestiÃ³n y aplicaciÃ³n de Tablas de RetenciÃ³n Documental</t>
  </si>
  <si>
    <t>Talleres de capacitaciÃ³n sobre becas y estudios de alta formaciÃ³n en el exterior con organizaciones que ofertan becas u otros tipos de auxilios. 2 eventos por semestre para un total de 4 anuales.</t>
  </si>
  <si>
    <t>Simposio de investigaciÃ³n en lengua extranjera</t>
  </si>
  <si>
    <t>III FORO INTERNACIONAL DE MATEMATICAS</t>
  </si>
  <si>
    <t>NACIONALES Y EXTRANJEROS. VICEACADEMICA</t>
  </si>
  <si>
    <t>CONVOCATORIA UN DOCENTE DE PLANTA TIEMPO COMPLETO - PROGRAMA MATEMATICA APLICADA- 12 MESES</t>
  </si>
  <si>
    <t>PASAJES AEREOS. PERSONAL ADMINISTRATIVO</t>
  </si>
  <si>
    <t>TRANSPORTE AEREO EN DIFERENTES RUTAS PARA LAS DIFERENTES ACTIVIDADES QUE SE PROGRAMEN PARA EL AÃ‘O 2010 AL DECANO DE LA FACULTAD DE INGENIERIA</t>
  </si>
  <si>
    <t>VIATICOS Y GASTOS DE VIAJE. PERSONAL ADMINISTRATIVO</t>
  </si>
  <si>
    <t>SUMINISTRO DE VIATICOS PARA EL DECANO DE LA FACULTAD DE INGENIERIA EN LAS CIATICOS PARA EL DECANO DE L A FACULTAD DE INGENIERIA PARA SU ASISTENCIA A LASDIFERENTES ACTIVIDADES QUE SE PROGRAMEN PARA EL AÃ‘O 2010 FUERA DE LA CIUDAD DE NEIVA</t>
  </si>
  <si>
    <t>Rubro 410 - INVESTIGACIONES</t>
  </si>
  <si>
    <t>BISTURI GRANDE 18 MM</t>
  </si>
  <si>
    <t>CARGADOR PARA PILAS AAA Y AA</t>
  </si>
  <si>
    <t>CARTULINA COLORES SURTIDOS EN OCTAVOS. PAQUETE X 10</t>
  </si>
  <si>
    <t>CASSETES NORMALES PARA AUDIO 60 MINUTOS</t>
  </si>
  <si>
    <t>CASSETES DE VIDEO No. 8 PARA VIDEOGRABADORA SONY</t>
  </si>
  <si>
    <t>CD - R CON ESTUCHE X UNIDAD</t>
  </si>
  <si>
    <t>CD - RW TORRE X 50 UNIDADES</t>
  </si>
  <si>
    <t>CD - RW CON BOLSILLO</t>
  </si>
  <si>
    <t>CINTA ENMASCARAR 24 MM X 40 mts</t>
  </si>
  <si>
    <t>CINTA TRANSPARENTE ANCHA 48MM X 40MT</t>
  </si>
  <si>
    <t>CUADERNO RAYADO COSIDO 100 HOJAS</t>
  </si>
  <si>
    <t>FOLDER A-Z. TAMAÃƒ?O CARTA</t>
  </si>
  <si>
    <t>FOLDER A-Z. TAMAÃƒ?O OFICIO</t>
  </si>
  <si>
    <t>GANCHOS MARIPOSA. CAJA X 50 UNIDADES</t>
  </si>
  <si>
    <t>GANCHOS PARA LEGAJADOR</t>
  </si>
  <si>
    <t>LAPICERO MICRO PUNTAS</t>
  </si>
  <si>
    <t>LAPIZ MINA ROJA</t>
  </si>
  <si>
    <t>LEGAJADOR PLASTIFICADO</t>
  </si>
  <si>
    <t>LIBRETA PAPEL BOND RAYADO. TAMAÃƒ?O CARTA</t>
  </si>
  <si>
    <t>LIBRETA PAPEL BOND. TAMAÃƒ?O MEDIA CARTA</t>
  </si>
  <si>
    <t>MARBETE PAQUETE * 20 UNIDADES</t>
  </si>
  <si>
    <t>MARCADOR PERMANENTE. COLORES SURTIDOS</t>
  </si>
  <si>
    <t>1,232,375</t>
  </si>
  <si>
    <t>FINANCIACION DE 29 SEMILLEROS DE INVESTIGACION</t>
  </si>
  <si>
    <t>58,000,000</t>
  </si>
  <si>
    <t>FINANCIAR 50 GRUPOS DE INVESTIGACION DE LAS DIFERENTES FACULTADES</t>
  </si>
  <si>
    <t>15,600,000</t>
  </si>
  <si>
    <t>780,000,000</t>
  </si>
  <si>
    <t>FINANCIAR ECONOMICAMENTE A 25 GRUPOS DE INVESTIGACION RECONOCIDOS POR COLCIENCIAS</t>
  </si>
  <si>
    <t>14,852,359</t>
  </si>
  <si>
    <t>371,308,975</t>
  </si>
  <si>
    <t>FINANCIAR Y APOYAR A 20 JOVENES INVESTIGADORES</t>
  </si>
  <si>
    <t>170,000,000</t>
  </si>
  <si>
    <t>REALIZACIÃ“N DEL SEGUNDO ENCUENTRO NACIONAL DE GRUPOS DE INVESTIGACIÃ“N REGISTRADOS Y RECONOCIDOS POR COLCIENCIAS EN EL ÃREA DE EDUCACIÃ“N</t>
  </si>
  <si>
    <t>RESPONDER POR LOS REQUISITOS Y REQUERIMIENTOS EXIGIDOS PARA LA CREACIÃ“N DEL CENTRO DE INVESTIGACIÃ“N O RED NACIONAL DE GRUPOS DE INVESTIGACIÃ“N EN EDUCACIÃ“N POR ORGANISMOS NACIONALES E INTERNACIONALES Y POR EL DEPARTAMENTO ADMINISTRATIVO DE LA CIENCIA, LA TECNOLOGÃA Y LA INNOVACIÃ“N</t>
  </si>
  <si>
    <t>PARTICIPACIÃ’N EN ENCUENTROS Y TALLERES NACIONALES E INTERNACIONALES QUE PERMITAN LA CONSOLIDACIÃ“N DEL CENTRO DE INVESTIGACIÃ“N O RED DE GRUPOS DE INVESTIGACIÃ“N EN EL ÃREA DE EDUCACIÃ“N.</t>
  </si>
  <si>
    <t>ACCIONES DE DIFUSIÃ“N Y RETROALIMENTACIÃ“N A LAS FACULTADES DE LA UNIVERSIDAD SURCOLOMBIANA QUE PERMITAN EL FOMENTO Y CREACIÃ“N DE CENTROS DE INVESTIGACIÃ“N O REDES DE GRUPOS DE INVESTIGACIÃ“N EN SUS ÃREAS DEL CONOCIMIENTO</t>
  </si>
  <si>
    <t>ELABORACIÃ“N DE MATERIAL DE DIVULGACIÃ“N, CAPACITACIÃ“N, FORMACIÃ“N, Y CUALIFICACIÃ“N A LAS UNIDADES Y GRUPOS DE INVESTIGACIÃ“N VINCULADOS A LOS CENTROS DE INVESTIGACIÃ“N</t>
  </si>
  <si>
    <t>PUBLICACIÃ“N DE 14 LIBROS PRODUCTOS DE INVESTIGACIÃ“N PRESENTADOS POR LOS RESPECTIVOS CONSEJOS DE FACULTAD.</t>
  </si>
  <si>
    <t>PRODUCIR Y PUBLICAR 25 ARTÃCULOS PRODUCTO DE INVESTIGACIÃ“N EN REVISTAS INDEXADAS DEL ORDEN NACIONAL E INTERNACIONAL</t>
  </si>
  <si>
    <t>CONSOLIDAR LA INDEXACIÃ“N DE LA REVISTA ENTORNOS A TRAVÃ‰S DE DOS EDICIONES EN EL 2010.</t>
  </si>
  <si>
    <t>APOYAR LA INDEXACIÃ“N DE LAS REVISTAS DE LA FACULTAD DE CIENCIAS SOCIALES Y HUMANAS, INGENIERÃA, SALUD, EDUCACIÃ“N</t>
  </si>
  <si>
    <t>FORTALECER LA POLÃTICA INVESTIGATIVA DE LA UNIVERSIDAD SURCOLOMBIANA A TRAVÃ‰S DE LA CELEBRACIÃ“N DE CONVENIOS O ALIANZAS ESTRATÃ‰GICAS CON GRUPOS O INSTITUCIONES DE INVESTIGACIÃ“N NACIONALES E INTERNACIONALES, COMO MÃNIMO CADA FACULTAD CELEBRARÃ O CONSOLIDARÃ UN (1) CONVENIO O ALIANZA</t>
  </si>
  <si>
    <t>APOYAR LA PERMANENCIA Y MEMBRESÃA DE LOS GRUPOS DE INVESTIGACIÃ“N A REDES DE INVESTIGACIÃ“N NACIONALES E INTERNACIONALES</t>
  </si>
  <si>
    <t>APOYAR A LOS DIFERENTES GRUPOS DE INVESTIGACIÃ“N EN LA OBTENCIÃ“N DE PATENTES O REGISTROS DE MARCA COMO RESULTADO DE INVESTIGACIONES DESARROLLADAS</t>
  </si>
  <si>
    <t>2,635,380</t>
  </si>
  <si>
    <t>PERFORADORA DOS HUECOS</t>
  </si>
  <si>
    <t>PILA AA DE LITIO</t>
  </si>
  <si>
    <t>PLUMONES PUNTA FINA</t>
  </si>
  <si>
    <t>PORTAMINA No. 0,7</t>
  </si>
  <si>
    <t>POST IT. PRESENTACION TACO - TAMAÃƒ?O MEDIANO</t>
  </si>
  <si>
    <t>REGLA METALICA DE 30 CM</t>
  </si>
  <si>
    <t>RESALTADOR</t>
  </si>
  <si>
    <t>SACAGANCHO TIPO TIJERA</t>
  </si>
  <si>
    <t>SOBRE BLANCO TAMAÃƒ?O OFICIO</t>
  </si>
  <si>
    <t>SOBRE MANILA EXTRAOFICIO</t>
  </si>
  <si>
    <t>SOBRE MANILA TAMAÃƒ?O CARTA</t>
  </si>
  <si>
    <t>TONER IMPRESORA HP LASER JET1100 NO.92A REF.C4092 COLOR NEGRO</t>
  </si>
  <si>
    <t>3,322,965</t>
  </si>
  <si>
    <t>TONER IMPRESORA HP LASERJET 1010/1020 No.12A REF Q2612A COLOR NEGRO</t>
  </si>
  <si>
    <t>Rubro 510 - PLANEACIÃ“N</t>
  </si>
  <si>
    <t>ALQUILER EQUIPOS DE COMUNICACION</t>
  </si>
  <si>
    <t>Alquiler elementos artÃ­sticos requeridos para actividad cultural con motivo de celebraciÃ³n de fechas ambientales.</t>
  </si>
  <si>
    <t>ARBOLES</t>
  </si>
  <si>
    <t>Material vegetal que serÃ¡ utilizado en jornadas ecolÃ³gicas con motivo de celebraciÃ³n de fechas ambientales. AdquisiciÃ³n de cactus</t>
  </si>
  <si>
    <t>BIENESTAR SOCIAL - GASTOS VARIOS ADMINISTRATIVOS</t>
  </si>
  <si>
    <t>Para atenciÃ³n a personal visitante</t>
  </si>
  <si>
    <t>CANECAS TAPA CON OREJA 75 LITRO</t>
  </si>
  <si>
    <t>Puntos ecolÃ³gicos compuestos por estructura metÃ¡lica de soporte y tres canecas plÃ¡sticas de colores gris, verde y azul, para depÃ³sito de residuos sÃ³lidos reciclables. Se requieren 10 puntos ecolÃ³gicos, a un valor de $500.000/punto</t>
  </si>
  <si>
    <t>Para concoer normatividad sobre dicho proceso</t>
  </si>
  <si>
    <t>CapacitaciÃ³n, trÃ¡mite y gestiÃ³n pruebas ECAES a estudiantes de todos los programas,</t>
  </si>
  <si>
    <t>120,000,000</t>
  </si>
  <si>
    <t>CapacitaciÃ³n de estudiantes de los Ãºltimos semestres de cada programa para presentar la prueba ECAES.</t>
  </si>
  <si>
    <t>Para apoyar trabajos de oficina</t>
  </si>
  <si>
    <t>Se requiere para apoyar procesos de nuevos progmas</t>
  </si>
  <si>
    <t>COMUNICACIONES Y TRANSPORTE</t>
  </si>
  <si>
    <t>para desplazamientos y comunicaciones</t>
  </si>
  <si>
    <t>Se requieren conferencistas sobre pertinencia de los Programas de posgrado en la Universidad y la regiÃ³n</t>
  </si>
  <si>
    <t>Se requieren 2 conferencistas sobre el tema de internacionalizaciÃ³n del currÃ­culo</t>
  </si>
  <si>
    <t>Se requieren 10 conferencisttas para abordar el tema de "formaciÃ³n por competencias" y "EvaluaciÃ³n de competencias" para las 5 Ã¡reas del conocimiento mas importantes.</t>
  </si>
  <si>
    <t>Se requieren 4 conferencistas sobre el tema de pertinencia acadÃ©mcia de los Programas de las 4 facultades mas importantes, por tener mas de un Progrma</t>
  </si>
  <si>
    <t>Para formar en el tema de formaciÃ³n por competencias y evaluaciÃ³n por competencias</t>
  </si>
  <si>
    <t>Es necesario traer conferencistas para abordar el tema de pertienencia de nuevos Progrmas en el contexto de la globalziaciÃ³n</t>
  </si>
  <si>
    <t>Conferencia sobre contaminaciÃ³n electromagnÃ©tica en la Usco.</t>
  </si>
  <si>
    <t>PAGO DE TRANSPORTE, ALOJAMIENTO, ALIMENTACION Y HONORARIOS DE CONFERENCISTAS INVITADOS CELEBRACIÃ“N DIA DEL CONTADOR, DIA DEL ECONOMISTA Y DIA DEL ADMINISTRADOR DE EMPRESAS</t>
  </si>
  <si>
    <t>CAPACITAR A LOS ESTUDIANTES DE IX Y X SEMESTRE DEL PROGRAMA DE DERECHO PARA LA PRESENTACION DE LA PRUEBA TIPO ECAES</t>
  </si>
  <si>
    <t>DOTACIÃ?N ADMINISTRATIVA</t>
  </si>
  <si>
    <t>DotaciÃ³n logÃ­stica, tecnolÃ³gica y administrativa de los cinco laboratorios proyectados para certificar.</t>
  </si>
  <si>
    <t>Equipos fÃ­sicos y tecnolÃ³gicos segÃºn diagnÃ³stico de necesidades reportada.</t>
  </si>
  <si>
    <t>EMPASTES</t>
  </si>
  <si>
    <t>Empastar el material o documentos a enviar a os organismos nacionales o dependencias intenas</t>
  </si>
  <si>
    <t>SonÃ³metro PCE-353 Ref. SL-1553-LEQ. Para mediciÃ³n de ruido y sonido ambiental. Monitoreos sonoros.</t>
  </si>
  <si>
    <t>SegÃºn necesidades registradas en el diagnÃ³stico de cada laboratorio a certificar.</t>
  </si>
  <si>
    <t>FOTOCOPIAS. ÃREA ADMINISTRATIVA</t>
  </si>
  <si>
    <t>Reproducir material</t>
  </si>
  <si>
    <t>Se necesita reproducir material necesario para los procesos de autoevaluaciÃ³n de los Porgrmas en procesos de autoevaluaciÃ³n hacia la acreditaciÃ³n, hacia la reacreditaciÃ³n o para la renocaciÃ³n del registro clificado</t>
  </si>
  <si>
    <t>HOSPEDAJE. PERSONAL OPERATIVO</t>
  </si>
  <si>
    <t>Se requiere alojar a los pares colaborativos que vienen a hacer simulacros de evaluaciÃ³n de los Programas que solicitan acreditaciÃ³n</t>
  </si>
  <si>
    <t>Mallas para elaboraciÃ³n de carteleras, en celebraciÃ³n de fechas ambientales.</t>
  </si>
  <si>
    <t>MAQUILLAJE DE ARTE ESCENICO</t>
  </si>
  <si>
    <t>Elementos artÃ­sticos para actividades culturales con motivo de celebraciÃ³n de fechas ambientales en la Usco. Uniades de colores surtidos</t>
  </si>
  <si>
    <t>Se requiere realiza desplazamientos de personal de la media</t>
  </si>
  <si>
    <t>ACREDITACION PROGRAMA INGENIERIA ELECTRONICA</t>
  </si>
  <si>
    <t>AnÃ¡lisis de calidad de aguas, en desarrollo del diseÃ±o de la Planta de Tratamiento de aguas residuales para la sede central de la Usco en Neiva. Valor por muestra $150000</t>
  </si>
  <si>
    <t>2,250,000</t>
  </si>
  <si>
    <t>RenovaciÃ³n hosting (arriendo) pÃ¡gina web (www.sga_usco.com</t>
  </si>
  <si>
    <t>Traslado de los residuos sÃ³lidos peligrosos generados en la sede central de la Usco, para su disposiciÃ³n final.</t>
  </si>
  <si>
    <t>MediciÃ³n de concentraciÃ³n de CO2 producido en la utilizaciÃ³n de combustibles fÃ³siles en los parqueaderos de la sede central de la Usco.</t>
  </si>
  <si>
    <t>Mediciones de campos electromagnÃ©ticos en la Usco.</t>
  </si>
  <si>
    <t>MediciÃ³n de particulado atmosfÃ©rico generado por actividades constructivas en la sede central de la Usco.</t>
  </si>
  <si>
    <t>Convenio Karlscad University - Suecia</t>
  </si>
  <si>
    <t>Convenio con la Union de Universidades Amazonicas UNAMAZ</t>
  </si>
  <si>
    <t>Convenio Universidad Colombiana con la Universidad se Barcelona</t>
  </si>
  <si>
    <t>Convenio Universidad Javeriana para pasantÃ­as de estudiantes.</t>
  </si>
  <si>
    <t>Convenio Universidad PolitÃ©cnica de Valencia - EspaÃ±a</t>
  </si>
  <si>
    <t>Convenio Universidad PolitÃ©cnica de Madrid</t>
  </si>
  <si>
    <t>Convenio Servicios de Salud San Luis PotosÃ­, Mexico</t>
  </si>
  <si>
    <t>Convenio Universidad Veracruzana de Mexico</t>
  </si>
  <si>
    <t>Convenio Conservatorio de Musica de Viena - Austria</t>
  </si>
  <si>
    <t>Convenio Camara de Comercio e IntegraciÃ³n Colombo China</t>
  </si>
  <si>
    <t>VinculaciÃ³n de la USCO a AIESEC international</t>
  </si>
  <si>
    <t>Convenio Universidad Central de Venezuela</t>
  </si>
  <si>
    <t>ImplementaciÃ³n de programas por ciclos propedÃ©uticos.</t>
  </si>
  <si>
    <t>AVANZAR EN EL PROCESO DE ARTICULACIÃ“N DE UN PROGRAMA ACADÃ‰MICO TÃ‰CNICO O TECNOLÃ“GICO CON LA EDUCACIÃ“N MEDIA</t>
  </si>
  <si>
    <t>Papel Kraf para elaboraciÃ³n de carteleras para celebraciÃ³n de fechas ambientales. Rollos</t>
  </si>
  <si>
    <t>PAPEL FAX PARA PANASONIC KX-FHD332. PRESENTACION ROLLO</t>
  </si>
  <si>
    <t>1,677,100</t>
  </si>
  <si>
    <t>PAPEL HIGIENICO PAQUETE X 48 UNIDADES</t>
  </si>
  <si>
    <t>Se requieren pasajes para pares colaborativos de por lo menos 5 Progrmas acadÃ©micos que el proximo aÃ±o entregarÃ¡n informes para solicitar acreditaciÃ³n de alta calidad</t>
  </si>
  <si>
    <t>PASAJES AEREOS. PERSONAL OPERATIVO</t>
  </si>
  <si>
    <t>Se requiere desplazar personal docente a contactar fuentes y recolectaR INFORMACIÃ“N</t>
  </si>
  <si>
    <t>PASAJES TERRESTRES. PERSONAL OPERATIVO.</t>
  </si>
  <si>
    <t>Para desplazamiento a otras ciudades</t>
  </si>
  <si>
    <t>PINCEL DELGADO</t>
  </si>
  <si>
    <t>Actividades artÃ­sticas relacionadas con celebraciÃ³n de fechas ambientales.</t>
  </si>
  <si>
    <t>REFRIGERIOS. PERSONAL ADMINISTRATIVO</t>
  </si>
  <si>
    <t>Para atender personal visitante o participante en eventos</t>
  </si>
  <si>
    <t>REFRIGERIOS. PERSONAL OPERATIVO</t>
  </si>
  <si>
    <t>Refrigerios para las reuniones de los comitÃ©s de CurrÃ­culo y de acreditaciÃ³n, que los integran 13 mimebros, el primero, y 26 miembros el segundo, y se reunen cada 15 dÃ­as</t>
  </si>
  <si>
    <t>SERVICIO DE RESTAURANTE Y CAFETERIA. PERSONAL OPERATIVO</t>
  </si>
  <si>
    <t>AdquisiciÃ³n de refrigerios en desarrollo de celebraciÃ³n de cuatro fechas ambientales.</t>
  </si>
  <si>
    <t>DiseÃ±o y Desarrollo Modulo AutomatizaciÃ³n Proceso de Convenios</t>
  </si>
  <si>
    <t>Para contratar expertos en temas de curriculo y medio ambiente</t>
  </si>
  <si>
    <t>CONTRATAR LOS SERVICIOS DE UN PROFESIONAL PARA QUE APOYE EL PROCESO DE AUTOEVALUACION CON FINES DE ACREDITACION DEL PROGRAMA DE DERECHO</t>
  </si>
  <si>
    <t>APOYO MAESTRIA EN DERECHO CONSTITUCIONAL - CONVENIO DE COOPERACION ACADEMICA UNIVERSIDAD VERACRUZANA</t>
  </si>
  <si>
    <t>Incluye a las siete facultades de la USCO.</t>
  </si>
  <si>
    <t>21,000,000</t>
  </si>
  <si>
    <t>245,000,000</t>
  </si>
  <si>
    <t>Realizar la gestiÃ³n para elaborar y presentar propuestas para la doble titulaciÃ³n.</t>
  </si>
  <si>
    <t>Para dos programas con propuestas avanzadas.</t>
  </si>
  <si>
    <t>Se requiere elaborar el proyecto, hacer la gestiÃ³n y adelantar el trÃ¡mite administrativo interno y externo para su implementaciÃ³n.</t>
  </si>
  <si>
    <t>SISTEMA PROTECCION</t>
  </si>
  <si>
    <t>200,000,000</t>
  </si>
  <si>
    <t>TermÃ³metro ambiental, para monitorear la temperatura del aire.</t>
  </si>
  <si>
    <t>para asumir responsabilidades de recolecciÃ³nd einformaciÃ³n o firmar acuerdos</t>
  </si>
  <si>
    <t>Para participar en capacitaciÃ³n sobre el tema</t>
  </si>
  <si>
    <t>Para desplzamiento a concoer experiencias o acordar tÃ©rminos</t>
  </si>
  <si>
    <t>6,750,000</t>
  </si>
  <si>
    <t>Se requiere desplazmiento a otros lugares del departamento y el paÃ­s para concoer experiencias y adelantar convenios para articular proyectos de programas tÃ©cnicos y tecnolÃ³gicos con educaciÃ³n media</t>
  </si>
  <si>
    <t>Se deben hacer desplazaminetos de personal de CurrÃ­culo o profesores de la Unviersidad para adelantar gestiones relaionadas con el tema</t>
  </si>
  <si>
    <t>Para crear nuevos Progrmas se deben conocer experiencias y adelantar entrevistas en otras Unviersidades</t>
  </si>
  <si>
    <t>Desplazamiento de funcionarios del SGA a sedes municipales de la Usco, en desarrollo de los diseÃ±os del Manual de GestiÃ³n Ambiental y el Manual de Funciones Ambientales.</t>
  </si>
  <si>
    <t>Desplazamiento, alimentaciÃ³n y hospedaje de Conferencista sobre contaminaciÃ³n electromagnÃ©tica en la Usco.</t>
  </si>
  <si>
    <t>Pintura de vinilo para elaboraciÃ³n de Carteleras alusivas a fechas ambientales a celebrar. Distintos colores.</t>
  </si>
  <si>
    <t>PLAN OPERATIVO ANUAL DE INVERSIONES -  2009</t>
  </si>
  <si>
    <t>PLAN DE DESARROLLO INSTITUCIONAL: ÁREAS ESTRATÉGICAS, PROGRAMAS Y PROYECTOS</t>
  </si>
  <si>
    <t>A.E.1. GOBERNABILIDAD</t>
  </si>
  <si>
    <t>PR.1.1 Revisión y actualización de la normatividad institucional</t>
  </si>
  <si>
    <t>PY.1.1.1 Estudio de la normatividad integral de la Universidad y adopción de sus conclusiones</t>
  </si>
  <si>
    <t>PY.1.1.2 Estructuración y Aprobación de un Código de Buen Gobierno para una gestión eficaz y transparente de la USCO</t>
  </si>
  <si>
    <t>PY.1.1.3 Mejoramiento de las relaciones con la comunidad universitaria</t>
  </si>
  <si>
    <t>A.E.2. PROYECCIÓN SOCIAL</t>
  </si>
  <si>
    <t xml:space="preserve">PR.2.1 Fortalecimiento de la relación Universidad – Estado – Sector productivo - Comunidad </t>
  </si>
  <si>
    <t>PY.2.1.1 Fortalecimiento USCO - Egresados</t>
  </si>
  <si>
    <t>PY.2.1.2 Consolidación de grupos de Proyección Social de la USCO</t>
  </si>
  <si>
    <t>A.E.3. FORMACIÓN E INVESTIGACIÓN</t>
  </si>
  <si>
    <t>PR.3.1 Acreditación y Reacreditación de Programas de formación de pregrado y postgrado</t>
  </si>
  <si>
    <t>PY.3.1.1 Acreditación y Reacreditación de Programas de Pregrado</t>
  </si>
  <si>
    <t>PY.3.1.2 Autoevaluación de Programas de Postgrado</t>
  </si>
  <si>
    <t>PY.3.1.3 Certificación de Laboratorios y  Talleres</t>
  </si>
  <si>
    <t>PR.3.2 Modernización Curricular</t>
  </si>
  <si>
    <t>PY.3.2.1 Creación de ciclos básicos y propedéuticos</t>
  </si>
  <si>
    <t>PY.3.2.2 Nuevos proyectos académicos (Incluidos los técnicos y Tecnológicos)</t>
  </si>
  <si>
    <t>PY.3.2.3 Incorporación de la cultura del emprendimiento a la estructura académica de la USCO</t>
  </si>
  <si>
    <t xml:space="preserve">PY.3.2.4 Formación y Capacitación de Docentes </t>
  </si>
  <si>
    <t>PR.3.3 Consolidación de la Cultura de La Investigación</t>
  </si>
  <si>
    <r>
      <t xml:space="preserve">PY.3.3.1 Formación de Alto Nivel para la Investigación y el Emprendimiento, FANIE </t>
    </r>
    <r>
      <rPr>
        <b/>
        <i/>
        <sz val="8"/>
        <color indexed="10"/>
        <rFont val="Verdana"/>
        <family val="2"/>
      </rPr>
      <t>(COMISIONES DE ESTUDIO)</t>
    </r>
  </si>
  <si>
    <t>PY.3.3.2 Consolidación de los grupos de investigación</t>
  </si>
  <si>
    <t>PY.3.3.3 Producción Editorial como soporte a la investigación</t>
  </si>
  <si>
    <t>PY.3.3.4 Gestión para la Financiación de Proyectos De Investigación</t>
  </si>
  <si>
    <t>PY.3.3.5 Membresía a redes del conocimiento  e investigación</t>
  </si>
  <si>
    <t>PY.3.3.6 Patentes, Propiedad Intelectual y Registros de Marca</t>
  </si>
  <si>
    <t xml:space="preserve">PY.3.3.7  Creación de Centros de Investigación </t>
  </si>
  <si>
    <t>PR.3.4  Internacionalización de la Universidad Surcolombiana</t>
  </si>
  <si>
    <t xml:space="preserve">PY.3.4.1 Implementación de programas académicos con DOBLE TITULACIÓN </t>
  </si>
  <si>
    <t>PY.3.4.2 Convenios con universidades del país o del exterior para Intercambio De Docentes y Estudiantes</t>
  </si>
  <si>
    <t xml:space="preserve">A.E.4 DESARROLLO ADMINISTRATIVO, FINANCIERO Y DE INFRAESTRUCTURA FÍSICA </t>
  </si>
  <si>
    <t>PR.4.1  Desarrollo y Consolidación de la Cultura de Gestión Integral</t>
  </si>
  <si>
    <t>PY.4.1.1  Hacia las certificaciones ISO 9001:2000 y NTCGP-1000</t>
  </si>
  <si>
    <t>PY.4.1.2 Clima Organizacional para una USCO Competitiva</t>
  </si>
  <si>
    <t xml:space="preserve">PR.4.2  Modernización de la Infraestructura Física </t>
  </si>
  <si>
    <r>
      <t xml:space="preserve">PY.4.2.1  Construcción, Adecuación y Mantenimiento de Infraestructura Física </t>
    </r>
    <r>
      <rPr>
        <b/>
        <i/>
        <sz val="8"/>
        <color indexed="10"/>
        <rFont val="Verdana"/>
        <family val="2"/>
      </rPr>
      <t>(PLANTA FÍSICA TODAS LAS SEDES)</t>
    </r>
  </si>
  <si>
    <r>
      <t xml:space="preserve">PY.4.2.1  Dotación y Mantenimiento de equipos </t>
    </r>
    <r>
      <rPr>
        <b/>
        <i/>
        <sz val="8"/>
        <color indexed="10"/>
        <rFont val="Verdana"/>
        <family val="2"/>
      </rPr>
      <t>(DOTACIÓN OFICINAS Y AULAS TODAS LAS SEDES)</t>
    </r>
  </si>
  <si>
    <r>
      <t xml:space="preserve">PY.4.2.1  Dotación  y mantenimiento de laboratorios </t>
    </r>
    <r>
      <rPr>
        <b/>
        <i/>
        <sz val="8"/>
        <color indexed="10"/>
        <rFont val="Verdana"/>
        <family val="2"/>
      </rPr>
      <t>(DOTACIÓN LABORATORIOS TODAS LA SEDES)</t>
    </r>
  </si>
  <si>
    <t>PY.4.2.2 Nuevo Campus Universitario</t>
  </si>
  <si>
    <t xml:space="preserve">A.E.5 SOSTENIBILIDAD AMBIENTAL </t>
  </si>
  <si>
    <t>PR.5.1  Divulgación y Apropiación de la Normatividad Ambiental</t>
  </si>
  <si>
    <t>PY.5.1.1  Promoción de la Educación Ambiental y Formación Ecológica</t>
  </si>
  <si>
    <t>PY.5.1.2 Revisión del cumplimiento de Normas Ambientales por la USCO</t>
  </si>
  <si>
    <t>PY.5.1.3  Realización de Estudios de Investigación Ambientales en la región Surcolombiana</t>
  </si>
  <si>
    <t>A.E.6 DESARROLLO HUMANO (TRANSVERSAL)</t>
  </si>
  <si>
    <t>PR.6.1  Cualificación del Talento Humano Docente y Administrativo</t>
  </si>
  <si>
    <t>PY.6.1.1  Formación y Capacitación al personal administrativo y Operativo</t>
  </si>
  <si>
    <t>PY.6.1.2 Preparación de Estudiantes en pruebas ECAES</t>
  </si>
  <si>
    <t xml:space="preserve">PR.6.2  Fortalecimiento del Bienestar Universitario </t>
  </si>
  <si>
    <t>PY.6.2.1 Bienestar Universitario; Todos somos USCO</t>
  </si>
  <si>
    <t>PY.6.2.2  Prevención, Negociación y Resolución De Conflictos: Cultura para la inclusión social y la Paz</t>
  </si>
  <si>
    <t>PY.6.2.3  USCO: No a los vicios y ETV por un ambiente sano</t>
  </si>
  <si>
    <t>A.E.7  DESARROLLO TECNOLÓGICO (TRANSVERSAL)</t>
  </si>
  <si>
    <t>PR.7.1  Creación de un Sistema Único de Información Integral</t>
  </si>
  <si>
    <t>PY.7.1.1  SISTEUSCO Para la incorporación definitiva de las TIC a la operatividad de la USCO</t>
  </si>
  <si>
    <t xml:space="preserve">PR.7.2 Incorporación de Desarrollos Tecnológicos a los Procesos Pedagógicos y de Investigación en la USCO </t>
  </si>
  <si>
    <t>PY.7.2.1  Educación Virtual (Adecuaciones Aulas Multimediales)</t>
  </si>
  <si>
    <t>PY.7.2.1   Educación Virtual (Dotaciones Aulas Multimediales)</t>
  </si>
  <si>
    <t>PY.7.2.1  Educación Virtual (Implementación un proyecto educación virtual)</t>
  </si>
  <si>
    <t>PY.7.2.1  Educación Virtual (Adecuación laboratorio objetos virtuales)</t>
  </si>
  <si>
    <t>PY.7.2.1  Educación Virtual (Dotación laboratorio objetos virtuales)</t>
  </si>
  <si>
    <t>PY.7.2.2  Compra, desarrollo, dotación y mantenimiento de Software y Hardware para la gestión tecnológica en la USCO</t>
  </si>
  <si>
    <t>TOTAL EN PLAN DE DESARROLLO</t>
  </si>
  <si>
    <t>RUBROS PRESUPUESTALES</t>
  </si>
  <si>
    <t>APROPIACIÓN ACTUAL</t>
  </si>
  <si>
    <t>111 CONSTRUCCIONES</t>
  </si>
  <si>
    <t>211 ADQUISICIÓN EQUIPOS</t>
  </si>
  <si>
    <t>310 CAPACITACIÓN</t>
  </si>
  <si>
    <t>410 INVESTIGACIONES</t>
  </si>
  <si>
    <t>510 PLANEACIÓN</t>
  </si>
  <si>
    <t>520 EXTENSIÓN</t>
  </si>
  <si>
    <t>TOTAL INVERSIÓN</t>
  </si>
  <si>
    <t>301 BIENESTAR</t>
  </si>
  <si>
    <t xml:space="preserve">TOTAL PLAN OPERATIVO ANUAL </t>
  </si>
  <si>
    <t>PLAN DE NECESIDADES PARA EL 2010</t>
  </si>
  <si>
    <t>Rubro 111 - CONSTRUCCIÓN ADECUACIÓN Y MANTENIMIENTO PLANTA FÍSICA</t>
  </si>
  <si>
    <t>CONSTRUCCIONES DE PLANTA FÍSICA</t>
  </si>
  <si>
    <t>ADECUACIONES DE PLANTA FÍSICA</t>
  </si>
  <si>
    <t>MANTENIMIENTO DE PLANTA FÍSICA</t>
  </si>
  <si>
    <t>REPORTE - PLAN DESARROLLO INVERSION METAS, INDICADORES, TECHOS Y ACTIVIDADES</t>
  </si>
  <si>
    <t>A.E.4</t>
  </si>
  <si>
    <t>DESARROLLO ADMINISTRATIVO, FINANCIERO Y DE INFRAESTRUCTURA FÃSICA</t>
  </si>
  <si>
    <t>PR.4.1</t>
  </si>
  <si>
    <t>DESARROLLO Y CONSOLIDACIÃ“N DE LA CULTURA DE GESTIÃ“N INTEGRAL</t>
  </si>
  <si>
    <t>PY.4.1.2</t>
  </si>
  <si>
    <t>CLIMA ORGANIZACIONAL PARA UNA USCO COMPETITIVA</t>
  </si>
  <si>
    <t>IND-PY-412</t>
  </si>
  <si>
    <t>NIVEL DE ACEPTACIÃ?N DE LA GESTIÃ?N ANUAL</t>
  </si>
  <si>
    <t>PY.4.1.1</t>
  </si>
  <si>
    <t>HACIA LAS CERTIFICACIONES ISO 9001:2000 Y NTCGP 1000</t>
  </si>
  <si>
    <t>IND-PY-411</t>
  </si>
  <si>
    <t>SISTEMA DE GESTIÃ?N IMPLEMENTADO</t>
  </si>
  <si>
    <t>A.E.6</t>
  </si>
  <si>
    <t>DESARROLLO HUMANO (TRANSVERSAL)</t>
  </si>
  <si>
    <t>PR.6.1</t>
  </si>
  <si>
    <t>CUALIFICACIÃ“N DEL TALENTO HUMANO DOCENTE Y ADMINISTRATIVO</t>
  </si>
  <si>
    <t>PY.6.1.1</t>
  </si>
  <si>
    <t>FORMACIÃ“N Y CAPACITACIÃ“N AL PERSONAL ADMINISTRATIVO Y OPERATIVO</t>
  </si>
  <si>
    <t>IND-PY-611</t>
  </si>
  <si>
    <t>NÃ?MERO DE FUNCIONARIOS ADMINISTRATIVOS FORMADOS Y CAPACITADOS</t>
  </si>
  <si>
    <t>610,600,800</t>
  </si>
  <si>
    <t>PY.6.1.2</t>
  </si>
  <si>
    <t>PREPARACIÃ“N DE ESTUDIANTES EN PRUEBAS ECAES</t>
  </si>
  <si>
    <t>IND-PY-612</t>
  </si>
  <si>
    <t>NÃ?MERO DE ESTUDIANTES CAPACITADOS EN PRUEBAS ECAES</t>
  </si>
  <si>
    <t>140,000,000</t>
  </si>
  <si>
    <t>PR.6.2</t>
  </si>
  <si>
    <t>PY.6.2.1</t>
  </si>
  <si>
    <t>BIENESTAR UNIVERSITARIO; TODOS SOMOS USCO (APOYO SOCIOECONÃ“MICO A ESTUDIANTES)</t>
  </si>
  <si>
    <t>IND-PY-621-1</t>
  </si>
  <si>
    <t>PORCENTAJE DE ESTUDIANTES VINCULADOS A PROCESOS INSTITUCIONALES</t>
  </si>
  <si>
    <t>159,999,852</t>
  </si>
  <si>
    <t>BIENESTAR UNIVERSITARIO; TODOS SOMOS USCO (RETENCIÃ“N DE ESTUDIANTES)</t>
  </si>
  <si>
    <t>IND-PY-621-2</t>
  </si>
  <si>
    <t>TASA DE RETENCIÃ?N ESCOLAR SEMESTRAL</t>
  </si>
  <si>
    <t>1,275,000,000</t>
  </si>
  <si>
    <t>BIENESTAR UNIVERSITARIO; TODOS SOMOS USCO (SERVICIO MÃ‰DICO)</t>
  </si>
  <si>
    <t>IND-PY-621-3</t>
  </si>
  <si>
    <t>TASA DE COBERTURA DE ATENCION MÃ?DICA</t>
  </si>
  <si>
    <t>31,563,700</t>
  </si>
  <si>
    <t>BIENESTAR UNIVERSITARIO; TODOS SOMOS USCO (SERVICIO ODONTOLÃ“GICO)</t>
  </si>
  <si>
    <t>IND-PY-621-4</t>
  </si>
  <si>
    <t>TASA DE COBERTURA DE ATENCION ODONTOLÃ?GICA</t>
  </si>
  <si>
    <t>BIENESTAR UNIVERSITARIO; TODOS SOMOS USCO (SERVICIO SICOLÃ“GICO)</t>
  </si>
  <si>
    <t>IND-PY-621-5</t>
  </si>
  <si>
    <t>TASA DE COBERTURA DE ATENCIÃ?N SICOLOGICA</t>
  </si>
  <si>
    <t>BIENESTAR UNIVERSITARIO; TODOS SOMOS USCO (SERVICIOS RESTAURANTE ESTUDIANTIL)</t>
  </si>
  <si>
    <t>550,000,000</t>
  </si>
  <si>
    <t>IND-PY-621-6</t>
  </si>
  <si>
    <t>NÃ?MERO DE ESTUDIANTES BENEFICIADOS CON ATENCIÃ?N ALIMENTARIA</t>
  </si>
  <si>
    <t>670,160,000</t>
  </si>
  <si>
    <t>PY.6.2.2</t>
  </si>
  <si>
    <t>PREVENCIÃ“N, RESOLUCIÃ“N Y NEGOCIACIÃ“N DE CONFLICTOS: CULTURA PARA LA INCLUSIÃ“N SOCIAL Y LA PAZ</t>
  </si>
  <si>
    <t>IND-PY-622</t>
  </si>
  <si>
    <t>TASA DE RESOLUCIÃ?N DE CONFLICTOS.</t>
  </si>
  <si>
    <t>185,000,000</t>
  </si>
  <si>
    <t>PY.6.2.3</t>
  </si>
  <si>
    <t>USCO: NO A LOS VICIOS Y ETV POR UN AMBIENTE SANO (ATENCIÃ“N A PERSONAS EN SITUACIONES CRÃTICAS)</t>
  </si>
  <si>
    <t>IND-PY-623-1</t>
  </si>
  <si>
    <t>TASA DE COBERTURA EN ATENCION A PERSONAS EN SITUACIONES CRÃ?TICAS</t>
  </si>
  <si>
    <t>913,000,000</t>
  </si>
  <si>
    <t>USCO: NO A LOS VICIOS Y ETV POR UN AMBIENTE SANO (RECREACIÃ“N, CULTURA Y DEPORTES)</t>
  </si>
  <si>
    <t>IND-PY-623-2</t>
  </si>
  <si>
    <t>NÃ?MERO DE ACTIVIDADES/AÃ?O DE BIENESTAR UNIVERSITARIO</t>
  </si>
  <si>
    <t>365,975,023</t>
  </si>
  <si>
    <t>117,299,875</t>
  </si>
  <si>
    <t>A.E.7</t>
  </si>
  <si>
    <t>DESARROLLO TECNOLÃ“GICO (TRANSVERSAL)</t>
  </si>
  <si>
    <t>PR.7.1</t>
  </si>
  <si>
    <t>CREACIÃ“N DE UN SISTEMA ÃšNICO DE INFORMACIÃ“N INTEGRAL</t>
  </si>
  <si>
    <t>PY.7.1.1</t>
  </si>
  <si>
    <t>SISTEUSCO: PARA LA INCORPORACIÃ“N DEFINITIVA DE LAS TIC A LA OPERATIVIDAD DE LA USCO (PERFIL TECNOLÃ“GICO)</t>
  </si>
  <si>
    <t>IND-PY-711-1</t>
  </si>
  <si>
    <t>ESTUDIO REALIZADO</t>
  </si>
  <si>
    <t>47,656,000</t>
  </si>
  <si>
    <t>SISTEUSCO: PARA LA INCORPORACIÃ“N DEFINITIVA DE LAS TIC A LA OPERATIVIDAD DE LA USCO (SISTEMA DE INFORMACIÃƒ?N)</t>
  </si>
  <si>
    <t>IND-PY-711-2</t>
  </si>
  <si>
    <t>PORCENTAJE DEL DISEÃ?O E IMPLEMENTACIÃ?N DEL SISTEMA</t>
  </si>
  <si>
    <t>PR.7.2</t>
  </si>
  <si>
    <t>INCORPORACÃ“N DE DESARROLLOS TECNOLÃ“GICOS A LOS PROCESOS PEDAGÃ“GICOS Y DE INVESTIGACIÃ“N EN LA USCO</t>
  </si>
  <si>
    <t>PY.7.2.2</t>
  </si>
  <si>
    <t>COMPRA, DESARROLLO, DOTACIÃ“N Y MANTENIMIENTO DE SOFTWARE Y HARDWARE PARA LA GESTIÃ“N TECNOLÃ“GICA EN LA USCO</t>
  </si>
  <si>
    <t>IND-PY-722</t>
  </si>
  <si>
    <t>NÃ?MERO DE EQUIPOS DE SISTEMAS Y REDES ADQUIRIDOS Y MANTENIDOS</t>
  </si>
  <si>
    <t>761,900,000</t>
  </si>
  <si>
    <t>379,200,000</t>
  </si>
  <si>
    <t>189,912,000</t>
  </si>
  <si>
    <t>PY.7.2.1</t>
  </si>
  <si>
    <t>EDUCACIÃ“N VIRTUAL (ADECUACIÃ“N DE AULAS MULTIMEDIALES)</t>
  </si>
  <si>
    <t>IND-PY-721-1</t>
  </si>
  <si>
    <t>NÃ?MERO DE AULAS ADECUADAS</t>
  </si>
  <si>
    <t>EDUCACIÃ“N VIRTUAL (ADECUACIÃ“N DE LABORATORIO DE OBJETOS VIRTUALES)</t>
  </si>
  <si>
    <t>IND-PY-721-3</t>
  </si>
  <si>
    <t>LABORATORIO ADECUADO</t>
  </si>
  <si>
    <t>EDUCACIÃ“N VIRTUAL (DOTACIÃ“N DE AULAS MULTIMEDIALES)</t>
  </si>
  <si>
    <t>IND-PY-721-2</t>
  </si>
  <si>
    <t>NÃ?MERO DE AULAS DOTADAS</t>
  </si>
  <si>
    <t>89,008,000</t>
  </si>
  <si>
    <t>122,106,000</t>
  </si>
  <si>
    <t>113,626,000</t>
  </si>
  <si>
    <t>138,906,000</t>
  </si>
  <si>
    <t>40,488,000</t>
  </si>
  <si>
    <t>1,125,222,675</t>
  </si>
  <si>
    <t>EDUCACIÃ“N VIRTUAL (DOTACIÃ“N DE LABORATORIO DE OBJETOS VIRTUALES)</t>
  </si>
  <si>
    <t>IND-PY-721-4</t>
  </si>
  <si>
    <t>LABORATORIO DOTADO</t>
  </si>
  <si>
    <t>EDUCACIÃ“N VIRTUAL (IMPLEMENTACIÃ“N DE UN PROYECTO DE EDUCACIÃ“N VIRTUAL)</t>
  </si>
  <si>
    <t>IND-PY-721-5</t>
  </si>
  <si>
    <t>PORCENTAJE DEL DISEÃ?O E IMPLEMENTACIÃ?N DEL PROYECTO</t>
  </si>
  <si>
    <t>A.E.3</t>
  </si>
  <si>
    <t>FORMACIÃ“N E INVESTIGACIÃ“N</t>
  </si>
  <si>
    <t>PR.3.1</t>
  </si>
  <si>
    <t>ACREDITACIÃ“N Y REACREDITACIÃ“N PROGRAMAS DE FORMACIÃ“N DE PREGRADO Y POSTGRADO</t>
  </si>
  <si>
    <t>PY.3.1.1</t>
  </si>
  <si>
    <t>ACREDITACIÃ“N Y REACREDITACIÃ“N PROGRAMAS DE PREGRADO (ACREDITACIÃ“N)</t>
  </si>
  <si>
    <t>IND-PY-311-1</t>
  </si>
  <si>
    <t>NÃ?MERO DE PROGRAMAS ACREDITADOS</t>
  </si>
  <si>
    <t>51,737,900</t>
  </si>
  <si>
    <t>ACREDITACIÃ“N Y REACREDITACIÃ“N PROGRAMAS DE PREGRADO (REACREDITACIÃ“N)</t>
  </si>
  <si>
    <t>IND-PY-311-2</t>
  </si>
  <si>
    <t>NÃ?MERO PROGRAMAS PREGRADO REACREDITADOS</t>
  </si>
  <si>
    <t>PY.3.1.2</t>
  </si>
  <si>
    <t>AUTOEVALUACIÃ“N DE PROGRAMAS DE POSTGRADO</t>
  </si>
  <si>
    <t>IND-PY-312</t>
  </si>
  <si>
    <t>NÃ?MERO PROGRAMAS POSTGRADOS AUTOEVALUADOS</t>
  </si>
  <si>
    <t>PY.3.1.3</t>
  </si>
  <si>
    <t>IND-PY-313</t>
  </si>
  <si>
    <t>NÃ?MERO DE LAB/TALLERES CERTIFICADOS</t>
  </si>
  <si>
    <t>660,000,000</t>
  </si>
  <si>
    <t>PR.3.3</t>
  </si>
  <si>
    <t>CONSOLIDACIÃ“N DE LA CULTURA DE LA INVESTIGACIÃ“N</t>
  </si>
  <si>
    <t>PY.3.3.2</t>
  </si>
  <si>
    <t>CONSOLIDACIÃ“N DE LOS GRUPOS DE INVESTIGACIÃ“N (GRUPOS COLCIENCIAS)</t>
  </si>
  <si>
    <t>440,000,000</t>
  </si>
  <si>
    <t>IND-PY-332-1</t>
  </si>
  <si>
    <t>NÃ?MERO DE GRUPOS DE INVESTIGACIÃ?N RECONOCIDOS POR COLCIENCIAS</t>
  </si>
  <si>
    <t>439,999,988</t>
  </si>
  <si>
    <t>CONSOLIDACIÃ“N DE LOS GRUPOS DE INVESTIGACIÃ“N (JOVENES INVESTIGADORES)</t>
  </si>
  <si>
    <t>IND-PY-332-2</t>
  </si>
  <si>
    <t>NÃ?MERO DE JÃ?VENES INVESTIGADORES EN USCO</t>
  </si>
  <si>
    <t>CONSOLIDACIÃ“N DE LOS GRUPOS DE INVESTIGACIÃ“N (SEMILLEROS DE INVESTIGACIÃ“N)</t>
  </si>
  <si>
    <t>IND-PY-332-3</t>
  </si>
  <si>
    <t>NÃ?MERO DE SEMILLEROS DE INVESTIGACIÃ?N</t>
  </si>
  <si>
    <t>PY.3.3.7</t>
  </si>
  <si>
    <t>CREACIÃ“N DE CENTROS DE INVESTIGACIÃ“N</t>
  </si>
  <si>
    <t>IND-PY-337</t>
  </si>
  <si>
    <t>NÃ?MERO DE CENTRO DE INVESTIGACIÃ?N EN LA USCO</t>
  </si>
  <si>
    <t>PY.3.3.1</t>
  </si>
  <si>
    <t>FORMACIÃ“N DE ALTO NIVEL PARA LA INVESTIGACIÃ“N Y EL EMPRENDIMIENTO FANIE (COMISIONES DE ESTUDIO)</t>
  </si>
  <si>
    <t>900,000,000</t>
  </si>
  <si>
    <t>IND-PY-331</t>
  </si>
  <si>
    <t>NÃ?MERO DE MAGISTER, NÃ?MERO DE DOCTORES Y NÃ?MERO DE POSTDOCTORES FORMADOS</t>
  </si>
  <si>
    <t>195,000,000</t>
  </si>
  <si>
    <t>261,900,000</t>
  </si>
  <si>
    <t>132,000,000</t>
  </si>
  <si>
    <t>55,000,000</t>
  </si>
  <si>
    <t>224,573,622</t>
  </si>
  <si>
    <t>390,000,000</t>
  </si>
  <si>
    <t>543,000,000</t>
  </si>
  <si>
    <t>PY.3.3.4</t>
  </si>
  <si>
    <t>GESTIÃ“N PARA LA FINANCIACIÃ“N DE PROYECTOS DE INVESTIGACIÃ“N (INCREMENTAR CONVENIOS)</t>
  </si>
  <si>
    <t>IND-PY-334-1</t>
  </si>
  <si>
    <t>NÃ?MERO DE CONVENIOS/ALIANZAS</t>
  </si>
  <si>
    <t>GESTIÃ“N PARA LA FINANCIACIÃ“N DE PROYECTOS DE INVESTIGACIÃ“N (MANTENER CONVENIOS)</t>
  </si>
  <si>
    <t>IND-PY-334-2</t>
  </si>
  <si>
    <t>NÃ?MERO DE PROYECTOS DE INVESTIGACIÃ?N FINANCIADOS POR AÃ?O</t>
  </si>
  <si>
    <t>PY.3.3.5</t>
  </si>
  <si>
    <t>MEMBRESÃA A REDES DEL CONOCIMIENTO E INVESTIGACIÃ“N</t>
  </si>
  <si>
    <t>IND-PY-335</t>
  </si>
  <si>
    <t>NÃ?MERO DE MEBRESÃAS A REDES DE INVESTIGACIÃ?N</t>
  </si>
  <si>
    <t>PY.3.3.6</t>
  </si>
  <si>
    <t>PATENTES, PROPIEDAD INTELECTUAL Y REGISTROS DE MARCA</t>
  </si>
  <si>
    <t>IND-PY-336</t>
  </si>
  <si>
    <t>NÃ?MERO DE PATENTES O REGISTRO DE MARCA A FAVOR USCO</t>
  </si>
  <si>
    <t>PY.3.3.3</t>
  </si>
  <si>
    <t>PRODUCCIÃ“N EDITORIAL COMO SOPORTE A LA INVESTIGACIÃ“N</t>
  </si>
  <si>
    <t>IND-PY-333</t>
  </si>
  <si>
    <t>NÃ?MERO DE LIBROS PUBLICADOS, NÃ?MERO DE ARTÃCULOS EN REVISTAS INDEXADAS Y NÃ?MERO DE REVISTAS USCO INDEXADAS</t>
  </si>
  <si>
    <t>PR.3.4</t>
  </si>
  <si>
    <t>INTERNACIONALIZACIÃ“N DE LA UNIVERSIDAD SURCOLOMBIANA</t>
  </si>
  <si>
    <t>PY.3.4.2</t>
  </si>
  <si>
    <t>CONVENIOS CON UNIVERSIDADES DEL PAÃÂS O DEL EXTERIOR PARA INTERCAMBIO DE DOCENTES Y ESTUDIANTES</t>
  </si>
  <si>
    <t>IND-PY-342</t>
  </si>
  <si>
    <t>NÃ?MERO DE CONVENIOS EN OPERACIÃ?N</t>
  </si>
  <si>
    <t>122,000,000</t>
  </si>
  <si>
    <t>PY.3.4.1</t>
  </si>
  <si>
    <t>IMPLEMENTACIÃ“N DE PROGRAMAS ACADÃ‰MICOS CON DOBLE TITULACIÃ“N</t>
  </si>
  <si>
    <t>IND-PY-341</t>
  </si>
  <si>
    <t>NÃ?MERO DE PROGRAMAS CON DOBLE TITULACIÃ?N OFRECIDOS</t>
  </si>
  <si>
    <t>PR.3.2</t>
  </si>
  <si>
    <t>MODERNIZACIÃ“N CURRICULAR</t>
  </si>
  <si>
    <t>PY.3.2.1</t>
  </si>
  <si>
    <t>CREACIÃ“N DE CICLOS BÃSICOS Y PROPEDÃ‰UTICOS</t>
  </si>
  <si>
    <t>IND-PY-321</t>
  </si>
  <si>
    <t>NÃ?MERO DE PROGRAMAS CON CICLOS PROPEDÃ?UTICOS</t>
  </si>
  <si>
    <t>PY.3.2.4</t>
  </si>
  <si>
    <t>FORMACIÃ“N Y CAPACITACIÃ“N DE DOCENTES</t>
  </si>
  <si>
    <t>IND-PY-324</t>
  </si>
  <si>
    <t>NÃ?MERO DE DOCENTES CAPACITADOS</t>
  </si>
  <si>
    <t>436,500,000</t>
  </si>
  <si>
    <t>PY.3.2.3</t>
  </si>
  <si>
    <t>INCORPORACIÃ“N DE LA CULTURA DEL EMPRENDIMIENTO A LA ESTRUCTURA ACADÃ‰MICA DE LA USCO</t>
  </si>
  <si>
    <t>IND-PY-323</t>
  </si>
  <si>
    <t>NÃ?MERO DE FUNCIONARIOS (DOCENTES Y ADMINISTRATIVOS) CAPACITADOS EN LA CULTURA DEL EMPRENDIMIENTO</t>
  </si>
  <si>
    <t>PY.3.2.2</t>
  </si>
  <si>
    <t>NUEVOS PROYECTOS ACADÃ‰MICOS (INCLUÃDOS LOS TÃ‰CNICOS Y TECNOLÃ“GICOS - ARTICULACIÃ“N CON EDUCACIÃ“N MEDIA)</t>
  </si>
  <si>
    <t>IND-PY-322-1</t>
  </si>
  <si>
    <t>NÃ?MERO DE PROGRAMAS ACADÃ?MICOS ARTICULADOS</t>
  </si>
  <si>
    <t>NUEVOS PROYECTOS ACADÃ‰MICOS (INCLUÃDOS LOS TÃ‰CNICOS Y TECNOLÃ“GICOS - NUEVOS PROGRAMAS DE PREGRADO Y POSTGRADO)</t>
  </si>
  <si>
    <t>IND-PY-322-2</t>
  </si>
  <si>
    <t>NÃ?MERO DE PROGRAMAS ACADÃ?MICOS OFRECIDOS POR USCO</t>
  </si>
  <si>
    <t>74,450,000</t>
  </si>
  <si>
    <t>NUEVOS PROYECTOS ACADÃ‰MICOS (INCLUÃDOS LOS TÃ‰CNICOS Y TECNOLOGICOS - READSCRIPCIÃ“N DOCENTES)</t>
  </si>
  <si>
    <t>IND-PY-322</t>
  </si>
  <si>
    <t>NÃ?MERO DE FACULTADES CON ADSCRIPCIÃ?N/READSCRIPCIÃ?N DE DOCENTES</t>
  </si>
  <si>
    <t>266,000,000</t>
  </si>
  <si>
    <t>PR.4.2</t>
  </si>
  <si>
    <t>MODERNIZACION DE LA INFRAESTRUCTURA FÃSICA</t>
  </si>
  <si>
    <t>PY.4.2.1</t>
  </si>
  <si>
    <t>CONSTRUCCIÃ“N ADECUACIÃ“N Y MANTENIMIENTO DE INFRAESTRUCTURA FÃÂSICA (PLANTA FÃÂSICA TODAS LAS SEDES)</t>
  </si>
  <si>
    <t>3,500,000,000</t>
  </si>
  <si>
    <t>IND-PY-421-1</t>
  </si>
  <si>
    <t>M2 CONSTRUIDOS, M2 ADECUADOS, Y M2 MANTENIDOS EN TODAS LA SEDES</t>
  </si>
  <si>
    <t>2,860,000,000</t>
  </si>
  <si>
    <t>260,000,000</t>
  </si>
  <si>
    <t>380,000,000</t>
  </si>
  <si>
    <t>DOTACIÃ“N Y MANTENIMIENTO DE EQUIPOS (DOTACIÃ“N DE OFICINAS Y AULAS DE TODAS LAS SEDES)</t>
  </si>
  <si>
    <t>680,000,000</t>
  </si>
  <si>
    <t>IND-PY-421-2</t>
  </si>
  <si>
    <t>NÃ?MERO DE AULAS Y OFICINAS DOTADAS</t>
  </si>
  <si>
    <t>21,763,332</t>
  </si>
  <si>
    <t>68,513,332</t>
  </si>
  <si>
    <t>590,000,000</t>
  </si>
  <si>
    <t>907,756,276</t>
  </si>
  <si>
    <t>19,013,332</t>
  </si>
  <si>
    <t>DOTACIÃ“N Y MANTENIMIENTO DE LABORATORIOS (DOTACIÃ“N LABORATORIOS TODAS LAS SEDES)</t>
  </si>
  <si>
    <t>2,650,000,000</t>
  </si>
  <si>
    <t>2,750,000,000</t>
  </si>
  <si>
    <t>IND-PY-421-3</t>
  </si>
  <si>
    <t>NÃ?MERO DE LABORATORIOS CONSTRUIDOS, DOTADOS Y MANTENIDOS</t>
  </si>
  <si>
    <t>86,318,000</t>
  </si>
  <si>
    <t>149,998,000</t>
  </si>
  <si>
    <t>156,188,000</t>
  </si>
  <si>
    <t>91,121,208</t>
  </si>
  <si>
    <t>28,140,000</t>
  </si>
  <si>
    <t>245,963,800</t>
  </si>
  <si>
    <t>626,977,688</t>
  </si>
  <si>
    <t>745,245,655</t>
  </si>
  <si>
    <t>49,113,909</t>
  </si>
  <si>
    <t>14,752,000</t>
  </si>
  <si>
    <t>1,831,236,000</t>
  </si>
  <si>
    <t>135,290,000</t>
  </si>
  <si>
    <t>400,049,000</t>
  </si>
  <si>
    <t>1,911,460,000</t>
  </si>
  <si>
    <t>120,379,645</t>
  </si>
  <si>
    <t>280,000,000</t>
  </si>
  <si>
    <t>492,473,000</t>
  </si>
  <si>
    <t>107,176,000</t>
  </si>
  <si>
    <t>138,901,200</t>
  </si>
  <si>
    <t>689,156,673</t>
  </si>
  <si>
    <t>230,646,000</t>
  </si>
  <si>
    <t>112,333,500</t>
  </si>
  <si>
    <t>PY.4.2.2</t>
  </si>
  <si>
    <t>IND-PY-422</t>
  </si>
  <si>
    <t>NUEVO CAMPUS DISEÃ?ADO</t>
  </si>
  <si>
    <t>A.E.1</t>
  </si>
  <si>
    <t>GOBERNABILIDAD</t>
  </si>
  <si>
    <t>PR.1.1</t>
  </si>
  <si>
    <t>REVISIÃ“N Y ACTUALIZACIÃ“N DE LA NORMATIVIDAD</t>
  </si>
  <si>
    <t>PY.1.1.2</t>
  </si>
  <si>
    <t>ESTRUCTURACIÃ“N Y APROBACIÃ“N DE UN CÃ“DIGO DE BUEN GOBIERNO PARA UNA GESTIÃ“N EFICAZ Y TRANSPARENTE DE LA USCO</t>
  </si>
  <si>
    <t>IND-PY.112</t>
  </si>
  <si>
    <t>UN CÃ?DIGO DE BUEN GOBIERNO Y UN CÃ?DIGO DE Ã?TICA REVISADOS E IMPLEMENTADOS</t>
  </si>
  <si>
    <t>PY.1.1.1</t>
  </si>
  <si>
    <t>ESTUDIO DE LA NORMATIVIDAD INTEGRAL DE LA UNIVERSIDAD Y ADOPCIÃ“N DE SUS CONCLUCIONES</t>
  </si>
  <si>
    <t>IND-PY-111</t>
  </si>
  <si>
    <t>NORMATIVIDAD ACTUALIZADA Y REESTRUCTURACIÃ?N ACADÃ?MICO - ADMINISTRATIVA</t>
  </si>
  <si>
    <t>PY.1.1.3</t>
  </si>
  <si>
    <t>MEJORAMIENTO DE LAS RELACIONES CON LA COMUNIDAD UNIVERSITARIA</t>
  </si>
  <si>
    <t>IND-PY-113</t>
  </si>
  <si>
    <t>CREACIÃ?N Y CONSOLIDACIÃ?N DE UN SISTEMA DE MEDIOS DE COMUNICACIÃ?N INSTITUCIONAL</t>
  </si>
  <si>
    <t>A.E.2</t>
  </si>
  <si>
    <t>PROYECCIÃ“N SOCIAL</t>
  </si>
  <si>
    <t>PR.2.1</t>
  </si>
  <si>
    <t>FORTALECIMIENTO DE LA RELACIÃ“N UNIVERSIDAD-ESTADO-SECTOR PRODUCTIVO-COMUNIDAD</t>
  </si>
  <si>
    <t>PY.2.1.2</t>
  </si>
  <si>
    <t>CONSOLIDACIÃ“N DE GRUPOS DE PROYECCIÃ“N SOCIAL DE LA USCO (CONVENIOS INTERINSTITUCIONALES)</t>
  </si>
  <si>
    <t>CONSOLIDACIÃ“N DE GRUPOS DE PROYECCIÃ“N SOCIAL DE LA USCO (GRUPOS DE PROYECCIÃ“N SOCIAL)</t>
  </si>
  <si>
    <t>165,000,000</t>
  </si>
  <si>
    <t>CONSOLIDACIÃ“N DE GRUPOS DE PROYECCIÃ“N SOCIAL DE LA USCO (INCORPORAR SERVICIO SOCIAL AL CURRÃCULO)</t>
  </si>
  <si>
    <t>IND-PY-212-1</t>
  </si>
  <si>
    <t>NÃ?MERO DE PROGRAMAS REFORMADOS</t>
  </si>
  <si>
    <t>PY.2.1.1</t>
  </si>
  <si>
    <t>FORTALECIMIENTO USCO - EGRESADOS</t>
  </si>
  <si>
    <t>IND-PY-211</t>
  </si>
  <si>
    <t>NÃ?MERO DE ASOCIACIONES DE EGRESADOS (UNA POR FACULTAD)</t>
  </si>
  <si>
    <t>14,197,808</t>
  </si>
  <si>
    <t>A.E.5</t>
  </si>
  <si>
    <t>SOSTENIBILIDAD AMBIENTAL</t>
  </si>
  <si>
    <t>PR.5.1</t>
  </si>
  <si>
    <t>DIVULGACIÃ“N Y APROPIACIÃ“N DE LA NORMATIVIDAD AMBIENTAL</t>
  </si>
  <si>
    <t>PY.5.1.1</t>
  </si>
  <si>
    <t>PROMOCIÃ“N DE LA EDUCACIÃ“N AMBIENTAL Y FORMACIÃ“N ECOLÃ“GICA</t>
  </si>
  <si>
    <t>IND-PY-511</t>
  </si>
  <si>
    <t>UN SISTEMA DE GESTIÃ?N AMBIENTAL IMPLEMENTADO</t>
  </si>
  <si>
    <t>25,443,075</t>
  </si>
  <si>
    <t>PY.5.1.3</t>
  </si>
  <si>
    <t>REALIZACIÃ“N DE ESTUDIOS DE INVESTIGACIÃ“N AMBIENTALES EN LA REGIÃ“N SURCOLOMBIANA</t>
  </si>
  <si>
    <t>IND-PY-513</t>
  </si>
  <si>
    <t>NÃ?MERO DE PROGRAMAS CON CRITERIOS DE GESTIÃ?N AMBIENTAL</t>
  </si>
  <si>
    <t>10,300,000</t>
  </si>
  <si>
    <t>PY.5.1.2</t>
  </si>
  <si>
    <t>REVISIÃ“N DEL CUMPLIMIENTO DE NORMAS AMBIENTALES PARA LA USCO</t>
  </si>
  <si>
    <t>IND-PY-512</t>
  </si>
  <si>
    <t>NÃ?MERO DE PROCESOS EJECUTADOS DENTRO DE LOS LÃ?MITES AMBIENTALES</t>
  </si>
  <si>
    <t>13,910,000,000</t>
  </si>
  <si>
    <t>14,284,000,000</t>
  </si>
  <si>
    <t>14,099,000,050</t>
  </si>
  <si>
    <t>27,298,191,868</t>
  </si>
  <si>
    <t>Rubro 310 - CAPACITACIÓN PERSONAL DOCENTE Y ADMINISTRATIVO</t>
  </si>
  <si>
    <t>VICERRECTORÍA ADMINISTRATIVA</t>
  </si>
  <si>
    <t>ADECUACIÓN MASTER Y TRANSMISIÓN EMISORA</t>
  </si>
  <si>
    <t>DISEÑOY CONSTRUCCIÓN PLANTAS DE TRATAMIENTO DE AGUAS RESIDUALES Y AIRE AMBIENTAL ANFITEATRO</t>
  </si>
  <si>
    <t xml:space="preserve">ESTRATEGIA </t>
  </si>
  <si>
    <t>DESARROLLO ADMINISTRATIVO, FINANCIERO Y DE INFRAESTRUCTURA FÍSICA</t>
  </si>
  <si>
    <t>PROYECTO</t>
  </si>
  <si>
    <t>DESARROLLO Y CONSOLIDACIÓN DE LA CULTURA DE GESTIÓN INTEGRAL</t>
  </si>
  <si>
    <t>NIVEL DE ACEPTACIÓN DE LA GESTIÓN ANUAL</t>
  </si>
  <si>
    <t>MEJORAMIENTO DEL NIVEL DE ACEPTACIÓN DE LA GESTIÓN INSTITUCIONAL</t>
  </si>
  <si>
    <t>IMPLEMENTACIÓN MECI (MODELO ESTANDAR DE CONTROL INTERNO)</t>
  </si>
  <si>
    <t>IMPLEMENTACIÓN Y AJUSTE DEL SISTEMA DE GESTIÓN ADMINISTRATIVA SGAD</t>
  </si>
  <si>
    <t>IMPLEMENTACIÓN Y DESARROLLO NTCGP1000 (GESTIÓN DE CALIDAD)</t>
  </si>
  <si>
    <t>CAPACITACIÓN DE DOCENTES (ASISTENCIA A EVENTOS)</t>
  </si>
  <si>
    <t>CAPACITACIÓN DE DOCENTES Y ADMINISTRATIVOS EN EMPRENDIMIENTO</t>
  </si>
  <si>
    <t>ATENCIÓN A PERSONAS INVOLUCRADAS EN DROGADICCIÓN, PROSTITUCIÓN Y ETV</t>
  </si>
  <si>
    <t>USCO: NO A LOS VICIOS Y ETV POR UN AMBIENTE SANO (RECREACIÓN, CULTURA Y DEPORTES)</t>
  </si>
  <si>
    <t>IMPLEMENTAR SISTEMA DE INFORMACIÓN INTEGRAL</t>
  </si>
  <si>
    <t>DESARROLLO Y ADQUISICIÓN DE SOFTWARE</t>
  </si>
  <si>
    <t>ADQUISICIÓN DE HARDWARE</t>
  </si>
  <si>
    <t>EDUCACIÓN VIRTUAL (ADECUACIÓN DE AULAS MULTIMEDIALES)</t>
  </si>
  <si>
    <t>ADECUACIÓN DE AULAS VIRTUALES</t>
  </si>
  <si>
    <t>EDUCACIÓN VIRTUAL (ADECUACIÓN DE LABORATORIO DE OBJETOS VIRTUALES)</t>
  </si>
  <si>
    <t>ADECUACIÓN LABORATORIO DE OBJETOS VIRTUALES</t>
  </si>
  <si>
    <t>EDUCACIÓN VIRTUAL (DOTACIÓN DE AULAS MULTIMEDIALES)</t>
  </si>
  <si>
    <t>DOTACION DE AULAS VIRTUALES - FACULTAD DE EDUCACIÓN</t>
  </si>
  <si>
    <t>EDUCACIÓN VIRTUAL (DOTACIÓN DE LABORATORIO DE OBJETOS VIRTUALES)</t>
  </si>
  <si>
    <t>EDUCACIÓN VIRTUAL (IMPLEMENTACIÓN DE UN PROYECTO DE EDUCACIÓN VIRTUAL)</t>
  </si>
  <si>
    <t>IMPLEMENTACIÓN PROYECTO DE OBJETOS VIRTUALES</t>
  </si>
  <si>
    <t>FORMACIÓN E INVESTIGACIÓN</t>
  </si>
  <si>
    <t>ACREDITACIÓN Y REACREDITACIÓN PROGRAMAS DE FORMACIÓN DE PREGRADO Y POSTGRADO</t>
  </si>
  <si>
    <t>ACREDITACIÓN Y REACREDITACIÓN PROGRAMAS DE PREGRADO (ACREDITACIÓN)</t>
  </si>
  <si>
    <t>ACREDITACIÓN PROGRAMAS DE PREGRADO</t>
  </si>
  <si>
    <t>REACREDITACIÓN PROGRAMAS DE PREGRADO</t>
  </si>
  <si>
    <t>AUTOEVALUACIÓN DE PROGRAMAS DE POSTGRADO</t>
  </si>
  <si>
    <t>AUTOEVALUACIÓN PROGRAMAS DE POSTGRADO</t>
  </si>
  <si>
    <t>CERTIFICACIÓN DE LABORATORIOS Y TALLERES</t>
  </si>
  <si>
    <t>CONSOLIDACIÓN DE LA CULTURA DE LA INVESTIGACIÓN</t>
  </si>
  <si>
    <t>CONSOLIDACIÓN DE LOS GRUPOS DE INVESTIGACIÓN (GRUPOS COLCIENCIAS)</t>
  </si>
  <si>
    <t>AUMENTAR GRUPOS DE INVESTIGACIÓN RECONOCIDOS POR COLCIENCIAS</t>
  </si>
  <si>
    <t>CONSOLIDACIÓN DE LOS GRUPOS DE INVESTIGACIÓN (JOVENES INVESTIGADORES)</t>
  </si>
  <si>
    <t>CONSOLIDACIÓN DE LOS GRUPOS DE INVESTIGACIÓN (SEMILLEROS DE INVESTIGACIÓN)</t>
  </si>
  <si>
    <t>CREACIÓN DE CENTROS DE INVESTIGACIÓN</t>
  </si>
  <si>
    <t>CENTRO DE INVESTIGACIÓN</t>
  </si>
  <si>
    <t>FORMACIÓN DE ALTO NIVEL PARA LA INVESTIGACIÓN Y EL EMPRENDIMIENTO FANIE (COMISIONES DE ESTUDIO)</t>
  </si>
  <si>
    <t>CONVENIOS Y/O ALIANZAS DE FINANCIACIÓN DE LA INVESTIGACIÓN</t>
  </si>
  <si>
    <t>SOSTENIMIENTO PROYECTOS DE INVESTIGACIÓN</t>
  </si>
  <si>
    <t>PRODUCCIÓN EDITORIAL COMO SOPORTE A LA INVESTIGACIÓN</t>
  </si>
  <si>
    <t>PUBLICACIÓN DE LIBROS</t>
  </si>
  <si>
    <t>INTERNACIONALIZACIÓN DE LA UNIVERSIDAD SURCOLOMBIANA</t>
  </si>
  <si>
    <t>PROGRAMAS CON DOBLE TITULACIÓN</t>
  </si>
  <si>
    <t>MODERNIZACIÓN CURRICULAR</t>
  </si>
  <si>
    <t>FORMACIÓN Y CAPACITACIÓN DE DOCENTES</t>
  </si>
  <si>
    <t>ARTICULACIÓN CON LA EDUCACIÓN MEDIA</t>
  </si>
  <si>
    <t>READSCRIPCIÓN DE DOCENTES POR FACULTADES</t>
  </si>
  <si>
    <t>DOTACIÓN Y MANTENIMIENTO DE EQUIPOS (DOTACIÓN DE OFICINAS Y AULAS DE TODAS LAS SEDES)</t>
  </si>
  <si>
    <t>DOTACIÓN DE AULAS Y OFICINAS SEDE LA PLATA</t>
  </si>
  <si>
    <t>DOTACIÓN DE AULAS Y OFICINAS SEDE PITALITO</t>
  </si>
  <si>
    <t>DOTACIÓN DE AULAS Y OFICINAS SEDE NEIVA</t>
  </si>
  <si>
    <t>DOTACIÓN DE AULAS Y OFICINAS SEDE GARZON</t>
  </si>
  <si>
    <t>DOTACIÓN Y MANTENIMIENTO DE LABORATORIOS (DOTACIÓN LABORATORIOS TODAS LAS SEDES)</t>
  </si>
  <si>
    <t>ESTUDIO DE LA NORMATIVIDAD INTEGRAL DE LA UNIVERSIDAD Y ADOPCIÓN DE SUS CONCLUCIONES</t>
  </si>
  <si>
    <t>ACTUALIZACIÓN DE LA NORMATIVIDAD</t>
  </si>
  <si>
    <t>SISTEMA DE MEDIOS DE COMUNICACIÓN</t>
  </si>
  <si>
    <t>FORTALECIMIENTO DE LA RELACIÓN UNIVERSIDAD-ESTADO-SECTOR PRODUCTIVO-COMUNIDAD</t>
  </si>
  <si>
    <t>CONSOLIDACIÓN DE GRUPOS DE PROYECCIÓN SOCIAL DE LA USCO (CONVENIOS INTERINSTITUCIONALES)</t>
  </si>
  <si>
    <t>CONSOLIDACIÓN DE GRUPOS DE PROYECCIÓN SOCIAL DE LA USCO (GRUPOS DE PROYECCIÓN SOCIAL)</t>
  </si>
  <si>
    <t>GRUPOS DE PROYECCIÓN SOCIAL</t>
  </si>
  <si>
    <t>FOMENTO DE LA CONFORMACIÓN DE ASOCIACIONES DE EGRESADOS</t>
  </si>
  <si>
    <t>DIVULGACIÓN Y APROPIACIÓN DE LA NORMATIVIDAD AMBIENTAL</t>
  </si>
  <si>
    <t>USCO: NO A LOS VICIOS Y ETV POR UN AMBIENTE SANO (ATENCIÓN A PERSONAS EN SITUACIONES CÍTICAS)</t>
  </si>
  <si>
    <t>SISTEUSCO: PARA LA INCORPORACIÓN DEFINITIVA DE LAS TIC A LA OPERATIVIDAD DE LA USCO (SISTEMA DE INFORMACIÓN)</t>
  </si>
  <si>
    <t>GESTIÓN PARA LA FINANCIACIÓN DE PROYECTOS DE INVESTIGACIÓN (INCREMENTAR CONVENIOS)</t>
  </si>
  <si>
    <t>GESTIÓN PARA LA FINANCIACIÓN DE PROYECTOS DE INVESTIGACIÓN (MANTENER CONVENIOS)</t>
  </si>
  <si>
    <t>IMPLEMENTAR SISTEMA DE GESTIÓN AMBIENTAL</t>
  </si>
  <si>
    <t>PORCENTAJE DEL DISEÑO E IMPLEMENTACIÓN DEL SISTEMA</t>
  </si>
  <si>
    <t>INCORPORACÓN DE DESARROLLOS TECNOLÓGICOS A LOS PROCESOS PEDAGÓGICOS Y DE INVESTIGACIÓN EN LA USCO</t>
  </si>
  <si>
    <t>NÚMERO DE AULAS ADECUADAS</t>
  </si>
  <si>
    <t>NÚMERO DE AULAS DOTADAS</t>
  </si>
  <si>
    <t>DOTACION DE AULAS VIRTUALES - FACULTAD DE INGENIERÍA</t>
  </si>
  <si>
    <t>DOTACION DE AULAS VIRTUALES - SEDE GARZÓN</t>
  </si>
  <si>
    <t>DOTACION DE AULAS VIRTUALES - FACULTAD DE ECONOMÍA Y ADMINISTRACIÓN</t>
  </si>
  <si>
    <t>DESARROLLO TECNOLÓGICO (TRANSVERSAL)</t>
  </si>
  <si>
    <t>NÚMERO DE ACTIVIDADES/AÑO DE BIENESTAR UNIVERSITARIO</t>
  </si>
  <si>
    <t>NÚMERO DE PROGRAMAS ACREDITADOS</t>
  </si>
  <si>
    <t>NÚMERO PROGRAMAS PREGRADO REACREDITADOS</t>
  </si>
  <si>
    <t>NÚMERO PROGRAMAS POSTGRADOS AUTOEVALUADOS</t>
  </si>
  <si>
    <t>NÚMERO DE LAB/TALLERES CERTIFICADOS</t>
  </si>
  <si>
    <t>NÚMERO DE MAGISTER, NÚMERO DE DOCTORES Y NÚMERO DE POSTDOCTORES FORMADOS</t>
  </si>
  <si>
    <t>NÚMERO DE CONVENIOS/ALIANZAS</t>
  </si>
  <si>
    <t>NÚMERO DE PATENTES O REGISTRO DE MARCA A FAVOR USCO</t>
  </si>
  <si>
    <t>NÚMERO DE DOCENTES CAPACITADOS</t>
  </si>
  <si>
    <t>NÚMERO DE FUNCIONARIOS (DOCENTES Y ADMINISTRATIVOS) CAPACITADOS EN LA CULTURA DEL EMPRENDIMIENTO</t>
  </si>
  <si>
    <t>NÚMERO DE AULAS Y OFICINAS DOTADAS</t>
  </si>
  <si>
    <t>NÚMERO DE LABORATORIOS CONSTRUIDOS, DOTADOS Y MANTENIDOS</t>
  </si>
  <si>
    <t>NÚMERO DE PROGRAMAS REFORMADOS</t>
  </si>
  <si>
    <t>NÚMERO DE ASOCIACIONES DE EGRESADOS (UNA POR FACULTAD)</t>
  </si>
  <si>
    <t>MEMBRESÍA A REDES DEL CONOCIMIENTO E INVESTIGACIÓN</t>
  </si>
  <si>
    <t>MEMBRESÍAS A REDES DE INVESTIGACIÓN</t>
  </si>
  <si>
    <t>NÚMERO DE GRUPOS DE INVESTIGACIÓN RECONOCIDOS POR COLCIENCIAS</t>
  </si>
  <si>
    <t>NÚMERO DE SEMILLEROS DE INVESTIGACIÓN</t>
  </si>
  <si>
    <t>NÚMERO DE CENTRO DE INVESTIGACIÓN EN LA USCO</t>
  </si>
  <si>
    <t>NÚMERO DE PROYECTOS DE INVESTIGACIÓN FINANCIADOS POR AÑO</t>
  </si>
  <si>
    <t>NÚMERO DE MEBRESÍAS A REDES DE INVESTIGACIÓN</t>
  </si>
  <si>
    <t>ARTÍCULOS EN REVISTAS INDEXADAS</t>
  </si>
  <si>
    <t>PROGRAMAS POR CICLOS PROPEDÉUTICOS</t>
  </si>
  <si>
    <t>NÚMERO DE PROGRAMAS CON CICLOS PROPEDÉUTICOS</t>
  </si>
  <si>
    <t>NÚMERO DE PROGRAMAS CON DOBLE TITULACIÓN OFRECIDOS</t>
  </si>
  <si>
    <t>SE REQUIEREN</t>
  </si>
  <si>
    <t>LABORATORIOS TECNOLOGÍCA EN OBRAS CIVILES</t>
  </si>
  <si>
    <t>LABORATORIO DE NEUROCIENCIAS Y FISIOLOGÍA</t>
  </si>
  <si>
    <t>LABORATORIOS SALAS DE INFORMÁTICA</t>
  </si>
  <si>
    <t>LABORATORIOS DE BIOLOGÍA</t>
  </si>
  <si>
    <t>LABORATORIOS INGENIERÍA DE PETROLEOS</t>
  </si>
  <si>
    <t>LABORATORIO SALA DE INFORMÁTICA</t>
  </si>
  <si>
    <t>LABORATORIO DE SIMULACIÓN DE ENFERMERÍA</t>
  </si>
  <si>
    <t>LABORATORIOS FACULTAD DE ECONOMÍA Y ADMINISTRACIÓN</t>
  </si>
  <si>
    <t>LABORATORIO DE INMUNOLOGÍA</t>
  </si>
  <si>
    <t>LABORATORIO EDUCACIÓN FÍSICA</t>
  </si>
  <si>
    <t>LABORATORIOS DE QUÍMICA</t>
  </si>
  <si>
    <t>BIBLIOGRAFÍA Y BASES DE DATOS BIBLIOTECA</t>
  </si>
  <si>
    <t>LABORATORIOS INGENIERÍA ELECTRÓNICA</t>
  </si>
  <si>
    <t>LABORATORIOS INGENIERÍA AGRÍCOLA</t>
  </si>
  <si>
    <t>LABORATORIOS DE FÍSICA</t>
  </si>
  <si>
    <t>LABORATORIO DE GENÉTICA</t>
  </si>
  <si>
    <t>NUEVO CAMPUS DISEÑADO</t>
  </si>
  <si>
    <t>MODERNIZACION DE LA INFRAESTRUCTURA FÍSICA</t>
  </si>
  <si>
    <t>REVISIÓN Y ACTUALIZACIÓN DE LA NORMATIVIDAD</t>
  </si>
  <si>
    <t>SISTEUSCO: PARA LA INCORPORACIÓN DEFINITIVA DE LAS TIC A LA OPERATIVIDAD DE LA USCO (PERFIL TECNOLÓGICO)</t>
  </si>
  <si>
    <t>REALIZAR EL PERFIL TECNOLÓGICO DE LA UNIVERSIDAD</t>
  </si>
  <si>
    <t>COMPRA, DESARROLLO, DOTACIÓN Y MANTENIMIENTO DE SOFTWARE Y HARDWARE PARA LA GESTIÓN TECNOLÓGICA EN LA USCO</t>
  </si>
  <si>
    <t>AUMENTAR CANTIDAD DE JÓVENES INVESTIGADORES</t>
  </si>
  <si>
    <t>ESTRUCTURACIÓN Y APROBACIÓN DE UN CÓDIGO DE BUEN GOBIERNO PARA UNA GESTIÓN EFICAZ Y TRANSPARENTE DE LA USCO</t>
  </si>
  <si>
    <t>PROMOCIÓN DE LA EDUCACIÓN AMBIENTAL Y FORMACIÓN ECOLÓGICA</t>
  </si>
  <si>
    <t>REALIZACIÓN DE ESTUDIOS DE INVESTIGACIÓN AMBIENTALES EN LA REGIÓN SURCOLOMBIANA</t>
  </si>
  <si>
    <t>REVISIÓN DEL CUMPLIMIENTO DE NORMAS AMBIENTALES PARA LA USCO</t>
  </si>
  <si>
    <t>TASA DE COBERTURA EN ATENCION A PERSONAS EN SITUACIONES CRÓTICAS</t>
  </si>
  <si>
    <t>PORCENTAJE DEL DISEÓO E IMPLEMENTACIÓN DEL PROYECTO</t>
  </si>
  <si>
    <t>NÚMERO DE JÓVENES INVESTIGADORES EN USCO</t>
  </si>
  <si>
    <t>NÚMERO DE LIBROS PUBLICADOS, NÚMERO DE ARTÓCULOS EN REVISTAS INDEXADAS Y NÚMERO DE REVISTAS USCO INDEXADAS</t>
  </si>
  <si>
    <t>NÚMERO DE CONVENIOS EN OPERACIÓN</t>
  </si>
  <si>
    <t>NÚMERO DE FACULTADES CON ADSCRIPCIÓN/READSCRIPCIÓN DE DOCENTES</t>
  </si>
  <si>
    <t>NORMATIVIDAD ACTUALIZADA Y REESTRUCTURACIÓN ACADÓMICO - ADMINISTRATIVA</t>
  </si>
  <si>
    <t>CREACIÓN Y CONSOLIDACIÓN DE UN SISTEMA DE MEDIOS DE COMUNICACIÓN INSTITUCIONAL</t>
  </si>
  <si>
    <t>UN SISTEMA DE GESTIÓN AMBIENTAL IMPLEMENTADO</t>
  </si>
  <si>
    <t>NÚMERO DE PROGRAMAS CON CRITERIOS DE GESTIÓN AMBIENTAL</t>
  </si>
  <si>
    <t>UN CÓDIGO DE BUEN GOBIERNO Y UN CÓDIGO DE ÉTICA REVISADOS E IMPLEMENTADOS</t>
  </si>
  <si>
    <t>NÚMERO DE PROCESOS EJECUTADOS DENTRO DE LOS LÍMITES AMBIENTALES</t>
  </si>
  <si>
    <t>CÓDIGOS DE ÉTICA Y BUEN GOBIERNO</t>
  </si>
  <si>
    <t>PERÍODICOS INSTITUCIONALES</t>
  </si>
  <si>
    <t>PROGRAMA</t>
  </si>
  <si>
    <t>PROYECTO TECHO</t>
  </si>
  <si>
    <t>IND-PY-212-2</t>
  </si>
  <si>
    <t>IND-PY-212-3</t>
  </si>
  <si>
    <t>NÚMERO DE CONVENIOS INTERINSTITUCIONALES</t>
  </si>
  <si>
    <t>NÚMERO DE GRUPOS DE PROYECCIÓN SOCIAL</t>
  </si>
  <si>
    <t>IND-PY-322-3</t>
  </si>
  <si>
    <t>CONSOLIDACIÓN DE GRUPOS DE PROYECCIÓN SOCIAL DE LA USCO (INCORPORAR SERVICIO SOCIAL AL CURRÍCULO)</t>
  </si>
  <si>
    <t>NUEVOS PROGRAMAS ACADÉMICOS</t>
  </si>
  <si>
    <t>NUEVOS PROYECTOS ACADÉMICOS (INCLUÍDOS LOS TÉCNICOS Y TECNOLÓGICOS - ARTICULACIÓN CON EDUCACIÓN MEDIA)</t>
  </si>
  <si>
    <t>CREACIÓN DE CICLOS BÁSICOS Y PROPEDÉUTICOS</t>
  </si>
  <si>
    <t>NÚMERO DE  PROGRAMAS ACADÉMICOS OFRECIDOS POR USCO</t>
  </si>
  <si>
    <t>NÚMERO DE PROGRAMAS TECNOLÓGICOS ARTICULADOS</t>
  </si>
  <si>
    <t>FACULTAD DE ECONOMÍA Y ADMINISTRACIÓN</t>
  </si>
  <si>
    <t>CONSTRUCCIONES DE PLANTA FÍSICA</t>
  </si>
  <si>
    <t>MANTENIMIENTO DE PLANTA FÍSICA</t>
  </si>
  <si>
    <t>INCORPORACIÓN DE LA CULTURA DEL EMPRENDIMIENTO A LA ESTRUCTURA ACADÉMICA DE LA USCO</t>
  </si>
  <si>
    <t>IMPLEMENTACIÓN DE PROGRAMAS ACADÉMICOS CON DOBLE TITULACIÓN</t>
  </si>
  <si>
    <t>CONVENIOS CON UNIVERSIDADES DEL PAÍS O DEL EXTERIOR PARA INTERCAMBIO DE DOCENTES Y ESTUDIANTES</t>
  </si>
  <si>
    <t>CONSTRUCCIÓN, ADECUACIÓN Y MANTENIMIENTO PLANTA FÍSICA</t>
  </si>
  <si>
    <t>ADQUISICIÓN Y MANTENIMIENTO EQUIPOS EDUCATIVOS</t>
  </si>
  <si>
    <t>CAPACITACIÓN PERSONAL DOCENTE Y ADMINISTRATIVO</t>
  </si>
  <si>
    <t>PLANEACIÓN</t>
  </si>
  <si>
    <t>EXTENSIÓN</t>
  </si>
  <si>
    <t>BIENESTAR UNIVERSITARIO</t>
  </si>
  <si>
    <t>TOTAL PRESUPUESTO DE INVERSIÓN</t>
  </si>
  <si>
    <t>TOTAL PLAN OPERATIVO ANUAL DE INVERSIONES Y PLAN DE ACCIÓN 2010</t>
  </si>
  <si>
    <t>NACIÓN</t>
  </si>
  <si>
    <t>EST. DEPTO.</t>
  </si>
  <si>
    <t>EST.  NEIVA</t>
  </si>
  <si>
    <t>EST. GARZÓN</t>
  </si>
  <si>
    <t>EST. LA PLATA</t>
  </si>
  <si>
    <t>EST. PITALITO</t>
  </si>
  <si>
    <t>CONVENIOS</t>
  </si>
  <si>
    <t>IVA</t>
  </si>
  <si>
    <t>FTO. BTAR.</t>
  </si>
  <si>
    <t>EXCED. FAC.</t>
  </si>
  <si>
    <t>SIN RECURSOS</t>
  </si>
  <si>
    <t>DERECHO</t>
  </si>
  <si>
    <t>SALUD</t>
  </si>
  <si>
    <t>INGENIERÍA</t>
  </si>
  <si>
    <t>EDUCACIÓN</t>
  </si>
  <si>
    <t>CAPACITACIÓN PERSONAL ADMINISTRATIVO</t>
  </si>
  <si>
    <t>RETENCIÓN DE ESTUDIANTES</t>
  </si>
  <si>
    <t>VINCULACIÓN DE ESTUDIANTES EN PROCESOS INSTITUCIONALES</t>
  </si>
  <si>
    <t>PRESTACIÓN DE SERVICIO MÉDICO A ESTUDIANTES</t>
  </si>
  <si>
    <t>PRESTACIÓN SERVICIO ODONTOLÓGICO A ESTUDIANTES</t>
  </si>
  <si>
    <t>PRESTACIÓN SERVICIO SICOLOGICO</t>
  </si>
  <si>
    <t>PRESTACIÓN SERVICIO DE RESTAURANTE A LOS ESTUDIANTES</t>
  </si>
  <si>
    <t>PREVENCIÓN Y RESOLUCIÓN DE CONFLICTOS</t>
  </si>
  <si>
    <t>RECURSOS ASIGNADOS</t>
  </si>
  <si>
    <t>EXCEDENTES FACULTADES</t>
  </si>
  <si>
    <t>ECONOMIÍA</t>
  </si>
  <si>
    <t>SOCIALES</t>
  </si>
  <si>
    <t>CIENCIAS</t>
  </si>
  <si>
    <t>PLAN INDICATIVO PLAN DE DESARROLLO 2009 -2012</t>
  </si>
  <si>
    <t>PLAN DE ACCIÓN 2010</t>
  </si>
  <si>
    <t>CONSTRUCCIÓN ADECUACIÓN Y MANTENIMIENTO DE INFRAESTRUCTURA FÍSICA (PLANTA FÓÂSICA TODAS LAS SEDES)</t>
  </si>
  <si>
    <t>ACT-PY-421-3-22</t>
  </si>
  <si>
    <t>LABORATORIOS CIENCIAS BÁSICAS</t>
  </si>
  <si>
    <t>NUMERO DE EQUIPOS DE SISTEMAS Y REDES ADQUIRIDOS Y MANTENIDOS</t>
  </si>
  <si>
    <t>PREPARACIÓN DE ESTUDIANTES EN PRUEBAS ECAES</t>
  </si>
  <si>
    <t>NÚMERO DE ESTUDIANTES CAPACITADOS EN PRUEBAS ECAES</t>
  </si>
  <si>
    <t>RECURSOS PROPIOS</t>
  </si>
  <si>
    <t>RESPONSABLE</t>
  </si>
  <si>
    <t>RECTOR</t>
  </si>
  <si>
    <t>DECANO FCSH</t>
  </si>
  <si>
    <t>VIPS</t>
  </si>
  <si>
    <t>DIRECTOR CURRÍCULO</t>
  </si>
  <si>
    <t>DIRECTORA PROYECCIÓN SOCIAL</t>
  </si>
  <si>
    <t>VICE ACAD</t>
  </si>
  <si>
    <t>DIRECTORA PROY. SOCIAL</t>
  </si>
  <si>
    <t>DECANO</t>
  </si>
  <si>
    <t>DIRECTORA INVESTIGACIONES</t>
  </si>
  <si>
    <t>DIR. INVESTIG.</t>
  </si>
  <si>
    <t>ORNI</t>
  </si>
  <si>
    <t>JEFE OF. PLANEACIÓN</t>
  </si>
  <si>
    <t>DIRECTORA DE SEDES</t>
  </si>
  <si>
    <t>VICE ADMTVO</t>
  </si>
  <si>
    <t>DEC. EDUC</t>
  </si>
  <si>
    <t>DEC. ING.</t>
  </si>
  <si>
    <t>DEC. CIEN</t>
  </si>
  <si>
    <t>DEC. SALUD</t>
  </si>
  <si>
    <t>DEC. FCSH</t>
  </si>
  <si>
    <t>DEC. FEA</t>
  </si>
  <si>
    <t>DEC. DER.</t>
  </si>
  <si>
    <t>DIR. BIBLIOT</t>
  </si>
  <si>
    <t>DIR. CURRÍCULO</t>
  </si>
  <si>
    <t>CUALIFICACIÓN DEL TALENTO HUMANO DOCENTE Y ADMINISTRATIVO</t>
  </si>
  <si>
    <t>FORMACIÓN Y CAPACITACIÓN AL PERSONAL ADMINISTRATIVO Y OPERATIVO</t>
  </si>
  <si>
    <t>JEFE BIENESTAR UNIVERSITARIO</t>
  </si>
  <si>
    <t>DIRECTORA PROY SOC</t>
  </si>
  <si>
    <t>DIRECTORA CTIC</t>
  </si>
  <si>
    <t>DEC CIEN</t>
  </si>
  <si>
    <t>DIR. SEDES</t>
  </si>
  <si>
    <t>DEC ING</t>
  </si>
  <si>
    <t>DEC FCSH</t>
  </si>
  <si>
    <t>DIR SEDES</t>
  </si>
  <si>
    <t>DEC EDUCA</t>
  </si>
  <si>
    <t>DEC DER</t>
  </si>
  <si>
    <t>DEC FEA</t>
  </si>
  <si>
    <t>DEC SALUD</t>
  </si>
  <si>
    <t>INCORPORACIÓN DE TEMAS AMBIENTALES EN LOS PROGRAMAS ACADÉMICOS</t>
  </si>
  <si>
    <t>NÚMERO DE FUNCIONARIOS ADMINISTRATIVOS FORMADOS Y CAPACITADOS</t>
  </si>
  <si>
    <t>BIENESTAR UNIVERSITARIO; TODOS SOMOS USCO (APOYO SOCIOECONÓMICO A ESTUDIANTES)</t>
  </si>
  <si>
    <t>PROPUESTA FACULTAD DE EDUCACIÓN</t>
  </si>
  <si>
    <t>Encuentro Egresados. Conferencistas nales. E internales, socialización página egresados, actualización página, evento, reconocimientos, detalle de conmemoración</t>
  </si>
  <si>
    <t>Apoyo a proyectos solidarios de la Facultad</t>
  </si>
  <si>
    <t>Educación física y lengua extranjera</t>
  </si>
  <si>
    <t>Apoyo acreditación (artística y ciencias naturales) y elaboración plan educativo de la Facultad</t>
  </si>
  <si>
    <t>Estudios y diseños curriculares para un programa en cada sede</t>
  </si>
  <si>
    <t>Apoyo asistencia a eventos internacionales</t>
  </si>
  <si>
    <t>Ciencia Sociales, Maestría Enseñanza del Ingles, Maestría en Educación Física, nuevos programa con metodología a distancia</t>
  </si>
  <si>
    <t>Apoyar grupos de la facultad, continuar líneas de investigación</t>
  </si>
  <si>
    <t>Apoyo jóvenes investigadores de la Facultad</t>
  </si>
  <si>
    <t>Apoyo proyectos de investigación de los grupos de la Facultad</t>
  </si>
  <si>
    <t xml:space="preserve">Convenios </t>
  </si>
  <si>
    <t>SALDOS POR FUENTES DE FINANCIACIÓN</t>
  </si>
  <si>
    <t>RECURSOS EJECUTADOS</t>
  </si>
  <si>
    <t>RECURSOS POR EJECUTAR</t>
  </si>
  <si>
    <r>
      <t xml:space="preserve">EJECUCIÓN  EN RP POR FUENTES DE FINANCIACIÓN </t>
    </r>
    <r>
      <rPr>
        <b/>
        <sz val="13.5"/>
        <color rgb="FFFF0000"/>
        <rFont val="Calibri"/>
        <family val="2"/>
        <scheme val="minor"/>
      </rPr>
      <t>(OBLIGACIONES CONTRAÍDAS)</t>
    </r>
  </si>
  <si>
    <t>CDP</t>
  </si>
  <si>
    <t>TOTAL ESTRATEGIA 1: GOBERNABILIDAD</t>
  </si>
  <si>
    <t>TOTAL ESTRATEGIA 2: PROYECCIÓN SOCIAL</t>
  </si>
  <si>
    <t>TOTAL ESTRATEGIA 3: FORMACIÓN E INVESTIGACIÓN</t>
  </si>
  <si>
    <t>TOTAL ESTRATEGIA 4: DESARROLLO ADMINISTRATIVO, FINANCIERO Y DE INFRAESTRUCTURA FISICA</t>
  </si>
  <si>
    <t>TOTAL ESTRATEGIA 5: SOSTENIBILIDAD AMBIENTAL</t>
  </si>
  <si>
    <t>TOTAL ESTRATEGIA 6: DESARROLLO HUMANO (TRANSVERSAL)</t>
  </si>
  <si>
    <t>TOTAL ESTRATEGIA 7: DESARROLLO TECNOLOGICO (TRANSVERSAL)</t>
  </si>
  <si>
    <t>ACT-PY-421-3-23</t>
  </si>
  <si>
    <t>LABORATORIOS PSICOLOGÍA</t>
  </si>
  <si>
    <t>PROYECTO COSTO
2009</t>
  </si>
  <si>
    <t>PROYECTO COSTO
2010</t>
  </si>
  <si>
    <t>ENCUENTRO ANUAL DE EGRESADOS</t>
  </si>
  <si>
    <t>ACT-PY-212-4</t>
  </si>
  <si>
    <t>TOTAL RECURSOS ASIGNADOS</t>
  </si>
  <si>
    <t>INDICADORES - METAS
2009</t>
  </si>
  <si>
    <t>INDICADORES - METAS
2010</t>
  </si>
  <si>
    <t>EJECUCIÓN</t>
  </si>
  <si>
    <t>METAS</t>
  </si>
  <si>
    <t>ACT-PY-333-4</t>
  </si>
  <si>
    <t>PUBLICAR 13 LIBROS EN DESARROLLO DE LA EDITORIAL DE LA UNIVERSIDAD</t>
  </si>
  <si>
    <t>FUENTES DE FINANCIACIÓN</t>
  </si>
  <si>
    <t>DIRECTORA DE PROYECCIÓN SOCIAL</t>
  </si>
  <si>
    <t>PLAN DE ACCIÓN 2009</t>
  </si>
  <si>
    <t>PLAN INDICATIVO 2009</t>
  </si>
  <si>
    <t>PLAN INDICATIVO 2010</t>
  </si>
  <si>
    <t>AJUSTE</t>
  </si>
  <si>
    <t>NUEVOS TOTALES DESPUES DE AJUSTE</t>
  </si>
  <si>
    <t>21 PROGRAMAS ACOMPAÑADOS</t>
  </si>
  <si>
    <t>Conformación de dos (2)  asociaciones de egresados</t>
  </si>
  <si>
    <t>7 PROGRAMAS ACOMPAÑADOS</t>
  </si>
  <si>
    <t>1 DOCTOR</t>
  </si>
  <si>
    <t>1 MAGISTER
1 DOCTOR</t>
  </si>
  <si>
    <t>2 MAGISTER
2 ESPECIAL.</t>
  </si>
  <si>
    <t>6 MAGISTER
4 DOCTORES</t>
  </si>
  <si>
    <t>NÚMERO DE LIBROS PUBLICADOS, NÚMERO DE ARTÍCULOS EN REVISTAS INDEXADAS Y NÚMERO DE REVISTAS USCO INDEXADAS</t>
  </si>
  <si>
    <t>0 ??</t>
  </si>
  <si>
    <t>7 NUEVOS GRUPOS PARA UN TOTAL DE 27</t>
  </si>
  <si>
    <t>3 NUEVOS PARA UN TOTAL DE 19</t>
  </si>
  <si>
    <t>7 NUEVOS PARA UN TOTAL DE 34</t>
  </si>
  <si>
    <t>27 PROYECTOS MÁS PARA UN TOTAL DE 74</t>
  </si>
  <si>
    <t>3 QUE SE MANTIENEN NO SE INCREMENTARON</t>
  </si>
  <si>
    <t>18 NUEVOS PARA UN TOTAL DE 23</t>
  </si>
  <si>
    <t>9 NUEVOS PARA UN TOTAL DE 36</t>
  </si>
  <si>
    <t>TOTAL 19</t>
  </si>
  <si>
    <t>MANTENER EN 34 LOS SEMILLEROS</t>
  </si>
  <si>
    <t>8 CONVENIOS Y OPEERARON</t>
  </si>
  <si>
    <t>SISTEMA DE GESTIÓN IMPLEMENTADO</t>
  </si>
  <si>
    <t>LABORATAORIOS DE EDUCACIÓN</t>
  </si>
  <si>
    <t>LABORATORIOS DE INGENIERÍA</t>
  </si>
  <si>
    <t>3.660 M2 CONST</t>
  </si>
  <si>
    <t>250 M2 ADECUA</t>
  </si>
  <si>
    <t>12.500 M2 MANTE</t>
  </si>
  <si>
    <t>2.350 M2 CONST</t>
  </si>
  <si>
    <t>350 M2 ADECUA</t>
  </si>
  <si>
    <t>5 AULAS
5 OFIC</t>
  </si>
  <si>
    <t>10 AULAS
10 OFIC</t>
  </si>
  <si>
    <t>14 LAB DOTADOS Y MANTENIDOS</t>
  </si>
  <si>
    <t>2 LAB. CONST.
Y
14 LAB. DOTADOS Y MANTENIDOS</t>
  </si>
  <si>
    <t>TASA DE COBERTURA EN ATENCION A PERSONAS EN SITUACIONES CRÍTICAS</t>
  </si>
  <si>
    <t>CLIMA ORGANIZACIONAL</t>
  </si>
  <si>
    <t>CREACIÓN DE UN SISTEMA ÚNICO DE INFORMACIÓN INTEGRAL</t>
  </si>
  <si>
    <t>PORCENTAJE DEL DISEÑO E IMPLEMENTACIÓN DEL PROYECTO</t>
  </si>
  <si>
    <t>PLAN INDICATIVO 2011</t>
  </si>
  <si>
    <t>PLAN INDICATIVO 2012</t>
  </si>
  <si>
    <t>PLAN INDICATIVO TOTAL</t>
  </si>
  <si>
    <t>PLAN DE ACCIÓN ACUMULADO</t>
  </si>
  <si>
    <t xml:space="preserve">ITEM </t>
  </si>
  <si>
    <t>AREA ESTRATÉGICA</t>
  </si>
  <si>
    <t>OBJETIVO ESTRATÉGICO</t>
  </si>
  <si>
    <t>META(S) DE RESULTADO</t>
  </si>
  <si>
    <t>LINEA BASE (DIC.31/08)</t>
  </si>
  <si>
    <t>INDICADOR DE RESULTADO(VALOR ESPERADO A DIC.31/2012</t>
  </si>
  <si>
    <t>META(S) DE PRODUCTO</t>
  </si>
  <si>
    <t>LINEA BASE(DIC,31/08)</t>
  </si>
  <si>
    <t>INDICADOR DE PRODUCTO Y VALOR ESPERADO A DIC. 31 2012</t>
  </si>
  <si>
    <t>AVANCES EN METAS DE PRODUCTO</t>
  </si>
  <si>
    <t>RECURSOS  EN MILLS DE $</t>
  </si>
  <si>
    <t>ASEGURAR LA ESTABILIDAD INSTITUCIONAL EN EL LARGO PLAZO</t>
  </si>
  <si>
    <t xml:space="preserve">RECTORÍA </t>
  </si>
  <si>
    <t>UNA (1) ACREDITACIÓN INSTITUCIONAL DE ALTA CALIDAD OTORGADA POR CNA</t>
  </si>
  <si>
    <t>0 ACREDITACIÓN INSTITUCIONAL DE ALTA CALIDAD</t>
  </si>
  <si>
    <t>1 ACREDITACIÓN INSTITUCIONAL DE ALTA CALIDAD AL 2012</t>
  </si>
  <si>
    <t>REVISIÓN 100% DE LA NORMATIVIDAD VIGENTE Y REESTRUCTURACIÓN ACADÉMICO - ADMINISTRATIVA</t>
  </si>
  <si>
    <t>NORMATIVIDAD ACTUALIZADA Y REESTRUCTURACIÓN ACADÉMICO - ADMINISTRATIVA</t>
  </si>
  <si>
    <t>PONER EN VIGENCIA UN(1) CÓDIGO DE BUEN GOBIERNO</t>
  </si>
  <si>
    <t xml:space="preserve">CONSOLIDACIÓN DE LA CULTURA DE LA COMUNICACIÓN (VER METAS EN TRANSVERSALIDAD 1) </t>
  </si>
  <si>
    <t>INCORPORAR EL SERVICIO SOCIAL EN 20 PROGRAMAS USCO</t>
  </si>
  <si>
    <t>NÚMERO DE  PROGRAMAS REFORMADOS</t>
  </si>
  <si>
    <t>GARANTIZAR LA PERTENENCIA SOCIAL Y LA PERTINENCIA CURRICULAR CON ALTOS NIVELES DE EXCELENCIA ACADÉMICA Y CALIDAD INVESTIGATIVA</t>
  </si>
  <si>
    <t>ACREDITACIÓN Y REACREDITACIÓN DE PROGRAMAS DE FORMACIÓN DE PREGRADO Y POSTGRADO</t>
  </si>
  <si>
    <t xml:space="preserve">VICERRECTORÍA ACADÉMICA </t>
  </si>
  <si>
    <t>10 PROGRAMAS DE POSTGRADOS AUTOEVALUADOS</t>
  </si>
  <si>
    <t>NÚMERO PROGRAMAS  POSTGRADOS AUTOEVALUADOS</t>
  </si>
  <si>
    <t>6 PROGRAMAS PREGRADO REACREDITADOS</t>
  </si>
  <si>
    <t xml:space="preserve">UNA (1) ACREDITACIÓN INSTITUCIONAL DE ALTA CALIDAD OTORGADA POR CNA /                                      AMPLIACIÓN DE  LA TASA DE ABSORCIÓN USCO AL 20%    </t>
  </si>
  <si>
    <t xml:space="preserve">0 ACREDITACIÓN INSTITUCIONAL DE ALTA CALIDAD/            TASA DE ABSORCIÓN DE EDUSUPERIOR USCO: 16.6%        </t>
  </si>
  <si>
    <t xml:space="preserve">1 ACREDITACIÓN INSTITUCIONAL DE ALTA CALIDAD AL 2012/                  TASA DE ABSORCIÓN EDUSUPERIOR USCO: 20% AL 2012         </t>
  </si>
  <si>
    <t>7 FACULTADES CON DOCENTES ADSCRITOS Y READSCRITOS (PLANTA GLOBAL)</t>
  </si>
  <si>
    <t>VICERRECTORÍA DE INVESTIGACIONES Y PROYECCIÓN SOCIAL</t>
  </si>
  <si>
    <t>IDEM</t>
  </si>
  <si>
    <t>FORMACIÓN DE 15 DOCENTES A NIVEL MAESTRÍA, 10 DOCTORES, 4 POSTDOCTORADOS ADICIONALES</t>
  </si>
  <si>
    <t>160 MAGISTER, 22 DOCTORES, 0 POSTDOCTORADOS</t>
  </si>
  <si>
    <t>2 maestrìas 8 doctorados, 1 posdoctorado</t>
  </si>
  <si>
    <t>AUMENTAR A 25 LOS GRUPOS DE INVESTIGACIÓN RECONOCIDOS POR COLCIENCIAS</t>
  </si>
  <si>
    <t>20 GRUPOS DE INVESTIGACIÓN</t>
  </si>
  <si>
    <t>AUMENTAR A 20 LOS JÓVENES INVESTIGADORES</t>
  </si>
  <si>
    <t>16 JÓVENES INVESTIGADORES</t>
  </si>
  <si>
    <t>AMPLIAR A 34 LOS SEMILLEROS DE INVESTIGACIÓN</t>
  </si>
  <si>
    <t>27 SEMILLEROS DE INVESTIGACIÓN</t>
  </si>
  <si>
    <t>47  PROYECTOS HASTA 2008</t>
  </si>
  <si>
    <t>INCREMENTAR EN 5 LOS CONVENIOS/ALIANZAS PARA LA INVESTIGACIÓN</t>
  </si>
  <si>
    <t>5 CONVENIOS VIGENTES</t>
  </si>
  <si>
    <t>5 LIBROS, 12 ARTÍCULOS EN REVISTAS INDEXADAS Y 0 REVISTAS USCO INDEXADAS</t>
  </si>
  <si>
    <t>NÚMERO DE LIBROS PUBLICADOS,         NÚMERO DE ARTÍCULOS EN REVISTAS INDEXADAS Y NÚMERO DE REVISTAS USCO INDEXADAS</t>
  </si>
  <si>
    <t>7 libros, 14 artìculos, 0 revistas indexadas</t>
  </si>
  <si>
    <t>0 PATENTES O REGISTROS DE MARCA</t>
  </si>
  <si>
    <t>CREAR UN(1) CENTRO DE INVESTIGACIÓN (RED) EN LA USCO</t>
  </si>
  <si>
    <t>0 CENTROS DE INVESTIGACIÓN DE EXCELENCIA</t>
  </si>
  <si>
    <t>AMPLIAR A 4 LAS MEMBRESÍAS A REDES DE INVESTIGACIÓN</t>
  </si>
  <si>
    <t>3 MEMBRESÍAS A REDES DE INVESTIGAC.</t>
  </si>
  <si>
    <t>NÚMERO DE MEBRESÍAS A REDES DE INVESTIGACIÓN</t>
  </si>
  <si>
    <t xml:space="preserve">DESARROLLO ADMINISATRATIVO, FINANCIERO Y DE INFRAESTRUCTURA FÌSICA  </t>
  </si>
  <si>
    <t>PROMOVER Y REALIZAR LOS CAMBIOS Y TRANSFORMACIONES NECESARIOS PARA GARANTIZAR LA IMPLEMENTACION DE UN SISTEMA INTEGRAL DE GESTION, LA OPERATIVIDAD DE LOS PROCESOS DE APOYO ADMINISTRATIVO Y FINANCIERO Y LA DOTACION DE UNA INFRAESTRUCTURA FISICA ADECUADA EN TODAS LAS SEDES DE LA UNIVERSIDAD PARA APALANCAR EL CRECIMIENTO Y LA ACREDITACION DE LA UNIVERSIDAD SURCOLOMBIANA.</t>
  </si>
  <si>
    <t>DESARROLLO Y CONSOLIDACION DE LA CULTURA DE GESTION INTEGRAL</t>
  </si>
  <si>
    <t>VICERRECTORÍA ADMINISTRATIVA</t>
  </si>
  <si>
    <t>AMPLIACIÓN LA TASA DE ABSORCIÓN USCO AL 20%</t>
  </si>
  <si>
    <t>TASA DE COBERTURA DE EDUCACIÒN SUPERIOR (HUILA Y LA USCO)</t>
  </si>
  <si>
    <t>IMPLEMENTAR UN SISTEMA DE GESTIÒN INTEGRAL DE ACUERDO CON NORMATIVIDAD ISO</t>
  </si>
  <si>
    <t>SISTEMA DE GESTIÒN IMPLEMENTADO</t>
  </si>
  <si>
    <t>1 SISTEMA IMPLEMENTADO</t>
  </si>
  <si>
    <t>85% DE ACEPTACIÓN DE LA GESTIÒN EN LA COMUNIDAD UNIVERSITARIA</t>
  </si>
  <si>
    <t xml:space="preserve">NIVEL DE ACEPTACIÓN DE LA GESTIÓN ANUAL </t>
  </si>
  <si>
    <t>MODERNIZACIÒN DE LA INFRAESTRTUCTURA FÌSICA</t>
  </si>
  <si>
    <t>RECTORIA-VICERRECTORÍA ADMINISTRATIVA</t>
  </si>
  <si>
    <t xml:space="preserve">9210M2 CONSTRUIDOS, 1.000M2 ADECUADOS, 12.500M2 MANTENIDOS, 130AULAS  DOTADAS, 130 OFICINAS DOTADAS, ESCRITURAS DEL NUEVO CAMPUS Y SU DISEÑO, 2 LABORATORIOS CONSTRUIDOS, Y 16 MANTENIDOS Y DOTADOS POR AÑO  </t>
  </si>
  <si>
    <t xml:space="preserve">9210 NUEVOS M2 CONSTRUIDOS, 1.000 ADECUADOS Y 12.500 (Incluye estudios, diseños e interventorías) MANTENIDOS EN TODAS LAS SEDES </t>
  </si>
  <si>
    <t>3660 CONSTRUIDOS- 250 ADECUADOS-Y 12.500 MANTENIDOS</t>
  </si>
  <si>
    <t>2350 CONSTRUIDOS- 350 ADECUADOS-Y 12.500 MANTENIDOS</t>
  </si>
  <si>
    <t>2200 CONSTRUIDOS- 200 ADECUADOS-Y 12.500 MANTENIDOS</t>
  </si>
  <si>
    <t>1000 CONSTRUIDOS- 200 ADECUADOS-Y 12.500 MANTENIDOS</t>
  </si>
  <si>
    <t xml:space="preserve">DOTAR 130 AULAS Y 130 OFICINAS PARA DOCENTES Y ADMINISTRATIVOS </t>
  </si>
  <si>
    <t>92 AULAS Y 92 OFICINAS</t>
  </si>
  <si>
    <t>NÙMERO DE AULAS Y OFICINAS DOTADAS</t>
  </si>
  <si>
    <t xml:space="preserve">20 AULAS Y 20 OFICINAS </t>
  </si>
  <si>
    <t xml:space="preserve">50  AULAS Y 50 OFICINAS </t>
  </si>
  <si>
    <t xml:space="preserve">30 AULAS Y 30 OFICINAS </t>
  </si>
  <si>
    <t>DISEÑO DE UN NUEVO CAMPUS</t>
  </si>
  <si>
    <t>CONSTRUCCIÒN DE 2 LABORATORIOS PARA INVESTIGACIÒN Y MANTENIMIENTO Y DOTACIÒN DE EQUIPOS DE 16 LABORATORIOS DE DOCENCIA E INVESTIGACIÒN</t>
  </si>
  <si>
    <t>62 LABORATORIOS Y TALLERES</t>
  </si>
  <si>
    <t xml:space="preserve">NÙMERO DE LABORATORIOS CONSTRUIDOS, DOTADOS Y MANTENIDOS </t>
  </si>
  <si>
    <t>14 LABORATORIOS DOTADOS Y MANTENIDOS</t>
  </si>
  <si>
    <t>2 LABORATORIOS CONSTRUIDOS Y 14 DOTADOS Y MANTENIDOS</t>
  </si>
  <si>
    <t>16 LABORATORIOS DOTADOS Y MANTENIDOS</t>
  </si>
  <si>
    <t>GARANTIZAR QUE TODAS LAS ACTUACIONES AL INTERIOR DE LA UNIVERSIDAD Y LAS PROMOVIDAS POR ESTA, SE ENMARQUEN EN EL CUMPLIMIENTO DE LAS NORMAS DE GESTIÒN AMBIENTAL</t>
  </si>
  <si>
    <t>DIVULGACIÒN Y APROPIACIÒN DE LA NORMATIVIDAD AMBIENTAL</t>
  </si>
  <si>
    <t>DIVULGACIÒN Y CUMPLIMIENTO DE LA NORMA</t>
  </si>
  <si>
    <t>IMPLEMENTAR UN SISTEMA DE GESTIÒN AMBIENTAL</t>
  </si>
  <si>
    <t xml:space="preserve">1 SISTEMA (SGA) APROBADO </t>
  </si>
  <si>
    <t>UN SISTEMA DE GESTIÒN AMBIENTAL IMPLEMENTADO</t>
  </si>
  <si>
    <t>100% DE LOS PROCESOS EJECUTADOS DENTRO DE LO LÌMITES AMBIENTALES</t>
  </si>
  <si>
    <t>NÙMERO DE PROCESOS EJECUTADOS DENTRO DE LOS LÌMITES AMBIENTALES</t>
  </si>
  <si>
    <t>INCORPORAR LOS TEMAS AMBIENTALES EN EL 100% DE LOS PROGRAMAS ACADÈMICOS DE LA USCO</t>
  </si>
  <si>
    <t xml:space="preserve">1 PROGRAMA </t>
  </si>
  <si>
    <t>NÙMERO DE PROGRAMAS CON CRITERIOS DE GESTIÒN AMBIENTAL</t>
  </si>
  <si>
    <t>TRANSVERSALIDAD 1. DESARROLLO HUMANO</t>
  </si>
  <si>
    <t>RECONOCER QUE LAS ENTIDADES SON GRUPOS DE PERSONAS ORIENTADAS AL CUMPLIMIENTO DE UN OBJETIVO COMÙN,</t>
  </si>
  <si>
    <t>CUALIFICACIÒN DEL TALENTO HUMANO DOCENTE Y ADMINISTRATIVO</t>
  </si>
  <si>
    <t xml:space="preserve">VICERRECTORÍAS ACADÉMICA Y  ADMINISTRATIVA </t>
  </si>
  <si>
    <t xml:space="preserve">0 ACREDITACIÓN INSTITUCIONAL DE ALTA CALIDAD            </t>
  </si>
  <si>
    <t xml:space="preserve">1 ACREDITACIÓN INSTITUCIONAL DE ALTA CALIDAD AL 2012                  </t>
  </si>
  <si>
    <t xml:space="preserve">IMPLEMENTAR UN PLAN DE FORMACIÒN Y CAPACITACIÒN PARA 200 FUNCIONARIOS  ADMINISTRATIVO  </t>
  </si>
  <si>
    <t>NÙMERO DE FUNCIONARIOS ADMINISTRATIVOS FORMADOS Y CAPACITADOS</t>
  </si>
  <si>
    <t>VICERRECTORIA ADMINISTRATIVA</t>
  </si>
  <si>
    <t xml:space="preserve">AUMENTAR LA TASA DE ABSORCIÓN DE LA USCO EN EDUCACION SUPERIOR AL 20% /       ALCANZAR UNA EDUCACION INSTITUCIONAL DE LATA CALIDAD OTORGADA POR EL C.N.A. </t>
  </si>
  <si>
    <t xml:space="preserve">0 ACREDITACIÓN INSTITUCIONAL DE ALTA CALIDAD            TASA DE ABSORCIÓN DE EDUSUPERIOR USCO: 16.6%        </t>
  </si>
  <si>
    <t xml:space="preserve">1 ACREDITACIÓN INSTITUCIONAL DE ALTA CALIDAD AL 2012                  TASA DE ABSORCIÓN EDUSUPERIOR USCO:20% AL 2012         </t>
  </si>
  <si>
    <t>AUMENTAR LA ATENCION MEDICA AL 85% DE ESTUDIANTES  PYP</t>
  </si>
  <si>
    <t>TASA DE COBERTURA DE ATENCION MÈDICA</t>
  </si>
  <si>
    <t xml:space="preserve">AUMENTAR SERVICIO ODONTOLÒGICO AL 60% DE ESTUDIANTES </t>
  </si>
  <si>
    <t>TASA DE COBERTURA DE ATENCION ODONTOLÒGICA</t>
  </si>
  <si>
    <t>AUMENTAR EL SERVICIO DE ATENCIÓN SICOLÒGICA AL 50% DEL PERSONAL</t>
  </si>
  <si>
    <t xml:space="preserve">TASA DE COBERTURA DE ATENCIÒN SICOLOGICA </t>
  </si>
  <si>
    <t>APOYAR A 1000 ESTUDIANTES CON SERVICIO DE ALIMENTACIÒN</t>
  </si>
  <si>
    <t>NÚMERO DE ESTUDIANTES BENEFICIADOS CON ATENCIÒN ALIMENTARIA</t>
  </si>
  <si>
    <t>APOYO SOCIOECONÒMICO AL 15% DEL ESTUDIANTADO POR PARTICIPACIÓN EN PROCESOS INSTITUCIONALES</t>
  </si>
  <si>
    <t>ATENCION INTEGRAL AL 50% DE PERSONAS ENVUELTAS EN PROBLEMAS DE DROGADICCION, PROSTITUCIÒN Y ETV.</t>
  </si>
  <si>
    <t xml:space="preserve">TASA DE COBERTURA EN ATENCION A PERSONAS EN SITUACIONES CRÌTICAS </t>
  </si>
  <si>
    <t>REALIZAR 50 ACTIVIDADES AÑO DE BIENESTAR (RECREACIÒN, CULTURA DEPORTE FORMATIVAS Y ARTÌSTICAS</t>
  </si>
  <si>
    <t>NÙMERO DE ACTIVIDADES/AÑO DE BIENESTAR UNIVERSITARIO</t>
  </si>
  <si>
    <t xml:space="preserve">IMPLEMENTAR UN PLAN DE PREVENCIÒN Y RESOLUCIÒN DE CONFLICTOS EN UN 90% </t>
  </si>
  <si>
    <t xml:space="preserve">TASA DE RESOLUCIÓN DE CONFLICTOS. </t>
  </si>
  <si>
    <t xml:space="preserve">ELEVAR AL 60% LA TASA DE RETENCION </t>
  </si>
  <si>
    <t>TASA DE RETENCIÒN ESCOLAR SEMESTRAL</t>
  </si>
  <si>
    <t>TRANSVERSALIDAD 2. DESARROLLO TECNOLÒGICO</t>
  </si>
  <si>
    <t xml:space="preserve">PROMOVER EL DESARROLLO Y LA ACTUALIZACIÒN TECNOLÒGICA DE LA UNIVERSIDAD, PARTICULARMENTE DE LAS TIC. </t>
  </si>
  <si>
    <t>CREACIÒN DE UN SISTEMA ÙNICO DE INFORMACIÒN INTEGRAL</t>
  </si>
  <si>
    <t>1 ESTUDIO DEL PERFIL TECNOLÒGICO</t>
  </si>
  <si>
    <t>ESTUDIO IMPLEMENTADO</t>
  </si>
  <si>
    <t>IMPLEMENTAR UN SISTEMA DE INFORMACIÒN INTEGRAL</t>
  </si>
  <si>
    <t xml:space="preserve">PORCENTAJE DEL DISEÑO E IMPLEMENTACIÒN DEL SISTEMA </t>
  </si>
  <si>
    <t>INCORPORACIÒN DE DESARROLLO TECNOLÒGICOSA LOS PROCESOS PEDAGÒGICOS Y DE INVESTIGACIÒN DE LA USCO</t>
  </si>
  <si>
    <t>NÙMERO DE AULAS ADECUADAS Y DOTADAS</t>
  </si>
  <si>
    <t>PORCENTAJE DEL DISEÑO E IMPLEMENTACIÒN DEL PROYECTO</t>
  </si>
  <si>
    <t>LABORATORIO ADECUADO Y DOTADO</t>
  </si>
  <si>
    <t>NÙMERO DE EQUIPOS DE SISTEMAS Y REDES ADQUIRIDOS Y MANTENIDOS</t>
  </si>
  <si>
    <t>212-3</t>
  </si>
  <si>
    <t>212-2</t>
  </si>
  <si>
    <t>212-1</t>
  </si>
  <si>
    <t>322-2</t>
  </si>
  <si>
    <t>311-1</t>
  </si>
  <si>
    <t>311-2</t>
  </si>
  <si>
    <t>322-3</t>
  </si>
  <si>
    <t>322-1</t>
  </si>
  <si>
    <t>332-1</t>
  </si>
  <si>
    <t>332-2</t>
  </si>
  <si>
    <t>332-3</t>
  </si>
  <si>
    <t>334-2</t>
  </si>
  <si>
    <t>334-1</t>
  </si>
  <si>
    <t>421-1</t>
  </si>
  <si>
    <t>421-2</t>
  </si>
  <si>
    <t>421-3</t>
  </si>
  <si>
    <t>621-3</t>
  </si>
  <si>
    <t>621-4</t>
  </si>
  <si>
    <t>621-5</t>
  </si>
  <si>
    <t>621-6</t>
  </si>
  <si>
    <t>621-1</t>
  </si>
  <si>
    <t>623-1</t>
  </si>
  <si>
    <t>623-2
623-3</t>
  </si>
  <si>
    <t>621-2</t>
  </si>
  <si>
    <t>711-1</t>
  </si>
  <si>
    <t>711-2</t>
  </si>
  <si>
    <t>721-5</t>
  </si>
  <si>
    <t>CÓDIGOS PLAN DE ACCIÓN</t>
  </si>
  <si>
    <t>NÚMERO DE PROGRAMAS ACOMPAÑADOS EN PROCESOS DE SEGUIMIENTO A EGRESADOS</t>
  </si>
  <si>
    <t xml:space="preserve">NÚMERO DE LIBROS PUBLICADOS </t>
  </si>
  <si>
    <t>333-4</t>
  </si>
  <si>
    <t>FORTALECIMIENTO ORGANIZACIONAL DEL PROCESO DE PROYECCIÓN SOCIAL</t>
  </si>
  <si>
    <t>PROGRAMAS QUE CONFORMAN EL SUBSISTEMA DE PROYECCIÓN SOCIAL ORGANIZADOS Y DOTADOS</t>
  </si>
  <si>
    <t>212-4</t>
  </si>
  <si>
    <t>6 PRUEBAS DE LABORATORIO CERTIFICADAS</t>
  </si>
  <si>
    <t>NÚMERO DE PRUEBAS DE LABORATORIO CERITIFICADAS</t>
  </si>
  <si>
    <t>Definición del procedimiento para la certificación</t>
  </si>
  <si>
    <t>ARTICULAR 100 ESTUDIANTES DE LA EDUCACIÓN MEDIA CON LA EDUCACIÓN SUPERIOR</t>
  </si>
  <si>
    <t>Proyecto propuesta</t>
  </si>
  <si>
    <t>NÚMERO DE ESTUDIANTES DE LA ED. MEDIA ARTICULADOS CON LA ED. SUPERIOR</t>
  </si>
  <si>
    <t>1 propuesta</t>
  </si>
  <si>
    <t>Implementación de la propuesta</t>
  </si>
  <si>
    <t>Creación e implementación de la Unidad de emprendimiento</t>
  </si>
  <si>
    <t>2 Planes de negocios gestados por la Unidad</t>
  </si>
  <si>
    <t>TOTAL ASIGNADO</t>
  </si>
  <si>
    <t>TOTAL EJECUTADO</t>
  </si>
  <si>
    <t>GARANTIZAR EL IMPACTO SOCIAL DE LA UNIVERSIDAD EN EL ENTORNO INMEDIATO</t>
  </si>
  <si>
    <t>TASA DE ABSORCIÓN EDUSUPERIOR USCO:20% AL 2012 / 148 PROYECTOS AL 2012</t>
  </si>
  <si>
    <t>ASIGNACIÓN RECURSOS
2011</t>
  </si>
  <si>
    <t>CONVENIOS COFINANCIADOS</t>
  </si>
  <si>
    <t>ESTAMPILLA DEPARTAMENTO</t>
  </si>
  <si>
    <t>ESTAMPILLA NEIVA</t>
  </si>
  <si>
    <t>ESTAMPILLA GARZÓN</t>
  </si>
  <si>
    <t>ESTAMPILLA LA PLATA</t>
  </si>
  <si>
    <t>ESTAMPILLA PITALITO</t>
  </si>
  <si>
    <t>DEVOLUCIÓN IVA</t>
  </si>
  <si>
    <t>2% BIENESTAR UNIVERSITARIO</t>
  </si>
  <si>
    <t xml:space="preserve"> VICERRECTOR ACADÉMICO</t>
  </si>
  <si>
    <t>Construcción y Dotación Facultad de Economía en Neiva / Modernización Laboratorios Ciencias Básicas en Neiva / Adecuación y Dotación Aulas Inteligentes o Multimediales en Neiva</t>
  </si>
  <si>
    <t>721-1
721-3</t>
  </si>
  <si>
    <t>721-2
721-4</t>
  </si>
  <si>
    <t>APROPIACIÓN PRESUPUESTAL</t>
  </si>
  <si>
    <t>APORTES NACIÓN</t>
  </si>
  <si>
    <t>TOTAL RECURSOS DISPONIBLES POAI 2011</t>
  </si>
  <si>
    <t>DISEÑAR E IMPLEMENTARA UN SISTEMA ÚNICO DE INFORMACIÓN INTEGRAL PARA LA UNIVERSIDAD SURCOLOMBIANA</t>
  </si>
  <si>
    <t>ALGUNO SUBSISTEMAS DE INFORMACIÓN MARGINALES EN FUNCIONAMIENTO</t>
  </si>
  <si>
    <t>UN SISTEMA DE INFORMACIÓN INTEGRAL DISEÑADO E IMPLEMENTADO</t>
  </si>
  <si>
    <t>0 PROYECTO DE EDUCACIÓN VIRTUAL INSTITUCIONAL</t>
  </si>
  <si>
    <t>UN PROYECTO DE EDUCACIÓN VIRTUAL DISEÑADO E IMPLEMENTADO PARA LA UNIVERSIDAD SURCOLOMBIANA</t>
  </si>
  <si>
    <t>IMPLEMENTAR UN PROYECTO DE EDUCACIÓN VIRTUAL PARA LA USCO</t>
  </si>
  <si>
    <t>ya se logró la meta</t>
  </si>
  <si>
    <t>CONSOLIDAR LOS GRUPOS EXISTENTES Y APOYAR LA CREACIÓN DE NUEVOS GRUPOS</t>
  </si>
  <si>
    <t>MANTENER LOS 50 CONVENIOS INTERINSTITUCIONALES PARA EL FORTALECIMIENTO DE LA PROYECCIÓN SOCIAL-COFINANCIADOS-</t>
  </si>
  <si>
    <t xml:space="preserve">4 PROGRAMAS POR CICLOS PROPEDÉUTICOS </t>
  </si>
  <si>
    <t>AVANZAR UN 40% DEL PROCESO  NUEVOS PROGRAMAS CON DOBLE TITULACIÓN OFRECIDOS</t>
  </si>
  <si>
    <t>40% AVANCE PROGRAMAS CON DOBLE TITULACIÓN OFRECIDOS</t>
  </si>
  <si>
    <t>AUMENTAR A 11 LOS  CONVENIOS CON UNIVERSIDADES NALES/INTERNALES PARA INTERCAMBIO DE DOCENTES/ESTUDIANTES/EGRESADOS</t>
  </si>
  <si>
    <t>MANTENER FINANCIADOS 56 PROYECTOS DE INVESTIGACIÓN</t>
  </si>
  <si>
    <t>PUBLICAR 35  LIBROS PRODUCTO DE INVESTIGACIÓN, 50 LOS ARTÍCULOS EN REVISTAS INDEXADAS E INDEXAR 2 REVISTAS USCO</t>
  </si>
  <si>
    <t>AVANZAR EN UN 50% EN EL PROCESOS PARA OBTENER UNA PATENTES O REGISTRO DE MARCA A NOMBRE DE USCO</t>
  </si>
  <si>
    <t>50% DEL PROCESO AVANZADO DE PATENTES O REGISTRO DE MARCA A FAVOR USCO</t>
  </si>
  <si>
    <t>CAPACITAR  2400 ESTUDIANTES EN PRUEBAS SABER PRO</t>
  </si>
  <si>
    <t>NÙMERO DE ESTUDIANTES CAPACITADOS EN PRUEBAS SABER PRO</t>
  </si>
  <si>
    <t>ADECUAR Y DOTAR 10 AULAS MULTIMEDIA</t>
  </si>
  <si>
    <t>DISEÑAR UN PROYECTO DE EDUCACIÒN VIRTUAL PARA LA USCO</t>
  </si>
  <si>
    <t>AUMENTAR DE 300 A 500 LOS EQUIPOS DE SISTEMAS Y REDES DISPONIBLES EN AL USCO</t>
  </si>
  <si>
    <t>UNIDAD DE EMPRENDIMIENTO IMPLEMENTADA Y 2 PLANES DE NEGOCIOS GESTADOS</t>
  </si>
  <si>
    <t>1 UNIDAD DE EMPRENDIMIENTO EN FUNCIONAMIENTO Y 2 PLANES DE NEGOCIOS GESTADOS</t>
  </si>
  <si>
    <t>DISEÑAR E IMPLEMENTAR UN PROYECTO DE EDUCACIÓN VIRTUAL PARA LA UNIVERSIDAD SURCOLOMBIANA</t>
  </si>
  <si>
    <t>ESTUDIO DE LA NORMATIVIDAD INTEGRAL DE LA UNIVERSIDAD Y ADOPCIÓN DE SUS CONCLUSIONES</t>
  </si>
  <si>
    <t>FORTALECIMIENTO  USCO - EGRESADOS</t>
  </si>
  <si>
    <t xml:space="preserve"> CONSOLIDACIÓN DE LOS GRUPOS DE PROYECCIÓN SOCIAL DE LA USCO</t>
  </si>
  <si>
    <t>ACREDITACIÓN Y REACREDITACIÓN DE PROGRAMAS DE PREGRADO</t>
  </si>
  <si>
    <t>CERTIFICACION DE LABORATORIOS Y TALLERES</t>
  </si>
  <si>
    <t>REVISIÓN Y ACTUALIZACIÓN DE LA NORMATIVIDAD INSTITUCIONAL</t>
  </si>
  <si>
    <t>NUEVOS PROYECTOS ACADÉMICOS ACADÉMICOS (Incluidos los técnicos y Tecnológicos)</t>
  </si>
  <si>
    <t xml:space="preserve">FORMACIÓN Y CAPACITACIÓN DE DOCENTES </t>
  </si>
  <si>
    <t>CONSOLIDACION DE LA CULTURA DE LA INVESTIGACIÓN</t>
  </si>
  <si>
    <t>CONSOLIDACIÓN DE LOS GRUPOS DE INVESTIGACIÓN</t>
  </si>
  <si>
    <t>GESTIÓN PARA LA FINANCIACIÓN DE PROYECTOS DE INVESTIGACIÓN</t>
  </si>
  <si>
    <t>MEMBRESÍAS A REDES DEL CONOCIMIENTO E INVESTIGACIÓN</t>
  </si>
  <si>
    <t xml:space="preserve"> PATENTES, PROPIEDAD INTELECTUAL Y REGISTROS DE MARCA</t>
  </si>
  <si>
    <t xml:space="preserve"> CREACIÓN DE CENTROS DE INVESTIGACIÓN </t>
  </si>
  <si>
    <t xml:space="preserve">IMPLEMENTACIÓN DE PROGRAMAS ACADÉMICOS CON DOBLE TITULACIÓN </t>
  </si>
  <si>
    <t>CONVENIOS CON UNIVERSIDADES DEL PAÍS O DEL EXTERIOR PARA INTERCAMBIO DE DOCENTES Y ESTUDIANTES</t>
  </si>
  <si>
    <t xml:space="preserve"> HACIA LAS CERTIFICACIONES ISO 9001:2000 y NTCGP-1000</t>
  </si>
  <si>
    <t xml:space="preserve"> CLIMA ORGANIZACIONAL PARA UNA USCO COMPETITIVA</t>
  </si>
  <si>
    <t>CONSTRUCCIÓN, ADECUACIÓN Y MANTENIMIENTO DE INFRAESTRUCTURA FÍSICA (PLANTA FÍSICA TODAS LAS SEDES)</t>
  </si>
  <si>
    <t>DOTACIÓN Y MANTENIMIENTO DE EQUIPOS (DOTACIÓN OFICINAS Y AULAS TODAS LAS SEDES)</t>
  </si>
  <si>
    <t>DOTACIÓN Y MATENIMIENTO DE EQUIPOS E INSUMOS DE LABORATORIOS(DOTACIÓN LABORATORIOS TODAS LA SEDES)</t>
  </si>
  <si>
    <t xml:space="preserve"> REVISIÓN DEL CUMPLIMIENTO DE NORMAS AMBIENTALES POR LA USCO</t>
  </si>
  <si>
    <t xml:space="preserve"> FORMACIÓN Y CAPACITACIÓN DEL PERSONAL ADMINISTRATIVO Y OPERATIVO</t>
  </si>
  <si>
    <t>PREPARACIÓN DE ESTUDIANTES EN PRUEBAS SABER PRO</t>
  </si>
  <si>
    <t>BIENESTAR UNIVERSITARIO: TODOS SOMOS USCO</t>
  </si>
  <si>
    <t>PREVENCIÓN, NEGOCIACIÓN Y RESOLUCIÓN DE CONFLICTOS: CULTURA PARA LA INCLUSIÓN SOCIAL Y LA PAZ</t>
  </si>
  <si>
    <t>USCO: NO A LOS VICIOS Y ETV POR UN AMBIENTE SANO</t>
  </si>
  <si>
    <t>SISTEUSCO: PARA LA INCORPORACIÓN DEFINITIVA DE LAS TIC A LA OPERATIVIDAD DE LA USCO</t>
  </si>
  <si>
    <t xml:space="preserve"> EDUCACIÓN VIRTUAL </t>
  </si>
  <si>
    <t>COMPRA, DESARROLLO, DOTACIÓN Y MANTENIMIENTO DE SOFTWARE Y HARDWARE PARA LA GESTIÓN TECNOLOGICA EN LA USCO</t>
  </si>
  <si>
    <t xml:space="preserve">GARANTIZAR LA PERTENENCIA SOCIAL Y LA PERTINENCIA CURRICULAR CON ALTOS NIVELES DE EXCELENCIA ACADÉMICA Y CALIDAD </t>
  </si>
  <si>
    <t xml:space="preserve"> DISEÑO DE UN SISTEMA DE INFORMACIÓN INTEGRAL</t>
  </si>
  <si>
    <t>EST. DEPTO</t>
  </si>
  <si>
    <t>EST. NEIVA</t>
  </si>
  <si>
    <t>BTAR.</t>
  </si>
  <si>
    <t>NUEVOS TOTALES DESPUES DE AJUSTE (ACUERDO 060 22/10/10)</t>
  </si>
  <si>
    <r>
      <t>NUEVOS TOTALES DESPUES DE AJUSTE (ACUERDO 0</t>
    </r>
    <r>
      <rPr>
        <b/>
        <sz val="10"/>
        <color rgb="FFFF0000"/>
        <rFont val="Arial"/>
        <family val="2"/>
      </rPr>
      <t>??</t>
    </r>
    <r>
      <rPr>
        <b/>
        <sz val="10"/>
        <rFont val="Arial"/>
        <family val="2"/>
      </rPr>
      <t xml:space="preserve"> </t>
    </r>
    <r>
      <rPr>
        <b/>
        <sz val="10"/>
        <color rgb="FFFF0000"/>
        <rFont val="Arial"/>
        <family val="2"/>
      </rPr>
      <t>??</t>
    </r>
    <r>
      <rPr>
        <b/>
        <sz val="10"/>
        <rFont val="Arial"/>
        <family val="2"/>
      </rPr>
      <t>/11/10)</t>
    </r>
  </si>
  <si>
    <t>FORTALECIMIENTO DE LA RELACIÓN UNIVERSIDAD - ESTADO - SECTOR PRODUCTIVO-COMUNIDAD</t>
  </si>
  <si>
    <t>INCREMENTAR  25% LOS CONVENIOS DE PROYECCIÓN SOCIAL</t>
  </si>
  <si>
    <t>50 PROYECTOS AL 2008</t>
  </si>
  <si>
    <t>AUMENTAR A 16 LOS PROGRAMAS ACREDITADOS</t>
  </si>
  <si>
    <t>AMPLIAR LA OFERTA ACADÉMICA EN 9  NUEVOS PROGRAMAS (PREGRADO Y POSTGRADO)</t>
  </si>
  <si>
    <t>100% DOCENTES DE PLANTA Y OCASIONALES CAPACITADOS EN SUS ÁREAS DE CONOCIMIENTO</t>
  </si>
  <si>
    <t>ESTAMPILLA DEPTO.</t>
  </si>
  <si>
    <t>BIENESTAR</t>
  </si>
  <si>
    <r>
      <rPr>
        <b/>
        <sz val="8"/>
        <rFont val="Arial"/>
        <family val="2"/>
      </rPr>
      <t>En formación:</t>
    </r>
    <r>
      <rPr>
        <b/>
        <sz val="10"/>
        <rFont val="Arial"/>
        <family val="2"/>
      </rPr>
      <t xml:space="preserve">
19 maestrìas 13 doctorados, 1 posdoctorado</t>
    </r>
  </si>
  <si>
    <r>
      <rPr>
        <b/>
        <sz val="8"/>
        <rFont val="Arial"/>
        <family val="2"/>
      </rPr>
      <t>En formación:</t>
    </r>
    <r>
      <rPr>
        <b/>
        <sz val="10"/>
        <rFont val="Arial"/>
        <family val="2"/>
      </rPr>
      <t xml:space="preserve">
6 maestrìas 15 doctorados, 2 posdoctorado</t>
    </r>
  </si>
  <si>
    <r>
      <rPr>
        <b/>
        <sz val="8"/>
        <rFont val="Arial"/>
        <family val="2"/>
      </rPr>
      <t>En formación: 
5</t>
    </r>
    <r>
      <rPr>
        <b/>
        <sz val="10"/>
        <rFont val="Arial"/>
        <family val="2"/>
      </rPr>
      <t xml:space="preserve"> maestrìas 17 doctorados, 2 posdoctorado</t>
    </r>
  </si>
  <si>
    <t>9 libros, 12 artìculos, 0 revistas indexadas</t>
  </si>
  <si>
    <t>9 libros, 12 artìculos, 1 revistas indexadas</t>
  </si>
  <si>
    <t>10 libros, 12 artìculos,1 revistas indexadas</t>
  </si>
  <si>
    <t>FORMACIÓN DE ALTO NIVEL PARA LA INVESTIGACIÓN, FANIE (COMISIONES DE ESTUDIO Y APOYOS ECONÓMICOS))</t>
  </si>
  <si>
    <t>CONVENIO ECOPETROL</t>
  </si>
  <si>
    <t>CONVENIO GOBERNACIÓN (DOTACIÓN LABORATORIOS)</t>
  </si>
  <si>
    <t>CONSTRUCCIONES</t>
  </si>
  <si>
    <t>ADQUISICION DE EQUIPOS</t>
  </si>
  <si>
    <t>PLANEACION</t>
  </si>
  <si>
    <t>EXCED. RECURSOS COMUNES</t>
  </si>
  <si>
    <t>EXCEDENTES RECURSOS COMUNES</t>
  </si>
  <si>
    <t>ACT-PY-111-01</t>
  </si>
  <si>
    <t>REVISIÓN Y DISCUCIÓN ESTATUTOS</t>
  </si>
  <si>
    <t>ACT-PY-111-02</t>
  </si>
  <si>
    <t>DIVULGACIÓN DE LOS NUEVOS ESTATUTOS</t>
  </si>
  <si>
    <t>SECRETARIO GENERAL</t>
  </si>
  <si>
    <t>EMISORA INSTITUCIONAL SURCOLOMBIANA</t>
  </si>
  <si>
    <t>AGORA SURCOLOMBIANA (CANAL ZOOM) PRODUCCION NACIONAL</t>
  </si>
  <si>
    <t>SISTEMA COMUNICATIVO FACULTADES</t>
  </si>
  <si>
    <t>ACT-PY-113-01</t>
  </si>
  <si>
    <t>ACT-PY-113-02</t>
  </si>
  <si>
    <t>ACT-PY-113-03</t>
  </si>
  <si>
    <t>ACT-PY-113-04</t>
  </si>
  <si>
    <t>MANTENIMIENTO SISTEMA DE INFORMACION PROGRAMA DE EGRESADOS</t>
  </si>
  <si>
    <t>ACT-PY-211-01</t>
  </si>
  <si>
    <t>ACT-PY-211-02</t>
  </si>
  <si>
    <t>ACT-PY-211-03</t>
  </si>
  <si>
    <t>SEGUIMIENTO DE EGRESADOS EN LOS PROGRAMAS DE PREGRADO Y POSTGRADO</t>
  </si>
  <si>
    <t>ACT-PY-211-04</t>
  </si>
  <si>
    <t>EQUIPOS Y ELEMENTOS DE OFICINA</t>
  </si>
  <si>
    <t>GESTION CON EGRESADOS PARA VINCULOS DE COOPERACION</t>
  </si>
  <si>
    <t>ACT-PY-211-05</t>
  </si>
  <si>
    <t>ACT-PY-211-06</t>
  </si>
  <si>
    <t>REDES SOCIALES, DIFUSION DEL PROYECTO</t>
  </si>
  <si>
    <t>ACT-PY-212-01</t>
  </si>
  <si>
    <t>ACT-PY-212-02</t>
  </si>
  <si>
    <t>ACT-PY-212-03</t>
  </si>
  <si>
    <t>ORGANIZACION Y GESTION DE PROGRAMAS Y APOYO A DOTACION OFICINAS DE PROYECCION SOCIAL</t>
  </si>
  <si>
    <t>ACREDITACION PROGRAMA DERECHO</t>
  </si>
  <si>
    <t>ACT-PY-311-01</t>
  </si>
  <si>
    <t>ACT-PY-311-02</t>
  </si>
  <si>
    <t>ACT-PY-311-03</t>
  </si>
  <si>
    <t>ACT-PY-311-04</t>
  </si>
  <si>
    <t>ACT-PY-311-05</t>
  </si>
  <si>
    <t>ACT-PY-311-06</t>
  </si>
  <si>
    <t>ACT-PY-311-07</t>
  </si>
  <si>
    <t>ACT-PY-311-08</t>
  </si>
  <si>
    <t>ACT-PY-311-09</t>
  </si>
  <si>
    <t>ACT-PY-311-10</t>
  </si>
  <si>
    <t>ACT-PY-311-11</t>
  </si>
  <si>
    <t>ACREDITACION PROGRAMA LICENCIATURA EN PEDAGOGIA INFANTIL</t>
  </si>
  <si>
    <t>ACREDITACION PROGRAMA DE ARTES</t>
  </si>
  <si>
    <t>ACREDITACION PROGRAMA DE MATEMATICAS</t>
  </si>
  <si>
    <t>ACREDITACION PROGRAMA DE CIENCIAS NATURALES</t>
  </si>
  <si>
    <t>ACREDITACION PROGRAMA DE INGENIERIA ELECTRONICA</t>
  </si>
  <si>
    <t>ACREDITACION PROGRAMA DE ECONOMIA</t>
  </si>
  <si>
    <t>ACREDITACION PROGRAMA DE LENGUA CASTELLANA</t>
  </si>
  <si>
    <t>ACREDITACION PROGRAMA DE ACUICULTURA</t>
  </si>
  <si>
    <t>ACREDITACION PROGRAMA DE ADMINISTRACION FINANCIERA</t>
  </si>
  <si>
    <t>ACT-PY-311-21</t>
  </si>
  <si>
    <t>ACT-PY-311-22</t>
  </si>
  <si>
    <t>ACT-PY-311-23</t>
  </si>
  <si>
    <t>ACT-PY-311-24</t>
  </si>
  <si>
    <t>ACT-PY-311-25</t>
  </si>
  <si>
    <t>ACT-PY-311-26</t>
  </si>
  <si>
    <t>ACT-PY-311-27</t>
  </si>
  <si>
    <t>ACT-PY-311-28</t>
  </si>
  <si>
    <t>ACT-PY-311-29</t>
  </si>
  <si>
    <t>REACREDITACION PROGRAMA DE EDUCACION FISICA</t>
  </si>
  <si>
    <t>REACREDITACION PROGRAMA LENGUA EXTRANJERA INGLES</t>
  </si>
  <si>
    <t>REACREDITACION PROGRAMA INGENIERIA AGRICOLA</t>
  </si>
  <si>
    <t>REACREDITACION PROGRAMA INGENIERIA DE PETROLEOS</t>
  </si>
  <si>
    <t>REACREDITACION PROGRAMA ADMINISTRACION DE EMPRESAS</t>
  </si>
  <si>
    <t>REACREDITACION PROGRAMA CONTADURIA PUBLICA</t>
  </si>
  <si>
    <t>REACREDITACION PROGRAMA MEDICINA</t>
  </si>
  <si>
    <t>REACREDITACION PROGRAMA ENFERMERIA</t>
  </si>
  <si>
    <t>REACREDITACION PROGRAMA COMUNICACION SOCIAL</t>
  </si>
  <si>
    <t>ACREDITACION PROGRAMA DE PSICOLOGIA</t>
  </si>
  <si>
    <t>PARA LA CERTIFICACION DE UNA PRUEBA O ENSAYO DEL LABORATORIO DE MEDICINA GENOMICA</t>
  </si>
  <si>
    <t>ACT-PY-313-01</t>
  </si>
  <si>
    <t>ACT-PY-313-02</t>
  </si>
  <si>
    <t>ACT-PY-313-03</t>
  </si>
  <si>
    <t>PARA LA CERTIFICACION DE UNA PRUEBA O ENSAYO DEL LABORATORIO DE AGUAS</t>
  </si>
  <si>
    <t>PARA LA CERTIFICACION DE UNA PRUEBA O ENSAYO DEL LABORATORIO DE PRUEBAS ESPECIALES</t>
  </si>
  <si>
    <t>ACT-PY-321-01</t>
  </si>
  <si>
    <t>ACT-PY-321-02</t>
  </si>
  <si>
    <t>TECNOLOGIA DE SOFTWARE - INGENIERIA DE SISTEMAS</t>
  </si>
  <si>
    <t>TECNOLOGIA EN OBRAS CIVILES - INGENIERIA CIVIL</t>
  </si>
  <si>
    <t>ACT-PY-322-01</t>
  </si>
  <si>
    <t>ACT-PY-322-02</t>
  </si>
  <si>
    <t>ACT-PY-322-03</t>
  </si>
  <si>
    <t>ACT-PY-322-04</t>
  </si>
  <si>
    <t>ACT-PY-322-05</t>
  </si>
  <si>
    <t>ACT-PY-322-06</t>
  </si>
  <si>
    <t>ACT-PY-322-07</t>
  </si>
  <si>
    <t>ACT-PY-322-08</t>
  </si>
  <si>
    <t>ACT-PY-322-09</t>
  </si>
  <si>
    <t>ACT-PY-322-10</t>
  </si>
  <si>
    <t>ACT-PY-322-11</t>
  </si>
  <si>
    <t>MAESTRIA EN EDUCACION FISICA</t>
  </si>
  <si>
    <t>DOCTORADO EN INGENIERIA Y GESTION DE PROYECTOS AGRICOLAS</t>
  </si>
  <si>
    <t>MAESTRIA EN CULTURA DE PAZ</t>
  </si>
  <si>
    <t>LICENCIATURA EN CIENCIAS SOCIALES</t>
  </si>
  <si>
    <t>CIENCIAS POLITICAS</t>
  </si>
  <si>
    <t>TECNOLOGIA EN CAFES ESPECIALES</t>
  </si>
  <si>
    <t>DOCTORADO EN EDUCACION</t>
  </si>
  <si>
    <t>DOCTORADO EN ESTUDIOS REGIONALES</t>
  </si>
  <si>
    <t>MAESTRIA EN DERECHO PUBLICO</t>
  </si>
  <si>
    <t>INGENIERIA MECANICA</t>
  </si>
  <si>
    <t>ACT-PY-324-01</t>
  </si>
  <si>
    <t>ACT-PY-324-02</t>
  </si>
  <si>
    <t>ACT-PY-324-03</t>
  </si>
  <si>
    <t>ACT-PY-324-04</t>
  </si>
  <si>
    <t>ACT-PY-324-05</t>
  </si>
  <si>
    <t>ACT-PY-324-06</t>
  </si>
  <si>
    <t>ACT-PY-324-07</t>
  </si>
  <si>
    <t>ACT-PY-324-08</t>
  </si>
  <si>
    <t>ACT-PY-324-09</t>
  </si>
  <si>
    <t>CAPACITACION COLECTIVA FACULTAD DE CIENCIAS SOCIALES Y HUMANAS</t>
  </si>
  <si>
    <t>CAPACITACION COLECTIVA FACULTAD DE DERECHO</t>
  </si>
  <si>
    <t>CAPACITACION COLECTIVA FACULTAD DE CIENCIAS EXACTAS Y NATURALES</t>
  </si>
  <si>
    <t>CAPACITACION COLECTIVA FACULTAD DE EDUCACION</t>
  </si>
  <si>
    <t>CAPACITACION COLECTIVA FACULTAD DE INGENIERIA</t>
  </si>
  <si>
    <t>CAPACITACION COLECTIVA FACULTAD DE SALUD</t>
  </si>
  <si>
    <t>CAPACITACION COLECTIVA FACULTAD DE ECONOMIA Y ADMINISTRACION</t>
  </si>
  <si>
    <t>CAPACITACION COLECTIVA GENERAL</t>
  </si>
  <si>
    <t>CAPACITACION INDIVIDUAL POR DOCENTE</t>
  </si>
  <si>
    <t>DECANO DERECHO</t>
  </si>
  <si>
    <t>DECANO CIEN</t>
  </si>
  <si>
    <t>DECANA EDUCAC</t>
  </si>
  <si>
    <t>DECANO INGEN</t>
  </si>
  <si>
    <t>DECANO SALUD</t>
  </si>
  <si>
    <t>DECANO FEA</t>
  </si>
  <si>
    <t>ACT-PY-331-01</t>
  </si>
  <si>
    <t>ACT-PY-331-02</t>
  </si>
  <si>
    <t>ACT-PY-331-03</t>
  </si>
  <si>
    <t>COMISIONES Y APOYOS ECONOMICOS FORMACION MAGISTER</t>
  </si>
  <si>
    <t>COMISIONES Y APOYOS ECONOMICOS FORMACION DOCTORES</t>
  </si>
  <si>
    <t>COMISIONES Y APOYOS ECONOMICOS FORMACION POSTDOCTORES</t>
  </si>
  <si>
    <t>ACT-PY-332-01</t>
  </si>
  <si>
    <t>ACT-PY-333-01</t>
  </si>
  <si>
    <t>ACT-PY-333-02</t>
  </si>
  <si>
    <t>ACT-PY-333-03</t>
  </si>
  <si>
    <t>ACT-PY-333-04</t>
  </si>
  <si>
    <t>ACT-PY-334-01</t>
  </si>
  <si>
    <t>ACT-PY-334-02</t>
  </si>
  <si>
    <t>ACT-PY-335-01</t>
  </si>
  <si>
    <t>ACT-PY-336-01</t>
  </si>
  <si>
    <t>ACT-PY-337-01</t>
  </si>
  <si>
    <t>ACT-PY-341-01</t>
  </si>
  <si>
    <t>ACT-PY-342-01</t>
  </si>
  <si>
    <t>ACT-PY-411-01</t>
  </si>
  <si>
    <t>ACT-PY-411-02</t>
  </si>
  <si>
    <t>IMPLEMENTAR EL SISTEMA MECI</t>
  </si>
  <si>
    <t>ACT-PY-412-01</t>
  </si>
  <si>
    <t>ADECUACIONES Y MANTENIMIENTO DE LA PLANTA FISICA DE TODAS LAS SEDES</t>
  </si>
  <si>
    <t>ACT-PY-421-01</t>
  </si>
  <si>
    <t>ACT-PY-421-02</t>
  </si>
  <si>
    <t>ACT-PY-421-03</t>
  </si>
  <si>
    <t>ACT-PY-421-04</t>
  </si>
  <si>
    <t>ADECUACIONES Y MANTENIMIENTO DE LA PLANTA FISICA SEDE GARZON</t>
  </si>
  <si>
    <t>ADECUACIONES Y MANTENIMIENTO DE LA PLANTA FISICA SEDE LA PLATA</t>
  </si>
  <si>
    <t>ADECUACIONES Y MANTENIMIENTO DE LA PLANTA FISICA SEDE PITALITO</t>
  </si>
  <si>
    <t>DOTACION AULAS TODAS LAS SEDES</t>
  </si>
  <si>
    <t>ACT-PY-421-21</t>
  </si>
  <si>
    <t>ACT-PY-421-22</t>
  </si>
  <si>
    <t>ACT-PY-421-23</t>
  </si>
  <si>
    <t>ACT-PY-421-24</t>
  </si>
  <si>
    <t>ACT-PY-421-25</t>
  </si>
  <si>
    <t>VICERRECTOR ADMINISTRATIVO</t>
  </si>
  <si>
    <t>DOTACION OFICINAS TODAS LAS SEDES</t>
  </si>
  <si>
    <t>DOTACION AULAS GARZON</t>
  </si>
  <si>
    <t>DOTACION OFICINAS GARZON</t>
  </si>
  <si>
    <t>DOTACION AULAS LA PLATA</t>
  </si>
  <si>
    <t>ACT-PY-421-26</t>
  </si>
  <si>
    <t>ACT-PY-421-27</t>
  </si>
  <si>
    <t>ACT-PY-421-28</t>
  </si>
  <si>
    <t>DOTACION OFICINAS LA PLATA</t>
  </si>
  <si>
    <t>DOTACION AULAS PITALITO</t>
  </si>
  <si>
    <t>DOTACION OFICINAS PITALITO</t>
  </si>
  <si>
    <t>EQUIPOS LABORATORIO DE SIMULACION - ENFERMERIA</t>
  </si>
  <si>
    <t>ACT-PY-421-31</t>
  </si>
  <si>
    <t>ACT-PY-421-32</t>
  </si>
  <si>
    <t>ACT-PY-421-33</t>
  </si>
  <si>
    <t>ACT-PY-421-34</t>
  </si>
  <si>
    <t>ACT-PY-421-35</t>
  </si>
  <si>
    <t>ACT-PY-421-36</t>
  </si>
  <si>
    <t>ACT-PY-421-37</t>
  </si>
  <si>
    <t>ACT-PY-421-38</t>
  </si>
  <si>
    <t>ACT-PY-421-39</t>
  </si>
  <si>
    <t>ACT-PY-421-40</t>
  </si>
  <si>
    <t>ACT-PY-421-41</t>
  </si>
  <si>
    <t>ACT-PY-421-42</t>
  </si>
  <si>
    <t>ACT-PY-421-30</t>
  </si>
  <si>
    <t>EQUIPOS LABORATORIO DE QUIMICA FACULTAD DE CIENCIAS EXACTAS Y NATURALES</t>
  </si>
  <si>
    <t>EQUIPOS LABORATORIO DE FISICA FACULTAD DE CIENCIAS EXACTAS Y NATURALES</t>
  </si>
  <si>
    <t>EQUIPOS LABORATORIOS FACULTAD DE DERECHO</t>
  </si>
  <si>
    <t>ACT-PY-421-49</t>
  </si>
  <si>
    <t>ACT-PY-421-50</t>
  </si>
  <si>
    <t>ACT-PY-421-51</t>
  </si>
  <si>
    <t>ACT-PY-421-52</t>
  </si>
  <si>
    <t>ACT-PY-421-53</t>
  </si>
  <si>
    <t>ACT-PY-421-54</t>
  </si>
  <si>
    <t>ACT-PY-421-55</t>
  </si>
  <si>
    <t>ACT-PY-421-56</t>
  </si>
  <si>
    <t>MANTENIMIENTO LABORATORIOS DE INGENIERIA ELECTRONICA FACULTAD DE INGENIERIA</t>
  </si>
  <si>
    <t>ACT-PY-421-57</t>
  </si>
  <si>
    <t>ACT-PY-421-58</t>
  </si>
  <si>
    <t>ACT-PY-421-59</t>
  </si>
  <si>
    <t>ACT-PY-421-60</t>
  </si>
  <si>
    <t>ACT-PY-421-61</t>
  </si>
  <si>
    <t>ACT-PY-421-62</t>
  </si>
  <si>
    <t>ACT-PY-421-63</t>
  </si>
  <si>
    <t>ACT-PY-421-70</t>
  </si>
  <si>
    <t>ACT-PY-421-71</t>
  </si>
  <si>
    <t>ACT-PY-421-72</t>
  </si>
  <si>
    <t>ACT-PY-421-73</t>
  </si>
  <si>
    <t>INSUMOS LABORATORIO DE QUIMICA FACULTAD DE CIENCIAS EXACTAS Y NATURALES</t>
  </si>
  <si>
    <t>MANTENIMIENTO EQUIPOS LABORATORIO DE FISICA FACULTAD DE CIENCIAS EXACTAS Y NATURALES</t>
  </si>
  <si>
    <t>INSUMOS LABORATORIOS CIENCIAS BASICAS FACULTAD DE SALUD</t>
  </si>
  <si>
    <t>EQUIPOS LABORATORIOS DE MEDICINA</t>
  </si>
  <si>
    <t>MANTENIMIENTO LABORATORIO DE INMUNOLOGIA FACULTAD DE SALUD</t>
  </si>
  <si>
    <t>EQUIPOS LABORATORIOS FACULTAD DE CIENCIAS SOCIALES Y HUMANAS</t>
  </si>
  <si>
    <t>MANTENIMIENTO LABORATORIOS FACULTAD DE DERECHO</t>
  </si>
  <si>
    <t>MANTENIMIENTO LABORATORIO DE GENETICA FACULTAD DE SALUD</t>
  </si>
  <si>
    <t>ACT-PY-421-74</t>
  </si>
  <si>
    <t>ACT-PY-421-75</t>
  </si>
  <si>
    <t>ACT-PY-421-76</t>
  </si>
  <si>
    <t>INSUMOS LABORATORIO DE PSICOLOGIA FACULTAD DE SALUD</t>
  </si>
  <si>
    <t>EQUIPOS LABORATORIO DE INGENIERIA AGRICOLA</t>
  </si>
  <si>
    <t>EQUIPOS LABORATORIOS FACULTAD DE EDUCACION</t>
  </si>
  <si>
    <t>MANTENIMIENTO LABORATORIOS DE INGENIERIA DE PETROLEOS FACULTAD DE INGENIERIA</t>
  </si>
  <si>
    <t>INSUMOS LABORATORIO DE BIOLOGIA FACULTAD DE CIENCIAS EXACTAS Y NATURALES</t>
  </si>
  <si>
    <t>MANTENIMIENTO EQUIPOS LABORATORIO DE QUIMICA FACULTAD DE CIENCIAS EXACTAS Y NATURALES</t>
  </si>
  <si>
    <t>INSUMOS LABORATORIO DE EDUCACION FISICA FACULTAD DE EDUCACION</t>
  </si>
  <si>
    <t>EQUIPOS LABORATORIO DE ACUICULTURA FACULTAD DE CIENCIAS EXACTAS Y NATURALES</t>
  </si>
  <si>
    <t>EQUIPOS LABORATORIO DE INGENIERIA DE PETROLEOS</t>
  </si>
  <si>
    <t>MANTENIMIENTO LABORATORIO DE IDIOMAS FACULTAD DE EDUCACION</t>
  </si>
  <si>
    <t>MANTENIMIENTO LABORATORIOS DE TECNOLOGIA EN OBRAS CIVILES FACULTAD DE INGENIERIA</t>
  </si>
  <si>
    <t>BIBLIOGRAFIA BIBLIOTECAS</t>
  </si>
  <si>
    <t>MANTENIMIENTO EQUIPOS LABORATORIO DE BIOLOGIA FACULTAD DE CIENCIAS EXACTAS Y NATURALES</t>
  </si>
  <si>
    <t>EQUIPOS LABORATORIO DE INGENIERIA ELECTRONICA</t>
  </si>
  <si>
    <t>EQUIPOS LABORATORIO DE BIOLOGIA FACULTAD DE CIENCIAS EXACTAS Y NATURALES</t>
  </si>
  <si>
    <t>MANTENIMIENTO LABORATORIOS FACULTAD DE CIENCIAS SOCIALES Y HUMANAS</t>
  </si>
  <si>
    <t>EQUIPOS LABORATORIOS FACULTAD DE ECONOMIA Y ADMINISTRACION</t>
  </si>
  <si>
    <t>INSUMOS LABORATORIO DE SIMULACION - ENFERMERIA FACULTAD DE SALUD</t>
  </si>
  <si>
    <t>MANTENIMIENTO LABORATORIOS CIENCIAS BASICAS FACULTAD DE SALUD</t>
  </si>
  <si>
    <t>MANTENIMIENTO LABORATORIOS DE INGENIERIA AGRICOLA FACULTAD DE INGENIERIA</t>
  </si>
  <si>
    <t>INSUMOS LABORATORIO DE ACUICULTURA FACULTAD DE CIENCIAS EXACTAS Y NATURALES</t>
  </si>
  <si>
    <t>ACT-PY-422-01</t>
  </si>
  <si>
    <t>ACT-PY-511-01</t>
  </si>
  <si>
    <t>ACT-PY-611-01</t>
  </si>
  <si>
    <t>INDUCCION Y REINDUCCION</t>
  </si>
  <si>
    <t>ACT-PY-611-02</t>
  </si>
  <si>
    <t>CAPACITACION NO FORMAL</t>
  </si>
  <si>
    <t>ACT-PY-611-03</t>
  </si>
  <si>
    <t>CAPACITACION FORMAL</t>
  </si>
  <si>
    <t>ACT-PY-611-04</t>
  </si>
  <si>
    <t>CAPACITACION EN CUMPLIMIENTO DE LA CONVENCION COLECTIVA CON SINTRAUNICOL</t>
  </si>
  <si>
    <t>ACT-PY-621-01</t>
  </si>
  <si>
    <t>APOYOS SOCIOECONOMICOS A ESTUDIANTES</t>
  </si>
  <si>
    <t>ACT-PY-621-02</t>
  </si>
  <si>
    <t>ACT-PY-621-03</t>
  </si>
  <si>
    <t>ACT-PY-621-04</t>
  </si>
  <si>
    <t>ACT-PY-621-05</t>
  </si>
  <si>
    <t>ACT-PY-621-06</t>
  </si>
  <si>
    <t>ACT-PY-622-01</t>
  </si>
  <si>
    <t>ACT-PY-623-01</t>
  </si>
  <si>
    <t>POR UN AMBIENTE SANO</t>
  </si>
  <si>
    <t>ACT-PY-623-02</t>
  </si>
  <si>
    <t>ACT-PY-623-03</t>
  </si>
  <si>
    <t>ACT-PY-721-01</t>
  </si>
  <si>
    <t>ACT-PY-722-01</t>
  </si>
  <si>
    <t>PLAN DE ACCIÓN 2011</t>
  </si>
  <si>
    <t>RECURSOS POR ASIGNAR
2011</t>
  </si>
  <si>
    <t>AJUSTE PLAN DESARROLLO
2011</t>
  </si>
  <si>
    <t>RECURSOS DE TESORERIA AL CIERRE 2010</t>
  </si>
  <si>
    <t>DISTRIBUCIÓN</t>
  </si>
  <si>
    <t>NUEVOS RECURSOS
2011</t>
  </si>
  <si>
    <t>TOTAL ADICIÓN</t>
  </si>
  <si>
    <t>PROPUESTA TRASLADOS</t>
  </si>
  <si>
    <t>TOTAL RECURSOS ASIGNADOS PLAN DESARROLLO
AÑO 2011</t>
  </si>
  <si>
    <t>RECURSOS POR ASIGNAR
2011
DESPUES DE ADICIÓN</t>
  </si>
  <si>
    <t>Resultado 2010</t>
  </si>
  <si>
    <t>VIPS SOLICITA</t>
  </si>
  <si>
    <t>SALDOS DE APROPIACIÓN PRESUPUESTAL NO DE EFECTIVO</t>
  </si>
  <si>
    <t>Cancelación reservas</t>
  </si>
  <si>
    <t>CTIC</t>
  </si>
  <si>
    <t>depto</t>
  </si>
  <si>
    <t>garzón</t>
  </si>
  <si>
    <t>pitalito</t>
  </si>
  <si>
    <t>la plata</t>
  </si>
  <si>
    <t>Neiva</t>
  </si>
  <si>
    <t>construc</t>
  </si>
  <si>
    <t>saldo aprop.2010</t>
  </si>
  <si>
    <t>convenios 2010</t>
  </si>
  <si>
    <t>mayor recaudo depto</t>
  </si>
  <si>
    <t>AJUSTE POR SOLICITUD DEL VICE INVESTIGACIONES</t>
  </si>
  <si>
    <t>EFICACIA</t>
  </si>
  <si>
    <t>INDICADOR SEGUIMIENTO
P. DESAR.</t>
  </si>
  <si>
    <t>AVANCE</t>
  </si>
  <si>
    <t>EFICIENCIA</t>
  </si>
  <si>
    <t>INDICADORES DE SEGUIMIENTO
PLAN DE DESARROLLO</t>
  </si>
  <si>
    <t>EFECTIVIDAD</t>
  </si>
  <si>
    <t>ACT-PY-711-01</t>
  </si>
  <si>
    <t>DESARROLLO DE LAS CAPACIDADES EN VIGILANCIA TECNOLÓGICA</t>
  </si>
  <si>
    <t>ACT-PY-721-05</t>
  </si>
  <si>
    <t>ACT-PY-721-06</t>
  </si>
  <si>
    <t>ACT-PY-721-07</t>
  </si>
  <si>
    <t>ACT-PY-721-08</t>
  </si>
  <si>
    <t>PROYECTO EDUCACIÓN VIRTUAL
CERTIFICACIÓN DE ESTUDIANTES INTERNAMENTE EN COMPETENCIAS BÁSICAS TIC</t>
  </si>
  <si>
    <t>PROYECTO EDUCACIÓN VIRTUAL
CONOCIMIENTOS EXPERIENCIAS INSTITUCIONALES (VISITAS)</t>
  </si>
  <si>
    <t>PROYECTO EDUCACIÓN VIRTUAL
PERSONAL DE APOYO REQUERIDO PARA LA UNIDAD DE VIRTUALIZACIÓN</t>
  </si>
  <si>
    <t>PROYECTO EDUCACIÓN VIRTUAL
DOTACIÓN TECNOLÓGICA</t>
  </si>
  <si>
    <t>ACT-PY-612-01</t>
  </si>
  <si>
    <t>ACT-PY-421-05</t>
  </si>
  <si>
    <t>ACT-PY-512-01</t>
  </si>
  <si>
    <t>ACT-PY-722-02</t>
  </si>
  <si>
    <t>ACT-PY-722-03</t>
  </si>
  <si>
    <t>ADQUISICIÓN DE SOFTWARE</t>
  </si>
  <si>
    <t>ADQUISICION Y MANTENIMIENTO DE EQUIPOS AULA MULTIMEDIAL CIENCIAS EXACTAS</t>
  </si>
  <si>
    <t>ACT-PY-721-02</t>
  </si>
  <si>
    <t>ACT-PY-721-03</t>
  </si>
  <si>
    <t>ACT-PY-721-04</t>
  </si>
  <si>
    <t>ADQUISICION Y MANTENIMIENTO DE EQUIPOS AULA MULTIMEDIAL FAC. ECONOMÍA Y ADMÓN.</t>
  </si>
  <si>
    <t>ADQUISICION Y MANTENIMIENTO DE EQUIPOS AULA MULTIMEDIAL DERECHO</t>
  </si>
  <si>
    <t>ADQUISICION Y MANTENIMIENTO DE EQUIPOS AULA MULTIMEDIAL CIENCIAS SOCIALES Y HUMANAS</t>
  </si>
  <si>
    <t>ACT-PY-311-12</t>
  </si>
  <si>
    <t>ACREDITACIÓN PROGRAMAS DE LA FAC. DE ECONOMÍA Y ADMÓN.</t>
  </si>
  <si>
    <t>ACT-PY-421-64</t>
  </si>
  <si>
    <t>SUMINISTRAR REACTIVOS PARA EL LABORATORIO DE CRUDOS Y DERIVADOS</t>
  </si>
  <si>
    <t>ACT-PY-421-65</t>
  </si>
  <si>
    <t>ACT-PY-421-66</t>
  </si>
  <si>
    <t>ACT-PY-421-67</t>
  </si>
  <si>
    <t>ACT-PY-421-68</t>
  </si>
  <si>
    <t>ACT-PY-421-69</t>
  </si>
  <si>
    <t>DOTACIÓN DE EQUIPOS PARA LABORATORIO DE INMUNOLOGÍA - FAC. DE SALUD</t>
  </si>
  <si>
    <t>ADQUISICIÓN DE REACTIVOS Y CRISTALERÍA PARA EL LABORATORIO DE BIOLOGÍA</t>
  </si>
  <si>
    <t>SUMINISTRAR EQUIPOS PARA EL LABORATORIO DE CRUDOS Y DERIVADOS DE ING. DE PETRÓLEOS</t>
  </si>
  <si>
    <t>SUMINISTRO DE MATERIAL BIBLIOGRÁFICO PARA LA BIBLIOTECA CENTRAL</t>
  </si>
  <si>
    <t>DOTACIÓN LABORATORIO DE ELECTRÓNICA</t>
  </si>
  <si>
    <t>DECANO INGENIERÍA</t>
  </si>
  <si>
    <t>DECANA EDUCACIÓN</t>
  </si>
  <si>
    <t>DECANA DERECHO</t>
  </si>
  <si>
    <t>DIRECTOR BIBLIOTECA</t>
  </si>
  <si>
    <t>CAPACITAR 800 ESTUDIANTES EN LAS PRUEBAS SABER PRO</t>
  </si>
  <si>
    <t>DECANO FACECO</t>
  </si>
  <si>
    <t>ACT-PY-421-43</t>
  </si>
  <si>
    <t>EQUIPOS LABORATORIOS DE TECNOLOGÍA EN OBRAS CIVILES</t>
  </si>
  <si>
    <t>RECURSOS POR ASIGNAR</t>
  </si>
  <si>
    <t>311-1/12</t>
  </si>
  <si>
    <t>311-21/29</t>
  </si>
  <si>
    <t>313-01/03</t>
  </si>
  <si>
    <t>321-01/02</t>
  </si>
  <si>
    <t>322-01</t>
  </si>
  <si>
    <t>322-02/11</t>
  </si>
  <si>
    <t>322-12</t>
  </si>
  <si>
    <t>324-01/09</t>
  </si>
  <si>
    <t>331-01/03</t>
  </si>
  <si>
    <t>ACT-PY-332-02</t>
  </si>
  <si>
    <t>ACT-PY-332-03</t>
  </si>
  <si>
    <t>332-01</t>
  </si>
  <si>
    <t>332-02</t>
  </si>
  <si>
    <t>332-03</t>
  </si>
  <si>
    <t>334-01</t>
  </si>
  <si>
    <t>334-02</t>
  </si>
  <si>
    <t>411-01/02</t>
  </si>
  <si>
    <t>421-01/05</t>
  </si>
  <si>
    <t>421-21/28</t>
  </si>
  <si>
    <t>421-30/76</t>
  </si>
  <si>
    <t>721-01/03</t>
  </si>
  <si>
    <t>TOTAL POAI</t>
  </si>
  <si>
    <t>RECURSOS SIN PLAN DE ACCIÓN</t>
  </si>
  <si>
    <t>REC. COMUNES</t>
  </si>
  <si>
    <t>REC. FACULTAD</t>
  </si>
  <si>
    <t>POR ASIGNAR</t>
  </si>
  <si>
    <t>ADICIÓN EXCEDENTES DE LAS FACULTADES</t>
  </si>
  <si>
    <t>ADICIÓN EXCEDENTES RECURSOS COMUNES</t>
  </si>
  <si>
    <t>RECURSOS ASIGNADOS
2011</t>
  </si>
  <si>
    <t>ACT-PY-311-13</t>
  </si>
  <si>
    <t>ACT-PY-311-14</t>
  </si>
  <si>
    <t>ACT-PY-311-15</t>
  </si>
  <si>
    <t>ACREDITACIÓN INTERNACIONAL FACULTAD DE SALUD</t>
  </si>
  <si>
    <t>ACT-PY-322-12</t>
  </si>
  <si>
    <t>ACT-PY-421-44</t>
  </si>
  <si>
    <t>ACT-PY-421-45</t>
  </si>
  <si>
    <t>LABORATORIOS POSTGRADOS</t>
  </si>
  <si>
    <t>ACT-PY-113-05</t>
  </si>
  <si>
    <t>INTEGRACIÓN PROGRAMA RADIAL Y REVISTA CRECER EMPRESARIAL CON LA INVESTIGACIÓN Y LA PROYECCIÓN SOCIAL</t>
  </si>
  <si>
    <t>DECANA FACECO</t>
  </si>
  <si>
    <t>RENOVACIÓN REGISTRO CALIFICADO PROGRAMA ADMINISTRACIÓN DE EMPRESAS</t>
  </si>
  <si>
    <t>RENOVACIÓN REGISTRO CALIFICADO PROGRAMA DE CONTADURÍA</t>
  </si>
  <si>
    <t>ACT-PY-311-16</t>
  </si>
  <si>
    <t>ACT-PY-311-17</t>
  </si>
  <si>
    <t>OPERACIONALIZACIÓN SISTEMA DE AUTOEVALUACIÓN</t>
  </si>
  <si>
    <t>ACT-PY-322-13</t>
  </si>
  <si>
    <t>ACT-PY-322-14</t>
  </si>
  <si>
    <t>ACT-PY-322-15</t>
  </si>
  <si>
    <t>PROGRAMA ADMINISTACIÓN AGROPECUARIA</t>
  </si>
  <si>
    <t>ESPECIALIZACIÓN EN TALENTO HUMANO</t>
  </si>
  <si>
    <t>ESPECIALIZACIÓN EN AUDITORÍA EXTERNA Y REVISORÍA FISCAL</t>
  </si>
  <si>
    <t>ACT-PY-332-04</t>
  </si>
  <si>
    <t>CAPACITACIÓN EN FORMACIÓN DE INVESTIGADORES (DOCENTES, ESTUDIANTES Y EGRESADOS)</t>
  </si>
  <si>
    <t>ADICIÓN
EXCEDENTES FACULTADES</t>
  </si>
  <si>
    <t>ADICIÓN EXCEDENTES COMUNES</t>
  </si>
  <si>
    <t>DOCTORADO EN CIENCIAS DE LA SALUD</t>
  </si>
  <si>
    <t>DOTACION LABORATORIOS DE INFORMÁTICA, TECNOLOGÍA EN DESARROLLO DE SOFTWARE</t>
  </si>
  <si>
    <t>INSUMOS LABORATORIO DE NEUROCIENCIAS</t>
  </si>
  <si>
    <t>PY.4.2.3 Adquisición de inmuebles</t>
  </si>
  <si>
    <t>ACT-PY-423-01</t>
  </si>
  <si>
    <t>ADQUISICIÓN DE INMUBLES</t>
  </si>
  <si>
    <t>AJUSTES ESTAMPILLA SEDES
Y BIENESTAR</t>
  </si>
  <si>
    <t>AJUSTES ESTAMPILLA SEDES
(GARZÓN, PITALITO Y LA PLATA) Y BIENESTAR</t>
  </si>
  <si>
    <t>ADQUISICIÓN DE INMUEBLES</t>
  </si>
  <si>
    <t>COMPRA DE UN (1) INMUEBLE</t>
  </si>
  <si>
    <t>INMUEBLE EN SERVICIO</t>
  </si>
  <si>
    <t>INSUMOS LABORATORIO DE PSICOLOGIA FACULTAD DE CIENCIAS SOCIALES Y HUMANAS</t>
  </si>
  <si>
    <t>UNIDAD EJECUTORA</t>
  </si>
  <si>
    <t>RECTORÍA</t>
  </si>
  <si>
    <t>RECTORÍA Y VICE ADMTIVA.</t>
  </si>
  <si>
    <t>VICE ACADÉMICA</t>
  </si>
  <si>
    <t>VICE ADMTIVA.</t>
  </si>
  <si>
    <t>VICE ADMTIVA. Y VICE ACAD.</t>
  </si>
  <si>
    <t>VICE. ADMTIVA.</t>
  </si>
  <si>
    <t>INDICADORES DEL PROYECTO</t>
  </si>
  <si>
    <t>VALOR ESPERADO 31 DIC.2011</t>
  </si>
  <si>
    <t>LINEA BASE
2010</t>
  </si>
  <si>
    <t>ACCIONES</t>
  </si>
  <si>
    <t>META ACCIÓN</t>
  </si>
  <si>
    <t>INDICADOR ACCIÓN</t>
  </si>
  <si>
    <t>VALOR ESPERADO 31 DIC. 2011</t>
  </si>
  <si>
    <t>NOMBRE</t>
  </si>
  <si>
    <t>META DEL PROYECTO</t>
  </si>
  <si>
    <t xml:space="preserve">ACREDITACIÓN Y REACREDITACIÓN PROGRAMAS DE PREGRADO </t>
  </si>
  <si>
    <t>CERTIFICACIÓN DE PRUEBAS Y ENSAYOS</t>
  </si>
  <si>
    <t>NUEVOS PROYECTOS ACADÉMICOS (INCLUÍDOS LOS TÉCNICOS Y TECNOLÓGICOS)</t>
  </si>
  <si>
    <t>PY.4.2.3</t>
  </si>
  <si>
    <t>VICE. ADMTIVO</t>
  </si>
  <si>
    <t>Normas aprobadas / 3</t>
  </si>
  <si>
    <t>Normas divulgadas y socializadas / 9</t>
  </si>
  <si>
    <t>100 por ciento de las actividades realizadas</t>
  </si>
  <si>
    <t>Actualizar los Estatutos, Docente y de Propiedad Intelectual y el Manual de Convivencia</t>
  </si>
  <si>
    <t>Publicar los 3 Estatutos</t>
  </si>
  <si>
    <t>Mantener en funcionamiento la emisora de la Universidad</t>
  </si>
  <si>
    <t>26 programas emitidos por el canal zoom</t>
  </si>
  <si>
    <t>Cantidad de programas emitidos / 26 Programas</t>
  </si>
  <si>
    <t>2 emisiones Programa Via Universitaria, 12 ediciones del boletin institucional y 4 ediciones del periodico institucional</t>
  </si>
  <si>
    <t>18 emisiones y ediciones</t>
  </si>
  <si>
    <t>Portafolio publicado</t>
  </si>
  <si>
    <t>1 portafolio editado y publicado</t>
  </si>
  <si>
    <t>SISTEMA ACTUALIZADO</t>
  </si>
  <si>
    <t>Actualizar el sistema</t>
  </si>
  <si>
    <t>INFORMACION ACTUALIZADA</t>
  </si>
  <si>
    <t>Total de la información recolectada</t>
  </si>
  <si>
    <t>OFICINA DOTADA</t>
  </si>
  <si>
    <t>Dotar oficina</t>
  </si>
  <si>
    <t>CANTIDAD DE EGRESADOS VINCULADOS / CANTIDAD DE EGRESADOS DESEMPLEADOS</t>
  </si>
  <si>
    <t>Vincular a los egresados a proyectos institucionales</t>
  </si>
  <si>
    <t>CANTIDAD DE CONVENIOS DESARROLLADOS / CANTIDAD DE CONVENIOS PROPUESTOS</t>
  </si>
  <si>
    <t>50 convenios</t>
  </si>
  <si>
    <t>CANTIDAD DE PLANES Y PROYECTOS DESARROLLADOS / CANTIDAD DE PLANES Y PROYECTOS PROPUESTOS</t>
  </si>
  <si>
    <t>50 planes y proyectos</t>
  </si>
  <si>
    <t>CANTIDAD DE OFICINAS ORGANIZADAS Y DOTADAS</t>
  </si>
  <si>
    <t>PROGRAMA ACREDITADO</t>
  </si>
  <si>
    <t>Obtener el acto administrativo de acreditacion del programa</t>
  </si>
  <si>
    <t>AUTOEVALUACION REALIZADA</t>
  </si>
  <si>
    <t>INCORPORACIÓN CURRICULAR COMPONENTE INTERNACIONAL A LOS PROGRAMAS DE LA FACULTAD DE ECONOMIA Y ADMINISTRACION</t>
  </si>
  <si>
    <t>DIFERENCIA</t>
  </si>
  <si>
    <t>ÁREA ESTRATÉGICA: A.E.1 GOBERNABILIDAD</t>
  </si>
  <si>
    <t>PROGRAMA:  PR.1.1 REVISIÓN Y ACTUALIZACIÓN DE LA NORMATIVIDAD</t>
  </si>
  <si>
    <t>ÁREA ESTRATÉGICA: A.E.2 PROYECCIÓN SOCIAL</t>
  </si>
  <si>
    <t>PROGRAMA:  PR.2.1 FORTALECIMIENTO DE LA RELACIÓN UNIVERSIDAD - ESTADO - SECTOR PRODUCTIVO - COMUNIDAD</t>
  </si>
  <si>
    <t>TOTAL PROYECTO: PY.2.1.1 FORTALECIMIENTO USCO - EGRESADOS</t>
  </si>
  <si>
    <t>ÁREA ESTRATÉGICA: A.E.3. FORMACIÓN E INVESTIGACIÓN</t>
  </si>
  <si>
    <t>TOTAL PROYECTO: PY.1.1.1 ESTUDIO DE LA NORMATIVIDA INTEGRAL DE LA UNIVERSIDAD Y ADOPCIÓN DE SUS CONCLUSIONES</t>
  </si>
  <si>
    <t>TOTAL PRESUPUESTO PLAN DE ACCIÓN</t>
  </si>
  <si>
    <t>TOTAL ESTRATEGIA:  A.E.1 GOBERNABILIDAD</t>
  </si>
  <si>
    <t>TOTAL PROYECTO: PY.2.1.2 CONSOLIDACIÓN DE GRUPOS DE PROYECCIÓN SOCIAL DE LA USCO</t>
  </si>
  <si>
    <t>TOTAL ESTRATEGIA A.E.2: PROYECCIÓN SOCIAL</t>
  </si>
  <si>
    <t>TOTAL PROYECTO: PY.3.1.1 ACREDITACIÓN Y REACREDITACIÓN PROGRAMAS DE PREGRADO</t>
  </si>
  <si>
    <t>TOTAL PROYECTO: PY.3.1.3 CERTIFICACIÓN DE PRUEBAS Y ENSAYOS</t>
  </si>
  <si>
    <t>TOTAL PROGRAMA: PR.3.1 ACREDITACIÓN Y REACREDITACIÓN DE PROGRAMAS DE FORMACIÓN DE PREGRADO Y POSTGRADO</t>
  </si>
  <si>
    <t>PROGRAMA:  PR.3.1 ACREDITACIÓN Y REACREDITACIÓN DE PROGRAMAS DE FORMACIÓN DE PREGRADO Y POSTGRADO</t>
  </si>
  <si>
    <t>TOTAL PROYECTO: PY.3.2.1 CREACIÓN DE CICLOS BÁSICOS Y PROPEDÉUTICOS</t>
  </si>
  <si>
    <t>PROGRAMA:  PR.3.2 MODERNIZACIÓN CURRICULAR</t>
  </si>
  <si>
    <t>DIR CURRÍCULO Y DEC. FACECO</t>
  </si>
  <si>
    <t>TOTAL PROYECTO: PY.3.2.2 NUEVOS PROYECTOS ACADÉMICOS (INCLUÍDOS LOS TÉCNICOS Y TECNOLÓGICOS)</t>
  </si>
  <si>
    <t>TOTAL PROYECTO: PY.3.2.4 FORMACIÓN Y CAPACITACIÓN DE DOCENTES</t>
  </si>
  <si>
    <t>TOTAL PROGRAMA: PR.3.2 MODERNIZACIÓN CURRICULAR</t>
  </si>
  <si>
    <t>PROGRAMA:  PR.3.3 CONSOLIDACIÓN DE LA CULTURA DE LA INVESTIGACIÓN</t>
  </si>
  <si>
    <t>TOTAL PROYECTO: PY.3.3.1 FORMACIÓN DE ALTO NIVEL PARA LA INVESTIGACIÓN Y EL EMPRENDIMIENTO FANIE</t>
  </si>
  <si>
    <t>TOTAL PROYECTO: PY.3.3.2 CONSOLIDACIÓN DE LOS GRUPOS DE INVESTIGACIÓN</t>
  </si>
  <si>
    <t>TOTAL PROYECTO: PY.3.3.3 PRODUCCIÓN EDITORIAL COMO SOPORTE A LA INVESTIGACIÓN</t>
  </si>
  <si>
    <t>TOTAL PROYECTO: PY.3.3.4 GESTIÓN PARA LA FINANCIACIÓN DE PROEYCTOS DE INVESTIGACIÓN</t>
  </si>
  <si>
    <t>TOTAL PROYECTO: PY.3.3.5 MEMBRESÍAS A REDES DEL CONOCIMIENTO E INVESTIGACIÓN</t>
  </si>
  <si>
    <t>TOTAL PROYECTO: PY.3.3.6 PATENTES, PROIEDAD INTELECTUAR Y REGISTROS DE MARCA</t>
  </si>
  <si>
    <t>TOTAL PROYECTO: PY.3.3.7 CREACIÓN DE CENTROS DE INVESTIGACIÓN</t>
  </si>
  <si>
    <t>TOTAL PROYECTO: PY.3.4.2 CONVENIOS CON UNIVERSIDADES DEL PAÍS O DEL EXTERIOR PARA INTERCAMBIO DE DOCENTES Y ESTUDIANTES</t>
  </si>
  <si>
    <t>TOTAL PROYECTO: PY.3.4.4 IMPLEMENTACIÓN DE PROGRAMAS ACADÉMICOS CON DOBLE TITULACIÓN</t>
  </si>
  <si>
    <t>PROGRAMA:  PR.3.4 INTERNACIONALIZACIÓN DE LA UNIVERSIDAD SURCOLOMBIANA</t>
  </si>
  <si>
    <t>TOTAL PROGRAMA: PR.3.3 CONSOLIDACIÓN DE LA CULTURA DE LA INVESTIGACIÓN</t>
  </si>
  <si>
    <t>TOTAL PROGRAMA: PR.3.4 INTERNACIONALIZACIÓN DE LA UNIVERSIDAD SURCOLOMBIANA</t>
  </si>
  <si>
    <t>ÁREA ESTRATÉGICA: A.E.4. DESARROLLO ADMINISTRATIVO, FINANCIERO Y DE INFRAESTRUCTURA FÍSICA</t>
  </si>
  <si>
    <t>PROGRAMA:  PR.4.1 DESARROLLO Y CONSOLIDACIÓN DE LA CULTURA DE LA GESTIÓN INTEGRAL</t>
  </si>
  <si>
    <t>TOTAL PROYECTO: PY.4.1.1 HACIA LAS CERTIFICACIONES ISO 9001:2000 Y NTCGP.1000</t>
  </si>
  <si>
    <t>TOTAL PROYECTO: PY.4.1.2 CLIMA ORGANIZACIONAL PARA UNA USCO COMPETITIVA</t>
  </si>
  <si>
    <t>TOTAL PROGRAMA: PR.4.1 DESARROLLO Y CONSOLIDACIÓN DE LA CULTURA DE LA GESTIÓN INTEGRAL</t>
  </si>
  <si>
    <t>PROGRAMA:  PR.4.2 MODERNIZACIÓN DE LA INFRAESTRUCTURA FÍSICA</t>
  </si>
  <si>
    <t>TOTAL PROYECTO: PY.4.2.1 CONSTRUCCIÓN, ADECUACIÓN Y MANTENIMIENTO DE INFRAESTRUCTURA FÍSICA (PLANTA FÍSICA TODAS LAS SEDES)</t>
  </si>
  <si>
    <t>TOTAL PROYECTO: PY.4.2.1 DOTACIÓN Y MANTENIMIENTO DE EQUIPOS (DOTACIÓN DE OFICINAS Y AULAS TODAS LAS SEDES)</t>
  </si>
  <si>
    <t>TOTAL PROYECTO: PY.4.2.1 DOTACIÓN Y MANTENIMIENTO DE LABORATORIOS (DOTACIÓN DE LABORATORIOS TODAS LAS SEDES)</t>
  </si>
  <si>
    <t>TOTAL PROYECTO: PY.4.2.2 NUEVO CAMPUS UNIVERSITARIO</t>
  </si>
  <si>
    <t>TOTAL PROYECTO: PY.4.2.3 ADQUISICIÓN DE INMUEBLES</t>
  </si>
  <si>
    <t>TOTAL PROGRAMA: PR.4.2 MODERNIZACIÓN DE LA INFRAESTRUCTURA FÍSICA</t>
  </si>
  <si>
    <t>ÁREA ESTRATÉGICA: A.E.5. SOSTENIBILIDAD AMBIENTAL</t>
  </si>
  <si>
    <t>PROGRAMA:  PR.5.1 DIVULGACIÓN Y APROPIACIÓN DE LA NORMATIVIDAD AMBIENTAL</t>
  </si>
  <si>
    <t>TOTAL PROGRAMA: PR.5.1 DIVULGACIÓN Y APROPIACIÓN DE LA NORMATIVIDAD AMBIENTAL</t>
  </si>
  <si>
    <t>TOTAL PROYECTO: PY.5.1.1 PROMOCIÓN DE LA EDUCACIÓN AMBIENTAL Y FORMACIÓN ECOLÓGICA</t>
  </si>
  <si>
    <t>TOTAL PROYECTO: PY.5.1.2 REVISIÓN DEL CUMPLIMIENTO DE NORMAS AMBIENTALES POR LA USCO</t>
  </si>
  <si>
    <t>ÁREA ESTRATÉGICA: A.E.6. DESARROLLO HUMANO (TRANSVERSAL)</t>
  </si>
  <si>
    <t>TOTAL PROYECTO: PY.6.1.1 FORMACIÓN Y CAPACITACIÓN AL PERSONAL ADMINISTRATIVO Y OPERATIVO</t>
  </si>
  <si>
    <t>TOTAL PROYECTO: PY.6.1.2 PREPARACIÓN DE ESTUDIANTES EN PRUEBAS SABER PRO</t>
  </si>
  <si>
    <t>TOTAL PROYECTO: PY.6.2.1 BIENESTAR UNIVERSITARIO: TODOS SOMOS USCO</t>
  </si>
  <si>
    <t>TOTAL PROYECTO: PY.6.2.2 PREVENCIÓN, NEGOCIACIÓN Y RESOLUCIÓN DE CONFLICTOS: CULTURA PARA INCLUSIÓN SOCIAL Y LA PAZ</t>
  </si>
  <si>
    <t>TOTAL PROYECTO: PY.6.2.3 USCO: NO A LOS VICIOS Y ETV POR UN AMBIENTE SANO</t>
  </si>
  <si>
    <t>TOTAL PROGRAMA: PR.6.1 CUALIFICACIÓN DEL TALENTO HUMANO DOCENTE Y ADMINISTRATIVO</t>
  </si>
  <si>
    <t xml:space="preserve">PROGRAMA:  PR.6.1 CUALIFICACIÓN DEL TALENTO HUMANO DOCENTE Y ADMINISTRATIVO </t>
  </si>
  <si>
    <t>TOTAL PROGRAMA: PR.6.2 DIVULGACIÓN Y APROPIACIÓN DE LA NORMATIVIDAD AMBIENTAL</t>
  </si>
  <si>
    <t>PROGRAMA:  PR.6.2 FORTALECIMIENTO DEL BIENESTAR UNIVERSITARIO</t>
  </si>
  <si>
    <t>ÁREA ESTRATÉGICA: A.E.7. DESARROLLO TECNOLÓGICO</t>
  </si>
  <si>
    <t>PROGRAMA:  PR.7.1 CREACIÓN DE UN SISTEMA ÚNICO DE INFORMACIÓN INTEGRAL</t>
  </si>
  <si>
    <t>TOTAL PROYECTO: PY.7.1.1 SISTEUSCO: PARA LA INCORPORACIÓN DEFINITIVA DE LAS TIC A LA OPERATIVIDAD DE LA USCO</t>
  </si>
  <si>
    <t>TOTAL PROGRAMA: PR.7.1 CREACIÓN DE UN SISTEMA ÚNICO DE INFORMACIÓN INTEGRAL</t>
  </si>
  <si>
    <t>PROGRAMA:  PR.7.2 INCORPORACIÓN DE DESARROLLOS TECNOLÓGICOS A LOS PROCESOS PEDAGÓGICOS Y DE INVESTIGACION EN LA USCO</t>
  </si>
  <si>
    <t>TOTAL PROYECTO: PY.7.2.1 EDUCACIÓN VIRTUAL</t>
  </si>
  <si>
    <t>TOTAL PROYECTO: PY.7.2.2 COMPRA, DESARROLLO, DOTACIÓN Y MANTENIMIENTO DE SOFTWARE Y HARDWARE PARA LA GESTION TECNOLÓGICA EN LA USCO</t>
  </si>
  <si>
    <t>TOTAL PROGRAMA: PR.7.2  INCORPORACIÓN DE DESARROLLOS TECNOLÓGICOS A LOS PROCESOS PEDAGÓGICOS Y DE INVESTIGACION EN LA USCO</t>
  </si>
  <si>
    <t>RECURSOS ASIGNADOS HASTA EL 25/05/11
AC. 017</t>
  </si>
  <si>
    <t>TOTAL PROGRAMA: PR.1.1 REVISIÓN Y ACTUALIZACIÓN DE LA NORMATIVIDADY POSTGRADO</t>
  </si>
  <si>
    <t>TOTAL PROYECTO: PR.1.1.3 MEJORAMIENTO DE LAS RELACIONES CON LA COMUNIDAD UNIVERSITARIA</t>
  </si>
  <si>
    <t>311-1/17</t>
  </si>
  <si>
    <t>322-02/15</t>
  </si>
  <si>
    <t>RECURSOS POR ASIGNAR AL 25/05/11</t>
  </si>
  <si>
    <t>ADICIÓN CONVENIOS Y EXCEDENTES FONDOS ESPECIALES
RECURSOS COMUNES</t>
  </si>
  <si>
    <t>ADICIÓN EXCEDENTES FONDOS ESPECIALES
RECURSOS FACULTADES</t>
  </si>
  <si>
    <t>TOTAL RECURSOS ASIGNADOS DESPUES DE ADICIÓN EXCEDENTES Y CONVENIOS</t>
  </si>
  <si>
    <t>%</t>
  </si>
  <si>
    <t>DONACION CPIP</t>
  </si>
  <si>
    <t xml:space="preserve">RECURSOS EJECUTADOS </t>
  </si>
  <si>
    <t>FUENTES DE FINANCIACION</t>
  </si>
  <si>
    <t>R. NACION CREE</t>
  </si>
  <si>
    <t>SF-PY1. Identidad con la Teleología Institucional.</t>
  </si>
  <si>
    <t>SF-PY2. Creación de nueva Oferta Académica en las Sedes.</t>
  </si>
  <si>
    <t>Apoyo a la realización de estudios y diseños para la creación de programas de pregrado y postgrado.</t>
  </si>
  <si>
    <t>SF-PY3. Desarrollo Profesoral Permanente en lo Pedagógico, Disciplinar y Profesional.</t>
  </si>
  <si>
    <t>SF-PY4.  Autoevalución y Acreditación de Programas Académicos de Pregrado y Postgrado.</t>
  </si>
  <si>
    <t>SF-PY5.  Acreditación de Alta Calidad de la Universidad.</t>
  </si>
  <si>
    <t>SF-PY6. Relevo Generacional con Excelencia Académica.</t>
  </si>
  <si>
    <t>SF-PY7. Fortalecimiento de los Vínculos Universidad - Egresados.</t>
  </si>
  <si>
    <t>SI-PY1.  Fortalecimiento de las capacidades de investigación, desarrollo e innovación.</t>
  </si>
  <si>
    <t>ESTAMPILLA UNIVERSIDAD LEY 1697/13</t>
  </si>
  <si>
    <t>SI-PY2.  Calidad Académica y formación en Investigación.</t>
  </si>
  <si>
    <t>SI-PY3. Calidad Académica y formación a través de la Investigación</t>
  </si>
  <si>
    <t>SI-PY4.  Calidad Académica y ejecución de Investigación.</t>
  </si>
  <si>
    <t>Apoyo a semilleros y grupos de Investigación</t>
  </si>
  <si>
    <t>SI-PY5. Calidad Académica y gestión de Investigación.</t>
  </si>
  <si>
    <t>SI-PY6.  Articulación del Sistema Integrado de Información (TICS).</t>
  </si>
  <si>
    <t>SI-PY7.  Evaluación, dotación y consolidación de los Centros de Documentación, archivística y bases de datos.</t>
  </si>
  <si>
    <t>SI-PY8.  Creación y Fortalecimiento de Centros, Institutos de investigación, desarrollo y vigilancia Tecnológica e Innovación.</t>
  </si>
  <si>
    <t>SI-PY9.  Articulación y fortalecimiento de las publicaciones Científicas  y Académicas.</t>
  </si>
  <si>
    <t>APORTE DPTO. LEY 30 DEL 92</t>
  </si>
  <si>
    <t xml:space="preserve">Finalización de tesis de maestrias, doctorados,postdoctorados;  pasantías y estancias internacionales para investigación. </t>
  </si>
  <si>
    <t>V.I.P.S.</t>
  </si>
  <si>
    <t>Proyectos de investigación en la modalidad de trabajos de grado.</t>
  </si>
  <si>
    <t>Proyectos de investigación ejecutados por Semilleros de investigación.</t>
  </si>
  <si>
    <t>Apoyo a las actividades de fortalecimiento de los semilleros de investigación.</t>
  </si>
  <si>
    <t>Financiar la vinculación de jóvenes investigadores adscritos a grupos de investigación.</t>
  </si>
  <si>
    <t>Apoyo para los proyectos formulados por los estudiantes y egresados.</t>
  </si>
  <si>
    <t>Convenios cofinanciados</t>
  </si>
  <si>
    <t>Financiar la ejecución de proyectos de investigación.</t>
  </si>
  <si>
    <t>Apoyo  realización y participación eventos académicos a docentes y estudiantes de grupos de investigación.</t>
  </si>
  <si>
    <t>Adquisición o renovación bases de datos especializadas.</t>
  </si>
  <si>
    <t>Fortalecimiento y creación de Centros de Investigación.</t>
  </si>
  <si>
    <t>Publicación de Artículos en Revistas.</t>
  </si>
  <si>
    <t>Curso - talleres en preparacion de libros de investigacion y articulos para revistas indexadas.</t>
  </si>
  <si>
    <t>Gestión para el diseño, diagramación y publicación de revistas institucionales y libros.</t>
  </si>
  <si>
    <t>Fortalecimiento, consolidación y mejoramiento de la calidad editorial de la Revista Jurídica PIELAGUS.</t>
  </si>
  <si>
    <t>F.C.J.P.</t>
  </si>
  <si>
    <t>F.INGENIERIA</t>
  </si>
  <si>
    <t xml:space="preserve">EXCEDENTES  USCO </t>
  </si>
  <si>
    <t>evaluación de articulos, diseño, diagramación, impresión  y publicación de revistas institucionales.</t>
  </si>
  <si>
    <t>TOTAL SUBSISTEMA: DE INVESTIGACIÓN</t>
  </si>
  <si>
    <t>TOTAL SUBSISTEMA DE FORMACION</t>
  </si>
  <si>
    <t>SP-PY1.  Internacionalización Académica Curricular y Administrativa.</t>
  </si>
  <si>
    <t>Gestión de convenios nacionales e internacionales.</t>
  </si>
  <si>
    <t>Internacionalización curricular (estancias)</t>
  </si>
  <si>
    <t>Apoyo a la movilidad académica de Docentes, Estudiantes, administrativos  y docentes  y expertos invitados.</t>
  </si>
  <si>
    <t>Apoyo  procesos y fortalecimiento de alianzas academico-administrativas entre la Universidad y los organismos públicos y privados de la sociedad.</t>
  </si>
  <si>
    <t>F.SALUD</t>
  </si>
  <si>
    <t>Apoyo económico  para movilización y gastos de viaje fortalecimiento de los convenios.</t>
  </si>
  <si>
    <t>F.EDUCACION</t>
  </si>
  <si>
    <t>SP-PY2.  Regionalización de la USCO</t>
  </si>
  <si>
    <t>Acciones para la vinculacion de gremios, instituciones, líderes comunitarios a proyectos institucionales.</t>
  </si>
  <si>
    <t>SP-PY3. Reformulación y fortalecimiento de las modalidades y formas de Proyección Social</t>
  </si>
  <si>
    <t>Apoyo a grupos de Proyección Social.</t>
  </si>
  <si>
    <t>Apoyo para formación de grupos de Proyección Social integrado con semilleros.</t>
  </si>
  <si>
    <t>Ejecución proyectos menor cuantía(p.social)</t>
  </si>
  <si>
    <t>Fortalecimiento y promoción de la identidad institucional en la comunidad docente, estudiantil y administrativa.</t>
  </si>
  <si>
    <t>Consolidación y fortalecimiento de grupos de proyección social.</t>
  </si>
  <si>
    <t>Apoyo a la gestión académico-administrativa  de proyección social.</t>
  </si>
  <si>
    <t>Apoyar y promover la suscripción de convenios interinstitucionales. (propuestas y licitaciones).</t>
  </si>
  <si>
    <t>Gestión y ejecución de Convenios interinstitucionales.</t>
  </si>
  <si>
    <t>SP-PY4.  Estructuración y desarrollo Unidades de Atención Especializada y de Emprendimiento e Innovación Institucional.</t>
  </si>
  <si>
    <t>F.C.S.H.</t>
  </si>
  <si>
    <t>SP-PY5.  Consolidación de la Alianza Estratégica Estado-Universidad-Empresa-Ciudadanía.</t>
  </si>
  <si>
    <t>SP-PY6. Estructuración y Desarrollo de la Agenda Social Regional.</t>
  </si>
  <si>
    <t>SP-PY7.  Articulación de la Educación Superior con la Educación formal, el trabajo y el desarrollo humano.</t>
  </si>
  <si>
    <t>SP-PY8. Fortalecimiento del sistema de comunicación e información institucional.</t>
  </si>
  <si>
    <t>TOTAL SUBSISTEMA DE PROYECCION SOCIAL</t>
  </si>
  <si>
    <t>SB-PY1.   Universidad Saludable.</t>
  </si>
  <si>
    <t>SI-PY1.1</t>
  </si>
  <si>
    <t>SI-PY1.2</t>
  </si>
  <si>
    <t>SI-PY2.1</t>
  </si>
  <si>
    <t>SI-PY2.2</t>
  </si>
  <si>
    <t>SI-PY2.3</t>
  </si>
  <si>
    <t>SI-PY2.4</t>
  </si>
  <si>
    <t>SI-PY2.5</t>
  </si>
  <si>
    <t>SI-PY2.6</t>
  </si>
  <si>
    <t>SI-PY1.3</t>
  </si>
  <si>
    <t>SI-PY3.1</t>
  </si>
  <si>
    <t>SI-PY3.2</t>
  </si>
  <si>
    <t>SI-PY3.3</t>
  </si>
  <si>
    <t>SI-PY3.4</t>
  </si>
  <si>
    <t>SI-PY4.1</t>
  </si>
  <si>
    <t>SI-PY4.2</t>
  </si>
  <si>
    <t>SI-PY4.3</t>
  </si>
  <si>
    <t>SI-PY4.4</t>
  </si>
  <si>
    <t>SI-PY4.5</t>
  </si>
  <si>
    <t>SI-PY5.1</t>
  </si>
  <si>
    <t>SI-PY5.2</t>
  </si>
  <si>
    <t>SI-PY5.3</t>
  </si>
  <si>
    <t>SI-PY6.1</t>
  </si>
  <si>
    <t>SI-PY7.1</t>
  </si>
  <si>
    <t>SI-PY8.1</t>
  </si>
  <si>
    <t>SI-PY9.1</t>
  </si>
  <si>
    <t>SI-PY9.2</t>
  </si>
  <si>
    <t>SI-PY9.3</t>
  </si>
  <si>
    <t>SI-PY9.4</t>
  </si>
  <si>
    <t>SI-PY9.5</t>
  </si>
  <si>
    <t>SI-PY9.6</t>
  </si>
  <si>
    <t>SF-PY1.1</t>
  </si>
  <si>
    <t>SF-PY2.1</t>
  </si>
  <si>
    <t>SF-PY3.1</t>
  </si>
  <si>
    <t>SF-PY4.1</t>
  </si>
  <si>
    <t>SF-PY4.2</t>
  </si>
  <si>
    <t>SF-PY5.1</t>
  </si>
  <si>
    <t>SF-PY6.1</t>
  </si>
  <si>
    <t>SF-PY7.1</t>
  </si>
  <si>
    <t>SP-PY1.1</t>
  </si>
  <si>
    <t>SP-PY1.2</t>
  </si>
  <si>
    <t>SP-PY1.3</t>
  </si>
  <si>
    <t>SP-PY1.4</t>
  </si>
  <si>
    <t>SP-PY1.5</t>
  </si>
  <si>
    <t>SP-PY1.6</t>
  </si>
  <si>
    <t>SP-PY2.1</t>
  </si>
  <si>
    <t>SP-PY2.2</t>
  </si>
  <si>
    <t>SP-PY2.3</t>
  </si>
  <si>
    <t>SP-PY3.1</t>
  </si>
  <si>
    <t>SP-PY3.2</t>
  </si>
  <si>
    <t>SP-PY3.3</t>
  </si>
  <si>
    <t>SP-PY3.4</t>
  </si>
  <si>
    <t>SP-PY3.5</t>
  </si>
  <si>
    <t>SP-PY3.6</t>
  </si>
  <si>
    <t>SP-PY3.7</t>
  </si>
  <si>
    <t>SP-PY3.8</t>
  </si>
  <si>
    <t>SP-PY3.9</t>
  </si>
  <si>
    <t>SP-PY3.10</t>
  </si>
  <si>
    <t>SP-PY3.11</t>
  </si>
  <si>
    <t>SP-PY3.12</t>
  </si>
  <si>
    <t>SP-PY4.1</t>
  </si>
  <si>
    <t>SP-PY4.2</t>
  </si>
  <si>
    <t>SP-PY4.3</t>
  </si>
  <si>
    <t>SP-PY4.4</t>
  </si>
  <si>
    <t>SP-PY5.1</t>
  </si>
  <si>
    <t>SP-PY5.2</t>
  </si>
  <si>
    <t>SP-PY6.1</t>
  </si>
  <si>
    <t>SP-PY6.2</t>
  </si>
  <si>
    <t>SP-PY6.3</t>
  </si>
  <si>
    <t>SP-PY6.4</t>
  </si>
  <si>
    <t>SP-PY7.1</t>
  </si>
  <si>
    <t>SP-PY8.1</t>
  </si>
  <si>
    <t>SP-PY8.2</t>
  </si>
  <si>
    <t>SP-PY8.3</t>
  </si>
  <si>
    <t>SB-PY1.1</t>
  </si>
  <si>
    <t>Apoyo a actividades de clima organizacional, docentes, estudiantes y administrativos.</t>
  </si>
  <si>
    <t>SB-PY2.  Recreación y Deportes con responsabilidad y compromiso.</t>
  </si>
  <si>
    <t>SB-PY3. Cultura con responsabilidad y compromiso.</t>
  </si>
  <si>
    <t>SB-PY4. Desarrollo Humano con responsabilidad y compromiso.</t>
  </si>
  <si>
    <t>SB-PY5.  Desarrollo Socio-Económico con responsabilidad y compromiso.</t>
  </si>
  <si>
    <t>SB-PY6.  Promoción de la Permanencia y Graduación estudiantil en la Usco.</t>
  </si>
  <si>
    <t>TOTAL SUBSISTEMA BIENESTAR UNIVERSITARIO</t>
  </si>
  <si>
    <t>SA-PY1.   Revisión, reforma y actualización de la Plataforma Jurídico - Normativa institucional.</t>
  </si>
  <si>
    <t>SA-PY2.a  Construcción y mantenimiento de las Sedes.</t>
  </si>
  <si>
    <t>SA-PY2.b  Desarrollo, dotación y Mantenimiento de las Sedes.</t>
  </si>
  <si>
    <t>SA-PY3.  Aseguramiento de los sistemas de Gestión de Calidad y Gestión Ambiental.</t>
  </si>
  <si>
    <t>SA-PY4.  Creación del Grupo de Proyectos Institucionales Especiales (GPIE).</t>
  </si>
  <si>
    <t>SA-PY5.  Reestructuración Organizacional académica y administrativa.</t>
  </si>
  <si>
    <t>SA-PY6.  Desconcentración y delegación de los procesos administrativos y académicos.</t>
  </si>
  <si>
    <t>SA-PY7. Formación y Capacitación al Personal Administrativo y Operativo.</t>
  </si>
  <si>
    <t>TOTAL SUBSISTEMA ADMINISTRATIVO</t>
  </si>
  <si>
    <t>Atención apersonas en drogadicción, prostitución y E.T.V.</t>
  </si>
  <si>
    <t>Programa de sensibilización e información en derechos sexuales y reproductivos.</t>
  </si>
  <si>
    <t>Actividades deportivas de todas las Sedes.</t>
  </si>
  <si>
    <t>Actividades Culturales de todas las Sedes.</t>
  </si>
  <si>
    <t>SB-PY1.2</t>
  </si>
  <si>
    <t>SB-PY1.3</t>
  </si>
  <si>
    <t>SB-PY1.4</t>
  </si>
  <si>
    <t>SB-PY1.5</t>
  </si>
  <si>
    <t>SB-PY1.6</t>
  </si>
  <si>
    <t>SB-PY5.1</t>
  </si>
  <si>
    <t>SB-PY5.2</t>
  </si>
  <si>
    <t>SB-PY5.3</t>
  </si>
  <si>
    <t>Construcción de dos salas múltiples sede de Pitalito.</t>
  </si>
  <si>
    <t>Instalación de puente metálico y cubierta polideportivo sede Garzón.</t>
  </si>
  <si>
    <t>Adecuaciones y mantenimientos varios en las instalaciones de todas las Sedes.</t>
  </si>
  <si>
    <t>Construcción y adecuaciones del laboratorio de Ciencias Exactas y Naturales sede Central.</t>
  </si>
  <si>
    <t>Construcción de laboratorio de Ciencias Básicas en las Sedes de Garzón, La Plata y Pitalito.</t>
  </si>
  <si>
    <t>Adecuación de Laboratorio de Idiomas sede Garzón, La Plata y Pitalito.</t>
  </si>
  <si>
    <t>Instalación de cubierta metálica en polideportivos en las sedes de la Plata y Pitalito.</t>
  </si>
  <si>
    <t>Adecuaciones en restaurantes de las sedes de Garzón, La Plata y Pitalito.</t>
  </si>
  <si>
    <t>Obras básicas y adecuaciones Trapichito II.</t>
  </si>
  <si>
    <t>Adecuaciones y mantenimiento del sistema de riego de la Granja Experimental.</t>
  </si>
  <si>
    <t>Construcción de Maloka Estudiantíl.</t>
  </si>
  <si>
    <t>Apoyo para la construcción del edificio de la Facultad de Educación.</t>
  </si>
  <si>
    <t>Infraestructura de apoyo para adelantar programas de internacionalización.</t>
  </si>
  <si>
    <t>VIC. ADTIVA.</t>
  </si>
  <si>
    <t>Construcción, adecuación y Mantenimiento espacios físicos de las Facultades.</t>
  </si>
  <si>
    <t>Construcción de acometidas eléctricas desde la Subestación hasta tablero de distribución para los edificios de la sede Central y Salud.</t>
  </si>
  <si>
    <t>SA-PY2a.1</t>
  </si>
  <si>
    <t>SA-PY2a.2</t>
  </si>
  <si>
    <t>SA-PY2a.3</t>
  </si>
  <si>
    <t>SA-PY2a.4</t>
  </si>
  <si>
    <t>SA-PY2a.5</t>
  </si>
  <si>
    <t>SA-PY2a.6</t>
  </si>
  <si>
    <t>SA-PY2a.7</t>
  </si>
  <si>
    <t>SA-PY2a.8</t>
  </si>
  <si>
    <t>SA-PY2a.9</t>
  </si>
  <si>
    <t>SA-PY2a.10</t>
  </si>
  <si>
    <t>SA-PY2a.11</t>
  </si>
  <si>
    <t>SA-PY2a.12</t>
  </si>
  <si>
    <t>SA-PY2a.13</t>
  </si>
  <si>
    <t>SA-PY2a.14</t>
  </si>
  <si>
    <t>SA-PY2a.15</t>
  </si>
  <si>
    <t>SA-PY2a.16</t>
  </si>
  <si>
    <t>SA-PY2a.17</t>
  </si>
  <si>
    <t>SA-PY2a.18</t>
  </si>
  <si>
    <t>SA-PY2a.19</t>
  </si>
  <si>
    <t>Compra de equipos de computo portátil para el Programa de Ciencia Política.</t>
  </si>
  <si>
    <t>Dotación de salas de Informática</t>
  </si>
  <si>
    <t>F.C.J.P</t>
  </si>
  <si>
    <t>Compra de tables para la excelencia académica.</t>
  </si>
  <si>
    <t>Dotación de Aulas con recursos educativos.</t>
  </si>
  <si>
    <t>Dotación bibliografía para todas las sedes.</t>
  </si>
  <si>
    <t>Gestión de la estructura academico-administrativa y finaciera</t>
  </si>
  <si>
    <t>Mantenimiento de Hardware y Software.</t>
  </si>
  <si>
    <t xml:space="preserve">
F.C.S.H.
F.SALUD
F.EDUCACION
</t>
  </si>
  <si>
    <t>SA-PY2b.1</t>
  </si>
  <si>
    <t>SA-PY2b.2</t>
  </si>
  <si>
    <t>SA-PY2b.3</t>
  </si>
  <si>
    <t>SA-PY2b.4</t>
  </si>
  <si>
    <t>SA-PY2b.5</t>
  </si>
  <si>
    <t>SA-PY2b.6</t>
  </si>
  <si>
    <t>SA-PY2b.7</t>
  </si>
  <si>
    <t>SA-PY2b.8</t>
  </si>
  <si>
    <t>SA-PY2b.9</t>
  </si>
  <si>
    <t>SA-PY2b.10</t>
  </si>
  <si>
    <t>SA-PY2b.11</t>
  </si>
  <si>
    <t>SA-PY2b.12</t>
  </si>
  <si>
    <t>SA-PY2b.13</t>
  </si>
  <si>
    <t>SA-PY2b.14</t>
  </si>
  <si>
    <t>SA-PY2b.15</t>
  </si>
  <si>
    <t>SA-PY2b.16</t>
  </si>
  <si>
    <t>SA-PY2b.17</t>
  </si>
  <si>
    <t>SA-PY2b.18</t>
  </si>
  <si>
    <t>SA-PY2b.19</t>
  </si>
  <si>
    <t>SA-PY2b.20</t>
  </si>
  <si>
    <t>SA-PY2b.21</t>
  </si>
  <si>
    <t>SA-PY3.1</t>
  </si>
  <si>
    <t>Implementación y Certificación del Sistema de Gestión Ambiental de acuerdo al alcance definido para la vigencia</t>
  </si>
  <si>
    <t>OFICINA PLANEACION</t>
  </si>
  <si>
    <t>Dotación Oficinas administrativas, matenimiento y adquisición elementos de cafetería.</t>
  </si>
  <si>
    <t xml:space="preserve"> Contratación de Equipo humano para el desarrollo de las actividades Gestión Ambiental.</t>
  </si>
  <si>
    <t>Implementación de programas para el sistema de Gestión Ambiental de acuerdo al alcance definido para la vigencia.</t>
  </si>
  <si>
    <t>SA-PY3.2</t>
  </si>
  <si>
    <t>SA-PY3.3</t>
  </si>
  <si>
    <t>SA-PY3.4</t>
  </si>
  <si>
    <t>SA-PY3.5</t>
  </si>
  <si>
    <t>SA-PY3.6</t>
  </si>
  <si>
    <t>SA-PY3.7</t>
  </si>
  <si>
    <t>Apoyo económico asistencia a eventos de capacitación, académicos y personal administrativos.</t>
  </si>
  <si>
    <t>F.EDUCACION
F.INGENIERIA</t>
  </si>
  <si>
    <t>SECRETARIA GENERAL</t>
  </si>
  <si>
    <t>Compra parque automotor para la realización de prácticas y actividades académicas, de investigación y proyección social (1 Buseta, 1 Van, 1 Bus)</t>
  </si>
  <si>
    <t>Dotación de laboratorio de Ciencias Básicas en Garzón, La Plata y Pitalito( 6 laboratorios)</t>
  </si>
  <si>
    <t>Dotación de laboratorio de Idioma en Garzón, La Plata, Pitalito.</t>
  </si>
  <si>
    <t>Adquisición, instalación y puesta en funcionamiento de Software integrado académico, administrativo y financiero.</t>
  </si>
  <si>
    <t>Dotación de aulas de todas las Sedes.</t>
  </si>
  <si>
    <t>Mantenimiento e insumos de equipos para laboratorios de todas las Sedes.</t>
  </si>
  <si>
    <t>Dotación del laboratorio de T.V. de la Facultad de Ciencias Sociales y Humanas.</t>
  </si>
  <si>
    <t>SI-PY6.2</t>
  </si>
  <si>
    <t>SF-PY1.2</t>
  </si>
  <si>
    <t>SF-PY1.3</t>
  </si>
  <si>
    <t>SF-PY1.4</t>
  </si>
  <si>
    <t>SF-PY1.5</t>
  </si>
  <si>
    <t>SF-PY1.6</t>
  </si>
  <si>
    <t>Inducción estudiantes nuevos, para promover el conocimiento y apropiación de la teleología y el fomento a la permanencia estudiantil.</t>
  </si>
  <si>
    <t>Diseño de nuevos proyectos de pregrado mínimo uno en la sede de Neiva; Uno en Pitalito.</t>
  </si>
  <si>
    <t>Diseño de  nuevos proyectos de postgrado: dos proyectos de Maestría y un  proyecto de Doctorado.</t>
  </si>
  <si>
    <t>Estudio del estado de la oferta académica a nivel de pregrado y postgrado</t>
  </si>
  <si>
    <t>Cualificación docente a partir de programa de Becas en las Maestrías y Doctorados Propios.</t>
  </si>
  <si>
    <t>Capacitaciones especÍficas por áreas del conocimiento.</t>
  </si>
  <si>
    <t>SF-PY3.3</t>
  </si>
  <si>
    <t>SF-PY3.4</t>
  </si>
  <si>
    <t>SF-PY3.5</t>
  </si>
  <si>
    <t>Procesos de acreditación y renovación de acreditación de progamas de pregrado y postgrado.</t>
  </si>
  <si>
    <t>Promoción de la cultura de  la autoevaluacion.</t>
  </si>
  <si>
    <t>Creación y funcionamiento de la Unidad de Apoyo a los Procesos de Autoevaluación  y Acreditación Institucional  y de Programas -UNAPAAC</t>
  </si>
  <si>
    <t>Visitas y encuentros para apoyo con universidades del país  con Acreditación institucional</t>
  </si>
  <si>
    <t>SF-PY5.2</t>
  </si>
  <si>
    <t>SF-PY5.3</t>
  </si>
  <si>
    <t xml:space="preserve">Convocatoria para selección de Profesores Becarios. </t>
  </si>
  <si>
    <t>Acompañamiento profesoral a profesores becarios con fines de relevo generacional.</t>
  </si>
  <si>
    <t>Reestructuración de la infraestructura informática y tecnológica.</t>
  </si>
  <si>
    <t>Seguimiento a egresados.</t>
  </si>
  <si>
    <t>SF-PY7.2</t>
  </si>
  <si>
    <t>SF-PY7.3</t>
  </si>
  <si>
    <t>SF-PY7.4</t>
  </si>
  <si>
    <t>Instalación y dotación de sistemas acústicos, red de sonido, luminotecnia de escenario, silletería y sistema de aire acondicionado Auditorio del Bloque de Economía de la USCO.</t>
  </si>
  <si>
    <t>Reglamentación de la estructura de la Escuela de Postgrados.</t>
  </si>
  <si>
    <t>Revisión y actualización de los planes de estudio de pregrado.</t>
  </si>
  <si>
    <t>TOTAL INVERSION</t>
  </si>
  <si>
    <t>TOTAL PLAN DE ACCION 2015</t>
  </si>
  <si>
    <t>ADQUISICION EQUIPOS</t>
  </si>
  <si>
    <t>VIPS
F.C.J.P.</t>
  </si>
  <si>
    <t>GPIE</t>
  </si>
  <si>
    <t>SF-PY2.2</t>
  </si>
  <si>
    <t>SF-PY2.3</t>
  </si>
  <si>
    <t>SF-PY2.4</t>
  </si>
  <si>
    <t>SF-PY2.5</t>
  </si>
  <si>
    <t>SF-PY2.6</t>
  </si>
  <si>
    <t>SF-PY3.2</t>
  </si>
  <si>
    <t>SF-PY6.2</t>
  </si>
  <si>
    <t>SF-PY6.3</t>
  </si>
  <si>
    <t>Encuentros de egresados por programas.</t>
  </si>
  <si>
    <t>Adquisición, mantenimiento y repotenciación de equipos especializados para investigación.</t>
  </si>
  <si>
    <t>Adquisición y renovación licenciamientos  software especializado para investigación.</t>
  </si>
  <si>
    <t>Gestión y apoyo para la calidad académica y formación en investigación .</t>
  </si>
  <si>
    <t>Sensibilización y acciones conjuntas en proyectos de investigación ONDAS.</t>
  </si>
  <si>
    <t>Capacitación y participación en eventos, investigadores USCO en proceso de formación.</t>
  </si>
  <si>
    <t>Desarrollo de eventos académicos.</t>
  </si>
  <si>
    <t>Apoyo en la Formulación y ejecución de proyectos articulados GRUPOS - PROGRAMA ONDAS.</t>
  </si>
  <si>
    <t>Financiar la ejecución de proyectos de investigación .</t>
  </si>
  <si>
    <t>Gestión y apoyo a la ejecución de proyectos de investigación.</t>
  </si>
  <si>
    <t>Convenios cofinanciados.</t>
  </si>
  <si>
    <t>Desarrollo aplicativo para gestión en investigación.</t>
  </si>
  <si>
    <t>Gestión y apoyo para el desarrollo del aplicativo en gestión.</t>
  </si>
  <si>
    <t>Apoyo a la internacionalización de la investigación y la proyección social.</t>
  </si>
  <si>
    <t>Movilidad de docentes, estudiantes y personal administrativo para fortalecimiento de las Sedes.</t>
  </si>
  <si>
    <t>Apoyo y gestión en acciones para la regionalización.</t>
  </si>
  <si>
    <t>Apoyo logístico a proyectos  de Responsabilidad Social Universitaria.</t>
  </si>
  <si>
    <t>Apoyo y ejecución de la oferta de educación continuada.</t>
  </si>
  <si>
    <t>Gestión tecnológica como apoyo a la proyección social.</t>
  </si>
  <si>
    <t>Dotación de Unidad de Emprendimiento.</t>
  </si>
  <si>
    <t>Apoyo en la gestión de proyectos de emprendimiento e innovación.</t>
  </si>
  <si>
    <t>Ejecución de proyectos de emprendimiento e innovación.</t>
  </si>
  <si>
    <t>Apoyo para la Gestion de proyectos UEES.</t>
  </si>
  <si>
    <t>Ejecución de proyectos y eventos alianza UEES.</t>
  </si>
  <si>
    <t>Talleres intersectoriales para acuerdos y compromisos con actores sociales.</t>
  </si>
  <si>
    <t>Creación y puesta en funcionamiento  del Observatorio de medios sobre políticas públicas.</t>
  </si>
  <si>
    <t>Apoyo a la gestión para la creación del Instituto de Estudios Surcolombianos.</t>
  </si>
  <si>
    <t>Gestión de Propuestas de cooperación en la región.</t>
  </si>
  <si>
    <t>Gestión de propuestas de integración de la Educación Superior y la Media.</t>
  </si>
  <si>
    <t>Emisora  Institucional Surcolombiana.</t>
  </si>
  <si>
    <t>Elaboración de Prospectos, revistas e Instructivos-publicidad.</t>
  </si>
  <si>
    <t>Prestación servicio médico a estudiantes.</t>
  </si>
  <si>
    <t>Prestación servicio odontólogico a estudiantes.</t>
  </si>
  <si>
    <t>Prestación servicio Psicológico a estudiantes.</t>
  </si>
  <si>
    <t>SB-PY2.1</t>
  </si>
  <si>
    <t>SB-PY3.1</t>
  </si>
  <si>
    <t>SB-PY4.1</t>
  </si>
  <si>
    <t>Prestación de servicio de restaurante a los estudiantes.</t>
  </si>
  <si>
    <t>Atención a población estudianil en situación de extrema vulnerabilidad.</t>
  </si>
  <si>
    <t>Vinculación de estudiantes en procesos institucionales.</t>
  </si>
  <si>
    <t>Permanencia y graduación estudiantil.</t>
  </si>
  <si>
    <t>Adquisición bibliografía.</t>
  </si>
  <si>
    <t>Adquisición de muebles y equipos de oficina de todas las Sedes.</t>
  </si>
  <si>
    <t>SA-PY4.1</t>
  </si>
  <si>
    <t>Revisión y análisis de la normatividad de la Universidad  con el propósito de actualizarla de acuerdo a los lineamientos legales que rigen la Educación Superior vigente.</t>
  </si>
  <si>
    <t>Elaboración de estudio de factibilidad ténico-financiero de la modernización académico administrativa.</t>
  </si>
  <si>
    <t>Socialización de la  propuesta de modernización.</t>
  </si>
  <si>
    <t>SA-PY5.1</t>
  </si>
  <si>
    <t>SA-PY5.2</t>
  </si>
  <si>
    <t>SA-PY5.3</t>
  </si>
  <si>
    <t>SA-PY5.4</t>
  </si>
  <si>
    <t>Ejecución de macroproyectos de P. Social.</t>
  </si>
  <si>
    <t>Elaboración y actualización de los siguientes documentos:  Estatuto General de la Universidad; Estatuto Estudiantíl; Estatuto Docente; Estatuto Personal Administrativo; Estatuto de Contratación.</t>
  </si>
  <si>
    <t>SA-PY1.1</t>
  </si>
  <si>
    <t>SA-PY1.2</t>
  </si>
  <si>
    <t>Software Administración Sistema de Gestión de Calidad.</t>
  </si>
  <si>
    <t>Inducción y reinducción anual a profesores, directivos y administrativos,  para promover el conocimiento y apropiación de la teleología institucional.</t>
  </si>
  <si>
    <t>Reforma a cursos obligatorios de núcleo institucional (Comunicación Linguistica, Constitución, Medio Ambiente, Ética,  y otros de competencias genéricas).</t>
  </si>
  <si>
    <t>Estrategias divulgativas de la Misión, La Visión, el Proyecto Educativo Institucional PEU.</t>
  </si>
  <si>
    <t>Fomento de la pertenencia institucional a través de la realización de cátedras libres y alternas, eventos deportivos, culturales, recreativos dirigidos a estudiantes, profesores y egresados que desde la inclusión promuevan la identidad surcolombiana.</t>
  </si>
  <si>
    <t>V.ACADEMICA</t>
  </si>
  <si>
    <t>G.I.BIENESTAR</t>
  </si>
  <si>
    <t>Promoción de la imagen corporativa institucional, portafolio de servicios-oferta académica.</t>
  </si>
  <si>
    <t>Ejecución Plan de Capacitación para el personal Administrativo y de Trabajadores Oficiales.</t>
  </si>
  <si>
    <t>SA-PY7.1</t>
  </si>
  <si>
    <t>SA-PY7.2</t>
  </si>
  <si>
    <t>Análisis y evaluación para la creacion del cargo de tesorero para la oficina de Fondos Especiales.</t>
  </si>
  <si>
    <t>SA-PY6.1</t>
  </si>
  <si>
    <t>SA-PY3.8</t>
  </si>
  <si>
    <t>OFICINA CONTROL INTERNO</t>
  </si>
  <si>
    <t>FACECO</t>
  </si>
  <si>
    <t>V.ACADEMICA
F.C.J.P.
F.EDUCACION
FACECO</t>
  </si>
  <si>
    <t>F.SALUD
F.C.J.P.
F.EDUCACION
F.C.S.H.
F.INGENIERÍA
FACECO</t>
  </si>
  <si>
    <t>Dotación equipos de laboratorios.</t>
  </si>
  <si>
    <t>F.SALUD
F.EDUCACION
FACECO
F.INGENIERIA</t>
  </si>
  <si>
    <t>SB-PY1.7</t>
  </si>
  <si>
    <t>SB-PY1.8</t>
  </si>
  <si>
    <t>Estudio de Prospectiva</t>
  </si>
  <si>
    <t>SA-PY5.5</t>
  </si>
  <si>
    <t>SA-PY2b.22</t>
  </si>
  <si>
    <t>SA-PY8.1</t>
  </si>
  <si>
    <t>Adquisición de un bien Inmueble</t>
  </si>
  <si>
    <t>Dotación Laboratorio de Gas y Equipos de Cómputo Maestría en Ingeniería de Petróleos.</t>
  </si>
  <si>
    <t>Capacitación individual docente.</t>
  </si>
  <si>
    <t>R.NACION 2% FOMENTO EDUCACION</t>
  </si>
  <si>
    <t>SF-PY2.7</t>
  </si>
  <si>
    <t>Ampliación de número de becas por Maestrías  para egresados de la Universidad.</t>
  </si>
  <si>
    <t>EST.DPTO.</t>
  </si>
  <si>
    <t>F. SALUD</t>
  </si>
  <si>
    <t>R.PROPIOS RENDIMIENTOS CREE</t>
  </si>
  <si>
    <t>SB-PY6.1</t>
  </si>
  <si>
    <t>Diseño de software para los programas y las políticas de Sostenibilidad de la Universidad Surcolombiana.</t>
  </si>
  <si>
    <t>Afiliación y Auditoría de seguimiento de la Certificación ISO 9001:2008 NTCGP 1000:2009.</t>
  </si>
  <si>
    <t>Actualización del Sistema de Gestión de Calidad con el Plan de Desarrollo.</t>
  </si>
  <si>
    <t>Creación del Comité y Operación.</t>
  </si>
  <si>
    <t>Diagnóstico.</t>
  </si>
  <si>
    <t>Promoción de Principios y Fortalecimiento del MECI.</t>
  </si>
  <si>
    <t>Desarrollo de doctorados.</t>
  </si>
  <si>
    <t>Programa de Formación Continua dirigido a  docentes.</t>
  </si>
  <si>
    <t>Internacionacionalización del curriculo.</t>
  </si>
  <si>
    <t>Reglamentación de la politica de egresados.</t>
  </si>
  <si>
    <t>USCO saludable.</t>
  </si>
  <si>
    <t>Estudio y prefactibilidad IPS Universitaria.</t>
  </si>
  <si>
    <r>
      <t>Revisión y Ajustes al documento de autoevaluación Institucional en consonancia con los proyectos del Plan de Desarrollo 2015-2024</t>
    </r>
    <r>
      <rPr>
        <sz val="11"/>
        <color indexed="10"/>
        <rFont val="Arial Narrow"/>
        <family val="2"/>
      </rPr>
      <t xml:space="preserve">. </t>
    </r>
  </si>
  <si>
    <t>VIPS            F.EDUCACION
F.INGENIERIA</t>
  </si>
  <si>
    <t>Gestión y apoyo al Grupo de Proyectos Institucionales  Especiales "GPIE"</t>
  </si>
  <si>
    <t>Otros medios de divulgación y comunicación universitaria.</t>
  </si>
  <si>
    <t>RECURSOS DOCTORADOS</t>
  </si>
  <si>
    <t>SA-PY2b.23</t>
  </si>
  <si>
    <t>Dotación Aplicación y Software para tablets Excel</t>
  </si>
  <si>
    <t>SA-PY2a.20</t>
  </si>
  <si>
    <t>Construcción de Archivo Central y Talleres.</t>
  </si>
  <si>
    <t>SA-PY2b.24</t>
  </si>
  <si>
    <t>Bicicletas Ecológicas para la movilidad estudiantíl.</t>
  </si>
  <si>
    <t>Estudios y diseños de obras civiles varias.</t>
  </si>
  <si>
    <t>SB-PY1.9</t>
  </si>
  <si>
    <t>Cátedras Alternativas para disminuír el consumo de Drogas.</t>
  </si>
  <si>
    <t>SA-PY2b.25</t>
  </si>
  <si>
    <t>Construcción y Mantenimiento planta física de todas las Sedes.</t>
  </si>
  <si>
    <t>SI-PY7.2</t>
  </si>
  <si>
    <t>Apoyo a los procesos de archivo físico y digitalización de archivos documentales.</t>
  </si>
  <si>
    <t>EXC. USCO-REEMPLAZO EJEC. ESTAMPILLA</t>
  </si>
  <si>
    <t>Modernización Tecnológica.</t>
  </si>
  <si>
    <t xml:space="preserve">Adquisición y aplicación de Software y elementos para Hardware. </t>
  </si>
  <si>
    <t>Talleres de evaluación y reformulación de microcurrículos.</t>
  </si>
  <si>
    <t>Dotación y Funcionamiento de la Unidad de Servicio de  Atención Psicológica ( USAP).</t>
  </si>
  <si>
    <t>Dotación de laboratorio de Ciencias Básicas de la Facultad de Ciencias Exactas y Naturales.</t>
  </si>
  <si>
    <t>F.EDUCACION
FACECO
F.SALUD</t>
  </si>
  <si>
    <t>V.ACADEMICA F.EDUCACION
FACECO
F.INGENIERIA
F.C.J.P.</t>
  </si>
  <si>
    <t>V.ACADEMICA
FACECO</t>
  </si>
  <si>
    <t>V.ACADEMICA
F.C.SOCIALES</t>
  </si>
  <si>
    <t>VIPS
F.C.SOCIALES</t>
  </si>
  <si>
    <t>F. SALUD
FACECO</t>
  </si>
  <si>
    <t>V.I.P.S.
FACECO</t>
  </si>
  <si>
    <t>VIPS
F. SALUD
F.C.J.P</t>
  </si>
  <si>
    <t>F.SALUD
F.EDUCACION</t>
  </si>
  <si>
    <t>F.INGENIERIA
F.C.J.P.</t>
  </si>
  <si>
    <t>F. SALUD
F.EDUCACION
FACECO</t>
  </si>
  <si>
    <t>F.SALUD
F.EDUCACIÓN
F.INGENIERÍA</t>
  </si>
  <si>
    <t>F.INGENIERIA
FACECO
G.I.BIENESTAR</t>
  </si>
  <si>
    <t>F.SALUD
F.INGENIERIA
FACECO
F.C.SOCIALES
G.I.BIENESTAR</t>
  </si>
  <si>
    <t>G.I.BIENESTAR
FACECO</t>
  </si>
  <si>
    <t>F. SALUD
FACECO
F.EDUCACIÓN
F.C.J.P.
F.INGENIERÍA</t>
  </si>
  <si>
    <t>VIC. ADTIVA.
F. SALUD
F.INGENIERIA
FACECO</t>
  </si>
  <si>
    <t>VIC. ADTIVA.
F.SALUD</t>
  </si>
  <si>
    <t>Mejoramiento del Campus Universitario para la Vida académica  y adecuaciones de espacios ecológicos (sendero ecológico)</t>
  </si>
  <si>
    <t>Adquisición de equipos de seguridad para el control de ingreso a las sedes de la Universidad.</t>
  </si>
  <si>
    <t>SUBSISTEMA</t>
  </si>
  <si>
    <t>SALDO</t>
  </si>
  <si>
    <t>LINEA BASE</t>
  </si>
  <si>
    <t>META DE PRODUCTO 2015</t>
  </si>
  <si>
    <t>FORMACION</t>
  </si>
  <si>
    <t>PROGRAMAS:
27 PREGRADO
8  MAESTRIAS
2 DOCTORADOS</t>
  </si>
  <si>
    <t>40.009 PERSONAS</t>
  </si>
  <si>
    <t>META DE RESULTADO  PI</t>
  </si>
  <si>
    <t>INVESTIGACION</t>
  </si>
  <si>
    <t>PROYECCION SOCIAL</t>
  </si>
  <si>
    <t>ADMINISTRATIVO</t>
  </si>
  <si>
    <t>1.150 PERSONAS</t>
  </si>
  <si>
    <t>3.450 PERSONAS</t>
  </si>
  <si>
    <t xml:space="preserve"> </t>
  </si>
  <si>
    <t>RECURSOS ASIGNADOS P.I
2015</t>
  </si>
  <si>
    <t>PROGRAMAS:
32 PREGRADO
12 MAESTRIAS
6 DOCTORADOS</t>
  </si>
  <si>
    <t>PROGRAMAS:
37 PROF. DOCTORADO 
189 PROF. MAESTRIA
100 PROFESORES CAP.EST.PEDAGOGICAS.</t>
  </si>
  <si>
    <t>PROGRAMAS:
39 PROF. DOCT.  189 PROF. MAE.
100 PROFES. CAP.EST.PEDAGOGICAS.</t>
  </si>
  <si>
    <t>PROGRAMAS:
49 PROF. DOCT.  198 PROF.MAEST.
100 PROFES. CAP.EST.PEDAGOGICAS.</t>
  </si>
  <si>
    <t>27 PROG.PREGRAD.
0 PROG.POSTGRAD.</t>
  </si>
  <si>
    <t>27 PROG.PREGRAD.</t>
  </si>
  <si>
    <t>31 PROG.PREGRAD.</t>
  </si>
  <si>
    <t>26 PROG.POSTGRAD.</t>
  </si>
  <si>
    <t>22 PROG.POSTGRAD.</t>
  </si>
  <si>
    <t>0 UNIDADES</t>
  </si>
  <si>
    <t>30 UNIDADES</t>
  </si>
  <si>
    <t>2 GRADUADOS</t>
  </si>
  <si>
    <t>40 GRADUADOS</t>
  </si>
  <si>
    <t>25 GRADUADOS</t>
  </si>
  <si>
    <t>1 EVENTO</t>
  </si>
  <si>
    <t>70 EVENTOS</t>
  </si>
  <si>
    <t>10 EVENTOS</t>
  </si>
  <si>
    <t>6 EQUIPOS</t>
  </si>
  <si>
    <t>46 EQUIPOS</t>
  </si>
  <si>
    <t>9 EQUIPOS</t>
  </si>
  <si>
    <t>3 LICENCIAS</t>
  </si>
  <si>
    <t>33 LICENCIAS</t>
  </si>
  <si>
    <t>6 LICENCIAS</t>
  </si>
  <si>
    <t>5 TESIS</t>
  </si>
  <si>
    <t>55 TESIS</t>
  </si>
  <si>
    <t>7 TESIS</t>
  </si>
  <si>
    <t>2 TALLERES</t>
  </si>
  <si>
    <t>42 TALLERES</t>
  </si>
  <si>
    <t>4 TALLERES</t>
  </si>
  <si>
    <t>31 EVENTOS</t>
  </si>
  <si>
    <t>2 EVENTOS</t>
  </si>
  <si>
    <t>60 SESIONES</t>
  </si>
  <si>
    <t>460 SESIONES</t>
  </si>
  <si>
    <t>94 SESIONES</t>
  </si>
  <si>
    <t>1 PROYECTO</t>
  </si>
  <si>
    <t>51 PROYECTO</t>
  </si>
  <si>
    <t>2 PROYECTO</t>
  </si>
  <si>
    <t>3 EVENTOS</t>
  </si>
  <si>
    <t>43 EVENTOS</t>
  </si>
  <si>
    <t>4 EVENTOS</t>
  </si>
  <si>
    <t>20 CAPACITACIONES</t>
  </si>
  <si>
    <t>40 CAPACITACIONES</t>
  </si>
  <si>
    <t>220 CAPACITACIONES</t>
  </si>
  <si>
    <t>80 PROYECTOS</t>
  </si>
  <si>
    <t>2540 PROYECTOS</t>
  </si>
  <si>
    <t>30 PROYECTOS</t>
  </si>
  <si>
    <t>330 PROYECTOS</t>
  </si>
  <si>
    <t>4 PERSONAS</t>
  </si>
  <si>
    <t>124 PERSONAS</t>
  </si>
  <si>
    <t>49 PROYECTOS</t>
  </si>
  <si>
    <t>450 PROYECTOS</t>
  </si>
  <si>
    <t>1 APOYO</t>
  </si>
  <si>
    <t>11 APOYOS</t>
  </si>
  <si>
    <t>148 PROYECTOS</t>
  </si>
  <si>
    <t>42 PROYECTOS</t>
  </si>
  <si>
    <t>6 PERSONAS</t>
  </si>
  <si>
    <t>74 PTOYECTOS</t>
  </si>
  <si>
    <t>F. SALUD
F.INGENIERIA
VIC.ADTIVA.</t>
  </si>
  <si>
    <t>Evaluación, diseño, diagramación, impresión  y publicación de libros en las diferentes modalidades.</t>
  </si>
  <si>
    <t>TRIMESTRE 1</t>
  </si>
  <si>
    <t>TRIMESTRE 2</t>
  </si>
  <si>
    <t>TRIMESTRE 3</t>
  </si>
  <si>
    <t>TRIMESTRE 4</t>
  </si>
  <si>
    <t>-</t>
  </si>
  <si>
    <t>10 PROYECTOS</t>
  </si>
  <si>
    <t>10 CONVENIOS</t>
  </si>
  <si>
    <t>130 PROYECTOS</t>
  </si>
  <si>
    <t>130 CONVENIOS</t>
  </si>
  <si>
    <t>12 PROYECTOS</t>
  </si>
  <si>
    <t>12 CONVENIOS</t>
  </si>
  <si>
    <t>0 APLICATIVO</t>
  </si>
  <si>
    <t>1 APLICATIVO</t>
  </si>
  <si>
    <t>10 APLICATIVO</t>
  </si>
  <si>
    <t>2 BASES</t>
  </si>
  <si>
    <t>8 BASES</t>
  </si>
  <si>
    <t>3 BASES</t>
  </si>
  <si>
    <t>1 CENTRO</t>
  </si>
  <si>
    <t>2 CENTRO</t>
  </si>
  <si>
    <t>4 REVISTAS</t>
  </si>
  <si>
    <t>9 REVISTAS</t>
  </si>
  <si>
    <t>1 CURSO</t>
  </si>
  <si>
    <t>21 CURSOS</t>
  </si>
  <si>
    <t>11 LIBROS</t>
  </si>
  <si>
    <t>161 LIBROS</t>
  </si>
  <si>
    <t>1 REVISTA</t>
  </si>
  <si>
    <t>5 REVISTAS</t>
  </si>
  <si>
    <t>2 CURSOS</t>
  </si>
  <si>
    <t>18 LIBROS</t>
  </si>
  <si>
    <t>0 CONSOLIDACIÓN</t>
  </si>
  <si>
    <t>0 CURRICULOS</t>
  </si>
  <si>
    <t>201 PERSONAS</t>
  </si>
  <si>
    <t>5 APOYOS</t>
  </si>
  <si>
    <t>100% CONSOLIDACIÓN</t>
  </si>
  <si>
    <t>100% CURRICULOS</t>
  </si>
  <si>
    <t>261 PERSONAS</t>
  </si>
  <si>
    <t>50 APOYOS</t>
  </si>
  <si>
    <t>0 ESTRATEGIAS</t>
  </si>
  <si>
    <t>100% ESTRATEGIAS</t>
  </si>
  <si>
    <t>10 CONSOLIDACIÓN</t>
  </si>
  <si>
    <t>10 CURRICULOS</t>
  </si>
  <si>
    <t>207 PERSONAS</t>
  </si>
  <si>
    <t>15 ESTRATEGIAS</t>
  </si>
  <si>
    <t>4 MACROPROYECTOS</t>
  </si>
  <si>
    <t>18 PROYECTOS</t>
  </si>
  <si>
    <t>36 ACTIVIDADES</t>
  </si>
  <si>
    <t>17 EVENTOS</t>
  </si>
  <si>
    <t>6 CONVENIOS</t>
  </si>
  <si>
    <t>0 IMPLEMENTACION</t>
  </si>
  <si>
    <t>51 MACROPROYECTOS</t>
  </si>
  <si>
    <t>200 PROYECTOS</t>
  </si>
  <si>
    <t xml:space="preserve">400 ACTIVIDADES </t>
  </si>
  <si>
    <t>200 EVENTOS</t>
  </si>
  <si>
    <t>200 CURSOS</t>
  </si>
  <si>
    <t>190 CONVENIOS</t>
  </si>
  <si>
    <t>100% IMPLEMENTACION</t>
  </si>
  <si>
    <t>9  MACROPROYECTOS</t>
  </si>
  <si>
    <t>45 PROYECTOS</t>
  </si>
  <si>
    <t>108 ACTIVIDADES</t>
  </si>
  <si>
    <t>20 CURSOS</t>
  </si>
  <si>
    <t>30 CONVENIOS</t>
  </si>
  <si>
    <t>10 IMPLEMENTACION</t>
  </si>
  <si>
    <t>100% UNIDADES</t>
  </si>
  <si>
    <t>50 UNIDADES</t>
  </si>
  <si>
    <t>0 PROYECTOS</t>
  </si>
  <si>
    <t>11 PROYECTOS</t>
  </si>
  <si>
    <t>0 DOCUMENTOS</t>
  </si>
  <si>
    <t>0 OBSERVATORIO</t>
  </si>
  <si>
    <t>1 DOCUMENTOS</t>
  </si>
  <si>
    <t>1 OBSERVATORIO</t>
  </si>
  <si>
    <t>1 PROYECTOS</t>
  </si>
  <si>
    <t>30 DOCUMENTOS</t>
  </si>
  <si>
    <t>50 OBSERVATORIO</t>
  </si>
  <si>
    <t>50 PROYECTOS</t>
  </si>
  <si>
    <t>0 PLAN</t>
  </si>
  <si>
    <t>10% AVANCE</t>
  </si>
  <si>
    <t>10% HOSTING Y DOMINIO                 50% AVANCE</t>
  </si>
  <si>
    <t>100% CAMBIO DE MARCA INSTITUCIONAL</t>
  </si>
  <si>
    <t>1 PLAN</t>
  </si>
  <si>
    <t>100% HOSTING Y DOMINIO                 100% AVANCE</t>
  </si>
  <si>
    <t>25 PLAN</t>
  </si>
  <si>
    <t>15% CAMBIO DE MARCA INSTITUCIONAL</t>
  </si>
  <si>
    <t>45% HOSTING Y DOMINIO                 5% AVANCE</t>
  </si>
  <si>
    <t>1215 CONSULTAS</t>
  </si>
  <si>
    <t>803 CONSULTAS</t>
  </si>
  <si>
    <t>814 CONSULTAS</t>
  </si>
  <si>
    <t>1180 ACTIVIDADES</t>
  </si>
  <si>
    <t>500 ACTIVIDADES</t>
  </si>
  <si>
    <t>1635 CONSULTAS</t>
  </si>
  <si>
    <t>1079 CONSULTAS</t>
  </si>
  <si>
    <t>1094 CONSULTAS</t>
  </si>
  <si>
    <t>1586 ACTIVIDADES</t>
  </si>
  <si>
    <t>612 ACTIVIDADES</t>
  </si>
  <si>
    <t>2635 PERSONAS</t>
  </si>
  <si>
    <t>3541 PERSONAS</t>
  </si>
  <si>
    <t>1251 CONSULTAS</t>
  </si>
  <si>
    <t>827 CONSULTAS</t>
  </si>
  <si>
    <t>838 CONSULTAS</t>
  </si>
  <si>
    <t>1215 ACTIVIDADES</t>
  </si>
  <si>
    <t>515 ACTIVIDADES</t>
  </si>
  <si>
    <t>2714 PERSONAS</t>
  </si>
  <si>
    <t>4131 APOYOS</t>
  </si>
  <si>
    <t>5552 APOYOS</t>
  </si>
  <si>
    <t>4255 APOYOS</t>
  </si>
  <si>
    <t>9113 ESTUDIANTES</t>
  </si>
  <si>
    <t>12247 ESTUDIANTES</t>
  </si>
  <si>
    <t>9386 ESTUDIANTES</t>
  </si>
  <si>
    <t>100% ACTUALIZADAS</t>
  </si>
  <si>
    <t xml:space="preserve">0 EVENTOS                              </t>
  </si>
  <si>
    <t>0 PROGRMAS</t>
  </si>
  <si>
    <t xml:space="preserve">10 EVENTOS                              </t>
  </si>
  <si>
    <t>10 PROGRMAS</t>
  </si>
  <si>
    <t>F. SALUD
F.INGENIERIA
F.EDUCACION</t>
  </si>
  <si>
    <t xml:space="preserve">Beneficiarios de actividades deportivas de todas las Sedes. </t>
  </si>
  <si>
    <t>Actividades Deportivas</t>
  </si>
  <si>
    <t>9078 BENEFICIARIOS</t>
  </si>
  <si>
    <t xml:space="preserve">11306 PERSONAS      </t>
  </si>
  <si>
    <t>199 ACTIVIDADES</t>
  </si>
  <si>
    <t xml:space="preserve">12234 BENEFICIARIOS </t>
  </si>
  <si>
    <t xml:space="preserve">15194 PERSONAS     </t>
  </si>
  <si>
    <t>267 ACTIVIDADES</t>
  </si>
  <si>
    <t xml:space="preserve">9350 BENEFICIARIOS </t>
  </si>
  <si>
    <t xml:space="preserve">11645 PERSONAS     </t>
  </si>
  <si>
    <t>205 ACTIVIDADES</t>
  </si>
  <si>
    <t>Actividades Culturales de todas las Sedes. Número Participantes</t>
  </si>
  <si>
    <t>Talleres: número de participantes</t>
  </si>
  <si>
    <t>Grupos Artisticos: Números de integrantes</t>
  </si>
  <si>
    <t>52975 PARTICIPANTES</t>
  </si>
  <si>
    <t xml:space="preserve">1509 TALLERES   </t>
  </si>
  <si>
    <t xml:space="preserve">520 EVENTOS                </t>
  </si>
  <si>
    <t>531 PERSONAS</t>
  </si>
  <si>
    <t>71194 PARTICIPANTES</t>
  </si>
  <si>
    <t xml:space="preserve">2028 TALLERES  </t>
  </si>
  <si>
    <t xml:space="preserve">699 EVENTOS                 </t>
  </si>
  <si>
    <t>714 PERSONAS</t>
  </si>
  <si>
    <t xml:space="preserve">54564 PARTICIPANTES  </t>
  </si>
  <si>
    <t xml:space="preserve">1554 TALLERES      </t>
  </si>
  <si>
    <t xml:space="preserve">536 EVENTOS           </t>
  </si>
  <si>
    <t>547 PERSONAS</t>
  </si>
  <si>
    <t>Eventos de clima organizacional y convivencia.(Eventos)</t>
  </si>
  <si>
    <t>Eventos convivencia, integración y reconocimiento</t>
  </si>
  <si>
    <t xml:space="preserve">50 EVENTOS                </t>
  </si>
  <si>
    <t xml:space="preserve">67 EVENTOS                </t>
  </si>
  <si>
    <t>13 EVENTOS</t>
  </si>
  <si>
    <t xml:space="preserve">52 EVENTOS                </t>
  </si>
  <si>
    <t>Prestación de servicio de restaurante en sedes a los estudiantes.</t>
  </si>
  <si>
    <t xml:space="preserve">150 ESTUDIOS        </t>
  </si>
  <si>
    <t>3600 SERVICIOS</t>
  </si>
  <si>
    <t xml:space="preserve">202 ESTUDIOS        </t>
  </si>
  <si>
    <t>4838 SERVICIOS</t>
  </si>
  <si>
    <t xml:space="preserve">155 ESTUDIOS        </t>
  </si>
  <si>
    <t>3708 SERVICIOS</t>
  </si>
  <si>
    <t xml:space="preserve">       150 MERIENDAS</t>
  </si>
  <si>
    <t xml:space="preserve"> 483 MERIENDAS</t>
  </si>
  <si>
    <t xml:space="preserve">  165 MERIENDAS</t>
  </si>
  <si>
    <t>EJECUCIÓN EN CDP</t>
  </si>
  <si>
    <t>SALDOS POR EJECUTAR EN CDP</t>
  </si>
  <si>
    <t>EJECUCIÓN EN RP</t>
  </si>
  <si>
    <t xml:space="preserve">SALDOS POR EJECUTAR </t>
  </si>
  <si>
    <t>SUBSISTEMA DE FORMACION</t>
  </si>
  <si>
    <t>SUBSISTEMA: DE INVESTIGACIÓN</t>
  </si>
  <si>
    <t>SUBSISTEMA DE PROYECCION SOCIAL</t>
  </si>
  <si>
    <t>SUBSISTEMA BIENESTAR UNIVERSITARIO</t>
  </si>
  <si>
    <t>SUBSISTEMA ADMINISTRATIVO</t>
  </si>
  <si>
    <t xml:space="preserve"> S. FORMACION</t>
  </si>
  <si>
    <t xml:space="preserve"> S. INVESTIGACIÓN</t>
  </si>
  <si>
    <t xml:space="preserve"> S.PROYECCION SOCIAL</t>
  </si>
  <si>
    <t xml:space="preserve"> S. BIENESTAR UNIVERSITARIO</t>
  </si>
  <si>
    <t xml:space="preserve"> S. ADMINISTRATIVO</t>
  </si>
  <si>
    <t>COMPARATIVO DE EJECUCION ACUMULADA POR SUBSISTEMA</t>
  </si>
  <si>
    <t>AGOSTO</t>
  </si>
  <si>
    <t>JUNIO</t>
  </si>
  <si>
    <t>MARZO</t>
  </si>
  <si>
    <t>MAYO</t>
  </si>
  <si>
    <t>PROY. SOCIAL</t>
  </si>
  <si>
    <t>EJECUCION  TOTAL</t>
  </si>
  <si>
    <t>SEPTIEMBRE</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</si>
</sst>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4" formatCode="_(&quot;$&quot;\ * #,##0.00_);_(&quot;$&quot;\ * \(#,##0.00\);_(&quot;$&quot;\ * &quot;-&quot;??_);_(@_)"/>
    <numFmt numFmtId="164" formatCode="_-* #,##0.00\ [$€]_-;\-* #,##0.00\ [$€]_-;_-* &quot;-&quot;??\ [$€]_-;_-@_-"/>
    <numFmt numFmtId="165" formatCode="#,##0_ ;[Red]\-#,##0\ "/>
    <numFmt numFmtId="166" formatCode="_ * #,##0.00_ ;_ * \-#,##0.00_ ;_ * &quot;-&quot;??_ ;_ @_ "/>
    <numFmt numFmtId="167" formatCode="&quot;$&quot;\ #,##0;[Red]\(&quot;$&quot;\ #,##0\)"/>
    <numFmt numFmtId="168" formatCode="#,##0\ ;[Red]\-#,##0\ "/>
    <numFmt numFmtId="169" formatCode="#,##0;[Red]\(#,##0\)"/>
    <numFmt numFmtId="170" formatCode="_(&quot;$&quot;\ * #,##0_);_(&quot;$&quot;\ * \(#,##0\);_(&quot;$&quot;\ * &quot;-&quot;??_);_(@_)"/>
  </numFmts>
  <fonts count="64" x14ac:knownFonts="1">
    <font>
      <sz val="11"/>
      <color theme="1"/>
      <name val="Calibri"/>
      <family val="2"/>
      <scheme val="minor"/>
    </font>
    <font>
      <b/>
      <sz val="11"/>
      <color theme="1"/>
      <name val="Calibri"/>
      <family val="2"/>
      <scheme val="minor"/>
    </font>
    <font>
      <u/>
      <sz val="11"/>
      <color theme="10"/>
      <name val="Calibri"/>
      <family val="2"/>
    </font>
    <font>
      <sz val="10"/>
      <color theme="1"/>
      <name val="Calibri"/>
      <family val="2"/>
      <scheme val="minor"/>
    </font>
    <font>
      <b/>
      <sz val="13.5"/>
      <color theme="1"/>
      <name val="Calibri"/>
      <family val="2"/>
      <scheme val="minor"/>
    </font>
    <font>
      <sz val="9"/>
      <color theme="1"/>
      <name val="Calibri"/>
      <family val="2"/>
      <scheme val="minor"/>
    </font>
    <font>
      <sz val="10"/>
      <name val="Arial"/>
      <family val="2"/>
    </font>
    <font>
      <sz val="10"/>
      <name val="Arial"/>
      <family val="2"/>
    </font>
    <font>
      <b/>
      <sz val="8"/>
      <name val="Verdana"/>
      <family val="2"/>
    </font>
    <font>
      <b/>
      <sz val="12"/>
      <name val="Verdana"/>
      <family val="2"/>
    </font>
    <font>
      <sz val="12"/>
      <color theme="1"/>
      <name val="Tahoma"/>
      <family val="2"/>
    </font>
    <font>
      <b/>
      <sz val="9"/>
      <color theme="1"/>
      <name val="Calibri"/>
      <family val="2"/>
      <scheme val="minor"/>
    </font>
    <font>
      <u/>
      <sz val="9"/>
      <color theme="10"/>
      <name val="Calibri"/>
      <family val="2"/>
    </font>
    <font>
      <b/>
      <sz val="12"/>
      <name val="Arial"/>
      <family val="2"/>
    </font>
    <font>
      <b/>
      <sz val="8"/>
      <name val="Arial"/>
      <family val="2"/>
    </font>
    <font>
      <b/>
      <sz val="9"/>
      <name val="Verdana"/>
      <family val="2"/>
    </font>
    <font>
      <b/>
      <sz val="10"/>
      <name val="Arial"/>
      <family val="2"/>
    </font>
    <font>
      <b/>
      <i/>
      <u/>
      <sz val="8"/>
      <name val="Verdana"/>
      <family val="2"/>
    </font>
    <font>
      <b/>
      <i/>
      <sz val="8"/>
      <name val="Verdana"/>
      <family val="2"/>
    </font>
    <font>
      <b/>
      <i/>
      <sz val="8"/>
      <color indexed="10"/>
      <name val="Verdana"/>
      <family val="2"/>
    </font>
    <font>
      <sz val="11"/>
      <color rgb="FFFF0000"/>
      <name val="Calibri"/>
      <family val="2"/>
      <scheme val="minor"/>
    </font>
    <font>
      <sz val="11"/>
      <name val="Calibri"/>
      <family val="2"/>
      <scheme val="minor"/>
    </font>
    <font>
      <sz val="10"/>
      <name val="Calibri"/>
      <family val="2"/>
      <scheme val="minor"/>
    </font>
    <font>
      <sz val="10"/>
      <color rgb="FFFF0000"/>
      <name val="Calibri"/>
      <family val="2"/>
      <scheme val="minor"/>
    </font>
    <font>
      <sz val="9"/>
      <color indexed="81"/>
      <name val="Tahoma"/>
      <family val="2"/>
    </font>
    <font>
      <b/>
      <sz val="9"/>
      <color indexed="81"/>
      <name val="Tahoma"/>
      <family val="2"/>
    </font>
    <font>
      <sz val="9"/>
      <name val="Calibri"/>
      <family val="2"/>
      <scheme val="minor"/>
    </font>
    <font>
      <sz val="8"/>
      <color theme="1"/>
      <name val="Calibri"/>
      <family val="2"/>
      <scheme val="minor"/>
    </font>
    <font>
      <b/>
      <sz val="13.5"/>
      <color rgb="FFFF0000"/>
      <name val="Calibri"/>
      <family val="2"/>
      <scheme val="minor"/>
    </font>
    <font>
      <sz val="11"/>
      <color theme="0"/>
      <name val="Calibri"/>
      <family val="2"/>
      <scheme val="minor"/>
    </font>
    <font>
      <sz val="10"/>
      <color theme="0"/>
      <name val="Calibri"/>
      <family val="2"/>
      <scheme val="minor"/>
    </font>
    <font>
      <b/>
      <sz val="11"/>
      <name val="Arial"/>
      <family val="2"/>
    </font>
    <font>
      <b/>
      <sz val="24"/>
      <name val="Arial"/>
      <family val="2"/>
    </font>
    <font>
      <b/>
      <sz val="10"/>
      <color rgb="FFFF0000"/>
      <name val="Arial"/>
      <family val="2"/>
    </font>
    <font>
      <b/>
      <sz val="9"/>
      <name val="Arial"/>
      <family val="2"/>
    </font>
    <font>
      <sz val="10"/>
      <color theme="3" tint="0.39997558519241921"/>
      <name val="Arial"/>
      <family val="2"/>
    </font>
    <font>
      <sz val="8"/>
      <name val="Arial"/>
      <family val="2"/>
    </font>
    <font>
      <b/>
      <sz val="11"/>
      <name val="Times New Roman"/>
      <family val="1"/>
    </font>
    <font>
      <b/>
      <sz val="7"/>
      <name val="Arial"/>
      <family val="2"/>
    </font>
    <font>
      <b/>
      <sz val="6"/>
      <name val="Arial"/>
      <family val="2"/>
    </font>
    <font>
      <b/>
      <sz val="14"/>
      <name val="Arial"/>
      <family val="2"/>
    </font>
    <font>
      <sz val="10"/>
      <color rgb="FFFF0000"/>
      <name val="Arial"/>
      <family val="2"/>
    </font>
    <font>
      <sz val="10"/>
      <color rgb="FF00B050"/>
      <name val="Arial"/>
      <family val="2"/>
    </font>
    <font>
      <b/>
      <sz val="12"/>
      <color theme="1"/>
      <name val="Calibri"/>
      <family val="2"/>
      <scheme val="minor"/>
    </font>
    <font>
      <sz val="12"/>
      <color theme="1"/>
      <name val="Calibri"/>
      <family val="2"/>
      <scheme val="minor"/>
    </font>
    <font>
      <sz val="9"/>
      <name val="Arial"/>
      <family val="2"/>
    </font>
    <font>
      <b/>
      <sz val="10"/>
      <color theme="1"/>
      <name val="Calibri"/>
      <family val="2"/>
      <scheme val="minor"/>
    </font>
    <font>
      <sz val="8"/>
      <name val="Calibri"/>
      <family val="2"/>
      <scheme val="minor"/>
    </font>
    <font>
      <b/>
      <u/>
      <sz val="9"/>
      <name val="Comic Sans MS"/>
      <family val="4"/>
    </font>
    <font>
      <sz val="8"/>
      <name val="Verdana"/>
      <family val="2"/>
    </font>
    <font>
      <b/>
      <sz val="10"/>
      <name val="Verdana"/>
      <family val="2"/>
    </font>
    <font>
      <sz val="6"/>
      <name val="Calibri"/>
      <family val="2"/>
      <scheme val="minor"/>
    </font>
    <font>
      <sz val="11"/>
      <color rgb="FF000000"/>
      <name val="Calibri"/>
      <family val="2"/>
      <charset val="1"/>
    </font>
    <font>
      <sz val="10"/>
      <name val="Arial"/>
      <family val="2"/>
      <charset val="1"/>
    </font>
    <font>
      <b/>
      <sz val="14"/>
      <color theme="1"/>
      <name val="Calibri"/>
      <family val="2"/>
      <scheme val="minor"/>
    </font>
    <font>
      <sz val="10"/>
      <color theme="1"/>
      <name val="Arial"/>
      <family val="2"/>
    </font>
    <font>
      <b/>
      <sz val="10"/>
      <color theme="1"/>
      <name val="Arial"/>
      <family val="2"/>
    </font>
    <font>
      <sz val="11"/>
      <color indexed="10"/>
      <name val="Arial Narrow"/>
      <family val="2"/>
    </font>
    <font>
      <sz val="11"/>
      <name val="Arial"/>
      <family val="2"/>
    </font>
    <font>
      <b/>
      <sz val="11"/>
      <color theme="1"/>
      <name val="Arial"/>
      <family val="2"/>
    </font>
    <font>
      <sz val="11"/>
      <color rgb="FF9C6500"/>
      <name val="Calibri"/>
      <family val="2"/>
      <scheme val="minor"/>
    </font>
    <font>
      <b/>
      <sz val="9"/>
      <name val="Calibri"/>
      <family val="2"/>
      <scheme val="minor"/>
    </font>
    <font>
      <sz val="11"/>
      <color theme="1"/>
      <name val="Calibri"/>
      <family val="2"/>
      <scheme val="minor"/>
    </font>
    <font>
      <sz val="10"/>
      <color theme="0"/>
      <name val="Arial"/>
      <family val="2"/>
    </font>
  </fonts>
  <fills count="34">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theme="8" tint="0.59999389629810485"/>
        <bgColor indexed="65"/>
      </patternFill>
    </fill>
    <fill>
      <patternFill patternType="solid">
        <fgColor indexed="43"/>
        <bgColor indexed="64"/>
      </patternFill>
    </fill>
    <fill>
      <patternFill patternType="solid">
        <fgColor theme="3" tint="0.59999389629810485"/>
        <bgColor indexed="64"/>
      </patternFill>
    </fill>
    <fill>
      <patternFill patternType="solid">
        <fgColor indexed="27"/>
        <bgColor indexed="64"/>
      </patternFill>
    </fill>
    <fill>
      <patternFill patternType="solid">
        <fgColor indexed="11"/>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rgb="FF92D050"/>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rgb="FF00B0F0"/>
        <bgColor indexed="64"/>
      </patternFill>
    </fill>
    <fill>
      <patternFill patternType="solid">
        <fgColor theme="2" tint="-0.249977111117893"/>
        <bgColor indexed="64"/>
      </patternFill>
    </fill>
    <fill>
      <patternFill patternType="solid">
        <fgColor rgb="FFFF0000"/>
        <bgColor indexed="64"/>
      </patternFill>
    </fill>
    <fill>
      <patternFill patternType="solid">
        <fgColor theme="4" tint="0.39997558519241921"/>
        <bgColor indexed="64"/>
      </patternFill>
    </fill>
    <fill>
      <patternFill patternType="solid">
        <fgColor rgb="FFFFC000"/>
        <bgColor indexed="64"/>
      </patternFill>
    </fill>
    <fill>
      <patternFill patternType="solid">
        <fgColor rgb="FFFF0066"/>
        <bgColor indexed="64"/>
      </patternFill>
    </fill>
    <fill>
      <patternFill patternType="solid">
        <fgColor rgb="FFED3713"/>
        <bgColor indexed="64"/>
      </patternFill>
    </fill>
    <fill>
      <patternFill patternType="solid">
        <fgColor rgb="FFFF3399"/>
        <bgColor indexed="64"/>
      </patternFill>
    </fill>
    <fill>
      <patternFill patternType="solid">
        <fgColor rgb="FFFF33CC"/>
        <bgColor indexed="64"/>
      </patternFill>
    </fill>
    <fill>
      <patternFill patternType="solid">
        <fgColor rgb="FFFF99FF"/>
        <bgColor indexed="64"/>
      </patternFill>
    </fill>
    <fill>
      <patternFill patternType="solid">
        <fgColor rgb="FFFF66CC"/>
        <bgColor indexed="64"/>
      </patternFill>
    </fill>
    <fill>
      <patternFill patternType="solid">
        <fgColor rgb="FFFFCC00"/>
        <bgColor indexed="64"/>
      </patternFill>
    </fill>
    <fill>
      <patternFill patternType="solid">
        <fgColor indexed="47"/>
        <bgColor indexed="64"/>
      </patternFill>
    </fill>
    <fill>
      <patternFill patternType="solid">
        <fgColor indexed="26"/>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rgb="FFFFEB9C"/>
      </patternFill>
    </fill>
  </fills>
  <borders count="106">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
      <left style="thin">
        <color rgb="FF000000"/>
      </left>
      <right/>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right style="thin">
        <color rgb="FF000000"/>
      </right>
      <top/>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indexed="64"/>
      </right>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rgb="FF000000"/>
      </left>
      <right style="thin">
        <color indexed="64"/>
      </right>
      <top style="thin">
        <color rgb="FF000000"/>
      </top>
      <bottom/>
      <diagonal/>
    </border>
    <border>
      <left style="thin">
        <color rgb="FF000000"/>
      </left>
      <right/>
      <top style="thin">
        <color rgb="FF000000"/>
      </top>
      <bottom style="thin">
        <color indexed="64"/>
      </bottom>
      <diagonal/>
    </border>
    <border>
      <left/>
      <right/>
      <top style="thin">
        <color indexed="64"/>
      </top>
      <bottom/>
      <diagonal/>
    </border>
    <border>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style="thin">
        <color rgb="FF000000"/>
      </left>
      <right style="thin">
        <color indexed="64"/>
      </right>
      <top/>
      <bottom style="thin">
        <color indexed="64"/>
      </bottom>
      <diagonal/>
    </border>
    <border>
      <left/>
      <right style="thin">
        <color indexed="64"/>
      </right>
      <top style="thin">
        <color indexed="64"/>
      </top>
      <bottom style="double">
        <color indexed="64"/>
      </bottom>
      <diagonal/>
    </border>
    <border>
      <left style="thin">
        <color indexed="64"/>
      </left>
      <right/>
      <top/>
      <bottom style="thin">
        <color indexed="64"/>
      </bottom>
      <diagonal/>
    </border>
    <border>
      <left style="thin">
        <color indexed="64"/>
      </left>
      <right style="thin">
        <color indexed="64"/>
      </right>
      <top style="thin">
        <color rgb="FF000000"/>
      </top>
      <bottom/>
      <diagonal/>
    </border>
    <border>
      <left style="thin">
        <color indexed="64"/>
      </left>
      <right/>
      <top style="thin">
        <color indexed="64"/>
      </top>
      <bottom style="double">
        <color indexed="64"/>
      </bottom>
      <diagonal/>
    </border>
    <border>
      <left style="thin">
        <color rgb="FF000000"/>
      </left>
      <right/>
      <top/>
      <bottom style="thin">
        <color indexed="64"/>
      </bottom>
      <diagonal/>
    </border>
    <border>
      <left/>
      <right style="thin">
        <color rgb="FF000000"/>
      </right>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
      <left/>
      <right style="thin">
        <color indexed="64"/>
      </right>
      <top style="thin">
        <color indexed="64"/>
      </top>
      <bottom/>
      <diagonal/>
    </border>
    <border>
      <left style="thin">
        <color rgb="FF000000"/>
      </left>
      <right/>
      <top style="thin">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thin">
        <color rgb="FF000000"/>
      </right>
      <top/>
      <bottom/>
      <diagonal/>
    </border>
    <border>
      <left/>
      <right style="double">
        <color indexed="64"/>
      </right>
      <top style="thin">
        <color indexed="64"/>
      </top>
      <bottom style="thin">
        <color indexed="64"/>
      </bottom>
      <diagonal/>
    </border>
    <border>
      <left style="double">
        <color indexed="64"/>
      </left>
      <right style="thin">
        <color rgb="FF000000"/>
      </right>
      <top/>
      <bottom style="thin">
        <color rgb="FF000000"/>
      </bottom>
      <diagonal/>
    </border>
    <border>
      <left style="thin">
        <color indexed="64"/>
      </left>
      <right style="double">
        <color indexed="64"/>
      </right>
      <top style="thin">
        <color indexed="64"/>
      </top>
      <bottom style="thin">
        <color indexed="64"/>
      </bottom>
      <diagonal/>
    </border>
    <border>
      <left style="double">
        <color indexed="64"/>
      </left>
      <right style="thin">
        <color rgb="FF000000"/>
      </right>
      <top style="thin">
        <color rgb="FF000000"/>
      </top>
      <bottom style="thin">
        <color rgb="FF000000"/>
      </bottom>
      <diagonal/>
    </border>
    <border>
      <left style="thin">
        <color rgb="FF000000"/>
      </left>
      <right style="double">
        <color indexed="64"/>
      </right>
      <top style="thin">
        <color rgb="FF000000"/>
      </top>
      <bottom style="thin">
        <color rgb="FF000000"/>
      </bottom>
      <diagonal/>
    </border>
    <border>
      <left style="double">
        <color indexed="64"/>
      </left>
      <right style="thin">
        <color rgb="FF000000"/>
      </right>
      <top style="thin">
        <color rgb="FF000000"/>
      </top>
      <bottom/>
      <diagonal/>
    </border>
    <border>
      <left style="double">
        <color indexed="64"/>
      </left>
      <right style="thin">
        <color rgb="FF000000"/>
      </right>
      <top/>
      <bottom style="thin">
        <color indexed="64"/>
      </bottom>
      <diagonal/>
    </border>
    <border>
      <left style="double">
        <color indexed="64"/>
      </left>
      <right style="thin">
        <color indexed="64"/>
      </right>
      <top style="thin">
        <color indexed="64"/>
      </top>
      <bottom style="double">
        <color indexed="64"/>
      </bottom>
      <diagonal/>
    </border>
    <border>
      <left/>
      <right style="double">
        <color indexed="64"/>
      </right>
      <top style="thin">
        <color indexed="64"/>
      </top>
      <bottom style="double">
        <color indexed="64"/>
      </bottom>
      <diagonal/>
    </border>
    <border>
      <left/>
      <right/>
      <top style="double">
        <color indexed="64"/>
      </top>
      <bottom/>
      <diagonal/>
    </border>
    <border>
      <left style="thin">
        <color indexed="64"/>
      </left>
      <right style="double">
        <color indexed="64"/>
      </right>
      <top style="thin">
        <color indexed="64"/>
      </top>
      <bottom style="double">
        <color indexed="64"/>
      </bottom>
      <diagonal/>
    </border>
    <border>
      <left style="thin">
        <color indexed="64"/>
      </left>
      <right style="thin">
        <color rgb="FF000000"/>
      </right>
      <top style="thin">
        <color rgb="FF000000"/>
      </top>
      <bottom/>
      <diagonal/>
    </border>
    <border>
      <left style="thin">
        <color indexed="64"/>
      </left>
      <right style="thin">
        <color rgb="FF000000"/>
      </right>
      <top/>
      <bottom/>
      <diagonal/>
    </border>
    <border>
      <left style="thin">
        <color indexed="64"/>
      </left>
      <right style="thin">
        <color rgb="FF000000"/>
      </right>
      <top style="thin">
        <color indexed="64"/>
      </top>
      <bottom/>
      <diagonal/>
    </border>
    <border>
      <left style="thin">
        <color indexed="64"/>
      </left>
      <right style="thin">
        <color rgb="FF000000"/>
      </right>
      <top/>
      <bottom style="thin">
        <color indexed="64"/>
      </bottom>
      <diagonal/>
    </border>
    <border>
      <left style="thin">
        <color rgb="FF000000"/>
      </left>
      <right style="thin">
        <color indexed="64"/>
      </right>
      <top/>
      <bottom style="thin">
        <color rgb="FF000000"/>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double">
        <color indexed="64"/>
      </left>
      <right/>
      <top/>
      <bottom/>
      <diagonal/>
    </border>
    <border>
      <left style="thin">
        <color indexed="64"/>
      </left>
      <right style="thin">
        <color indexed="64"/>
      </right>
      <top style="thin">
        <color rgb="FF000000"/>
      </top>
      <bottom style="double">
        <color indexed="64"/>
      </bottom>
      <diagonal/>
    </border>
    <border>
      <left/>
      <right style="double">
        <color indexed="64"/>
      </right>
      <top/>
      <bottom style="thin">
        <color indexed="64"/>
      </bottom>
      <diagonal/>
    </border>
    <border>
      <left style="thin">
        <color rgb="FF000000"/>
      </left>
      <right style="double">
        <color indexed="64"/>
      </right>
      <top/>
      <bottom style="thin">
        <color rgb="FF000000"/>
      </bottom>
      <diagonal/>
    </border>
    <border>
      <left/>
      <right style="double">
        <color indexed="64"/>
      </right>
      <top/>
      <bottom/>
      <diagonal/>
    </border>
    <border>
      <left/>
      <right style="double">
        <color indexed="64"/>
      </right>
      <top/>
      <bottom style="thin">
        <color rgb="FF000000"/>
      </bottom>
      <diagonal/>
    </border>
    <border>
      <left style="thin">
        <color rgb="FF000000"/>
      </left>
      <right style="double">
        <color indexed="64"/>
      </right>
      <top style="thin">
        <color rgb="FF000000"/>
      </top>
      <bottom style="thin">
        <color indexed="64"/>
      </bottom>
      <diagonal/>
    </border>
    <border>
      <left style="thin">
        <color rgb="FF000000"/>
      </left>
      <right style="double">
        <color indexed="64"/>
      </right>
      <top style="thin">
        <color rgb="FF000000"/>
      </top>
      <bottom/>
      <diagonal/>
    </border>
    <border>
      <left style="thin">
        <color rgb="FF000000"/>
      </left>
      <right style="double">
        <color indexed="64"/>
      </right>
      <top/>
      <bottom/>
      <diagonal/>
    </border>
    <border>
      <left style="thin">
        <color indexed="64"/>
      </left>
      <right style="double">
        <color indexed="64"/>
      </right>
      <top style="thin">
        <color indexed="64"/>
      </top>
      <bottom/>
      <diagonal/>
    </border>
    <border>
      <left style="thin">
        <color indexed="64"/>
      </left>
      <right style="double">
        <color indexed="64"/>
      </right>
      <top/>
      <bottom/>
      <diagonal/>
    </border>
    <border>
      <left style="thin">
        <color indexed="64"/>
      </left>
      <right style="double">
        <color indexed="64"/>
      </right>
      <top/>
      <bottom style="thin">
        <color indexed="64"/>
      </bottom>
      <diagonal/>
    </border>
    <border>
      <left/>
      <right style="thin">
        <color rgb="FF000000"/>
      </right>
      <top style="thin">
        <color indexed="64"/>
      </top>
      <bottom style="thin">
        <color indexed="64"/>
      </bottom>
      <diagonal/>
    </border>
    <border>
      <left/>
      <right/>
      <top style="medium">
        <color indexed="64"/>
      </top>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double">
        <color indexed="64"/>
      </top>
      <bottom/>
      <diagonal/>
    </border>
  </borders>
  <cellStyleXfs count="18">
    <xf numFmtId="0" fontId="0" fillId="0" borderId="0"/>
    <xf numFmtId="0" fontId="2" fillId="0" borderId="0" applyNumberFormat="0" applyFill="0" applyBorder="0" applyAlignment="0" applyProtection="0">
      <alignment vertical="top"/>
      <protection locked="0"/>
    </xf>
    <xf numFmtId="0" fontId="6" fillId="0" borderId="0"/>
    <xf numFmtId="0" fontId="7" fillId="0" borderId="0"/>
    <xf numFmtId="164" fontId="7" fillId="0" borderId="0" applyFont="0" applyFill="0" applyBorder="0" applyAlignment="0" applyProtection="0"/>
    <xf numFmtId="165" fontId="7" fillId="0" borderId="0" applyFont="0" applyFill="0" applyBorder="0" applyAlignment="0" applyProtection="0"/>
    <xf numFmtId="166" fontId="7" fillId="0" borderId="0" applyFont="0" applyFill="0" applyBorder="0" applyAlignment="0" applyProtection="0"/>
    <xf numFmtId="0" fontId="10" fillId="5" borderId="0" applyNumberFormat="0" applyBorder="0" applyAlignment="0" applyProtection="0"/>
    <xf numFmtId="0" fontId="6" fillId="0" borderId="0"/>
    <xf numFmtId="0" fontId="6" fillId="0" borderId="0"/>
    <xf numFmtId="0" fontId="52" fillId="0" borderId="0"/>
    <xf numFmtId="0" fontId="53" fillId="0" borderId="0"/>
    <xf numFmtId="0" fontId="60" fillId="33" borderId="0" applyNumberFormat="0" applyBorder="0" applyAlignment="0" applyProtection="0"/>
    <xf numFmtId="9" fontId="62" fillId="0" borderId="0" applyFont="0" applyFill="0" applyBorder="0" applyAlignment="0" applyProtection="0"/>
    <xf numFmtId="44" fontId="62" fillId="0" borderId="0" applyFon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166" fontId="6" fillId="0" borderId="0" applyFont="0" applyFill="0" applyBorder="0" applyAlignment="0" applyProtection="0"/>
  </cellStyleXfs>
  <cellXfs count="1637">
    <xf numFmtId="0" fontId="0" fillId="0" borderId="0" xfId="0"/>
    <xf numFmtId="3" fontId="0" fillId="0" borderId="0" xfId="0" applyNumberFormat="1"/>
    <xf numFmtId="0" fontId="3" fillId="0" borderId="1" xfId="0" applyFont="1" applyBorder="1" applyAlignment="1">
      <alignment horizontal="center" vertical="center" wrapText="1"/>
    </xf>
    <xf numFmtId="3" fontId="0" fillId="0" borderId="2" xfId="0" applyNumberFormat="1" applyBorder="1"/>
    <xf numFmtId="0" fontId="0" fillId="0" borderId="2" xfId="0" applyBorder="1"/>
    <xf numFmtId="0" fontId="4" fillId="0" borderId="0" xfId="0" applyFont="1"/>
    <xf numFmtId="0" fontId="0" fillId="0" borderId="1" xfId="0" applyBorder="1" applyAlignment="1">
      <alignment horizontal="right" wrapText="1"/>
    </xf>
    <xf numFmtId="3" fontId="0" fillId="0" borderId="1" xfId="0" applyNumberFormat="1" applyBorder="1" applyAlignment="1">
      <alignment horizontal="right" wrapText="1"/>
    </xf>
    <xf numFmtId="0" fontId="6" fillId="0" borderId="0" xfId="2"/>
    <xf numFmtId="0" fontId="11" fillId="0" borderId="0" xfId="0" applyFont="1"/>
    <xf numFmtId="0" fontId="5" fillId="0" borderId="0" xfId="0" applyFont="1"/>
    <xf numFmtId="0" fontId="5" fillId="0" borderId="1" xfId="0" applyFont="1" applyBorder="1" applyAlignment="1">
      <alignment wrapText="1"/>
    </xf>
    <xf numFmtId="0" fontId="12" fillId="0" borderId="1" xfId="1" applyFont="1" applyBorder="1" applyAlignment="1" applyProtection="1">
      <alignment wrapText="1"/>
    </xf>
    <xf numFmtId="0" fontId="5" fillId="0" borderId="1" xfId="0" applyFont="1" applyBorder="1" applyAlignment="1">
      <alignment horizontal="right" wrapText="1"/>
    </xf>
    <xf numFmtId="3" fontId="5" fillId="0" borderId="1" xfId="0" applyNumberFormat="1" applyFont="1" applyBorder="1" applyAlignment="1">
      <alignment horizontal="right" wrapText="1"/>
    </xf>
    <xf numFmtId="3" fontId="11" fillId="0" borderId="1" xfId="0" applyNumberFormat="1" applyFont="1" applyBorder="1" applyAlignment="1">
      <alignment horizontal="right" wrapText="1"/>
    </xf>
    <xf numFmtId="0" fontId="5" fillId="0" borderId="2" xfId="0" applyFont="1" applyBorder="1" applyAlignment="1">
      <alignment horizontal="center" vertical="center" wrapText="1"/>
    </xf>
    <xf numFmtId="0" fontId="5" fillId="0" borderId="7" xfId="0" applyFont="1" applyBorder="1" applyAlignment="1">
      <alignment horizontal="center" vertical="center" wrapText="1"/>
    </xf>
    <xf numFmtId="0" fontId="5" fillId="0" borderId="1" xfId="0" applyFont="1" applyBorder="1" applyAlignment="1">
      <alignment vertical="center" wrapText="1"/>
    </xf>
    <xf numFmtId="0" fontId="5" fillId="0" borderId="1" xfId="0" applyFont="1" applyBorder="1" applyAlignment="1">
      <alignment horizontal="right" vertical="center" wrapText="1"/>
    </xf>
    <xf numFmtId="0" fontId="5" fillId="0" borderId="3" xfId="0" applyFont="1" applyBorder="1" applyAlignment="1">
      <alignment horizontal="right" vertical="center" wrapText="1"/>
    </xf>
    <xf numFmtId="0" fontId="5" fillId="0" borderId="2" xfId="0" applyFont="1" applyBorder="1" applyAlignment="1">
      <alignment vertical="center" wrapText="1"/>
    </xf>
    <xf numFmtId="0" fontId="5" fillId="0" borderId="2" xfId="0" applyFont="1" applyBorder="1" applyAlignment="1">
      <alignment vertical="center"/>
    </xf>
    <xf numFmtId="0" fontId="5" fillId="0" borderId="22" xfId="0" applyFont="1" applyBorder="1" applyAlignment="1">
      <alignment vertical="center" wrapText="1"/>
    </xf>
    <xf numFmtId="0" fontId="5" fillId="0" borderId="16" xfId="0" applyFont="1" applyBorder="1" applyAlignment="1">
      <alignment vertical="center" wrapText="1"/>
    </xf>
    <xf numFmtId="0" fontId="5" fillId="0" borderId="16" xfId="0" applyFont="1" applyBorder="1" applyAlignment="1">
      <alignment horizontal="right" vertical="center" wrapText="1"/>
    </xf>
    <xf numFmtId="0" fontId="5" fillId="0" borderId="4" xfId="0" applyFont="1" applyBorder="1" applyAlignment="1">
      <alignment vertical="center" wrapText="1"/>
    </xf>
    <xf numFmtId="0" fontId="5" fillId="0" borderId="15" xfId="0" applyFont="1" applyBorder="1" applyAlignment="1">
      <alignment vertical="center" wrapText="1"/>
    </xf>
    <xf numFmtId="0" fontId="5" fillId="0" borderId="23" xfId="0" applyFont="1" applyBorder="1" applyAlignment="1">
      <alignment vertical="center" wrapText="1"/>
    </xf>
    <xf numFmtId="0" fontId="5" fillId="0" borderId="2" xfId="0" applyFont="1" applyBorder="1" applyAlignment="1">
      <alignment horizontal="right" vertical="center" wrapText="1"/>
    </xf>
    <xf numFmtId="0" fontId="5" fillId="0" borderId="24" xfId="0" applyFont="1" applyBorder="1" applyAlignment="1">
      <alignment vertical="center" wrapText="1"/>
    </xf>
    <xf numFmtId="0" fontId="5" fillId="0" borderId="3" xfId="0" applyFont="1" applyBorder="1" applyAlignment="1">
      <alignment vertical="center" wrapText="1"/>
    </xf>
    <xf numFmtId="0" fontId="5" fillId="0" borderId="21" xfId="0" applyFont="1" applyBorder="1" applyAlignment="1">
      <alignment vertical="center" wrapText="1"/>
    </xf>
    <xf numFmtId="3" fontId="5" fillId="0" borderId="3" xfId="0" applyNumberFormat="1" applyFont="1" applyBorder="1" applyAlignment="1">
      <alignment horizontal="right" vertical="center" wrapText="1"/>
    </xf>
    <xf numFmtId="3" fontId="5" fillId="0" borderId="16" xfId="0" applyNumberFormat="1" applyFont="1" applyBorder="1" applyAlignment="1">
      <alignment horizontal="right" vertical="center" wrapText="1"/>
    </xf>
    <xf numFmtId="3" fontId="5" fillId="0" borderId="1" xfId="0" applyNumberFormat="1" applyFont="1" applyBorder="1" applyAlignment="1">
      <alignment horizontal="right" vertical="center" wrapText="1"/>
    </xf>
    <xf numFmtId="3" fontId="5" fillId="0" borderId="15" xfId="0" applyNumberFormat="1" applyFont="1" applyBorder="1" applyAlignment="1">
      <alignment horizontal="right" vertical="center" wrapText="1"/>
    </xf>
    <xf numFmtId="3" fontId="5" fillId="0" borderId="2" xfId="0" applyNumberFormat="1" applyFont="1" applyBorder="1" applyAlignment="1">
      <alignment horizontal="right" vertical="center" wrapText="1"/>
    </xf>
    <xf numFmtId="3" fontId="5" fillId="0" borderId="24" xfId="0" applyNumberFormat="1" applyFont="1" applyBorder="1" applyAlignment="1">
      <alignment horizontal="right" vertical="center" wrapText="1"/>
    </xf>
    <xf numFmtId="3" fontId="5" fillId="4" borderId="2" xfId="0" applyNumberFormat="1" applyFont="1" applyFill="1" applyBorder="1" applyAlignment="1">
      <alignment horizontal="right" vertical="center" wrapText="1"/>
    </xf>
    <xf numFmtId="3" fontId="5" fillId="4" borderId="24" xfId="0" applyNumberFormat="1" applyFont="1" applyFill="1" applyBorder="1" applyAlignment="1">
      <alignment horizontal="right" vertical="center" wrapText="1"/>
    </xf>
    <xf numFmtId="3" fontId="5" fillId="4" borderId="1" xfId="0" applyNumberFormat="1" applyFont="1" applyFill="1" applyBorder="1" applyAlignment="1">
      <alignment horizontal="right" vertical="center" wrapText="1"/>
    </xf>
    <xf numFmtId="3" fontId="5" fillId="4" borderId="16" xfId="0" applyNumberFormat="1" applyFont="1" applyFill="1" applyBorder="1" applyAlignment="1">
      <alignment horizontal="right" vertical="center" wrapText="1"/>
    </xf>
    <xf numFmtId="3" fontId="5" fillId="4" borderId="15" xfId="0" applyNumberFormat="1" applyFont="1" applyFill="1" applyBorder="1" applyAlignment="1">
      <alignment horizontal="right" vertical="center" wrapText="1"/>
    </xf>
    <xf numFmtId="0" fontId="0" fillId="0" borderId="1" xfId="0" applyBorder="1" applyAlignment="1">
      <alignment wrapText="1"/>
    </xf>
    <xf numFmtId="0" fontId="7" fillId="0" borderId="0" xfId="3"/>
    <xf numFmtId="0" fontId="7" fillId="0" borderId="2" xfId="3" applyBorder="1" applyAlignment="1">
      <alignment horizontal="center" vertical="center"/>
    </xf>
    <xf numFmtId="0" fontId="14" fillId="0" borderId="2" xfId="3" applyFont="1" applyBorder="1" applyAlignment="1">
      <alignment horizontal="center" vertical="center"/>
    </xf>
    <xf numFmtId="0" fontId="15" fillId="6" borderId="31" xfId="3" applyFont="1" applyFill="1" applyBorder="1" applyAlignment="1">
      <alignment horizontal="justify" vertical="center"/>
    </xf>
    <xf numFmtId="167" fontId="16" fillId="6" borderId="31" xfId="3" applyNumberFormat="1" applyFont="1" applyFill="1" applyBorder="1" applyAlignment="1">
      <alignment horizontal="right" vertical="center" wrapText="1"/>
    </xf>
    <xf numFmtId="3" fontId="17" fillId="7" borderId="31" xfId="3" applyNumberFormat="1" applyFont="1" applyFill="1" applyBorder="1" applyAlignment="1">
      <alignment horizontal="justify" vertical="center"/>
    </xf>
    <xf numFmtId="167" fontId="17" fillId="7" borderId="31" xfId="3" applyNumberFormat="1" applyFont="1" applyFill="1" applyBorder="1" applyAlignment="1">
      <alignment horizontal="right" vertical="center" wrapText="1"/>
    </xf>
    <xf numFmtId="0" fontId="18" fillId="8" borderId="31" xfId="3" applyFont="1" applyFill="1" applyBorder="1" applyAlignment="1">
      <alignment horizontal="justify" vertical="center"/>
    </xf>
    <xf numFmtId="167" fontId="18" fillId="8" borderId="31" xfId="3" applyNumberFormat="1" applyFont="1" applyFill="1" applyBorder="1" applyAlignment="1">
      <alignment horizontal="right" vertical="center" wrapText="1"/>
    </xf>
    <xf numFmtId="0" fontId="18" fillId="8" borderId="29" xfId="3" applyFont="1" applyFill="1" applyBorder="1" applyAlignment="1">
      <alignment horizontal="justify" vertical="center"/>
    </xf>
    <xf numFmtId="0" fontId="18" fillId="8" borderId="31" xfId="3" applyFont="1" applyFill="1" applyBorder="1" applyAlignment="1">
      <alignment horizontal="justify"/>
    </xf>
    <xf numFmtId="0" fontId="18" fillId="8" borderId="33" xfId="3" applyFont="1" applyFill="1" applyBorder="1" applyAlignment="1">
      <alignment wrapText="1"/>
    </xf>
    <xf numFmtId="0" fontId="18" fillId="8" borderId="29" xfId="3" applyFont="1" applyFill="1" applyBorder="1" applyAlignment="1">
      <alignment wrapText="1"/>
    </xf>
    <xf numFmtId="0" fontId="18" fillId="8" borderId="34" xfId="3" applyFont="1" applyFill="1" applyBorder="1" applyAlignment="1">
      <alignment wrapText="1"/>
    </xf>
    <xf numFmtId="0" fontId="15" fillId="6" borderId="29" xfId="3" applyFont="1" applyFill="1" applyBorder="1" applyAlignment="1">
      <alignment vertical="center" wrapText="1"/>
    </xf>
    <xf numFmtId="3" fontId="17" fillId="7" borderId="31" xfId="3" applyNumberFormat="1" applyFont="1" applyFill="1" applyBorder="1" applyAlignment="1">
      <alignment horizontal="justify" vertical="center" wrapText="1"/>
    </xf>
    <xf numFmtId="0" fontId="8" fillId="9" borderId="27" xfId="3" applyFont="1" applyFill="1" applyBorder="1" applyAlignment="1">
      <alignment horizontal="center" vertical="center"/>
    </xf>
    <xf numFmtId="167" fontId="8" fillId="9" borderId="31" xfId="3" applyNumberFormat="1" applyFont="1" applyFill="1" applyBorder="1" applyAlignment="1">
      <alignment horizontal="right" vertical="center" wrapText="1"/>
    </xf>
    <xf numFmtId="0" fontId="8" fillId="0" borderId="0" xfId="3" applyFont="1" applyFill="1" applyBorder="1" applyAlignment="1">
      <alignment horizontal="center" vertical="center"/>
    </xf>
    <xf numFmtId="167" fontId="8" fillId="0" borderId="0" xfId="3" applyNumberFormat="1" applyFont="1" applyFill="1" applyBorder="1" applyAlignment="1">
      <alignment horizontal="right" vertical="center" wrapText="1"/>
    </xf>
    <xf numFmtId="0" fontId="16" fillId="0" borderId="2" xfId="3" applyFont="1" applyBorder="1" applyAlignment="1">
      <alignment horizontal="center" vertical="center" wrapText="1"/>
    </xf>
    <xf numFmtId="0" fontId="16" fillId="0" borderId="2" xfId="3" applyFont="1" applyBorder="1" applyAlignment="1">
      <alignment horizontal="left"/>
    </xf>
    <xf numFmtId="167" fontId="8" fillId="0" borderId="2" xfId="3" applyNumberFormat="1" applyFont="1" applyFill="1" applyBorder="1" applyAlignment="1">
      <alignment horizontal="right" vertical="center" wrapText="1"/>
    </xf>
    <xf numFmtId="0" fontId="14" fillId="10" borderId="2" xfId="3" applyFont="1" applyFill="1" applyBorder="1" applyAlignment="1">
      <alignment horizontal="center"/>
    </xf>
    <xf numFmtId="167" fontId="8" fillId="10" borderId="2" xfId="3" applyNumberFormat="1" applyFont="1" applyFill="1" applyBorder="1" applyAlignment="1">
      <alignment horizontal="right" vertical="center" wrapText="1"/>
    </xf>
    <xf numFmtId="0" fontId="14" fillId="0" borderId="2" xfId="3" applyFont="1" applyBorder="1" applyAlignment="1">
      <alignment horizontal="center"/>
    </xf>
    <xf numFmtId="0" fontId="7" fillId="0" borderId="0" xfId="3" applyAlignment="1">
      <alignment horizontal="left"/>
    </xf>
    <xf numFmtId="0" fontId="16" fillId="0" borderId="2" xfId="3" applyFont="1"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vertical="center" wrapText="1"/>
    </xf>
    <xf numFmtId="0" fontId="0" fillId="0" borderId="1" xfId="0" applyBorder="1" applyAlignment="1">
      <alignment horizontal="right" vertical="center" wrapText="1"/>
    </xf>
    <xf numFmtId="0" fontId="0" fillId="0" borderId="25" xfId="0" applyBorder="1" applyAlignment="1">
      <alignment vertical="center"/>
    </xf>
    <xf numFmtId="0" fontId="0" fillId="0" borderId="0" xfId="0" applyAlignment="1">
      <alignment vertical="center"/>
    </xf>
    <xf numFmtId="0" fontId="0" fillId="0" borderId="35" xfId="0" applyBorder="1" applyAlignment="1">
      <alignment vertical="center"/>
    </xf>
    <xf numFmtId="0" fontId="0" fillId="0" borderId="20" xfId="0" applyBorder="1" applyAlignment="1">
      <alignment vertical="center"/>
    </xf>
    <xf numFmtId="0" fontId="0" fillId="0" borderId="21" xfId="0" applyBorder="1" applyAlignment="1">
      <alignment vertical="center"/>
    </xf>
    <xf numFmtId="0" fontId="0" fillId="0" borderId="22" xfId="0" applyBorder="1" applyAlignment="1">
      <alignment vertical="center"/>
    </xf>
    <xf numFmtId="0" fontId="0" fillId="0" borderId="23" xfId="0" applyBorder="1" applyAlignment="1">
      <alignment vertical="center"/>
    </xf>
    <xf numFmtId="0" fontId="0" fillId="0" borderId="4" xfId="0" applyBorder="1" applyAlignment="1">
      <alignment vertical="center"/>
    </xf>
    <xf numFmtId="0" fontId="0" fillId="0" borderId="3" xfId="0" applyBorder="1" applyAlignment="1">
      <alignment vertical="center" wrapText="1"/>
    </xf>
    <xf numFmtId="0" fontId="0" fillId="0" borderId="23" xfId="0" applyBorder="1" applyAlignment="1">
      <alignment vertical="center" wrapText="1"/>
    </xf>
    <xf numFmtId="0" fontId="0" fillId="0" borderId="23" xfId="0" applyBorder="1" applyAlignment="1">
      <alignment horizontal="right" vertical="center" wrapText="1"/>
    </xf>
    <xf numFmtId="0" fontId="0" fillId="0" borderId="4" xfId="0" applyBorder="1" applyAlignment="1">
      <alignment horizontal="right" vertical="center" wrapText="1"/>
    </xf>
    <xf numFmtId="0" fontId="0" fillId="0" borderId="16" xfId="0" applyBorder="1" applyAlignment="1">
      <alignment vertical="center" wrapText="1"/>
    </xf>
    <xf numFmtId="0" fontId="0" fillId="0" borderId="16" xfId="0" applyBorder="1" applyAlignment="1">
      <alignment horizontal="right" vertical="center" wrapText="1"/>
    </xf>
    <xf numFmtId="0" fontId="0" fillId="0" borderId="4" xfId="0" applyBorder="1" applyAlignment="1">
      <alignment vertical="center" wrapText="1"/>
    </xf>
    <xf numFmtId="0" fontId="0" fillId="0" borderId="15" xfId="0" applyBorder="1" applyAlignment="1">
      <alignment vertical="center" wrapText="1"/>
    </xf>
    <xf numFmtId="0" fontId="0" fillId="0" borderId="15" xfId="0" applyBorder="1" applyAlignment="1">
      <alignment horizontal="right" vertical="center" wrapText="1"/>
    </xf>
    <xf numFmtId="0" fontId="0" fillId="0" borderId="24" xfId="0" applyBorder="1" applyAlignment="1">
      <alignment vertical="center" wrapText="1"/>
    </xf>
    <xf numFmtId="0" fontId="0" fillId="0" borderId="24" xfId="0" applyBorder="1" applyAlignment="1">
      <alignment horizontal="right" vertical="center" wrapText="1"/>
    </xf>
    <xf numFmtId="0" fontId="1" fillId="0" borderId="2" xfId="0" applyFont="1" applyBorder="1" applyAlignment="1">
      <alignment horizontal="center" vertical="center" wrapText="1"/>
    </xf>
    <xf numFmtId="0" fontId="0" fillId="0" borderId="2" xfId="0" applyBorder="1" applyAlignment="1">
      <alignment vertical="center" wrapText="1"/>
    </xf>
    <xf numFmtId="3" fontId="21" fillId="0" borderId="1" xfId="0" applyNumberFormat="1" applyFont="1" applyBorder="1" applyAlignment="1">
      <alignment horizontal="right" wrapText="1"/>
    </xf>
    <xf numFmtId="3" fontId="20" fillId="0" borderId="1" xfId="0" applyNumberFormat="1" applyFont="1" applyBorder="1" applyAlignment="1">
      <alignment horizontal="right" wrapText="1"/>
    </xf>
    <xf numFmtId="3" fontId="0" fillId="0" borderId="1" xfId="0" applyNumberFormat="1" applyBorder="1" applyAlignment="1">
      <alignment wrapText="1"/>
    </xf>
    <xf numFmtId="0" fontId="3" fillId="0" borderId="1" xfId="0" applyFont="1" applyBorder="1" applyAlignment="1">
      <alignment vertical="center" wrapText="1"/>
    </xf>
    <xf numFmtId="0" fontId="3" fillId="0" borderId="1" xfId="0" applyFont="1" applyBorder="1" applyAlignment="1">
      <alignment horizontal="right" vertical="center" wrapText="1"/>
    </xf>
    <xf numFmtId="0" fontId="3" fillId="0" borderId="35" xfId="0" applyFont="1" applyBorder="1" applyAlignment="1">
      <alignment vertical="center"/>
    </xf>
    <xf numFmtId="0" fontId="3" fillId="0" borderId="22" xfId="0" applyFont="1" applyBorder="1" applyAlignment="1">
      <alignment vertical="center"/>
    </xf>
    <xf numFmtId="0" fontId="3" fillId="0" borderId="4" xfId="0" applyFont="1" applyBorder="1" applyAlignment="1">
      <alignment vertical="center"/>
    </xf>
    <xf numFmtId="0" fontId="3" fillId="0" borderId="3" xfId="0" applyFont="1" applyBorder="1" applyAlignment="1">
      <alignment horizontal="right" vertical="center" wrapText="1"/>
    </xf>
    <xf numFmtId="0" fontId="3" fillId="0" borderId="4" xfId="0" applyFont="1" applyBorder="1" applyAlignment="1">
      <alignment horizontal="right" vertical="center" wrapText="1"/>
    </xf>
    <xf numFmtId="3" fontId="3" fillId="0" borderId="1" xfId="0" applyNumberFormat="1" applyFont="1" applyBorder="1" applyAlignment="1">
      <alignment horizontal="right" vertical="center" wrapText="1"/>
    </xf>
    <xf numFmtId="3" fontId="3" fillId="0" borderId="16" xfId="0" applyNumberFormat="1" applyFont="1" applyBorder="1" applyAlignment="1">
      <alignment horizontal="right" vertical="center" wrapText="1"/>
    </xf>
    <xf numFmtId="0" fontId="3" fillId="0" borderId="4" xfId="0" applyFont="1" applyBorder="1" applyAlignment="1">
      <alignment horizontal="center" vertical="center" wrapText="1"/>
    </xf>
    <xf numFmtId="9" fontId="3" fillId="0" borderId="1" xfId="0" applyNumberFormat="1" applyFont="1" applyBorder="1" applyAlignment="1">
      <alignment horizontal="center" vertical="center" wrapText="1"/>
    </xf>
    <xf numFmtId="0" fontId="3" fillId="0" borderId="36" xfId="0" applyFont="1" applyBorder="1" applyAlignment="1">
      <alignment horizontal="center" vertical="center" wrapText="1"/>
    </xf>
    <xf numFmtId="0" fontId="3" fillId="0" borderId="36" xfId="0" applyFont="1" applyBorder="1" applyAlignment="1">
      <alignment vertical="center" wrapText="1"/>
    </xf>
    <xf numFmtId="3" fontId="3" fillId="0" borderId="36" xfId="0" applyNumberFormat="1" applyFont="1" applyBorder="1" applyAlignment="1">
      <alignment horizontal="right" vertical="center" wrapText="1"/>
    </xf>
    <xf numFmtId="0" fontId="3" fillId="0" borderId="36" xfId="0" applyFont="1" applyBorder="1" applyAlignment="1">
      <alignment horizontal="right" vertical="center" wrapText="1"/>
    </xf>
    <xf numFmtId="3" fontId="0" fillId="0" borderId="1" xfId="0" applyNumberFormat="1" applyBorder="1" applyAlignment="1">
      <alignment horizontal="right" vertical="center" wrapText="1"/>
    </xf>
    <xf numFmtId="0" fontId="3" fillId="0" borderId="15" xfId="0" applyFont="1" applyBorder="1" applyAlignment="1">
      <alignment horizontal="right" vertical="center" wrapText="1"/>
    </xf>
    <xf numFmtId="0" fontId="3" fillId="3" borderId="6" xfId="0" applyFont="1" applyFill="1" applyBorder="1" applyAlignment="1">
      <alignment horizontal="center" vertical="center" wrapText="1"/>
    </xf>
    <xf numFmtId="0" fontId="3" fillId="3" borderId="6" xfId="0" applyFont="1" applyFill="1" applyBorder="1" applyAlignment="1">
      <alignment vertical="center" wrapText="1"/>
    </xf>
    <xf numFmtId="0" fontId="3" fillId="3" borderId="6" xfId="0" applyFont="1" applyFill="1" applyBorder="1" applyAlignment="1">
      <alignment horizontal="right" vertical="center" wrapText="1"/>
    </xf>
    <xf numFmtId="9" fontId="3" fillId="3" borderId="6" xfId="0" applyNumberFormat="1" applyFont="1" applyFill="1" applyBorder="1" applyAlignment="1">
      <alignment horizontal="center" vertical="center" wrapText="1"/>
    </xf>
    <xf numFmtId="0" fontId="3" fillId="3" borderId="6" xfId="0" applyFont="1" applyFill="1" applyBorder="1" applyAlignment="1">
      <alignment vertical="center"/>
    </xf>
    <xf numFmtId="3" fontId="3" fillId="3" borderId="6" xfId="0" applyNumberFormat="1" applyFont="1" applyFill="1" applyBorder="1" applyAlignment="1">
      <alignment horizontal="right" vertical="center" wrapText="1"/>
    </xf>
    <xf numFmtId="0" fontId="0" fillId="3" borderId="6" xfId="0" applyFill="1" applyBorder="1"/>
    <xf numFmtId="0" fontId="3" fillId="0" borderId="38" xfId="0" applyFont="1" applyBorder="1" applyAlignment="1">
      <alignment horizontal="center" vertical="center" wrapText="1"/>
    </xf>
    <xf numFmtId="0" fontId="3" fillId="0" borderId="38" xfId="0" applyFont="1" applyBorder="1" applyAlignment="1">
      <alignment vertical="center" wrapText="1"/>
    </xf>
    <xf numFmtId="0" fontId="3" fillId="0" borderId="35" xfId="0" applyFont="1" applyBorder="1" applyAlignment="1">
      <alignment horizontal="right" vertical="center" wrapText="1"/>
    </xf>
    <xf numFmtId="0" fontId="3" fillId="0" borderId="2" xfId="0" applyFont="1" applyBorder="1" applyAlignment="1">
      <alignment horizontal="right" vertical="center" wrapText="1"/>
    </xf>
    <xf numFmtId="0" fontId="3" fillId="0" borderId="2" xfId="0" applyFont="1" applyBorder="1" applyAlignment="1">
      <alignment vertical="center"/>
    </xf>
    <xf numFmtId="3" fontId="3" fillId="3" borderId="6" xfId="0" applyNumberFormat="1" applyFont="1" applyFill="1" applyBorder="1" applyAlignment="1">
      <alignment horizontal="center" vertical="center" wrapText="1"/>
    </xf>
    <xf numFmtId="3" fontId="3" fillId="0" borderId="3" xfId="0" applyNumberFormat="1" applyFont="1" applyBorder="1" applyAlignment="1">
      <alignment horizontal="right" vertical="center" wrapText="1"/>
    </xf>
    <xf numFmtId="0" fontId="3" fillId="0" borderId="2" xfId="0" applyFont="1" applyBorder="1" applyAlignment="1">
      <alignment vertical="center" wrapText="1"/>
    </xf>
    <xf numFmtId="0" fontId="0" fillId="0" borderId="46" xfId="0" applyBorder="1"/>
    <xf numFmtId="3" fontId="3" fillId="0" borderId="2" xfId="0" applyNumberFormat="1" applyFont="1" applyBorder="1" applyAlignment="1">
      <alignment vertical="center" wrapText="1"/>
    </xf>
    <xf numFmtId="3" fontId="0" fillId="0" borderId="46" xfId="0" applyNumberFormat="1" applyBorder="1"/>
    <xf numFmtId="3" fontId="3" fillId="0" borderId="2" xfId="0" applyNumberFormat="1" applyFont="1" applyBorder="1" applyAlignment="1">
      <alignment horizontal="right" vertical="center" wrapText="1"/>
    </xf>
    <xf numFmtId="3" fontId="22" fillId="0" borderId="2" xfId="0" applyNumberFormat="1" applyFont="1" applyBorder="1" applyAlignment="1">
      <alignment horizontal="right" vertical="center" wrapText="1"/>
    </xf>
    <xf numFmtId="3" fontId="23" fillId="0" borderId="2" xfId="0" applyNumberFormat="1" applyFont="1" applyBorder="1" applyAlignment="1">
      <alignment horizontal="right" vertical="center" wrapText="1"/>
    </xf>
    <xf numFmtId="0" fontId="0" fillId="12" borderId="1" xfId="0" applyFill="1" applyBorder="1" applyAlignment="1">
      <alignment vertical="center" wrapText="1"/>
    </xf>
    <xf numFmtId="0" fontId="0" fillId="13" borderId="1" xfId="0" applyFill="1" applyBorder="1" applyAlignment="1">
      <alignment vertical="center" wrapText="1"/>
    </xf>
    <xf numFmtId="0" fontId="0" fillId="14" borderId="1" xfId="0" applyFill="1" applyBorder="1" applyAlignment="1">
      <alignment vertical="center" wrapText="1"/>
    </xf>
    <xf numFmtId="0" fontId="0" fillId="15" borderId="1" xfId="0" applyFill="1" applyBorder="1" applyAlignment="1">
      <alignment vertical="center" wrapText="1"/>
    </xf>
    <xf numFmtId="0" fontId="0" fillId="16" borderId="1" xfId="0" applyFill="1" applyBorder="1" applyAlignment="1">
      <alignment vertical="center" wrapText="1"/>
    </xf>
    <xf numFmtId="3" fontId="0" fillId="3" borderId="6" xfId="0" applyNumberFormat="1" applyFill="1" applyBorder="1"/>
    <xf numFmtId="3" fontId="20" fillId="0" borderId="0" xfId="0" applyNumberFormat="1" applyFont="1"/>
    <xf numFmtId="3" fontId="3" fillId="0" borderId="46" xfId="0" applyNumberFormat="1" applyFont="1" applyBorder="1"/>
    <xf numFmtId="3" fontId="3" fillId="0" borderId="2" xfId="0" applyNumberFormat="1" applyFont="1" applyBorder="1"/>
    <xf numFmtId="3" fontId="3" fillId="0" borderId="2" xfId="0" applyNumberFormat="1" applyFont="1" applyFill="1" applyBorder="1" applyAlignment="1">
      <alignment horizontal="right" vertical="center" wrapText="1"/>
    </xf>
    <xf numFmtId="0" fontId="0" fillId="0" borderId="6" xfId="0" applyFill="1" applyBorder="1"/>
    <xf numFmtId="3" fontId="22" fillId="0" borderId="2" xfId="0" applyNumberFormat="1" applyFont="1" applyFill="1" applyBorder="1" applyAlignment="1">
      <alignment horizontal="right" vertical="center" wrapText="1"/>
    </xf>
    <xf numFmtId="0" fontId="21" fillId="0" borderId="0" xfId="0" applyFont="1" applyFill="1" applyAlignment="1">
      <alignment horizontal="right"/>
    </xf>
    <xf numFmtId="0" fontId="21" fillId="0" borderId="2" xfId="0" applyFont="1" applyFill="1" applyBorder="1" applyAlignment="1">
      <alignment horizontal="center" vertical="center"/>
    </xf>
    <xf numFmtId="0" fontId="21" fillId="0" borderId="9" xfId="0" applyFont="1" applyFill="1" applyBorder="1" applyAlignment="1">
      <alignment horizontal="center" vertical="center"/>
    </xf>
    <xf numFmtId="3" fontId="22" fillId="0" borderId="6" xfId="0" applyNumberFormat="1" applyFont="1" applyFill="1" applyBorder="1" applyAlignment="1">
      <alignment horizontal="right" vertical="center" wrapText="1"/>
    </xf>
    <xf numFmtId="0" fontId="22" fillId="0" borderId="1" xfId="0" applyFont="1" applyFill="1" applyBorder="1" applyAlignment="1">
      <alignment vertical="center" wrapText="1"/>
    </xf>
    <xf numFmtId="3" fontId="22" fillId="0" borderId="1" xfId="0" applyNumberFormat="1" applyFont="1" applyFill="1" applyBorder="1" applyAlignment="1">
      <alignment horizontal="right" vertical="center" wrapText="1"/>
    </xf>
    <xf numFmtId="0" fontId="22" fillId="0" borderId="3" xfId="0" applyFont="1" applyFill="1" applyBorder="1" applyAlignment="1">
      <alignment horizontal="right" vertical="center" wrapText="1"/>
    </xf>
    <xf numFmtId="3" fontId="21" fillId="0" borderId="2" xfId="0" applyNumberFormat="1" applyFont="1" applyFill="1" applyBorder="1" applyAlignment="1">
      <alignment horizontal="right" vertical="center"/>
    </xf>
    <xf numFmtId="3" fontId="22" fillId="0" borderId="3" xfId="0" applyNumberFormat="1" applyFont="1" applyFill="1" applyBorder="1" applyAlignment="1">
      <alignment horizontal="right" vertical="center" wrapText="1"/>
    </xf>
    <xf numFmtId="0" fontId="22" fillId="0" borderId="36" xfId="0" applyFont="1" applyFill="1" applyBorder="1" applyAlignment="1">
      <alignment vertical="center" wrapText="1"/>
    </xf>
    <xf numFmtId="3" fontId="22" fillId="0" borderId="36" xfId="0" applyNumberFormat="1" applyFont="1" applyFill="1" applyBorder="1" applyAlignment="1">
      <alignment horizontal="right" vertical="center" wrapText="1"/>
    </xf>
    <xf numFmtId="0" fontId="22" fillId="0" borderId="43" xfId="0" applyFont="1" applyFill="1" applyBorder="1" applyAlignment="1">
      <alignment horizontal="right" vertical="center" wrapText="1"/>
    </xf>
    <xf numFmtId="0" fontId="22" fillId="0" borderId="6" xfId="0" applyFont="1" applyFill="1" applyBorder="1" applyAlignment="1">
      <alignment vertical="center" wrapText="1"/>
    </xf>
    <xf numFmtId="0" fontId="22" fillId="0" borderId="6" xfId="0" applyFont="1" applyFill="1" applyBorder="1" applyAlignment="1">
      <alignment horizontal="right" vertical="center" wrapText="1"/>
    </xf>
    <xf numFmtId="0" fontId="21" fillId="0" borderId="0" xfId="0" applyFont="1" applyFill="1"/>
    <xf numFmtId="0" fontId="22" fillId="0" borderId="16" xfId="0" applyFont="1" applyFill="1" applyBorder="1" applyAlignment="1">
      <alignment vertical="center" wrapText="1"/>
    </xf>
    <xf numFmtId="3" fontId="22" fillId="0" borderId="16" xfId="0" applyNumberFormat="1" applyFont="1" applyFill="1" applyBorder="1" applyAlignment="1">
      <alignment horizontal="right" vertical="center" wrapText="1"/>
    </xf>
    <xf numFmtId="3" fontId="22" fillId="0" borderId="20" xfId="0" applyNumberFormat="1" applyFont="1" applyFill="1" applyBorder="1" applyAlignment="1">
      <alignment horizontal="right" vertical="center" wrapText="1"/>
    </xf>
    <xf numFmtId="3" fontId="22" fillId="0" borderId="43" xfId="0" applyNumberFormat="1" applyFont="1" applyFill="1" applyBorder="1" applyAlignment="1">
      <alignment horizontal="right" vertical="center" wrapText="1"/>
    </xf>
    <xf numFmtId="0" fontId="21" fillId="0" borderId="6" xfId="0" applyFont="1" applyFill="1" applyBorder="1"/>
    <xf numFmtId="0" fontId="22" fillId="0" borderId="1" xfId="0" applyFont="1" applyFill="1" applyBorder="1" applyAlignment="1">
      <alignment horizontal="right" vertical="center" wrapText="1"/>
    </xf>
    <xf numFmtId="0" fontId="22" fillId="0" borderId="15" xfId="0" applyFont="1" applyFill="1" applyBorder="1" applyAlignment="1">
      <alignment vertical="center" wrapText="1"/>
    </xf>
    <xf numFmtId="3" fontId="22" fillId="0" borderId="15" xfId="0" applyNumberFormat="1" applyFont="1" applyFill="1" applyBorder="1" applyAlignment="1">
      <alignment horizontal="right" vertical="center" wrapText="1"/>
    </xf>
    <xf numFmtId="3" fontId="22" fillId="0" borderId="17" xfId="0" applyNumberFormat="1" applyFont="1" applyFill="1" applyBorder="1" applyAlignment="1">
      <alignment horizontal="right" vertical="center" wrapText="1"/>
    </xf>
    <xf numFmtId="0" fontId="22" fillId="0" borderId="4" xfId="0" applyFont="1" applyFill="1" applyBorder="1" applyAlignment="1">
      <alignment vertical="center" wrapText="1"/>
    </xf>
    <xf numFmtId="0" fontId="0" fillId="11" borderId="2" xfId="0" applyFill="1" applyBorder="1" applyAlignment="1">
      <alignment horizontal="center" vertical="center" wrapText="1"/>
    </xf>
    <xf numFmtId="0" fontId="22" fillId="0" borderId="16" xfId="0" applyFont="1" applyBorder="1" applyAlignment="1">
      <alignment horizontal="center" vertical="center" wrapText="1"/>
    </xf>
    <xf numFmtId="0" fontId="22" fillId="0" borderId="1" xfId="0" applyFont="1" applyBorder="1" applyAlignment="1">
      <alignment horizontal="center" vertical="center" wrapText="1"/>
    </xf>
    <xf numFmtId="3" fontId="3" fillId="0" borderId="7" xfId="0" applyNumberFormat="1" applyFont="1" applyBorder="1" applyAlignment="1">
      <alignment vertical="center" wrapText="1"/>
    </xf>
    <xf numFmtId="3" fontId="0" fillId="0" borderId="7" xfId="0" applyNumberFormat="1" applyBorder="1"/>
    <xf numFmtId="3" fontId="0" fillId="0" borderId="51" xfId="0" applyNumberFormat="1" applyBorder="1"/>
    <xf numFmtId="0" fontId="3" fillId="3" borderId="44" xfId="0" applyFont="1" applyFill="1" applyBorder="1" applyAlignment="1">
      <alignment vertical="center" wrapText="1"/>
    </xf>
    <xf numFmtId="0" fontId="3" fillId="0" borderId="13" xfId="0" applyFont="1" applyBorder="1" applyAlignment="1">
      <alignment vertical="center"/>
    </xf>
    <xf numFmtId="3" fontId="26" fillId="0" borderId="2" xfId="0" applyNumberFormat="1" applyFont="1" applyFill="1" applyBorder="1" applyAlignment="1">
      <alignment horizontal="center" vertical="center" textRotation="255" wrapText="1"/>
    </xf>
    <xf numFmtId="3" fontId="26" fillId="0" borderId="2" xfId="0" applyNumberFormat="1" applyFont="1" applyFill="1" applyBorder="1" applyAlignment="1">
      <alignment horizontal="center" vertical="center" wrapText="1"/>
    </xf>
    <xf numFmtId="0" fontId="26" fillId="0" borderId="0" xfId="0" applyFont="1" applyFill="1" applyAlignment="1">
      <alignment horizontal="center" textRotation="255" wrapText="1"/>
    </xf>
    <xf numFmtId="3" fontId="22" fillId="0" borderId="2" xfId="0" applyNumberFormat="1" applyFont="1" applyFill="1" applyBorder="1" applyAlignment="1">
      <alignment horizontal="center" vertical="center" wrapText="1"/>
    </xf>
    <xf numFmtId="0" fontId="3" fillId="0" borderId="15"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16" xfId="0" applyFont="1" applyBorder="1" applyAlignment="1">
      <alignment horizontal="center" vertical="center" wrapText="1"/>
    </xf>
    <xf numFmtId="3" fontId="3" fillId="0" borderId="17" xfId="0" applyNumberFormat="1" applyFont="1" applyBorder="1" applyAlignment="1">
      <alignment horizontal="right" vertical="center" wrapText="1"/>
    </xf>
    <xf numFmtId="3" fontId="3" fillId="0" borderId="15" xfId="0" applyNumberFormat="1" applyFont="1" applyBorder="1" applyAlignment="1">
      <alignment horizontal="right" vertical="center" wrapText="1"/>
    </xf>
    <xf numFmtId="0" fontId="3" fillId="0" borderId="2" xfId="0" applyFont="1" applyBorder="1" applyAlignment="1">
      <alignment horizontal="center" vertical="center" wrapText="1"/>
    </xf>
    <xf numFmtId="0" fontId="0" fillId="0" borderId="2" xfId="0" applyBorder="1" applyAlignment="1">
      <alignment horizontal="center"/>
    </xf>
    <xf numFmtId="0" fontId="3" fillId="11" borderId="2" xfId="0" applyFont="1" applyFill="1" applyBorder="1" applyAlignment="1">
      <alignment horizontal="center" vertical="center" wrapText="1"/>
    </xf>
    <xf numFmtId="0" fontId="0" fillId="0" borderId="54" xfId="0" applyBorder="1" applyAlignment="1"/>
    <xf numFmtId="0" fontId="0" fillId="0" borderId="45" xfId="0" applyBorder="1" applyAlignment="1"/>
    <xf numFmtId="0" fontId="0" fillId="0" borderId="51" xfId="0" applyBorder="1" applyAlignment="1"/>
    <xf numFmtId="0" fontId="27" fillId="0" borderId="5" xfId="0" applyFont="1" applyBorder="1" applyAlignment="1"/>
    <xf numFmtId="0" fontId="21" fillId="0" borderId="10" xfId="0" applyFont="1" applyFill="1" applyBorder="1" applyAlignment="1">
      <alignment horizontal="center" vertical="center"/>
    </xf>
    <xf numFmtId="0" fontId="1" fillId="0" borderId="2" xfId="0" applyFont="1" applyBorder="1"/>
    <xf numFmtId="3" fontId="22" fillId="4" borderId="1" xfId="0" applyNumberFormat="1" applyFont="1" applyFill="1" applyBorder="1" applyAlignment="1">
      <alignment horizontal="right" vertical="center" wrapText="1"/>
    </xf>
    <xf numFmtId="3" fontId="23" fillId="0" borderId="1" xfId="0" applyNumberFormat="1" applyFont="1" applyFill="1" applyBorder="1" applyAlignment="1">
      <alignment horizontal="right" vertical="center" wrapText="1"/>
    </xf>
    <xf numFmtId="0" fontId="0" fillId="0" borderId="0" xfId="0" applyFill="1"/>
    <xf numFmtId="3" fontId="3" fillId="0" borderId="8" xfId="0" applyNumberFormat="1" applyFont="1" applyFill="1" applyBorder="1" applyAlignment="1">
      <alignment horizontal="right" vertical="center" wrapText="1"/>
    </xf>
    <xf numFmtId="168" fontId="22" fillId="0" borderId="2" xfId="0" applyNumberFormat="1" applyFont="1" applyFill="1" applyBorder="1" applyAlignment="1">
      <alignment horizontal="right" vertical="center" wrapText="1"/>
    </xf>
    <xf numFmtId="168" fontId="22" fillId="0" borderId="6" xfId="0" applyNumberFormat="1" applyFont="1" applyFill="1" applyBorder="1" applyAlignment="1">
      <alignment horizontal="right" vertical="center" wrapText="1"/>
    </xf>
    <xf numFmtId="168" fontId="3" fillId="3" borderId="6" xfId="0" applyNumberFormat="1" applyFont="1" applyFill="1" applyBorder="1" applyAlignment="1">
      <alignment horizontal="right" vertical="center" wrapText="1"/>
    </xf>
    <xf numFmtId="168" fontId="3" fillId="0" borderId="2" xfId="0" applyNumberFormat="1" applyFont="1" applyBorder="1" applyAlignment="1">
      <alignment vertical="center" wrapText="1"/>
    </xf>
    <xf numFmtId="0" fontId="0" fillId="4" borderId="2" xfId="0" applyFill="1" applyBorder="1" applyAlignment="1">
      <alignment horizontal="center" vertical="center" wrapText="1"/>
    </xf>
    <xf numFmtId="0" fontId="0" fillId="14" borderId="2" xfId="0" applyFill="1" applyBorder="1" applyAlignment="1">
      <alignment horizontal="center" vertical="center" wrapText="1"/>
    </xf>
    <xf numFmtId="3" fontId="23" fillId="0" borderId="1" xfId="0" applyNumberFormat="1" applyFont="1" applyBorder="1" applyAlignment="1">
      <alignment horizontal="right" vertical="center" wrapText="1"/>
    </xf>
    <xf numFmtId="3" fontId="3" fillId="0" borderId="5" xfId="0" applyNumberFormat="1" applyFont="1" applyBorder="1" applyAlignment="1">
      <alignment horizontal="right" vertical="center" wrapText="1"/>
    </xf>
    <xf numFmtId="3" fontId="3" fillId="0" borderId="5" xfId="0" applyNumberFormat="1" applyFont="1" applyFill="1" applyBorder="1" applyAlignment="1">
      <alignment horizontal="right" vertical="center" wrapText="1"/>
    </xf>
    <xf numFmtId="3" fontId="22" fillId="0" borderId="5" xfId="0" applyNumberFormat="1" applyFont="1" applyBorder="1" applyAlignment="1">
      <alignment horizontal="right" vertical="center" wrapText="1"/>
    </xf>
    <xf numFmtId="3" fontId="23" fillId="0" borderId="5" xfId="0" applyNumberFormat="1" applyFont="1" applyBorder="1" applyAlignment="1">
      <alignment horizontal="right" vertical="center" wrapText="1"/>
    </xf>
    <xf numFmtId="3" fontId="3" fillId="0" borderId="5" xfId="0" applyNumberFormat="1" applyFont="1" applyBorder="1" applyAlignment="1">
      <alignment vertical="center" wrapText="1"/>
    </xf>
    <xf numFmtId="3" fontId="3" fillId="0" borderId="5" xfId="0" applyNumberFormat="1" applyFont="1" applyBorder="1"/>
    <xf numFmtId="3" fontId="22" fillId="0" borderId="7" xfId="0" applyNumberFormat="1" applyFont="1" applyFill="1" applyBorder="1" applyAlignment="1">
      <alignment horizontal="right" vertical="center" wrapText="1"/>
    </xf>
    <xf numFmtId="3" fontId="22" fillId="0" borderId="5" xfId="0" applyNumberFormat="1" applyFont="1" applyFill="1" applyBorder="1" applyAlignment="1">
      <alignment horizontal="right" vertical="center" wrapText="1"/>
    </xf>
    <xf numFmtId="168" fontId="3" fillId="0" borderId="5" xfId="0" applyNumberFormat="1" applyFont="1" applyBorder="1" applyAlignment="1">
      <alignment vertical="center" wrapText="1"/>
    </xf>
    <xf numFmtId="3" fontId="3" fillId="0" borderId="13" xfId="0" applyNumberFormat="1" applyFont="1" applyBorder="1" applyAlignment="1">
      <alignment horizontal="right" vertical="center" wrapText="1"/>
    </xf>
    <xf numFmtId="3" fontId="22" fillId="0" borderId="0" xfId="0" applyNumberFormat="1" applyFont="1" applyFill="1" applyBorder="1" applyAlignment="1">
      <alignment horizontal="right" vertical="center" wrapText="1"/>
    </xf>
    <xf numFmtId="0" fontId="3" fillId="0" borderId="13" xfId="0" applyFont="1" applyBorder="1" applyAlignment="1">
      <alignment horizontal="right" vertical="center" wrapText="1"/>
    </xf>
    <xf numFmtId="0" fontId="22" fillId="0" borderId="13" xfId="0" applyFont="1" applyFill="1" applyBorder="1" applyAlignment="1">
      <alignment vertical="center" wrapText="1"/>
    </xf>
    <xf numFmtId="3" fontId="22" fillId="0" borderId="13" xfId="0" applyNumberFormat="1" applyFont="1" applyFill="1" applyBorder="1" applyAlignment="1">
      <alignment horizontal="right" vertical="center" wrapText="1"/>
    </xf>
    <xf numFmtId="0" fontId="22" fillId="0" borderId="13" xfId="0" applyFont="1" applyFill="1" applyBorder="1" applyAlignment="1">
      <alignment horizontal="right" vertical="center" wrapText="1"/>
    </xf>
    <xf numFmtId="168" fontId="22" fillId="0" borderId="13" xfId="0" applyNumberFormat="1" applyFont="1" applyFill="1" applyBorder="1" applyAlignment="1">
      <alignment horizontal="right" vertical="center" wrapText="1"/>
    </xf>
    <xf numFmtId="3" fontId="3" fillId="0" borderId="54" xfId="0" applyNumberFormat="1" applyFont="1" applyBorder="1"/>
    <xf numFmtId="3" fontId="3" fillId="0" borderId="51" xfId="0" applyNumberFormat="1" applyFont="1" applyBorder="1"/>
    <xf numFmtId="0" fontId="0" fillId="3" borderId="13" xfId="0" applyFill="1" applyBorder="1"/>
    <xf numFmtId="0" fontId="21" fillId="0" borderId="13" xfId="0" applyFont="1" applyFill="1" applyBorder="1"/>
    <xf numFmtId="3" fontId="21" fillId="0" borderId="10" xfId="0" applyNumberFormat="1" applyFont="1" applyFill="1" applyBorder="1" applyAlignment="1">
      <alignment horizontal="right" vertical="center"/>
    </xf>
    <xf numFmtId="0" fontId="3" fillId="3" borderId="13" xfId="0" applyFont="1" applyFill="1" applyBorder="1" applyAlignment="1">
      <alignment horizontal="center" vertical="center" wrapText="1"/>
    </xf>
    <xf numFmtId="168" fontId="21" fillId="0" borderId="13" xfId="0" applyNumberFormat="1" applyFont="1" applyFill="1" applyBorder="1"/>
    <xf numFmtId="0" fontId="3" fillId="0" borderId="0" xfId="0" applyFont="1" applyBorder="1" applyAlignment="1">
      <alignment vertical="center" wrapText="1"/>
    </xf>
    <xf numFmtId="3" fontId="3" fillId="0" borderId="0" xfId="0" applyNumberFormat="1" applyFont="1" applyBorder="1" applyAlignment="1">
      <alignment horizontal="right" vertical="center" wrapText="1"/>
    </xf>
    <xf numFmtId="0" fontId="3" fillId="0" borderId="0" xfId="0" applyFont="1" applyBorder="1" applyAlignment="1">
      <alignment horizontal="right" vertical="center" wrapText="1"/>
    </xf>
    <xf numFmtId="10" fontId="0" fillId="0" borderId="2" xfId="0" applyNumberFormat="1" applyBorder="1" applyAlignment="1">
      <alignment horizontal="center" vertical="center"/>
    </xf>
    <xf numFmtId="0" fontId="0" fillId="0" borderId="2" xfId="0" applyBorder="1" applyAlignment="1">
      <alignment horizontal="center" vertical="center"/>
    </xf>
    <xf numFmtId="0" fontId="3" fillId="0" borderId="0" xfId="0" applyFont="1" applyBorder="1" applyAlignment="1">
      <alignment vertical="center"/>
    </xf>
    <xf numFmtId="3" fontId="22" fillId="0" borderId="10" xfId="0" applyNumberFormat="1" applyFont="1" applyFill="1" applyBorder="1" applyAlignment="1">
      <alignment horizontal="right" vertical="center" wrapText="1"/>
    </xf>
    <xf numFmtId="3" fontId="0" fillId="0" borderId="8" xfId="0" applyNumberFormat="1" applyBorder="1" applyAlignment="1">
      <alignment horizontal="right" vertical="center"/>
    </xf>
    <xf numFmtId="10" fontId="0" fillId="0" borderId="46" xfId="0" applyNumberFormat="1" applyBorder="1" applyAlignment="1">
      <alignment horizontal="center" vertical="center"/>
    </xf>
    <xf numFmtId="3" fontId="23" fillId="0" borderId="2" xfId="0" applyNumberFormat="1" applyFont="1" applyFill="1" applyBorder="1" applyAlignment="1">
      <alignment horizontal="right" vertical="center" wrapText="1"/>
    </xf>
    <xf numFmtId="3" fontId="22" fillId="0" borderId="1" xfId="0" applyNumberFormat="1" applyFont="1" applyBorder="1" applyAlignment="1">
      <alignment horizontal="right" vertical="center" wrapText="1"/>
    </xf>
    <xf numFmtId="3" fontId="22" fillId="0" borderId="15" xfId="0" applyNumberFormat="1" applyFont="1" applyBorder="1" applyAlignment="1">
      <alignment horizontal="right" vertical="center" wrapText="1"/>
    </xf>
    <xf numFmtId="0" fontId="3" fillId="0" borderId="19" xfId="0" applyFont="1" applyBorder="1" applyAlignment="1">
      <alignment horizontal="center" vertical="center" wrapText="1"/>
    </xf>
    <xf numFmtId="0" fontId="3" fillId="0" borderId="35" xfId="0" applyFont="1" applyBorder="1" applyAlignment="1">
      <alignment horizontal="center" vertical="center" wrapText="1"/>
    </xf>
    <xf numFmtId="0" fontId="3" fillId="0" borderId="2" xfId="0" applyFont="1" applyBorder="1" applyAlignment="1">
      <alignment horizontal="center" vertical="center" wrapText="1"/>
    </xf>
    <xf numFmtId="0" fontId="3" fillId="0" borderId="8" xfId="0" applyFont="1" applyBorder="1" applyAlignment="1">
      <alignment horizontal="center" vertical="center" wrapText="1"/>
    </xf>
    <xf numFmtId="3" fontId="3" fillId="0" borderId="15" xfId="0" applyNumberFormat="1" applyFont="1" applyBorder="1" applyAlignment="1">
      <alignment horizontal="right" vertical="center" wrapText="1"/>
    </xf>
    <xf numFmtId="0" fontId="3" fillId="0" borderId="24" xfId="0" applyFont="1" applyBorder="1" applyAlignment="1">
      <alignment horizontal="right" vertical="center" wrapText="1"/>
    </xf>
    <xf numFmtId="3" fontId="3" fillId="0" borderId="2" xfId="0" applyNumberFormat="1" applyFont="1" applyBorder="1" applyAlignment="1">
      <alignment horizontal="center" vertical="center" wrapText="1"/>
    </xf>
    <xf numFmtId="0" fontId="3" fillId="0" borderId="15"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5" xfId="0" applyFont="1" applyBorder="1" applyAlignment="1">
      <alignment vertical="center" wrapText="1"/>
    </xf>
    <xf numFmtId="0" fontId="3" fillId="0" borderId="24" xfId="0" applyFont="1" applyBorder="1" applyAlignment="1">
      <alignment vertical="center" wrapText="1"/>
    </xf>
    <xf numFmtId="0" fontId="3" fillId="0" borderId="16" xfId="0" applyFont="1" applyBorder="1" applyAlignment="1">
      <alignment vertical="center" wrapText="1"/>
    </xf>
    <xf numFmtId="0" fontId="3" fillId="0" borderId="16" xfId="0" applyFont="1" applyBorder="1" applyAlignment="1">
      <alignment horizontal="right" vertical="center" wrapText="1"/>
    </xf>
    <xf numFmtId="0" fontId="22" fillId="0" borderId="2" xfId="0" applyFont="1" applyBorder="1" applyAlignment="1">
      <alignment horizontal="center" vertical="center" wrapText="1"/>
    </xf>
    <xf numFmtId="3" fontId="22" fillId="0" borderId="2" xfId="0" applyNumberFormat="1" applyFont="1" applyFill="1" applyBorder="1" applyAlignment="1">
      <alignment horizontal="center" vertical="center" textRotation="255" wrapText="1"/>
    </xf>
    <xf numFmtId="3" fontId="26" fillId="0" borderId="10" xfId="0" applyNumberFormat="1" applyFont="1" applyFill="1" applyBorder="1" applyAlignment="1">
      <alignment horizontal="center" vertical="center" wrapText="1"/>
    </xf>
    <xf numFmtId="0" fontId="0" fillId="0" borderId="2" xfId="0" applyBorder="1" applyAlignment="1">
      <alignment horizontal="center"/>
    </xf>
    <xf numFmtId="0" fontId="3" fillId="0" borderId="0" xfId="0" applyFont="1" applyBorder="1" applyAlignment="1">
      <alignment horizontal="center" vertical="center" wrapText="1"/>
    </xf>
    <xf numFmtId="0" fontId="3" fillId="0" borderId="22" xfId="0" applyFont="1" applyBorder="1" applyAlignment="1">
      <alignment horizontal="right" vertical="center" wrapText="1"/>
    </xf>
    <xf numFmtId="3" fontId="3" fillId="0" borderId="6" xfId="0" applyNumberFormat="1" applyFont="1" applyBorder="1" applyAlignment="1">
      <alignment vertical="center" wrapText="1"/>
    </xf>
    <xf numFmtId="0" fontId="21" fillId="0" borderId="0" xfId="0" applyFont="1" applyFill="1" applyBorder="1"/>
    <xf numFmtId="0" fontId="3" fillId="18" borderId="2" xfId="0" applyFont="1" applyFill="1" applyBorder="1" applyAlignment="1">
      <alignment horizontal="center" vertical="center" wrapText="1"/>
    </xf>
    <xf numFmtId="3" fontId="29" fillId="0" borderId="6" xfId="0" applyNumberFormat="1" applyFont="1" applyFill="1" applyBorder="1"/>
    <xf numFmtId="0" fontId="3" fillId="0" borderId="2"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25" xfId="0" applyFont="1" applyBorder="1" applyAlignment="1">
      <alignment horizontal="center" vertical="center" wrapText="1"/>
    </xf>
    <xf numFmtId="3" fontId="3" fillId="0" borderId="4" xfId="0" applyNumberFormat="1" applyFont="1" applyBorder="1" applyAlignment="1">
      <alignment horizontal="right" vertical="center" wrapText="1"/>
    </xf>
    <xf numFmtId="0" fontId="21" fillId="0" borderId="7" xfId="0" applyFont="1" applyFill="1" applyBorder="1" applyAlignment="1">
      <alignment horizontal="center" vertical="center"/>
    </xf>
    <xf numFmtId="0" fontId="21" fillId="0" borderId="62" xfId="0" applyFont="1" applyFill="1" applyBorder="1" applyAlignment="1">
      <alignment horizontal="center" vertical="center"/>
    </xf>
    <xf numFmtId="0" fontId="22" fillId="3" borderId="0" xfId="0" applyFont="1" applyFill="1" applyBorder="1" applyAlignment="1">
      <alignment horizontal="center" vertical="center" wrapText="1"/>
    </xf>
    <xf numFmtId="0" fontId="3" fillId="3" borderId="0" xfId="0" applyFont="1" applyFill="1" applyBorder="1" applyAlignment="1">
      <alignment vertical="center"/>
    </xf>
    <xf numFmtId="0" fontId="3" fillId="3" borderId="0" xfId="0" applyFont="1" applyFill="1" applyBorder="1" applyAlignment="1">
      <alignment horizontal="right" vertical="center" wrapText="1"/>
    </xf>
    <xf numFmtId="0" fontId="3" fillId="3" borderId="0" xfId="0" applyFont="1" applyFill="1" applyBorder="1" applyAlignment="1">
      <alignment horizontal="center" vertical="center" wrapText="1"/>
    </xf>
    <xf numFmtId="0" fontId="22" fillId="0" borderId="2" xfId="0" applyFont="1" applyFill="1" applyBorder="1" applyAlignment="1">
      <alignment horizontal="right" vertical="center" wrapText="1"/>
    </xf>
    <xf numFmtId="3" fontId="3" fillId="0" borderId="22" xfId="0" applyNumberFormat="1" applyFont="1" applyBorder="1" applyAlignment="1">
      <alignment horizontal="right" vertical="center" wrapText="1"/>
    </xf>
    <xf numFmtId="3" fontId="21" fillId="0" borderId="6" xfId="0" applyNumberFormat="1" applyFont="1" applyFill="1" applyBorder="1" applyAlignment="1">
      <alignment horizontal="right" vertical="center"/>
    </xf>
    <xf numFmtId="0" fontId="3" fillId="0" borderId="22" xfId="0" applyFont="1" applyBorder="1" applyAlignment="1">
      <alignment horizontal="center" vertical="center" wrapText="1"/>
    </xf>
    <xf numFmtId="10" fontId="0" fillId="17" borderId="2" xfId="0" applyNumberFormat="1" applyFill="1" applyBorder="1" applyAlignment="1">
      <alignment horizontal="center" vertical="center"/>
    </xf>
    <xf numFmtId="10" fontId="0" fillId="19" borderId="2" xfId="0" applyNumberFormat="1" applyFill="1" applyBorder="1" applyAlignment="1">
      <alignment horizontal="center" vertical="center"/>
    </xf>
    <xf numFmtId="10" fontId="0" fillId="20" borderId="2" xfId="0" applyNumberFormat="1" applyFill="1" applyBorder="1" applyAlignment="1">
      <alignment horizontal="center" vertical="center"/>
    </xf>
    <xf numFmtId="10" fontId="0" fillId="21" borderId="2" xfId="0" applyNumberFormat="1" applyFill="1" applyBorder="1" applyAlignment="1">
      <alignment horizontal="center" vertical="center"/>
    </xf>
    <xf numFmtId="10" fontId="0" fillId="22" borderId="2" xfId="0" applyNumberFormat="1" applyFill="1" applyBorder="1" applyAlignment="1">
      <alignment horizontal="center" vertical="center"/>
    </xf>
    <xf numFmtId="10" fontId="0" fillId="23" borderId="2" xfId="0" applyNumberFormat="1" applyFill="1" applyBorder="1" applyAlignment="1">
      <alignment horizontal="center" vertical="center"/>
    </xf>
    <xf numFmtId="10" fontId="0" fillId="24" borderId="2" xfId="0" applyNumberFormat="1" applyFill="1" applyBorder="1" applyAlignment="1">
      <alignment horizontal="center" vertical="center"/>
    </xf>
    <xf numFmtId="10" fontId="0" fillId="25" borderId="46" xfId="0" applyNumberFormat="1" applyFill="1" applyBorder="1" applyAlignment="1">
      <alignment horizontal="center" vertical="center"/>
    </xf>
    <xf numFmtId="10" fontId="0" fillId="26" borderId="2" xfId="0" applyNumberFormat="1" applyFill="1" applyBorder="1" applyAlignment="1">
      <alignment horizontal="center" vertical="center"/>
    </xf>
    <xf numFmtId="0" fontId="0" fillId="0" borderId="2" xfId="0" applyBorder="1" applyAlignment="1">
      <alignment horizontal="center"/>
    </xf>
    <xf numFmtId="168" fontId="0" fillId="0" borderId="0" xfId="0" applyNumberFormat="1"/>
    <xf numFmtId="0" fontId="3" fillId="11" borderId="2" xfId="0" applyFont="1" applyFill="1" applyBorder="1" applyAlignment="1">
      <alignment horizontal="center" vertical="center" wrapText="1"/>
    </xf>
    <xf numFmtId="0" fontId="3" fillId="0" borderId="15" xfId="0" applyFont="1" applyBorder="1" applyAlignment="1">
      <alignment horizontal="center" vertical="center" wrapText="1"/>
    </xf>
    <xf numFmtId="0" fontId="3" fillId="0" borderId="15" xfId="0" applyFont="1" applyBorder="1" applyAlignment="1">
      <alignment vertical="center" wrapText="1"/>
    </xf>
    <xf numFmtId="0" fontId="3" fillId="4" borderId="2" xfId="0" applyFont="1" applyFill="1" applyBorder="1" applyAlignment="1">
      <alignment horizontal="center" vertical="center" wrapText="1"/>
    </xf>
    <xf numFmtId="0" fontId="3" fillId="0" borderId="16" xfId="0" applyFont="1" applyBorder="1" applyAlignment="1">
      <alignment horizontal="center" vertical="center" wrapText="1"/>
    </xf>
    <xf numFmtId="0" fontId="3" fillId="0" borderId="3" xfId="0" applyFont="1" applyBorder="1" applyAlignment="1">
      <alignment vertical="center" wrapText="1"/>
    </xf>
    <xf numFmtId="0" fontId="3" fillId="3" borderId="13" xfId="0" applyFont="1" applyFill="1" applyBorder="1" applyAlignment="1">
      <alignment horizontal="right" vertical="center" wrapText="1"/>
    </xf>
    <xf numFmtId="9" fontId="3" fillId="3" borderId="13" xfId="0" applyNumberFormat="1" applyFont="1" applyFill="1" applyBorder="1" applyAlignment="1">
      <alignment horizontal="center" vertical="center" wrapText="1"/>
    </xf>
    <xf numFmtId="0" fontId="3" fillId="18" borderId="69" xfId="0" applyFont="1" applyFill="1" applyBorder="1" applyAlignment="1">
      <alignment horizontal="center" vertical="center" wrapText="1"/>
    </xf>
    <xf numFmtId="3" fontId="3" fillId="0" borderId="70" xfId="0" applyNumberFormat="1" applyFont="1" applyBorder="1" applyAlignment="1">
      <alignment horizontal="right" vertical="center" wrapText="1"/>
    </xf>
    <xf numFmtId="10" fontId="3" fillId="0" borderId="71" xfId="0" applyNumberFormat="1" applyFont="1" applyBorder="1" applyAlignment="1">
      <alignment horizontal="center" vertical="center" wrapText="1"/>
    </xf>
    <xf numFmtId="3" fontId="22" fillId="0" borderId="69" xfId="0" applyNumberFormat="1" applyFont="1" applyFill="1" applyBorder="1" applyAlignment="1">
      <alignment horizontal="right" vertical="center" wrapText="1"/>
    </xf>
    <xf numFmtId="3" fontId="3" fillId="0" borderId="74" xfId="0" applyNumberFormat="1" applyFont="1" applyBorder="1" applyAlignment="1">
      <alignment horizontal="right" vertical="center" wrapText="1"/>
    </xf>
    <xf numFmtId="3" fontId="3" fillId="0" borderId="46" xfId="0" applyNumberFormat="1" applyFont="1" applyBorder="1" applyAlignment="1">
      <alignment vertical="center" wrapText="1"/>
    </xf>
    <xf numFmtId="3" fontId="3" fillId="0" borderId="75" xfId="0" applyNumberFormat="1" applyFont="1" applyBorder="1" applyAlignment="1">
      <alignment vertical="center" wrapText="1"/>
    </xf>
    <xf numFmtId="0" fontId="3" fillId="3" borderId="13" xfId="0" applyFont="1" applyFill="1" applyBorder="1" applyAlignment="1">
      <alignment vertical="center"/>
    </xf>
    <xf numFmtId="0" fontId="0" fillId="0" borderId="76" xfId="0" applyBorder="1"/>
    <xf numFmtId="3" fontId="3" fillId="0" borderId="46" xfId="0" applyNumberFormat="1" applyFont="1" applyBorder="1" applyAlignment="1">
      <alignment horizontal="right" vertical="center" wrapText="1"/>
    </xf>
    <xf numFmtId="3" fontId="3" fillId="0" borderId="77" xfId="0" applyNumberFormat="1" applyFont="1" applyBorder="1" applyAlignment="1">
      <alignment vertical="center" wrapText="1"/>
    </xf>
    <xf numFmtId="0" fontId="3" fillId="0" borderId="2" xfId="0" applyFont="1" applyBorder="1" applyAlignment="1">
      <alignment horizontal="center" vertical="center" wrapText="1"/>
    </xf>
    <xf numFmtId="3" fontId="22" fillId="0" borderId="8" xfId="0" applyNumberFormat="1" applyFont="1" applyFill="1" applyBorder="1" applyAlignment="1">
      <alignment horizontal="center" vertical="center" textRotation="255" wrapText="1"/>
    </xf>
    <xf numFmtId="0" fontId="3" fillId="0" borderId="15"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5" xfId="0" applyFont="1" applyBorder="1" applyAlignment="1">
      <alignment vertical="center" wrapText="1"/>
    </xf>
    <xf numFmtId="3" fontId="3" fillId="0" borderId="15" xfId="0" applyNumberFormat="1" applyFont="1" applyBorder="1" applyAlignment="1">
      <alignment horizontal="right" vertical="center" wrapText="1"/>
    </xf>
    <xf numFmtId="3" fontId="3" fillId="0" borderId="37" xfId="0" applyNumberFormat="1" applyFont="1" applyBorder="1" applyAlignment="1">
      <alignment horizontal="right" vertical="center" wrapText="1"/>
    </xf>
    <xf numFmtId="3" fontId="3" fillId="0" borderId="71" xfId="0" applyNumberFormat="1" applyFont="1" applyBorder="1" applyAlignment="1">
      <alignment horizontal="center" vertical="center" wrapText="1"/>
    </xf>
    <xf numFmtId="0" fontId="3" fillId="0" borderId="4" xfId="0" applyFont="1" applyBorder="1" applyAlignment="1">
      <alignment vertical="center" wrapText="1"/>
    </xf>
    <xf numFmtId="0" fontId="3" fillId="0" borderId="49" xfId="0" applyFont="1" applyBorder="1" applyAlignment="1">
      <alignment vertical="center" wrapText="1"/>
    </xf>
    <xf numFmtId="3" fontId="3" fillId="0" borderId="16" xfId="0" applyNumberFormat="1" applyFont="1" applyBorder="1" applyAlignment="1">
      <alignment horizontal="right" vertical="center" wrapText="1"/>
    </xf>
    <xf numFmtId="0" fontId="3" fillId="0" borderId="15"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2" xfId="0" applyFont="1" applyBorder="1" applyAlignment="1">
      <alignment horizontal="center" vertical="center" wrapText="1"/>
    </xf>
    <xf numFmtId="0" fontId="22" fillId="0" borderId="2" xfId="0" applyFont="1" applyFill="1" applyBorder="1" applyAlignment="1">
      <alignment vertical="center" wrapText="1"/>
    </xf>
    <xf numFmtId="3" fontId="3" fillId="0" borderId="2" xfId="0" applyNumberFormat="1" applyFont="1" applyBorder="1" applyAlignment="1">
      <alignment horizontal="right" vertical="center" wrapText="1"/>
    </xf>
    <xf numFmtId="0" fontId="3" fillId="0" borderId="24" xfId="0" applyFont="1" applyBorder="1" applyAlignment="1">
      <alignment horizontal="center" vertical="center" wrapText="1"/>
    </xf>
    <xf numFmtId="0" fontId="23" fillId="0" borderId="1"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2" xfId="0" applyFont="1" applyBorder="1" applyAlignment="1">
      <alignment horizontal="center" vertical="center" wrapText="1"/>
    </xf>
    <xf numFmtId="3" fontId="3" fillId="0" borderId="16" xfId="0" applyNumberFormat="1" applyFont="1" applyBorder="1" applyAlignment="1">
      <alignment horizontal="right" vertical="center" wrapText="1"/>
    </xf>
    <xf numFmtId="0" fontId="3" fillId="0" borderId="15" xfId="0" applyFont="1" applyBorder="1" applyAlignment="1">
      <alignment vertical="center" wrapText="1"/>
    </xf>
    <xf numFmtId="0" fontId="3" fillId="0" borderId="35" xfId="0" applyFont="1" applyBorder="1" applyAlignment="1">
      <alignment horizontal="right" vertical="center" wrapText="1"/>
    </xf>
    <xf numFmtId="3" fontId="3" fillId="0" borderId="2" xfId="0" applyNumberFormat="1" applyFont="1" applyBorder="1" applyAlignment="1">
      <alignment horizontal="right" vertical="center" wrapText="1"/>
    </xf>
    <xf numFmtId="0" fontId="3" fillId="0" borderId="47" xfId="0" applyFont="1" applyBorder="1" applyAlignment="1">
      <alignment horizontal="center" vertical="center" wrapText="1"/>
    </xf>
    <xf numFmtId="0" fontId="3" fillId="0" borderId="17" xfId="0" applyFont="1" applyBorder="1" applyAlignment="1">
      <alignment horizontal="right" vertical="center" wrapText="1"/>
    </xf>
    <xf numFmtId="0" fontId="3" fillId="0" borderId="19" xfId="0" applyFont="1" applyBorder="1" applyAlignment="1">
      <alignment horizontal="right" vertical="center" wrapText="1"/>
    </xf>
    <xf numFmtId="9" fontId="3" fillId="0" borderId="63" xfId="0" applyNumberFormat="1" applyFont="1" applyBorder="1" applyAlignment="1">
      <alignment horizontal="center" vertical="center" wrapText="1"/>
    </xf>
    <xf numFmtId="9" fontId="3" fillId="0" borderId="38" xfId="0" applyNumberFormat="1" applyFont="1" applyBorder="1" applyAlignment="1">
      <alignment horizontal="center" vertical="center" wrapText="1"/>
    </xf>
    <xf numFmtId="0" fontId="3" fillId="0" borderId="10" xfId="0" applyFont="1" applyBorder="1" applyAlignment="1">
      <alignment vertical="center" wrapText="1"/>
    </xf>
    <xf numFmtId="0" fontId="3" fillId="0" borderId="8" xfId="0" applyFont="1" applyBorder="1" applyAlignment="1">
      <alignment vertical="center" wrapText="1"/>
    </xf>
    <xf numFmtId="9" fontId="3" fillId="0" borderId="15" xfId="0" applyNumberFormat="1" applyFont="1" applyBorder="1" applyAlignment="1">
      <alignment horizontal="center" vertical="center" wrapText="1"/>
    </xf>
    <xf numFmtId="9" fontId="3" fillId="0" borderId="17" xfId="0" applyNumberFormat="1" applyFont="1" applyBorder="1" applyAlignment="1">
      <alignment horizontal="center" vertical="center" wrapText="1"/>
    </xf>
    <xf numFmtId="3" fontId="3" fillId="0" borderId="10" xfId="0" applyNumberFormat="1" applyFont="1" applyBorder="1" applyAlignment="1">
      <alignment vertical="center" wrapText="1"/>
    </xf>
    <xf numFmtId="3" fontId="3" fillId="0" borderId="9" xfId="0" applyNumberFormat="1" applyFont="1" applyBorder="1" applyAlignment="1">
      <alignment vertical="center" wrapText="1"/>
    </xf>
    <xf numFmtId="3" fontId="3" fillId="0" borderId="8" xfId="0" applyNumberFormat="1" applyFont="1" applyBorder="1" applyAlignment="1">
      <alignment vertical="center" wrapText="1"/>
    </xf>
    <xf numFmtId="0" fontId="22" fillId="0" borderId="10" xfId="0" applyFont="1" applyBorder="1" applyAlignment="1">
      <alignment horizontal="center" vertical="center" wrapText="1"/>
    </xf>
    <xf numFmtId="3" fontId="26" fillId="0" borderId="2" xfId="0" applyNumberFormat="1" applyFont="1" applyFill="1" applyBorder="1" applyAlignment="1">
      <alignment horizontal="center" vertical="center" wrapText="1"/>
    </xf>
    <xf numFmtId="3" fontId="22" fillId="0" borderId="2" xfId="0" applyNumberFormat="1" applyFont="1" applyFill="1" applyBorder="1" applyAlignment="1">
      <alignment horizontal="center" vertical="center" textRotation="255" wrapText="1"/>
    </xf>
    <xf numFmtId="3" fontId="22" fillId="0" borderId="8" xfId="0" applyNumberFormat="1" applyFont="1" applyFill="1" applyBorder="1" applyAlignment="1">
      <alignment horizontal="center" vertical="center" textRotation="255" wrapText="1"/>
    </xf>
    <xf numFmtId="0" fontId="3" fillId="0" borderId="5" xfId="0" applyFont="1" applyBorder="1" applyAlignment="1">
      <alignment horizontal="center" vertical="center" wrapText="1"/>
    </xf>
    <xf numFmtId="0" fontId="3" fillId="0" borderId="2" xfId="0" applyFont="1" applyBorder="1" applyAlignment="1">
      <alignment horizontal="center" vertical="center" wrapText="1"/>
    </xf>
    <xf numFmtId="0" fontId="3" fillId="3" borderId="0" xfId="0" applyFont="1" applyFill="1" applyBorder="1" applyAlignment="1">
      <alignment horizontal="center" vertical="center" wrapText="1"/>
    </xf>
    <xf numFmtId="0" fontId="22" fillId="3" borderId="0" xfId="0" applyFont="1" applyFill="1" applyBorder="1" applyAlignment="1">
      <alignment horizontal="center" vertical="center" wrapText="1"/>
    </xf>
    <xf numFmtId="0" fontId="3" fillId="11" borderId="2" xfId="0" applyFont="1" applyFill="1" applyBorder="1" applyAlignment="1">
      <alignment horizontal="center" vertical="center" wrapText="1"/>
    </xf>
    <xf numFmtId="0" fontId="3" fillId="0" borderId="15"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15" xfId="0" applyFont="1" applyBorder="1" applyAlignment="1">
      <alignment vertical="center" wrapText="1"/>
    </xf>
    <xf numFmtId="0" fontId="3" fillId="0" borderId="24" xfId="0" applyFont="1" applyBorder="1" applyAlignment="1">
      <alignment vertical="center" wrapText="1"/>
    </xf>
    <xf numFmtId="3" fontId="3" fillId="0" borderId="2" xfId="0" applyNumberFormat="1" applyFont="1" applyBorder="1" applyAlignment="1">
      <alignment horizontal="center" vertical="center" wrapText="1"/>
    </xf>
    <xf numFmtId="0" fontId="22" fillId="0" borderId="2" xfId="0" applyFont="1" applyBorder="1" applyAlignment="1">
      <alignment horizontal="center" vertical="center" wrapText="1"/>
    </xf>
    <xf numFmtId="0" fontId="3" fillId="0" borderId="8" xfId="0" applyFont="1" applyBorder="1" applyAlignment="1">
      <alignment horizontal="center" vertical="center" wrapText="1"/>
    </xf>
    <xf numFmtId="0" fontId="22" fillId="0" borderId="10"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6" xfId="0" applyFont="1" applyBorder="1" applyAlignment="1">
      <alignment vertical="center" wrapText="1"/>
    </xf>
    <xf numFmtId="3" fontId="3" fillId="0" borderId="15" xfId="0" applyNumberFormat="1" applyFont="1" applyBorder="1" applyAlignment="1">
      <alignment horizontal="right" vertical="center" wrapText="1"/>
    </xf>
    <xf numFmtId="0" fontId="3" fillId="0" borderId="24" xfId="0" applyFont="1" applyBorder="1" applyAlignment="1">
      <alignment horizontal="right" vertical="center" wrapText="1"/>
    </xf>
    <xf numFmtId="0" fontId="3" fillId="0" borderId="16" xfId="0" applyFont="1" applyBorder="1" applyAlignment="1">
      <alignment horizontal="right" vertical="center" wrapText="1"/>
    </xf>
    <xf numFmtId="0" fontId="3" fillId="0" borderId="35" xfId="0" applyFont="1" applyBorder="1" applyAlignment="1">
      <alignment horizontal="right" vertical="center" wrapText="1"/>
    </xf>
    <xf numFmtId="0" fontId="3" fillId="0" borderId="22" xfId="0" applyFont="1" applyBorder="1" applyAlignment="1">
      <alignment horizontal="right" vertical="center" wrapText="1"/>
    </xf>
    <xf numFmtId="0" fontId="3" fillId="0" borderId="47" xfId="0" applyFont="1" applyBorder="1" applyAlignment="1">
      <alignment horizontal="center" vertical="center" wrapText="1"/>
    </xf>
    <xf numFmtId="0" fontId="3" fillId="0" borderId="0" xfId="0" applyFont="1" applyBorder="1" applyAlignment="1">
      <alignment horizontal="center" vertical="center" wrapText="1"/>
    </xf>
    <xf numFmtId="3" fontId="3" fillId="0" borderId="2" xfId="0" applyNumberFormat="1" applyFont="1" applyBorder="1" applyAlignment="1">
      <alignment horizontal="right" vertical="center" wrapText="1"/>
    </xf>
    <xf numFmtId="0" fontId="3" fillId="0" borderId="2" xfId="0" applyFont="1" applyBorder="1" applyAlignment="1">
      <alignment horizontal="right" vertical="center" wrapText="1"/>
    </xf>
    <xf numFmtId="0" fontId="3" fillId="0" borderId="25" xfId="0" applyFont="1" applyBorder="1" applyAlignment="1">
      <alignment horizontal="center" vertical="center" wrapText="1"/>
    </xf>
    <xf numFmtId="3" fontId="3" fillId="0" borderId="16" xfId="0" applyNumberFormat="1" applyFont="1" applyBorder="1" applyAlignment="1">
      <alignment horizontal="right" vertical="center" wrapText="1"/>
    </xf>
    <xf numFmtId="0" fontId="3" fillId="0" borderId="35" xfId="0" applyFont="1" applyBorder="1" applyAlignment="1">
      <alignment horizontal="center" vertical="center" wrapText="1"/>
    </xf>
    <xf numFmtId="0" fontId="3" fillId="0" borderId="22" xfId="0" applyFont="1" applyBorder="1" applyAlignment="1">
      <alignment horizontal="center" vertical="center" wrapText="1"/>
    </xf>
    <xf numFmtId="0" fontId="3" fillId="4" borderId="2" xfId="0" applyFont="1" applyFill="1" applyBorder="1" applyAlignment="1">
      <alignment horizontal="center" vertical="center" wrapText="1"/>
    </xf>
    <xf numFmtId="3" fontId="3" fillId="0" borderId="37" xfId="0" applyNumberFormat="1" applyFont="1" applyBorder="1" applyAlignment="1">
      <alignment horizontal="right" vertical="center" wrapText="1"/>
    </xf>
    <xf numFmtId="3" fontId="26" fillId="0" borderId="10" xfId="0" applyNumberFormat="1" applyFont="1" applyFill="1" applyBorder="1" applyAlignment="1">
      <alignment horizontal="center" vertical="center" wrapText="1"/>
    </xf>
    <xf numFmtId="0" fontId="3" fillId="0" borderId="17" xfId="0" applyFont="1" applyBorder="1" applyAlignment="1">
      <alignment horizontal="right" vertical="center" wrapText="1"/>
    </xf>
    <xf numFmtId="0" fontId="3" fillId="0" borderId="19" xfId="0" applyFont="1" applyBorder="1" applyAlignment="1">
      <alignment horizontal="right" vertical="center" wrapText="1"/>
    </xf>
    <xf numFmtId="3" fontId="23" fillId="0" borderId="3" xfId="0" applyNumberFormat="1" applyFont="1" applyFill="1" applyBorder="1" applyAlignment="1">
      <alignment horizontal="right" vertical="center" wrapText="1"/>
    </xf>
    <xf numFmtId="3" fontId="22" fillId="0" borderId="2" xfId="0" applyNumberFormat="1" applyFont="1" applyFill="1" applyBorder="1" applyAlignment="1">
      <alignment horizontal="center" vertical="center" wrapText="1"/>
    </xf>
    <xf numFmtId="0" fontId="6" fillId="0" borderId="0" xfId="2" applyAlignment="1">
      <alignment horizontal="center" vertical="center"/>
    </xf>
    <xf numFmtId="0" fontId="31" fillId="27" borderId="2" xfId="2" applyFont="1" applyFill="1" applyBorder="1" applyAlignment="1">
      <alignment horizontal="center" vertical="center" wrapText="1"/>
    </xf>
    <xf numFmtId="3" fontId="16" fillId="2" borderId="2" xfId="2" applyNumberFormat="1" applyFont="1" applyFill="1" applyBorder="1" applyAlignment="1">
      <alignment horizontal="center" vertical="center"/>
    </xf>
    <xf numFmtId="0" fontId="31" fillId="3" borderId="6" xfId="2" applyFont="1" applyFill="1" applyBorder="1" applyAlignment="1">
      <alignment horizontal="center" vertical="center" wrapText="1"/>
    </xf>
    <xf numFmtId="0" fontId="32" fillId="3" borderId="6" xfId="2" applyFont="1" applyFill="1" applyBorder="1" applyAlignment="1">
      <alignment horizontal="center" vertical="center" textRotation="90" wrapText="1"/>
    </xf>
    <xf numFmtId="0" fontId="31" fillId="3" borderId="6" xfId="2" applyFont="1" applyFill="1" applyBorder="1" applyAlignment="1">
      <alignment horizontal="center" vertical="center" textRotation="90" wrapText="1"/>
    </xf>
    <xf numFmtId="3" fontId="16" fillId="3" borderId="6" xfId="2" applyNumberFormat="1" applyFont="1" applyFill="1" applyBorder="1" applyAlignment="1">
      <alignment horizontal="center" vertical="center"/>
    </xf>
    <xf numFmtId="0" fontId="13" fillId="28" borderId="10" xfId="2" applyFont="1" applyFill="1" applyBorder="1" applyAlignment="1">
      <alignment horizontal="center" vertical="center" wrapText="1"/>
    </xf>
    <xf numFmtId="0" fontId="16" fillId="28" borderId="2" xfId="2" applyFont="1" applyFill="1" applyBorder="1" applyAlignment="1">
      <alignment horizontal="center" vertical="center" wrapText="1"/>
    </xf>
    <xf numFmtId="3" fontId="16" fillId="2" borderId="2" xfId="2" applyNumberFormat="1" applyFont="1" applyFill="1" applyBorder="1"/>
    <xf numFmtId="9" fontId="31" fillId="28" borderId="2" xfId="2" applyNumberFormat="1" applyFont="1" applyFill="1" applyBorder="1" applyAlignment="1">
      <alignment horizontal="center" vertical="center" wrapText="1"/>
    </xf>
    <xf numFmtId="9" fontId="13" fillId="28" borderId="2" xfId="2" applyNumberFormat="1" applyFont="1" applyFill="1" applyBorder="1" applyAlignment="1">
      <alignment horizontal="center" vertical="center" wrapText="1"/>
    </xf>
    <xf numFmtId="0" fontId="13" fillId="6" borderId="10" xfId="2" applyFont="1" applyFill="1" applyBorder="1" applyAlignment="1">
      <alignment horizontal="center" vertical="center" wrapText="1"/>
    </xf>
    <xf numFmtId="9" fontId="16" fillId="28" borderId="10" xfId="2" applyNumberFormat="1" applyFont="1" applyFill="1" applyBorder="1" applyAlignment="1">
      <alignment horizontal="center" vertical="center" wrapText="1"/>
    </xf>
    <xf numFmtId="3" fontId="16" fillId="2" borderId="2" xfId="2" applyNumberFormat="1" applyFont="1" applyFill="1" applyBorder="1" applyAlignment="1">
      <alignment vertical="center"/>
    </xf>
    <xf numFmtId="3" fontId="16" fillId="0" borderId="0" xfId="2" applyNumberFormat="1" applyFont="1"/>
    <xf numFmtId="9" fontId="16" fillId="28" borderId="2" xfId="2" applyNumberFormat="1" applyFont="1" applyFill="1" applyBorder="1" applyAlignment="1">
      <alignment horizontal="center" vertical="center" wrapText="1"/>
    </xf>
    <xf numFmtId="0" fontId="16" fillId="28" borderId="10" xfId="2" applyFont="1" applyFill="1" applyBorder="1" applyAlignment="1">
      <alignment horizontal="center" vertical="center" wrapText="1"/>
    </xf>
    <xf numFmtId="1" fontId="16" fillId="2" borderId="2" xfId="2" applyNumberFormat="1" applyFont="1" applyFill="1" applyBorder="1" applyAlignment="1">
      <alignment horizontal="center" vertical="center"/>
    </xf>
    <xf numFmtId="3" fontId="16" fillId="2" borderId="2" xfId="2" applyNumberFormat="1" applyFont="1" applyFill="1" applyBorder="1" applyAlignment="1"/>
    <xf numFmtId="9" fontId="16" fillId="28" borderId="2" xfId="2" applyNumberFormat="1" applyFont="1" applyFill="1" applyBorder="1" applyAlignment="1">
      <alignment horizontal="center" vertical="center"/>
    </xf>
    <xf numFmtId="3" fontId="16" fillId="6" borderId="2" xfId="2" applyNumberFormat="1" applyFont="1" applyFill="1" applyBorder="1" applyAlignment="1">
      <alignment horizontal="center" vertical="center"/>
    </xf>
    <xf numFmtId="0" fontId="16" fillId="0" borderId="0" xfId="2" applyFont="1" applyBorder="1"/>
    <xf numFmtId="0" fontId="16" fillId="3" borderId="6" xfId="2" applyFont="1" applyFill="1" applyBorder="1"/>
    <xf numFmtId="3" fontId="16" fillId="3" borderId="6" xfId="2" applyNumberFormat="1" applyFont="1" applyFill="1" applyBorder="1"/>
    <xf numFmtId="1" fontId="16" fillId="28" borderId="2" xfId="2" applyNumberFormat="1" applyFont="1" applyFill="1" applyBorder="1" applyAlignment="1">
      <alignment horizontal="center" vertical="center"/>
    </xf>
    <xf numFmtId="0" fontId="16" fillId="0" borderId="0" xfId="2" applyFont="1"/>
    <xf numFmtId="1" fontId="16" fillId="6" borderId="2" xfId="2" applyNumberFormat="1" applyFont="1" applyFill="1" applyBorder="1" applyAlignment="1">
      <alignment horizontal="center" vertical="center"/>
    </xf>
    <xf numFmtId="0" fontId="16" fillId="28" borderId="2" xfId="2" applyFont="1" applyFill="1" applyBorder="1" applyAlignment="1">
      <alignment horizontal="center" vertical="center"/>
    </xf>
    <xf numFmtId="3" fontId="16" fillId="28" borderId="2" xfId="2" applyNumberFormat="1" applyFont="1" applyFill="1" applyBorder="1" applyAlignment="1">
      <alignment horizontal="center" vertical="center"/>
    </xf>
    <xf numFmtId="0" fontId="16" fillId="28" borderId="10" xfId="2" applyFont="1" applyFill="1" applyBorder="1" applyAlignment="1">
      <alignment horizontal="center" vertical="center"/>
    </xf>
    <xf numFmtId="3" fontId="16" fillId="6" borderId="10" xfId="2" applyNumberFormat="1" applyFont="1" applyFill="1" applyBorder="1" applyAlignment="1">
      <alignment horizontal="center" vertical="center"/>
    </xf>
    <xf numFmtId="9" fontId="34" fillId="28" borderId="10" xfId="2" applyNumberFormat="1" applyFont="1" applyFill="1" applyBorder="1" applyAlignment="1">
      <alignment horizontal="center" vertical="center" wrapText="1"/>
    </xf>
    <xf numFmtId="3" fontId="31" fillId="6" borderId="10" xfId="2" applyNumberFormat="1" applyFont="1" applyFill="1" applyBorder="1" applyAlignment="1">
      <alignment horizontal="center" vertical="center"/>
    </xf>
    <xf numFmtId="0" fontId="16" fillId="0" borderId="0" xfId="2" applyFont="1" applyAlignment="1">
      <alignment horizontal="center"/>
    </xf>
    <xf numFmtId="9" fontId="34" fillId="28" borderId="10" xfId="2" applyNumberFormat="1" applyFont="1" applyFill="1" applyBorder="1" applyAlignment="1">
      <alignment horizontal="center" vertical="center"/>
    </xf>
    <xf numFmtId="0" fontId="34" fillId="28" borderId="2" xfId="2" applyFont="1" applyFill="1" applyBorder="1" applyAlignment="1">
      <alignment horizontal="center" vertical="center" wrapText="1"/>
    </xf>
    <xf numFmtId="0" fontId="16" fillId="6" borderId="10" xfId="2" applyFont="1" applyFill="1" applyBorder="1" applyAlignment="1">
      <alignment horizontal="center" vertical="center" wrapText="1"/>
    </xf>
    <xf numFmtId="0" fontId="16" fillId="28" borderId="0" xfId="2" applyFont="1" applyFill="1" applyAlignment="1">
      <alignment horizontal="center"/>
    </xf>
    <xf numFmtId="0" fontId="16" fillId="6" borderId="2" xfId="2" applyFont="1" applyFill="1" applyBorder="1" applyAlignment="1">
      <alignment horizontal="center" vertical="center" wrapText="1"/>
    </xf>
    <xf numFmtId="3" fontId="13" fillId="6" borderId="10" xfId="2" applyNumberFormat="1" applyFont="1" applyFill="1" applyBorder="1" applyAlignment="1">
      <alignment horizontal="center" vertical="center" wrapText="1"/>
    </xf>
    <xf numFmtId="0" fontId="16" fillId="0" borderId="0" xfId="2" applyFont="1" applyAlignment="1">
      <alignment horizontal="center" vertical="center"/>
    </xf>
    <xf numFmtId="0" fontId="34" fillId="28" borderId="10" xfId="2" applyFont="1" applyFill="1" applyBorder="1" applyAlignment="1">
      <alignment horizontal="center" vertical="center" wrapText="1"/>
    </xf>
    <xf numFmtId="0" fontId="31" fillId="2" borderId="5" xfId="2" applyFont="1" applyFill="1" applyBorder="1" applyAlignment="1">
      <alignment horizontal="center" vertical="center" wrapText="1"/>
    </xf>
    <xf numFmtId="3" fontId="16" fillId="2" borderId="5" xfId="2" applyNumberFormat="1" applyFont="1" applyFill="1" applyBorder="1" applyAlignment="1">
      <alignment horizontal="center" vertical="center"/>
    </xf>
    <xf numFmtId="3" fontId="16" fillId="2" borderId="47" xfId="2" applyNumberFormat="1" applyFont="1" applyFill="1" applyBorder="1" applyAlignment="1">
      <alignment horizontal="center" vertical="center"/>
    </xf>
    <xf numFmtId="3" fontId="16" fillId="2" borderId="5" xfId="2" applyNumberFormat="1" applyFont="1" applyFill="1" applyBorder="1" applyAlignment="1">
      <alignment vertical="center"/>
    </xf>
    <xf numFmtId="0" fontId="16" fillId="2" borderId="47" xfId="2" applyFont="1" applyFill="1" applyBorder="1" applyAlignment="1">
      <alignment horizontal="center" vertical="center"/>
    </xf>
    <xf numFmtId="3" fontId="16" fillId="2" borderId="5" xfId="2" applyNumberFormat="1" applyFont="1" applyFill="1" applyBorder="1" applyAlignment="1"/>
    <xf numFmtId="0" fontId="6" fillId="0" borderId="2" xfId="2" applyBorder="1"/>
    <xf numFmtId="0" fontId="6" fillId="0" borderId="2" xfId="2" applyBorder="1" applyAlignment="1">
      <alignment horizontal="center" vertical="center"/>
    </xf>
    <xf numFmtId="3" fontId="6" fillId="0" borderId="2" xfId="2" applyNumberFormat="1" applyBorder="1" applyAlignment="1">
      <alignment horizontal="right" vertical="center"/>
    </xf>
    <xf numFmtId="3" fontId="6" fillId="0" borderId="0" xfId="2" applyNumberFormat="1"/>
    <xf numFmtId="3" fontId="16" fillId="2" borderId="2" xfId="2" applyNumberFormat="1" applyFont="1" applyFill="1" applyBorder="1" applyAlignment="1">
      <alignment horizontal="right" vertical="center"/>
    </xf>
    <xf numFmtId="0" fontId="6" fillId="0" borderId="0" xfId="2" applyAlignment="1">
      <alignment vertical="center"/>
    </xf>
    <xf numFmtId="3" fontId="6" fillId="0" borderId="2" xfId="2" applyNumberFormat="1" applyBorder="1"/>
    <xf numFmtId="3" fontId="6" fillId="0" borderId="2" xfId="2" applyNumberFormat="1" applyBorder="1" applyAlignment="1">
      <alignment vertical="center"/>
    </xf>
    <xf numFmtId="3" fontId="16" fillId="0" borderId="2" xfId="2" applyNumberFormat="1" applyFont="1" applyBorder="1"/>
    <xf numFmtId="0" fontId="31" fillId="28" borderId="2" xfId="2" applyFont="1" applyFill="1" applyBorder="1" applyAlignment="1">
      <alignment horizontal="center" vertical="center" wrapText="1"/>
    </xf>
    <xf numFmtId="0" fontId="31" fillId="28" borderId="10" xfId="2" applyFont="1" applyFill="1" applyBorder="1" applyAlignment="1">
      <alignment horizontal="center" vertical="center" wrapText="1"/>
    </xf>
    <xf numFmtId="0" fontId="31" fillId="28" borderId="9" xfId="2" applyFont="1" applyFill="1" applyBorder="1" applyAlignment="1">
      <alignment horizontal="center" vertical="center" wrapText="1"/>
    </xf>
    <xf numFmtId="1" fontId="6" fillId="0" borderId="0" xfId="2" applyNumberFormat="1" applyAlignment="1">
      <alignment horizontal="left" vertical="center"/>
    </xf>
    <xf numFmtId="0" fontId="31" fillId="28" borderId="2" xfId="2" applyFont="1" applyFill="1" applyBorder="1" applyAlignment="1">
      <alignment horizontal="center" vertical="top" wrapText="1"/>
    </xf>
    <xf numFmtId="0" fontId="31" fillId="3" borderId="6" xfId="2" applyFont="1" applyFill="1" applyBorder="1" applyAlignment="1">
      <alignment wrapText="1"/>
    </xf>
    <xf numFmtId="0" fontId="31" fillId="3" borderId="6" xfId="2" applyFont="1" applyFill="1" applyBorder="1"/>
    <xf numFmtId="0" fontId="31" fillId="28" borderId="2" xfId="2" applyNumberFormat="1" applyFont="1" applyFill="1" applyBorder="1" applyAlignment="1">
      <alignment horizontal="center" vertical="center" wrapText="1"/>
    </xf>
    <xf numFmtId="0" fontId="31" fillId="28" borderId="0" xfId="2" applyFont="1" applyFill="1" applyBorder="1" applyAlignment="1">
      <alignment horizontal="center" vertical="center" wrapText="1"/>
    </xf>
    <xf numFmtId="0" fontId="31" fillId="28" borderId="2" xfId="2" applyFont="1" applyFill="1" applyBorder="1" applyAlignment="1">
      <alignment horizontal="center" vertical="center"/>
    </xf>
    <xf numFmtId="0" fontId="31" fillId="0" borderId="0" xfId="2" applyFont="1" applyFill="1"/>
    <xf numFmtId="0" fontId="31" fillId="0" borderId="0" xfId="2" applyFont="1" applyFill="1" applyBorder="1" applyAlignment="1">
      <alignment horizontal="center" vertical="center" wrapText="1"/>
    </xf>
    <xf numFmtId="3" fontId="31" fillId="28" borderId="2" xfId="2" applyNumberFormat="1" applyFont="1" applyFill="1" applyBorder="1" applyAlignment="1">
      <alignment horizontal="center" vertical="center" wrapText="1"/>
    </xf>
    <xf numFmtId="0" fontId="31" fillId="28" borderId="9" xfId="2" applyFont="1" applyFill="1" applyBorder="1" applyAlignment="1">
      <alignment vertical="center"/>
    </xf>
    <xf numFmtId="0" fontId="31" fillId="28" borderId="8" xfId="2" applyFont="1" applyFill="1" applyBorder="1" applyAlignment="1">
      <alignment vertical="center" wrapText="1"/>
    </xf>
    <xf numFmtId="0" fontId="31" fillId="0" borderId="0" xfId="2" applyFont="1"/>
    <xf numFmtId="0" fontId="31" fillId="28" borderId="10" xfId="2" applyFont="1" applyFill="1" applyBorder="1" applyAlignment="1">
      <alignment vertical="center" wrapText="1"/>
    </xf>
    <xf numFmtId="0" fontId="31" fillId="0" borderId="2" xfId="2" applyFont="1" applyFill="1" applyBorder="1" applyAlignment="1">
      <alignment vertical="center" wrapText="1"/>
    </xf>
    <xf numFmtId="9" fontId="31" fillId="0" borderId="2" xfId="2" applyNumberFormat="1" applyFont="1" applyFill="1" applyBorder="1" applyAlignment="1">
      <alignment wrapText="1"/>
    </xf>
    <xf numFmtId="0" fontId="31" fillId="0" borderId="2" xfId="2" applyFont="1" applyFill="1" applyBorder="1" applyAlignment="1">
      <alignment horizontal="center" vertical="center" wrapText="1"/>
    </xf>
    <xf numFmtId="0" fontId="31" fillId="28" borderId="9" xfId="2" applyFont="1" applyFill="1" applyBorder="1" applyAlignment="1">
      <alignment horizontal="center" vertical="center" textRotation="255" wrapText="1"/>
    </xf>
    <xf numFmtId="0" fontId="31" fillId="28" borderId="2" xfId="2" applyFont="1" applyFill="1" applyBorder="1" applyAlignment="1">
      <alignment horizontal="center" vertical="center" wrapText="1"/>
    </xf>
    <xf numFmtId="0" fontId="31" fillId="28" borderId="9" xfId="2" applyFont="1" applyFill="1" applyBorder="1" applyAlignment="1">
      <alignment horizontal="center" vertical="center" wrapText="1"/>
    </xf>
    <xf numFmtId="0" fontId="31" fillId="28" borderId="8" xfId="2" applyFont="1" applyFill="1" applyBorder="1" applyAlignment="1">
      <alignment horizontal="center" vertical="center" wrapText="1"/>
    </xf>
    <xf numFmtId="0" fontId="31" fillId="28" borderId="10" xfId="2" applyFont="1" applyFill="1" applyBorder="1" applyAlignment="1">
      <alignment horizontal="center" vertical="center" wrapText="1"/>
    </xf>
    <xf numFmtId="0" fontId="31" fillId="28" borderId="9" xfId="2" applyFont="1" applyFill="1" applyBorder="1" applyAlignment="1">
      <alignment horizontal="center" vertical="center" textRotation="90" wrapText="1"/>
    </xf>
    <xf numFmtId="0" fontId="31" fillId="28" borderId="2" xfId="7" applyFont="1" applyFill="1" applyBorder="1" applyAlignment="1">
      <alignment horizontal="center" vertical="center" wrapText="1"/>
    </xf>
    <xf numFmtId="3" fontId="6" fillId="0" borderId="0" xfId="2" applyNumberFormat="1" applyBorder="1" applyAlignment="1">
      <alignment horizontal="right" vertical="center"/>
    </xf>
    <xf numFmtId="0" fontId="16" fillId="28" borderId="0" xfId="2" applyFont="1" applyFill="1" applyBorder="1" applyAlignment="1">
      <alignment horizontal="center" vertical="center" wrapText="1"/>
    </xf>
    <xf numFmtId="3" fontId="35" fillId="0" borderId="0" xfId="2" applyNumberFormat="1" applyFont="1" applyAlignment="1">
      <alignment vertical="center"/>
    </xf>
    <xf numFmtId="3" fontId="16" fillId="0" borderId="2" xfId="2" applyNumberFormat="1" applyFont="1" applyBorder="1" applyAlignment="1">
      <alignment horizontal="right" vertical="center"/>
    </xf>
    <xf numFmtId="0" fontId="16" fillId="0" borderId="2" xfId="2" applyFont="1" applyBorder="1" applyAlignment="1">
      <alignment horizontal="center" vertical="center" wrapText="1"/>
    </xf>
    <xf numFmtId="0" fontId="6" fillId="3" borderId="0" xfId="2" applyFill="1"/>
    <xf numFmtId="0" fontId="32" fillId="3" borderId="0" xfId="2" applyFont="1" applyFill="1" applyBorder="1" applyAlignment="1">
      <alignment horizontal="center" vertical="center" textRotation="90" wrapText="1"/>
    </xf>
    <xf numFmtId="3" fontId="6" fillId="3" borderId="0" xfId="2" applyNumberFormat="1" applyFill="1" applyBorder="1" applyAlignment="1">
      <alignment horizontal="right" vertical="center"/>
    </xf>
    <xf numFmtId="0" fontId="16" fillId="2" borderId="2" xfId="2" applyFont="1" applyFill="1" applyBorder="1" applyAlignment="1">
      <alignment horizontal="center" vertical="center"/>
    </xf>
    <xf numFmtId="0" fontId="6" fillId="0" borderId="0" xfId="2" applyBorder="1"/>
    <xf numFmtId="0" fontId="6" fillId="0" borderId="0" xfId="2" applyBorder="1" applyAlignment="1">
      <alignment vertical="center"/>
    </xf>
    <xf numFmtId="0" fontId="6" fillId="3" borderId="0" xfId="2" applyFill="1" applyBorder="1" applyAlignment="1">
      <alignment vertical="center"/>
    </xf>
    <xf numFmtId="3" fontId="6" fillId="4" borderId="2" xfId="2" applyNumberFormat="1" applyFill="1" applyBorder="1" applyAlignment="1">
      <alignment vertical="center"/>
    </xf>
    <xf numFmtId="0" fontId="31" fillId="28" borderId="2" xfId="2" applyFont="1" applyFill="1" applyBorder="1" applyAlignment="1">
      <alignment horizontal="center" vertical="center" wrapText="1"/>
    </xf>
    <xf numFmtId="0" fontId="6" fillId="3" borderId="0" xfId="8" applyFill="1"/>
    <xf numFmtId="0" fontId="13" fillId="0" borderId="28" xfId="8" applyFont="1" applyFill="1" applyBorder="1" applyAlignment="1">
      <alignment horizontal="center" vertical="center" wrapText="1"/>
    </xf>
    <xf numFmtId="0" fontId="16" fillId="0" borderId="28" xfId="8" applyFont="1" applyFill="1" applyBorder="1" applyAlignment="1">
      <alignment horizontal="center" vertical="center" wrapText="1"/>
    </xf>
    <xf numFmtId="0" fontId="6" fillId="0" borderId="0" xfId="8"/>
    <xf numFmtId="0" fontId="13" fillId="0" borderId="32" xfId="8" applyFont="1" applyFill="1" applyBorder="1" applyAlignment="1">
      <alignment horizontal="center" vertical="center" wrapText="1"/>
    </xf>
    <xf numFmtId="0" fontId="16" fillId="0" borderId="32" xfId="8" applyFont="1" applyFill="1" applyBorder="1" applyAlignment="1">
      <alignment horizontal="center" vertical="center" wrapText="1"/>
    </xf>
    <xf numFmtId="0" fontId="34" fillId="0" borderId="2" xfId="8" applyFont="1" applyBorder="1" applyAlignment="1">
      <alignment horizontal="center" vertical="center" wrapText="1"/>
    </xf>
    <xf numFmtId="0" fontId="14" fillId="0" borderId="2" xfId="8" applyFont="1" applyBorder="1" applyAlignment="1">
      <alignment horizontal="center" vertical="center"/>
    </xf>
    <xf numFmtId="0" fontId="15" fillId="6" borderId="31" xfId="8" applyFont="1" applyFill="1" applyBorder="1" applyAlignment="1">
      <alignment horizontal="justify" vertical="center"/>
    </xf>
    <xf numFmtId="167" fontId="16" fillId="6" borderId="31" xfId="8" applyNumberFormat="1" applyFont="1" applyFill="1" applyBorder="1" applyAlignment="1">
      <alignment horizontal="right" vertical="center" wrapText="1"/>
    </xf>
    <xf numFmtId="167" fontId="16" fillId="6" borderId="27" xfId="8" applyNumberFormat="1" applyFont="1" applyFill="1" applyBorder="1" applyAlignment="1">
      <alignment horizontal="right" vertical="center" wrapText="1"/>
    </xf>
    <xf numFmtId="167" fontId="16" fillId="0" borderId="27" xfId="8" applyNumberFormat="1" applyFont="1" applyFill="1" applyBorder="1" applyAlignment="1">
      <alignment horizontal="right" vertical="center" wrapText="1"/>
    </xf>
    <xf numFmtId="167" fontId="16" fillId="6" borderId="85" xfId="8" applyNumberFormat="1" applyFont="1" applyFill="1" applyBorder="1" applyAlignment="1">
      <alignment horizontal="right" vertical="center" wrapText="1"/>
    </xf>
    <xf numFmtId="167" fontId="16" fillId="6" borderId="2" xfId="8" applyNumberFormat="1" applyFont="1" applyFill="1" applyBorder="1" applyAlignment="1">
      <alignment horizontal="right" vertical="center" wrapText="1"/>
    </xf>
    <xf numFmtId="0" fontId="6" fillId="0" borderId="2" xfId="8" applyBorder="1" applyAlignment="1">
      <alignment horizontal="center" vertical="center"/>
    </xf>
    <xf numFmtId="3" fontId="17" fillId="7" borderId="31" xfId="8" applyNumberFormat="1" applyFont="1" applyFill="1" applyBorder="1" applyAlignment="1">
      <alignment horizontal="justify" vertical="center"/>
    </xf>
    <xf numFmtId="167" fontId="17" fillId="7" borderId="31" xfId="8" applyNumberFormat="1" applyFont="1" applyFill="1" applyBorder="1" applyAlignment="1">
      <alignment horizontal="right" vertical="center" wrapText="1"/>
    </xf>
    <xf numFmtId="167" fontId="17" fillId="7" borderId="32" xfId="8" applyNumberFormat="1" applyFont="1" applyFill="1" applyBorder="1" applyAlignment="1">
      <alignment horizontal="right" vertical="center" wrapText="1"/>
    </xf>
    <xf numFmtId="167" fontId="17" fillId="0" borderId="32" xfId="8" applyNumberFormat="1" applyFont="1" applyFill="1" applyBorder="1" applyAlignment="1">
      <alignment horizontal="right" vertical="center" wrapText="1"/>
    </xf>
    <xf numFmtId="167" fontId="17" fillId="7" borderId="84" xfId="8" applyNumberFormat="1" applyFont="1" applyFill="1" applyBorder="1" applyAlignment="1">
      <alignment horizontal="right" vertical="center" wrapText="1"/>
    </xf>
    <xf numFmtId="167" fontId="17" fillId="7" borderId="2" xfId="8" applyNumberFormat="1" applyFont="1" applyFill="1" applyBorder="1" applyAlignment="1">
      <alignment horizontal="right" vertical="center" wrapText="1"/>
    </xf>
    <xf numFmtId="0" fontId="18" fillId="8" borderId="31" xfId="8" applyFont="1" applyFill="1" applyBorder="1" applyAlignment="1">
      <alignment horizontal="justify" vertical="center"/>
    </xf>
    <xf numFmtId="167" fontId="18" fillId="8" borderId="31" xfId="8" applyNumberFormat="1" applyFont="1" applyFill="1" applyBorder="1" applyAlignment="1">
      <alignment horizontal="right" vertical="center" wrapText="1"/>
    </xf>
    <xf numFmtId="167" fontId="18" fillId="8" borderId="32" xfId="8" applyNumberFormat="1" applyFont="1" applyFill="1" applyBorder="1" applyAlignment="1">
      <alignment horizontal="right" vertical="center" wrapText="1"/>
    </xf>
    <xf numFmtId="167" fontId="18" fillId="0" borderId="32" xfId="8" applyNumberFormat="1" applyFont="1" applyFill="1" applyBorder="1" applyAlignment="1">
      <alignment horizontal="right" vertical="center" wrapText="1"/>
    </xf>
    <xf numFmtId="167" fontId="18" fillId="8" borderId="84" xfId="8" applyNumberFormat="1" applyFont="1" applyFill="1" applyBorder="1" applyAlignment="1">
      <alignment horizontal="right" vertical="center" wrapText="1"/>
    </xf>
    <xf numFmtId="3" fontId="6" fillId="0" borderId="2" xfId="8" applyNumberFormat="1" applyBorder="1"/>
    <xf numFmtId="167" fontId="6" fillId="0" borderId="2" xfId="8" applyNumberFormat="1" applyBorder="1"/>
    <xf numFmtId="0" fontId="18" fillId="8" borderId="29" xfId="8" applyFont="1" applyFill="1" applyBorder="1" applyAlignment="1">
      <alignment horizontal="justify" vertical="center"/>
    </xf>
    <xf numFmtId="167" fontId="16" fillId="6" borderId="32" xfId="8" applyNumberFormat="1" applyFont="1" applyFill="1" applyBorder="1" applyAlignment="1">
      <alignment horizontal="right" vertical="center" wrapText="1"/>
    </xf>
    <xf numFmtId="167" fontId="16" fillId="0" borderId="32" xfId="8" applyNumberFormat="1" applyFont="1" applyFill="1" applyBorder="1" applyAlignment="1">
      <alignment horizontal="right" vertical="center" wrapText="1"/>
    </xf>
    <xf numFmtId="167" fontId="16" fillId="6" borderId="84" xfId="8" applyNumberFormat="1" applyFont="1" applyFill="1" applyBorder="1" applyAlignment="1">
      <alignment horizontal="right" vertical="center" wrapText="1"/>
    </xf>
    <xf numFmtId="0" fontId="18" fillId="8" borderId="31" xfId="8" applyFont="1" applyFill="1" applyBorder="1" applyAlignment="1">
      <alignment horizontal="justify"/>
    </xf>
    <xf numFmtId="0" fontId="18" fillId="8" borderId="34" xfId="8" applyFont="1" applyFill="1" applyBorder="1" applyAlignment="1">
      <alignment wrapText="1"/>
    </xf>
    <xf numFmtId="0" fontId="18" fillId="8" borderId="33" xfId="8" applyFont="1" applyFill="1" applyBorder="1" applyAlignment="1">
      <alignment wrapText="1"/>
    </xf>
    <xf numFmtId="0" fontId="18" fillId="8" borderId="29" xfId="8" applyFont="1" applyFill="1" applyBorder="1" applyAlignment="1">
      <alignment wrapText="1"/>
    </xf>
    <xf numFmtId="0" fontId="15" fillId="6" borderId="29" xfId="8" applyFont="1" applyFill="1" applyBorder="1" applyAlignment="1">
      <alignment vertical="center" wrapText="1"/>
    </xf>
    <xf numFmtId="3" fontId="17" fillId="7" borderId="31" xfId="8" applyNumberFormat="1" applyFont="1" applyFill="1" applyBorder="1" applyAlignment="1">
      <alignment horizontal="justify" vertical="center" wrapText="1"/>
    </xf>
    <xf numFmtId="0" fontId="6" fillId="0" borderId="2" xfId="8" applyBorder="1"/>
    <xf numFmtId="0" fontId="8" fillId="9" borderId="27" xfId="8" applyFont="1" applyFill="1" applyBorder="1" applyAlignment="1">
      <alignment horizontal="center" vertical="center"/>
    </xf>
    <xf numFmtId="167" fontId="8" fillId="9" borderId="31" xfId="8" applyNumberFormat="1" applyFont="1" applyFill="1" applyBorder="1" applyAlignment="1">
      <alignment horizontal="right" vertical="center" wrapText="1"/>
    </xf>
    <xf numFmtId="167" fontId="8" fillId="9" borderId="32" xfId="8" applyNumberFormat="1" applyFont="1" applyFill="1" applyBorder="1" applyAlignment="1">
      <alignment horizontal="right" vertical="center" wrapText="1"/>
    </xf>
    <xf numFmtId="167" fontId="8" fillId="0" borderId="32" xfId="8" applyNumberFormat="1" applyFont="1" applyFill="1" applyBorder="1" applyAlignment="1">
      <alignment horizontal="right" vertical="center" wrapText="1"/>
    </xf>
    <xf numFmtId="167" fontId="8" fillId="9" borderId="84" xfId="8" applyNumberFormat="1" applyFont="1" applyFill="1" applyBorder="1" applyAlignment="1">
      <alignment horizontal="right" vertical="center" wrapText="1"/>
    </xf>
    <xf numFmtId="0" fontId="8" fillId="0" borderId="0" xfId="8" applyFont="1" applyFill="1" applyBorder="1" applyAlignment="1">
      <alignment horizontal="center" vertical="center"/>
    </xf>
    <xf numFmtId="0" fontId="6" fillId="0" borderId="0" xfId="8" applyFill="1"/>
    <xf numFmtId="0" fontId="16" fillId="0" borderId="2" xfId="8" applyFont="1" applyBorder="1" applyAlignment="1">
      <alignment horizontal="left"/>
    </xf>
    <xf numFmtId="167" fontId="8" fillId="0" borderId="2" xfId="8" applyNumberFormat="1" applyFont="1" applyFill="1" applyBorder="1" applyAlignment="1">
      <alignment horizontal="right" vertical="center" wrapText="1"/>
    </xf>
    <xf numFmtId="0" fontId="14" fillId="10" borderId="2" xfId="8" applyFont="1" applyFill="1" applyBorder="1" applyAlignment="1">
      <alignment horizontal="center"/>
    </xf>
    <xf numFmtId="167" fontId="8" fillId="10" borderId="2" xfId="8" applyNumberFormat="1" applyFont="1" applyFill="1" applyBorder="1" applyAlignment="1">
      <alignment horizontal="right" vertical="center" wrapText="1"/>
    </xf>
    <xf numFmtId="167" fontId="8" fillId="12" borderId="2" xfId="8" applyNumberFormat="1" applyFont="1" applyFill="1" applyBorder="1" applyAlignment="1">
      <alignment horizontal="right" vertical="center" wrapText="1"/>
    </xf>
    <xf numFmtId="0" fontId="14" fillId="0" borderId="2" xfId="8" applyFont="1" applyBorder="1" applyAlignment="1">
      <alignment horizontal="center"/>
    </xf>
    <xf numFmtId="0" fontId="6" fillId="0" borderId="0" xfId="8" applyAlignment="1">
      <alignment horizontal="left"/>
    </xf>
    <xf numFmtId="3" fontId="6" fillId="0" borderId="2" xfId="2" applyNumberFormat="1" applyFill="1" applyBorder="1" applyAlignment="1">
      <alignment vertical="center"/>
    </xf>
    <xf numFmtId="3" fontId="35" fillId="0" borderId="0" xfId="2" applyNumberFormat="1" applyFont="1" applyFill="1" applyAlignment="1">
      <alignment vertical="center"/>
    </xf>
    <xf numFmtId="0" fontId="16" fillId="2" borderId="5" xfId="2" applyFont="1" applyFill="1" applyBorder="1" applyAlignment="1">
      <alignment horizontal="center" vertical="center"/>
    </xf>
    <xf numFmtId="0" fontId="16" fillId="28" borderId="10" xfId="2" applyFont="1" applyFill="1" applyBorder="1" applyAlignment="1">
      <alignment horizontal="center" vertical="center" wrapText="1"/>
    </xf>
    <xf numFmtId="3" fontId="6" fillId="0" borderId="2" xfId="2" applyNumberFormat="1" applyFont="1" applyBorder="1" applyAlignment="1">
      <alignment horizontal="center" vertical="center"/>
    </xf>
    <xf numFmtId="0" fontId="6" fillId="0" borderId="2" xfId="2" applyFont="1" applyBorder="1" applyAlignment="1">
      <alignment horizontal="center" vertical="center"/>
    </xf>
    <xf numFmtId="0" fontId="6" fillId="0" borderId="0" xfId="2" applyFont="1" applyBorder="1" applyAlignment="1">
      <alignment horizontal="center" vertical="center"/>
    </xf>
    <xf numFmtId="3" fontId="34" fillId="28" borderId="2" xfId="2" applyNumberFormat="1" applyFont="1" applyFill="1" applyBorder="1" applyAlignment="1">
      <alignment horizontal="center" vertical="center" wrapText="1"/>
    </xf>
    <xf numFmtId="3" fontId="16" fillId="28" borderId="2" xfId="2" applyNumberFormat="1" applyFont="1" applyFill="1" applyBorder="1" applyAlignment="1">
      <alignment horizontal="center" vertical="center" wrapText="1"/>
    </xf>
    <xf numFmtId="0" fontId="6" fillId="0" borderId="2" xfId="2" applyFont="1" applyFill="1" applyBorder="1" applyAlignment="1">
      <alignment horizontal="center" vertical="center"/>
    </xf>
    <xf numFmtId="0" fontId="6" fillId="0" borderId="2" xfId="2" applyFont="1" applyBorder="1" applyAlignment="1">
      <alignment horizontal="center" vertical="center" wrapText="1"/>
    </xf>
    <xf numFmtId="0" fontId="6" fillId="3" borderId="0" xfId="2" applyFont="1" applyFill="1" applyBorder="1" applyAlignment="1">
      <alignment horizontal="center" vertical="center"/>
    </xf>
    <xf numFmtId="0" fontId="31" fillId="28" borderId="2" xfId="2" applyFont="1" applyFill="1" applyBorder="1" applyAlignment="1">
      <alignment horizontal="center" vertical="center" wrapText="1"/>
    </xf>
    <xf numFmtId="0" fontId="6" fillId="0" borderId="0" xfId="2" applyAlignment="1">
      <alignment horizontal="center"/>
    </xf>
    <xf numFmtId="0" fontId="3" fillId="0" borderId="52" xfId="0" applyFont="1" applyBorder="1" applyAlignment="1">
      <alignment horizontal="center" vertical="center" wrapText="1"/>
    </xf>
    <xf numFmtId="9" fontId="3" fillId="0" borderId="13" xfId="0" applyNumberFormat="1" applyFont="1" applyBorder="1" applyAlignment="1">
      <alignment horizontal="center" vertical="center" wrapText="1"/>
    </xf>
    <xf numFmtId="0" fontId="21" fillId="0" borderId="10" xfId="0" applyFont="1" applyFill="1" applyBorder="1" applyAlignment="1">
      <alignment horizontal="center" vertical="center"/>
    </xf>
    <xf numFmtId="3" fontId="0" fillId="0" borderId="0" xfId="0" applyNumberFormat="1" applyAlignment="1">
      <alignment wrapText="1"/>
    </xf>
    <xf numFmtId="3" fontId="0" fillId="0" borderId="0" xfId="0" applyNumberFormat="1" applyAlignment="1">
      <alignment vertical="center"/>
    </xf>
    <xf numFmtId="0" fontId="0" fillId="0" borderId="0" xfId="0" applyAlignment="1">
      <alignment horizontal="center" vertical="center"/>
    </xf>
    <xf numFmtId="0" fontId="6" fillId="0" borderId="2" xfId="2" applyBorder="1" applyAlignment="1">
      <alignment horizontal="center" vertical="center" wrapText="1"/>
    </xf>
    <xf numFmtId="3" fontId="6" fillId="0" borderId="2" xfId="2" applyNumberFormat="1" applyFont="1" applyBorder="1" applyAlignment="1">
      <alignment horizontal="right" vertical="center"/>
    </xf>
    <xf numFmtId="3" fontId="6" fillId="0" borderId="0" xfId="2" applyNumberFormat="1" applyFont="1" applyBorder="1" applyAlignment="1">
      <alignment horizontal="right" vertical="center"/>
    </xf>
    <xf numFmtId="3" fontId="6" fillId="0" borderId="0" xfId="2" applyNumberFormat="1" applyFont="1" applyBorder="1" applyAlignment="1">
      <alignment horizontal="center" vertical="center"/>
    </xf>
    <xf numFmtId="3" fontId="6" fillId="0" borderId="2" xfId="2" applyNumberFormat="1" applyFont="1" applyFill="1" applyBorder="1" applyAlignment="1">
      <alignment horizontal="right" vertical="center"/>
    </xf>
    <xf numFmtId="3" fontId="6" fillId="0" borderId="2" xfId="2" applyNumberFormat="1" applyFont="1" applyFill="1" applyBorder="1" applyAlignment="1">
      <alignment horizontal="center" vertical="center"/>
    </xf>
    <xf numFmtId="3" fontId="6" fillId="3" borderId="0" xfId="2" applyNumberFormat="1" applyFont="1" applyFill="1" applyBorder="1" applyAlignment="1">
      <alignment horizontal="right" vertical="center"/>
    </xf>
    <xf numFmtId="3" fontId="6" fillId="3" borderId="0" xfId="2" applyNumberFormat="1" applyFont="1" applyFill="1" applyBorder="1" applyAlignment="1">
      <alignment horizontal="center" vertical="center"/>
    </xf>
    <xf numFmtId="0" fontId="6" fillId="0" borderId="0" xfId="2" applyFont="1"/>
    <xf numFmtId="0" fontId="6" fillId="0" borderId="2" xfId="2" applyFont="1" applyBorder="1"/>
    <xf numFmtId="3" fontId="6" fillId="0" borderId="0" xfId="2" applyNumberFormat="1" applyFont="1"/>
    <xf numFmtId="3" fontId="6" fillId="0" borderId="2" xfId="2" applyNumberFormat="1" applyFont="1" applyBorder="1"/>
    <xf numFmtId="0" fontId="6" fillId="0" borderId="2" xfId="2" applyFont="1" applyBorder="1" applyAlignment="1">
      <alignment horizontal="center"/>
    </xf>
    <xf numFmtId="3" fontId="6" fillId="0" borderId="2" xfId="2" applyNumberFormat="1" applyFont="1" applyBorder="1" applyAlignment="1">
      <alignment vertical="center"/>
    </xf>
    <xf numFmtId="0" fontId="6" fillId="0" borderId="8" xfId="2" applyBorder="1" applyAlignment="1">
      <alignment horizontal="center" vertical="center" wrapText="1"/>
    </xf>
    <xf numFmtId="3" fontId="41" fillId="0" borderId="2" xfId="2" applyNumberFormat="1" applyFont="1" applyBorder="1" applyAlignment="1">
      <alignment horizontal="right" vertical="center"/>
    </xf>
    <xf numFmtId="3" fontId="33" fillId="2" borderId="2" xfId="2" applyNumberFormat="1" applyFont="1" applyFill="1" applyBorder="1" applyAlignment="1">
      <alignment vertical="center"/>
    </xf>
    <xf numFmtId="3" fontId="41" fillId="3" borderId="0" xfId="2" applyNumberFormat="1" applyFont="1" applyFill="1" applyBorder="1" applyAlignment="1">
      <alignment horizontal="right" vertical="center"/>
    </xf>
    <xf numFmtId="3" fontId="6" fillId="4" borderId="2" xfId="2" applyNumberFormat="1" applyFill="1" applyBorder="1" applyAlignment="1">
      <alignment horizontal="right" vertical="center"/>
    </xf>
    <xf numFmtId="0" fontId="36" fillId="0" borderId="8" xfId="2" applyFont="1" applyBorder="1" applyAlignment="1">
      <alignment horizontal="center" vertical="center" wrapText="1"/>
    </xf>
    <xf numFmtId="4" fontId="16" fillId="0" borderId="0" xfId="2" applyNumberFormat="1" applyFont="1"/>
    <xf numFmtId="0" fontId="6" fillId="0" borderId="0" xfId="2" applyAlignment="1">
      <alignment horizontal="left" wrapText="1"/>
    </xf>
    <xf numFmtId="3" fontId="42" fillId="0" borderId="2" xfId="2" applyNumberFormat="1" applyFont="1" applyBorder="1" applyAlignment="1">
      <alignment horizontal="right" vertical="center"/>
    </xf>
    <xf numFmtId="3" fontId="35" fillId="0" borderId="2" xfId="2" applyNumberFormat="1" applyFont="1" applyBorder="1" applyAlignment="1">
      <alignment horizontal="right" vertical="center"/>
    </xf>
    <xf numFmtId="3" fontId="42" fillId="0" borderId="0" xfId="2" applyNumberFormat="1" applyFont="1"/>
    <xf numFmtId="0" fontId="6" fillId="4" borderId="0" xfId="2" applyFill="1"/>
    <xf numFmtId="3" fontId="6" fillId="4" borderId="0" xfId="2" applyNumberFormat="1" applyFill="1"/>
    <xf numFmtId="0" fontId="13" fillId="3" borderId="0" xfId="8" applyFont="1" applyFill="1" applyBorder="1" applyAlignment="1">
      <alignment horizontal="center" vertical="center" wrapText="1"/>
    </xf>
    <xf numFmtId="167" fontId="16" fillId="3" borderId="0" xfId="8" applyNumberFormat="1" applyFont="1" applyFill="1" applyBorder="1" applyAlignment="1">
      <alignment horizontal="right" vertical="center" wrapText="1"/>
    </xf>
    <xf numFmtId="167" fontId="17" fillId="3" borderId="0" xfId="8" applyNumberFormat="1" applyFont="1" applyFill="1" applyBorder="1" applyAlignment="1">
      <alignment horizontal="right" vertical="center" wrapText="1"/>
    </xf>
    <xf numFmtId="167" fontId="18" fillId="3" borderId="0" xfId="8" applyNumberFormat="1" applyFont="1" applyFill="1" applyBorder="1" applyAlignment="1">
      <alignment horizontal="right" vertical="center" wrapText="1"/>
    </xf>
    <xf numFmtId="167" fontId="6" fillId="0" borderId="2" xfId="8" applyNumberFormat="1" applyBorder="1" applyAlignment="1">
      <alignment vertical="center"/>
    </xf>
    <xf numFmtId="167" fontId="6" fillId="0" borderId="0" xfId="8" applyNumberFormat="1"/>
    <xf numFmtId="0" fontId="31" fillId="28" borderId="2" xfId="2" applyFont="1" applyFill="1" applyBorder="1" applyAlignment="1">
      <alignment horizontal="center" vertical="center" wrapText="1"/>
    </xf>
    <xf numFmtId="3" fontId="6" fillId="0" borderId="0" xfId="8" applyNumberFormat="1"/>
    <xf numFmtId="167" fontId="15" fillId="0" borderId="2" xfId="8" applyNumberFormat="1" applyFont="1" applyFill="1" applyBorder="1" applyAlignment="1">
      <alignment horizontal="right" vertical="center" wrapText="1"/>
    </xf>
    <xf numFmtId="0" fontId="45" fillId="3" borderId="0" xfId="8" applyFont="1" applyFill="1"/>
    <xf numFmtId="167" fontId="15" fillId="3" borderId="2" xfId="8" applyNumberFormat="1" applyFont="1" applyFill="1" applyBorder="1" applyAlignment="1">
      <alignment horizontal="right" vertical="center" wrapText="1"/>
    </xf>
    <xf numFmtId="167" fontId="15" fillId="10" borderId="2" xfId="8" applyNumberFormat="1" applyFont="1" applyFill="1" applyBorder="1" applyAlignment="1">
      <alignment horizontal="right" vertical="center" wrapText="1"/>
    </xf>
    <xf numFmtId="167" fontId="15" fillId="12" borderId="2" xfId="8" applyNumberFormat="1" applyFont="1" applyFill="1" applyBorder="1" applyAlignment="1">
      <alignment horizontal="right" vertical="center" wrapText="1"/>
    </xf>
    <xf numFmtId="3" fontId="0" fillId="0" borderId="0" xfId="0" applyNumberFormat="1" applyAlignment="1">
      <alignment vertical="center" wrapText="1"/>
    </xf>
    <xf numFmtId="3" fontId="6" fillId="0" borderId="2" xfId="8" applyNumberFormat="1" applyBorder="1" applyAlignment="1">
      <alignment vertical="center"/>
    </xf>
    <xf numFmtId="167" fontId="6" fillId="0" borderId="0" xfId="2" applyNumberFormat="1"/>
    <xf numFmtId="0" fontId="3" fillId="0" borderId="10" xfId="0" applyFont="1" applyBorder="1" applyAlignment="1">
      <alignment horizontal="center" vertical="center" wrapText="1"/>
    </xf>
    <xf numFmtId="0" fontId="3" fillId="0" borderId="9" xfId="0" applyFont="1" applyBorder="1" applyAlignment="1">
      <alignment horizontal="center" vertical="center" wrapText="1"/>
    </xf>
    <xf numFmtId="0" fontId="3" fillId="0" borderId="6" xfId="0" applyFont="1" applyBorder="1" applyAlignment="1">
      <alignment horizontal="center" vertical="center" wrapText="1"/>
    </xf>
    <xf numFmtId="0" fontId="3" fillId="0" borderId="2" xfId="0" applyFont="1" applyBorder="1" applyAlignment="1">
      <alignment horizontal="center" vertical="center" wrapText="1"/>
    </xf>
    <xf numFmtId="0" fontId="3" fillId="0" borderId="8" xfId="0" applyFont="1" applyBorder="1" applyAlignment="1">
      <alignment horizontal="center" vertical="center" wrapText="1"/>
    </xf>
    <xf numFmtId="3" fontId="3" fillId="0" borderId="2" xfId="0" applyNumberFormat="1" applyFont="1" applyBorder="1" applyAlignment="1">
      <alignment horizontal="center" vertical="center" wrapText="1"/>
    </xf>
    <xf numFmtId="0" fontId="22" fillId="3" borderId="0" xfId="0" applyFont="1" applyFill="1" applyBorder="1" applyAlignment="1">
      <alignment horizontal="center" vertical="center" wrapText="1"/>
    </xf>
    <xf numFmtId="0" fontId="3" fillId="18" borderId="5" xfId="0" applyFont="1" applyFill="1" applyBorder="1" applyAlignment="1">
      <alignment horizontal="center" vertical="center" wrapText="1"/>
    </xf>
    <xf numFmtId="0" fontId="3" fillId="0" borderId="15"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15" xfId="0" applyFont="1" applyBorder="1" applyAlignment="1">
      <alignment vertical="center" wrapText="1"/>
    </xf>
    <xf numFmtId="0" fontId="3" fillId="0" borderId="24" xfId="0" applyFont="1" applyBorder="1" applyAlignment="1">
      <alignment vertical="center" wrapText="1"/>
    </xf>
    <xf numFmtId="0" fontId="3" fillId="0" borderId="16" xfId="0" applyFont="1" applyBorder="1" applyAlignment="1">
      <alignment horizontal="center" vertical="center" wrapText="1"/>
    </xf>
    <xf numFmtId="0" fontId="3" fillId="0" borderId="16" xfId="0" applyFont="1" applyBorder="1" applyAlignment="1">
      <alignment vertical="center" wrapText="1"/>
    </xf>
    <xf numFmtId="3" fontId="3" fillId="0" borderId="19" xfId="0" applyNumberFormat="1" applyFont="1" applyBorder="1" applyAlignment="1">
      <alignment horizontal="right" vertical="center" wrapText="1"/>
    </xf>
    <xf numFmtId="0" fontId="3" fillId="0" borderId="18" xfId="0" applyFont="1" applyBorder="1" applyAlignment="1">
      <alignment horizontal="center" vertical="center" wrapText="1"/>
    </xf>
    <xf numFmtId="0" fontId="3" fillId="0" borderId="0"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3" xfId="0" applyFont="1" applyBorder="1" applyAlignment="1">
      <alignment horizontal="center" vertical="center" wrapText="1"/>
    </xf>
    <xf numFmtId="0" fontId="3" fillId="4" borderId="2" xfId="0" applyFont="1" applyFill="1" applyBorder="1" applyAlignment="1">
      <alignment horizontal="center" vertical="center" wrapText="1"/>
    </xf>
    <xf numFmtId="0" fontId="3" fillId="0" borderId="48" xfId="0" applyFont="1" applyBorder="1" applyAlignment="1">
      <alignment horizontal="center" vertical="center" wrapText="1"/>
    </xf>
    <xf numFmtId="10" fontId="3" fillId="0" borderId="0" xfId="0" applyNumberFormat="1" applyFont="1" applyBorder="1" applyAlignment="1">
      <alignment horizontal="center" vertical="center" wrapText="1"/>
    </xf>
    <xf numFmtId="3" fontId="22" fillId="0" borderId="9" xfId="0" applyNumberFormat="1" applyFont="1" applyFill="1" applyBorder="1" applyAlignment="1">
      <alignment horizontal="right" vertical="center" wrapText="1"/>
    </xf>
    <xf numFmtId="0" fontId="3" fillId="12" borderId="13" xfId="0" applyFont="1" applyFill="1" applyBorder="1" applyAlignment="1">
      <alignment horizontal="center" vertical="center" wrapText="1"/>
    </xf>
    <xf numFmtId="0" fontId="3" fillId="0" borderId="45" xfId="0" applyFont="1" applyBorder="1" applyAlignment="1">
      <alignment vertical="center" wrapText="1"/>
    </xf>
    <xf numFmtId="0" fontId="3" fillId="0" borderId="51" xfId="0" applyFont="1" applyBorder="1" applyAlignment="1">
      <alignment vertical="center" wrapText="1"/>
    </xf>
    <xf numFmtId="0" fontId="3" fillId="0" borderId="46" xfId="0" applyFont="1" applyBorder="1" applyAlignment="1">
      <alignment vertical="center" wrapText="1"/>
    </xf>
    <xf numFmtId="9" fontId="3" fillId="0" borderId="45" xfId="0" applyNumberFormat="1" applyFont="1" applyBorder="1" applyAlignment="1">
      <alignment horizontal="center" vertical="center" wrapText="1"/>
    </xf>
    <xf numFmtId="10" fontId="3" fillId="0" borderId="3" xfId="0" applyNumberFormat="1" applyFont="1" applyBorder="1" applyAlignment="1">
      <alignment horizontal="center" vertical="center" wrapText="1"/>
    </xf>
    <xf numFmtId="10" fontId="3" fillId="0" borderId="54" xfId="0" applyNumberFormat="1" applyFont="1" applyBorder="1" applyAlignment="1">
      <alignment horizontal="center" vertical="center" wrapText="1"/>
    </xf>
    <xf numFmtId="10" fontId="3" fillId="0" borderId="2" xfId="0" applyNumberFormat="1" applyFont="1" applyBorder="1" applyAlignment="1">
      <alignment horizontal="center" vertical="center" wrapText="1"/>
    </xf>
    <xf numFmtId="10" fontId="3" fillId="0" borderId="46" xfId="0" applyNumberFormat="1" applyFont="1" applyBorder="1" applyAlignment="1">
      <alignment horizontal="center" vertical="center" wrapText="1"/>
    </xf>
    <xf numFmtId="9" fontId="3" fillId="0" borderId="91" xfId="0" applyNumberFormat="1" applyFont="1" applyBorder="1" applyAlignment="1">
      <alignment horizontal="center" vertical="center" wrapText="1"/>
    </xf>
    <xf numFmtId="3" fontId="3" fillId="0" borderId="51" xfId="0" applyNumberFormat="1" applyFont="1" applyBorder="1" applyAlignment="1">
      <alignment horizontal="right" vertical="center" wrapText="1"/>
    </xf>
    <xf numFmtId="3" fontId="3" fillId="0" borderId="49" xfId="0" applyNumberFormat="1" applyFont="1" applyBorder="1" applyAlignment="1">
      <alignment horizontal="right" vertical="center" wrapText="1"/>
    </xf>
    <xf numFmtId="3" fontId="3" fillId="0" borderId="7" xfId="0" applyNumberFormat="1" applyFont="1" applyBorder="1" applyAlignment="1">
      <alignment horizontal="right" vertical="center" wrapText="1"/>
    </xf>
    <xf numFmtId="0" fontId="3" fillId="0" borderId="94" xfId="0" applyFont="1" applyBorder="1" applyAlignment="1">
      <alignment horizontal="center" vertical="center" wrapText="1"/>
    </xf>
    <xf numFmtId="0" fontId="3" fillId="0" borderId="95" xfId="0" applyFont="1" applyBorder="1" applyAlignment="1">
      <alignment horizontal="center" vertical="center" wrapText="1"/>
    </xf>
    <xf numFmtId="0" fontId="3" fillId="0" borderId="71" xfId="0" applyFont="1" applyBorder="1" applyAlignment="1">
      <alignment horizontal="center" vertical="center" wrapText="1"/>
    </xf>
    <xf numFmtId="0" fontId="3" fillId="0" borderId="96" xfId="0" applyFont="1" applyBorder="1" applyAlignment="1">
      <alignment horizontal="center" vertical="center" wrapText="1"/>
    </xf>
    <xf numFmtId="0" fontId="3" fillId="0" borderId="92" xfId="0" applyFont="1" applyBorder="1" applyAlignment="1">
      <alignment horizontal="center" vertical="center" wrapText="1"/>
    </xf>
    <xf numFmtId="3" fontId="3" fillId="0" borderId="67" xfId="0" applyNumberFormat="1" applyFont="1" applyBorder="1" applyAlignment="1">
      <alignment vertical="center" wrapText="1"/>
    </xf>
    <xf numFmtId="0" fontId="0" fillId="3" borderId="67" xfId="0" applyFill="1" applyBorder="1"/>
    <xf numFmtId="0" fontId="3" fillId="0" borderId="93" xfId="0" applyFont="1" applyBorder="1" applyAlignment="1">
      <alignment horizontal="center" vertical="center" wrapText="1"/>
    </xf>
    <xf numFmtId="0" fontId="23" fillId="0" borderId="71" xfId="0" applyFont="1" applyBorder="1" applyAlignment="1">
      <alignment horizontal="center" vertical="center" wrapText="1"/>
    </xf>
    <xf numFmtId="0" fontId="3" fillId="0" borderId="97" xfId="0" applyFont="1" applyBorder="1" applyAlignment="1">
      <alignment horizontal="center" vertical="center" wrapText="1"/>
    </xf>
    <xf numFmtId="0" fontId="3" fillId="0" borderId="69" xfId="0" applyFont="1" applyBorder="1" applyAlignment="1">
      <alignment horizontal="center" vertical="center" wrapText="1"/>
    </xf>
    <xf numFmtId="0" fontId="22" fillId="0" borderId="93" xfId="0" applyFont="1" applyBorder="1" applyAlignment="1">
      <alignment horizontal="center" vertical="center" wrapText="1"/>
    </xf>
    <xf numFmtId="0" fontId="3" fillId="0" borderId="98" xfId="0" applyFont="1" applyBorder="1" applyAlignment="1">
      <alignment horizontal="center" vertical="center" wrapText="1"/>
    </xf>
    <xf numFmtId="0" fontId="3" fillId="3" borderId="67" xfId="0" applyFont="1" applyFill="1" applyBorder="1" applyAlignment="1">
      <alignment horizontal="center" vertical="center" wrapText="1"/>
    </xf>
    <xf numFmtId="0" fontId="3" fillId="0" borderId="99" xfId="0" applyFont="1" applyBorder="1" applyAlignment="1">
      <alignment horizontal="center" vertical="center" wrapText="1"/>
    </xf>
    <xf numFmtId="0" fontId="3" fillId="0" borderId="100" xfId="0" applyFont="1" applyBorder="1" applyAlignment="1">
      <alignment horizontal="center" vertical="center" wrapText="1"/>
    </xf>
    <xf numFmtId="0" fontId="3" fillId="0" borderId="101" xfId="0" applyFont="1" applyBorder="1" applyAlignment="1">
      <alignment horizontal="center" vertical="center" wrapText="1"/>
    </xf>
    <xf numFmtId="9" fontId="3" fillId="0" borderId="71" xfId="0" applyNumberFormat="1" applyFont="1" applyBorder="1" applyAlignment="1">
      <alignment horizontal="center" vertical="center" wrapText="1"/>
    </xf>
    <xf numFmtId="0" fontId="22" fillId="3" borderId="94" xfId="0" applyFont="1" applyFill="1" applyBorder="1" applyAlignment="1">
      <alignment horizontal="center" vertical="center" wrapText="1"/>
    </xf>
    <xf numFmtId="3" fontId="3" fillId="3" borderId="67" xfId="0" applyNumberFormat="1" applyFont="1" applyFill="1" applyBorder="1" applyAlignment="1">
      <alignment horizontal="right" vertical="center" wrapText="1"/>
    </xf>
    <xf numFmtId="3" fontId="0" fillId="0" borderId="67" xfId="0" applyNumberFormat="1" applyBorder="1"/>
    <xf numFmtId="3" fontId="0" fillId="0" borderId="75" xfId="0" applyNumberFormat="1" applyBorder="1"/>
    <xf numFmtId="3" fontId="3" fillId="0" borderId="21" xfId="0" applyNumberFormat="1" applyFont="1" applyBorder="1" applyAlignment="1">
      <alignment horizontal="center" vertical="center" wrapText="1"/>
    </xf>
    <xf numFmtId="0" fontId="3" fillId="0" borderId="23" xfId="0" applyFont="1" applyBorder="1" applyAlignment="1">
      <alignment horizontal="center" vertical="center" wrapText="1"/>
    </xf>
    <xf numFmtId="0" fontId="23" fillId="0" borderId="23" xfId="0" applyFont="1" applyBorder="1" applyAlignment="1">
      <alignment horizontal="center" vertical="center" wrapText="1"/>
    </xf>
    <xf numFmtId="0" fontId="22" fillId="0" borderId="21" xfId="0" applyFont="1" applyBorder="1" applyAlignment="1">
      <alignment horizontal="center" vertical="center" wrapText="1"/>
    </xf>
    <xf numFmtId="0" fontId="3" fillId="0" borderId="44" xfId="0" applyFont="1" applyBorder="1" applyAlignment="1">
      <alignment horizontal="center" vertical="center" wrapText="1"/>
    </xf>
    <xf numFmtId="9" fontId="3" fillId="0" borderId="23" xfId="0" applyNumberFormat="1" applyFont="1" applyBorder="1" applyAlignment="1">
      <alignment horizontal="center" vertical="center" wrapText="1"/>
    </xf>
    <xf numFmtId="3" fontId="0" fillId="0" borderId="6" xfId="0" applyNumberFormat="1" applyBorder="1"/>
    <xf numFmtId="3" fontId="0" fillId="0" borderId="45" xfId="0" applyNumberFormat="1" applyBorder="1"/>
    <xf numFmtId="0" fontId="3" fillId="12" borderId="2" xfId="0" applyFont="1" applyFill="1" applyBorder="1" applyAlignment="1">
      <alignment horizontal="center" vertical="center" wrapText="1"/>
    </xf>
    <xf numFmtId="9" fontId="3" fillId="3" borderId="0" xfId="0" applyNumberFormat="1" applyFont="1" applyFill="1" applyBorder="1" applyAlignment="1">
      <alignment horizontal="center" vertical="center" wrapText="1"/>
    </xf>
    <xf numFmtId="10" fontId="3" fillId="0" borderId="51" xfId="0" applyNumberFormat="1" applyFont="1" applyBorder="1" applyAlignment="1">
      <alignment horizontal="center" vertical="center" wrapText="1"/>
    </xf>
    <xf numFmtId="9" fontId="3" fillId="0" borderId="46" xfId="0" applyNumberFormat="1" applyFont="1" applyBorder="1" applyAlignment="1">
      <alignment horizontal="center" vertical="center" wrapText="1"/>
    </xf>
    <xf numFmtId="3" fontId="16" fillId="0" borderId="44" xfId="2" applyNumberFormat="1" applyFont="1" applyBorder="1" applyAlignment="1">
      <alignment vertical="center"/>
    </xf>
    <xf numFmtId="0" fontId="3" fillId="3" borderId="0" xfId="0" applyFont="1" applyFill="1" applyBorder="1" applyAlignment="1">
      <alignment vertical="center" wrapText="1"/>
    </xf>
    <xf numFmtId="3" fontId="47" fillId="0" borderId="2" xfId="0" applyNumberFormat="1" applyFont="1" applyFill="1" applyBorder="1" applyAlignment="1">
      <alignment horizontal="center" vertical="center" wrapText="1"/>
    </xf>
    <xf numFmtId="3" fontId="23" fillId="0" borderId="0" xfId="0" applyNumberFormat="1" applyFont="1" applyBorder="1" applyAlignment="1">
      <alignment horizontal="right" vertical="center" wrapText="1"/>
    </xf>
    <xf numFmtId="0" fontId="22" fillId="0" borderId="0" xfId="0" applyFont="1" applyFill="1" applyBorder="1" applyAlignment="1">
      <alignment vertical="center" wrapText="1"/>
    </xf>
    <xf numFmtId="3" fontId="47" fillId="0" borderId="10" xfId="0" applyNumberFormat="1" applyFont="1" applyFill="1" applyBorder="1" applyAlignment="1">
      <alignment horizontal="center" vertical="center" wrapText="1"/>
    </xf>
    <xf numFmtId="0" fontId="22" fillId="3" borderId="13" xfId="0" applyFont="1" applyFill="1" applyBorder="1" applyAlignment="1">
      <alignment vertical="center" wrapText="1"/>
    </xf>
    <xf numFmtId="3" fontId="22" fillId="3" borderId="13" xfId="0" applyNumberFormat="1" applyFont="1" applyFill="1" applyBorder="1" applyAlignment="1">
      <alignment horizontal="right" vertical="center" wrapText="1"/>
    </xf>
    <xf numFmtId="0" fontId="22" fillId="3" borderId="13" xfId="0" applyFont="1" applyFill="1" applyBorder="1" applyAlignment="1">
      <alignment horizontal="right" vertical="center" wrapText="1"/>
    </xf>
    <xf numFmtId="0" fontId="21" fillId="3" borderId="0" xfId="0" applyFont="1" applyFill="1"/>
    <xf numFmtId="0" fontId="26" fillId="3" borderId="6" xfId="0" applyFont="1" applyFill="1" applyBorder="1" applyAlignment="1">
      <alignment horizontal="center" textRotation="255" wrapText="1"/>
    </xf>
    <xf numFmtId="3" fontId="29" fillId="3" borderId="0" xfId="0" applyNumberFormat="1" applyFont="1" applyFill="1" applyAlignment="1">
      <alignment horizontal="right"/>
    </xf>
    <xf numFmtId="0" fontId="21" fillId="3" borderId="13" xfId="0" applyFont="1" applyFill="1" applyBorder="1"/>
    <xf numFmtId="0" fontId="26" fillId="3" borderId="0" xfId="0" applyFont="1" applyFill="1" applyAlignment="1">
      <alignment horizontal="center" textRotation="255" wrapText="1"/>
    </xf>
    <xf numFmtId="3" fontId="30" fillId="3" borderId="6" xfId="0" applyNumberFormat="1" applyFont="1" applyFill="1" applyBorder="1" applyAlignment="1">
      <alignment horizontal="right" vertical="center" wrapText="1"/>
    </xf>
    <xf numFmtId="3" fontId="22" fillId="3" borderId="6" xfId="0" applyNumberFormat="1" applyFont="1" applyFill="1" applyBorder="1" applyAlignment="1">
      <alignment horizontal="right" vertical="center" wrapText="1"/>
    </xf>
    <xf numFmtId="0" fontId="3" fillId="0" borderId="5" xfId="0" applyFont="1" applyBorder="1" applyAlignment="1">
      <alignment vertical="center"/>
    </xf>
    <xf numFmtId="0" fontId="22" fillId="0" borderId="49" xfId="0" applyFont="1" applyFill="1" applyBorder="1" applyAlignment="1">
      <alignment vertical="center" wrapText="1"/>
    </xf>
    <xf numFmtId="0" fontId="22" fillId="0" borderId="19" xfId="0" applyFont="1" applyFill="1" applyBorder="1" applyAlignment="1">
      <alignment vertical="center" wrapText="1"/>
    </xf>
    <xf numFmtId="0" fontId="3" fillId="0" borderId="23" xfId="0" applyFont="1" applyBorder="1" applyAlignment="1">
      <alignment horizontal="right" vertical="center" wrapText="1"/>
    </xf>
    <xf numFmtId="0" fontId="22" fillId="0" borderId="22" xfId="0" applyFont="1" applyFill="1" applyBorder="1" applyAlignment="1">
      <alignment vertical="center" wrapText="1"/>
    </xf>
    <xf numFmtId="0" fontId="22" fillId="0" borderId="16" xfId="0" applyFont="1" applyFill="1" applyBorder="1" applyAlignment="1">
      <alignment horizontal="right" vertical="center" wrapText="1"/>
    </xf>
    <xf numFmtId="0" fontId="21" fillId="0" borderId="8" xfId="0" applyFont="1" applyFill="1" applyBorder="1" applyAlignment="1">
      <alignment horizontal="center" vertical="center"/>
    </xf>
    <xf numFmtId="3" fontId="47" fillId="0" borderId="8" xfId="0" applyNumberFormat="1" applyFont="1" applyFill="1" applyBorder="1" applyAlignment="1">
      <alignment horizontal="center" vertical="center" wrapText="1"/>
    </xf>
    <xf numFmtId="0" fontId="22" fillId="3" borderId="6" xfId="0" applyFont="1" applyFill="1" applyBorder="1" applyAlignment="1">
      <alignment vertical="center" wrapText="1"/>
    </xf>
    <xf numFmtId="0" fontId="21" fillId="3" borderId="6" xfId="0" applyFont="1" applyFill="1" applyBorder="1"/>
    <xf numFmtId="3" fontId="22" fillId="0" borderId="22" xfId="0" applyNumberFormat="1" applyFont="1" applyFill="1" applyBorder="1" applyAlignment="1">
      <alignment horizontal="left" vertical="center" wrapText="1"/>
    </xf>
    <xf numFmtId="0" fontId="3" fillId="0" borderId="24"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8" xfId="0" applyFont="1" applyBorder="1" applyAlignment="1">
      <alignment horizontal="center" vertical="center" wrapText="1"/>
    </xf>
    <xf numFmtId="0" fontId="3" fillId="0" borderId="2" xfId="0" applyFont="1" applyBorder="1" applyAlignment="1">
      <alignment horizontal="center" vertical="center" wrapText="1"/>
    </xf>
    <xf numFmtId="3" fontId="3" fillId="0" borderId="2" xfId="0" applyNumberFormat="1" applyFont="1" applyBorder="1" applyAlignment="1">
      <alignment horizontal="center" vertical="center" wrapText="1"/>
    </xf>
    <xf numFmtId="0" fontId="22" fillId="0" borderId="2" xfId="0" applyFont="1" applyBorder="1" applyAlignment="1">
      <alignment horizontal="center" vertical="center" wrapText="1"/>
    </xf>
    <xf numFmtId="0" fontId="3" fillId="4" borderId="2" xfId="0" applyFont="1" applyFill="1" applyBorder="1" applyAlignment="1">
      <alignment horizontal="center" vertical="center" wrapText="1"/>
    </xf>
    <xf numFmtId="0" fontId="3" fillId="11" borderId="2" xfId="0" applyFont="1" applyFill="1" applyBorder="1" applyAlignment="1">
      <alignment horizontal="center" vertical="center" wrapText="1"/>
    </xf>
    <xf numFmtId="0" fontId="3" fillId="0" borderId="15" xfId="0" applyFont="1" applyBorder="1" applyAlignment="1">
      <alignment horizontal="center" vertical="center" wrapText="1"/>
    </xf>
    <xf numFmtId="3" fontId="3" fillId="0" borderId="15" xfId="0" applyNumberFormat="1" applyFont="1" applyBorder="1" applyAlignment="1">
      <alignment horizontal="right" vertical="center" wrapText="1"/>
    </xf>
    <xf numFmtId="3" fontId="3" fillId="0" borderId="24" xfId="0" applyNumberFormat="1" applyFont="1" applyBorder="1" applyAlignment="1">
      <alignment horizontal="right" vertical="center" wrapText="1"/>
    </xf>
    <xf numFmtId="3" fontId="3" fillId="0" borderId="16" xfId="0" applyNumberFormat="1" applyFont="1" applyBorder="1" applyAlignment="1">
      <alignment horizontal="right" vertical="center" wrapText="1"/>
    </xf>
    <xf numFmtId="0" fontId="3" fillId="0" borderId="0" xfId="0" applyFont="1" applyBorder="1" applyAlignment="1">
      <alignment horizontal="center" vertical="center" wrapText="1"/>
    </xf>
    <xf numFmtId="0" fontId="3" fillId="0" borderId="35"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15" xfId="0" applyFont="1" applyBorder="1" applyAlignment="1">
      <alignment vertical="center" wrapText="1"/>
    </xf>
    <xf numFmtId="0" fontId="3" fillId="0" borderId="24" xfId="0" applyFont="1" applyBorder="1" applyAlignment="1">
      <alignment vertical="center" wrapText="1"/>
    </xf>
    <xf numFmtId="0" fontId="3" fillId="0" borderId="24" xfId="0" applyFont="1" applyBorder="1" applyAlignment="1">
      <alignment horizontal="right" vertical="center" wrapText="1"/>
    </xf>
    <xf numFmtId="0" fontId="3" fillId="0" borderId="35" xfId="0" applyFont="1" applyBorder="1" applyAlignment="1">
      <alignment horizontal="right" vertical="center" wrapText="1"/>
    </xf>
    <xf numFmtId="3" fontId="3" fillId="0" borderId="17" xfId="0" applyNumberFormat="1" applyFont="1" applyBorder="1" applyAlignment="1">
      <alignment horizontal="right" vertical="center" wrapText="1"/>
    </xf>
    <xf numFmtId="0" fontId="3" fillId="0" borderId="25" xfId="0" applyFont="1" applyBorder="1" applyAlignment="1">
      <alignment horizontal="right" vertical="center" wrapText="1"/>
    </xf>
    <xf numFmtId="3" fontId="22" fillId="0" borderId="8" xfId="0" applyNumberFormat="1" applyFont="1" applyFill="1" applyBorder="1" applyAlignment="1">
      <alignment horizontal="center" vertical="center" textRotation="255" wrapText="1"/>
    </xf>
    <xf numFmtId="3" fontId="3" fillId="0" borderId="2" xfId="0" applyNumberFormat="1" applyFont="1" applyBorder="1" applyAlignment="1">
      <alignment horizontal="right" vertical="center" wrapText="1"/>
    </xf>
    <xf numFmtId="0" fontId="3" fillId="0" borderId="2" xfId="0" applyFont="1" applyBorder="1" applyAlignment="1">
      <alignment horizontal="right" vertical="center" wrapText="1"/>
    </xf>
    <xf numFmtId="3" fontId="26" fillId="0" borderId="2" xfId="0" applyNumberFormat="1" applyFont="1" applyFill="1" applyBorder="1" applyAlignment="1">
      <alignment horizontal="center" vertical="center" wrapText="1"/>
    </xf>
    <xf numFmtId="0" fontId="3" fillId="0" borderId="16" xfId="0" applyFont="1" applyBorder="1" applyAlignment="1">
      <alignment vertical="center" wrapText="1"/>
    </xf>
    <xf numFmtId="0" fontId="3" fillId="0" borderId="16" xfId="0" applyFont="1" applyBorder="1" applyAlignment="1">
      <alignment horizontal="right" vertical="center" wrapText="1"/>
    </xf>
    <xf numFmtId="0" fontId="3" fillId="0" borderId="22" xfId="0" applyFont="1" applyBorder="1" applyAlignment="1">
      <alignment horizontal="right" vertical="center" wrapText="1"/>
    </xf>
    <xf numFmtId="3" fontId="22" fillId="0" borderId="10" xfId="0" applyNumberFormat="1" applyFont="1" applyFill="1" applyBorder="1" applyAlignment="1">
      <alignment horizontal="center" vertical="center" wrapText="1"/>
    </xf>
    <xf numFmtId="3" fontId="3" fillId="0" borderId="8" xfId="0" applyNumberFormat="1" applyFont="1" applyBorder="1" applyAlignment="1">
      <alignment horizontal="center" vertical="center" wrapText="1"/>
    </xf>
    <xf numFmtId="0" fontId="3" fillId="3" borderId="0" xfId="0" applyFont="1" applyFill="1" applyBorder="1" applyAlignment="1">
      <alignment horizontal="center" vertical="center" wrapText="1"/>
    </xf>
    <xf numFmtId="3" fontId="22" fillId="0" borderId="2" xfId="0" applyNumberFormat="1" applyFont="1" applyFill="1" applyBorder="1" applyAlignment="1">
      <alignment horizontal="center" vertical="center" wrapText="1"/>
    </xf>
    <xf numFmtId="3" fontId="22" fillId="0" borderId="2" xfId="0" applyNumberFormat="1" applyFont="1" applyFill="1" applyBorder="1" applyAlignment="1">
      <alignment horizontal="center" vertical="center" textRotation="255" wrapText="1"/>
    </xf>
    <xf numFmtId="3" fontId="3" fillId="0" borderId="8" xfId="0" applyNumberFormat="1" applyFont="1" applyBorder="1" applyAlignment="1">
      <alignment horizontal="right" vertical="center" wrapText="1"/>
    </xf>
    <xf numFmtId="3" fontId="26" fillId="0" borderId="10" xfId="0" applyNumberFormat="1" applyFont="1" applyFill="1" applyBorder="1" applyAlignment="1">
      <alignment horizontal="center" vertical="center" wrapText="1"/>
    </xf>
    <xf numFmtId="3" fontId="26" fillId="0" borderId="8" xfId="0" applyNumberFormat="1" applyFont="1" applyFill="1" applyBorder="1" applyAlignment="1">
      <alignment horizontal="center" vertical="center" wrapText="1"/>
    </xf>
    <xf numFmtId="3" fontId="26" fillId="0" borderId="9" xfId="0" applyNumberFormat="1" applyFont="1" applyFill="1" applyBorder="1" applyAlignment="1">
      <alignment horizontal="center" vertical="center" wrapText="1"/>
    </xf>
    <xf numFmtId="0" fontId="0" fillId="0" borderId="0" xfId="0" applyBorder="1" applyAlignment="1">
      <alignment horizontal="left"/>
    </xf>
    <xf numFmtId="0" fontId="0" fillId="0" borderId="0" xfId="0" applyBorder="1" applyAlignment="1">
      <alignment horizontal="center"/>
    </xf>
    <xf numFmtId="0" fontId="0" fillId="12" borderId="2" xfId="0" applyFill="1" applyBorder="1" applyAlignment="1">
      <alignment horizontal="center"/>
    </xf>
    <xf numFmtId="0" fontId="0" fillId="0" borderId="2" xfId="0" applyBorder="1"/>
    <xf numFmtId="0" fontId="3" fillId="3" borderId="6" xfId="0" applyFont="1" applyFill="1" applyBorder="1" applyAlignment="1">
      <alignment horizontal="center" vertical="center" wrapText="1"/>
    </xf>
    <xf numFmtId="3" fontId="3" fillId="0" borderId="14" xfId="0" applyNumberFormat="1" applyFont="1" applyBorder="1" applyAlignment="1">
      <alignment horizontal="right" vertical="center" wrapText="1"/>
    </xf>
    <xf numFmtId="3" fontId="48" fillId="0" borderId="103" xfId="2" applyNumberFormat="1" applyFont="1" applyBorder="1" applyAlignment="1">
      <alignment horizontal="right"/>
    </xf>
    <xf numFmtId="3" fontId="22" fillId="0" borderId="24" xfId="0" applyNumberFormat="1" applyFont="1" applyFill="1" applyBorder="1" applyAlignment="1">
      <alignment horizontal="right" vertical="center" wrapText="1"/>
    </xf>
    <xf numFmtId="168" fontId="22" fillId="4" borderId="2" xfId="0" applyNumberFormat="1" applyFont="1" applyFill="1" applyBorder="1" applyAlignment="1">
      <alignment horizontal="right" vertical="center" wrapText="1"/>
    </xf>
    <xf numFmtId="0" fontId="31" fillId="28" borderId="10" xfId="2" applyFont="1" applyFill="1" applyBorder="1" applyAlignment="1">
      <alignment horizontal="center" vertical="center" wrapText="1"/>
    </xf>
    <xf numFmtId="0" fontId="31" fillId="28" borderId="9" xfId="2" applyFont="1" applyFill="1" applyBorder="1" applyAlignment="1">
      <alignment horizontal="center" vertical="center" wrapText="1"/>
    </xf>
    <xf numFmtId="0" fontId="31" fillId="28" borderId="2" xfId="2" applyFont="1" applyFill="1" applyBorder="1" applyAlignment="1">
      <alignment horizontal="center" vertical="center" wrapText="1"/>
    </xf>
    <xf numFmtId="0" fontId="6" fillId="0" borderId="2" xfId="2" applyBorder="1" applyAlignment="1">
      <alignment horizontal="center" vertical="center" wrapText="1"/>
    </xf>
    <xf numFmtId="0" fontId="16" fillId="2" borderId="5" xfId="2" applyFont="1" applyFill="1" applyBorder="1" applyAlignment="1">
      <alignment horizontal="center" vertical="center"/>
    </xf>
    <xf numFmtId="0" fontId="31" fillId="28" borderId="9" xfId="2" applyFont="1" applyFill="1" applyBorder="1" applyAlignment="1">
      <alignment horizontal="center" vertical="center" textRotation="255" wrapText="1"/>
    </xf>
    <xf numFmtId="0" fontId="6" fillId="0" borderId="2" xfId="2" applyFont="1" applyBorder="1" applyAlignment="1">
      <alignment horizontal="center" vertical="center" wrapText="1"/>
    </xf>
    <xf numFmtId="0" fontId="16" fillId="28" borderId="10" xfId="2" applyFont="1" applyFill="1" applyBorder="1" applyAlignment="1">
      <alignment horizontal="center" vertical="center" wrapText="1"/>
    </xf>
    <xf numFmtId="0" fontId="31" fillId="27" borderId="2" xfId="2" applyFont="1" applyFill="1" applyBorder="1" applyAlignment="1">
      <alignment horizontal="center" vertical="center" wrapText="1"/>
    </xf>
    <xf numFmtId="0" fontId="31" fillId="28" borderId="9" xfId="2" applyFont="1" applyFill="1" applyBorder="1" applyAlignment="1">
      <alignment horizontal="center" vertical="center" textRotation="90" wrapText="1"/>
    </xf>
    <xf numFmtId="3" fontId="6" fillId="16" borderId="2" xfId="2" applyNumberFormat="1" applyFont="1" applyFill="1" applyBorder="1" applyAlignment="1">
      <alignment horizontal="right" vertical="center"/>
    </xf>
    <xf numFmtId="169" fontId="6" fillId="0" borderId="2" xfId="2" applyNumberFormat="1" applyFont="1" applyBorder="1" applyAlignment="1">
      <alignment horizontal="right" vertical="center"/>
    </xf>
    <xf numFmtId="169" fontId="16" fillId="0" borderId="2" xfId="2" applyNumberFormat="1" applyFont="1" applyBorder="1" applyAlignment="1">
      <alignment horizontal="right" vertical="center"/>
    </xf>
    <xf numFmtId="169" fontId="6" fillId="0" borderId="0" xfId="2" applyNumberFormat="1" applyFont="1" applyBorder="1" applyAlignment="1">
      <alignment horizontal="right" vertical="center"/>
    </xf>
    <xf numFmtId="169" fontId="6" fillId="15" borderId="2" xfId="2" applyNumberFormat="1" applyFont="1" applyFill="1" applyBorder="1" applyAlignment="1">
      <alignment horizontal="right" vertical="center"/>
    </xf>
    <xf numFmtId="169" fontId="6" fillId="3" borderId="0" xfId="2" applyNumberFormat="1" applyFont="1" applyFill="1" applyBorder="1" applyAlignment="1">
      <alignment horizontal="right" vertical="center"/>
    </xf>
    <xf numFmtId="169" fontId="16" fillId="16" borderId="2" xfId="2" applyNumberFormat="1" applyFont="1" applyFill="1" applyBorder="1"/>
    <xf numFmtId="0" fontId="16" fillId="3" borderId="0" xfId="2" applyFont="1" applyFill="1" applyBorder="1" applyAlignment="1">
      <alignment horizontal="center"/>
    </xf>
    <xf numFmtId="169" fontId="6" fillId="0" borderId="2" xfId="2" applyNumberFormat="1" applyFont="1" applyFill="1" applyBorder="1" applyAlignment="1">
      <alignment horizontal="right" vertical="center"/>
    </xf>
    <xf numFmtId="3" fontId="26" fillId="0" borderId="2" xfId="0" applyNumberFormat="1" applyFont="1" applyFill="1" applyBorder="1" applyAlignment="1">
      <alignment vertical="center" wrapText="1"/>
    </xf>
    <xf numFmtId="169" fontId="6" fillId="12" borderId="2" xfId="2" applyNumberFormat="1" applyFont="1" applyFill="1" applyBorder="1" applyAlignment="1">
      <alignment horizontal="right" vertical="center"/>
    </xf>
    <xf numFmtId="3" fontId="6" fillId="0" borderId="2" xfId="8" applyNumberFormat="1" applyFill="1" applyBorder="1" applyAlignment="1">
      <alignment vertical="center"/>
    </xf>
    <xf numFmtId="0" fontId="6" fillId="0" borderId="2" xfId="8" applyBorder="1" applyAlignment="1">
      <alignment vertical="center"/>
    </xf>
    <xf numFmtId="167" fontId="49" fillId="3" borderId="0" xfId="8" applyNumberFormat="1" applyFont="1" applyFill="1" applyBorder="1" applyAlignment="1">
      <alignment horizontal="right" vertical="center" wrapText="1"/>
    </xf>
    <xf numFmtId="167" fontId="8" fillId="9" borderId="27" xfId="8" applyNumberFormat="1" applyFont="1" applyFill="1" applyBorder="1" applyAlignment="1">
      <alignment horizontal="right" vertical="center" wrapText="1"/>
    </xf>
    <xf numFmtId="167" fontId="16" fillId="6" borderId="89" xfId="8" applyNumberFormat="1" applyFont="1" applyFill="1" applyBorder="1" applyAlignment="1">
      <alignment horizontal="right" vertical="center" wrapText="1"/>
    </xf>
    <xf numFmtId="167" fontId="17" fillId="7" borderId="34" xfId="8" applyNumberFormat="1" applyFont="1" applyFill="1" applyBorder="1" applyAlignment="1">
      <alignment horizontal="right" vertical="center" wrapText="1"/>
    </xf>
    <xf numFmtId="3" fontId="6" fillId="0" borderId="88" xfId="8" applyNumberFormat="1" applyBorder="1" applyAlignment="1">
      <alignment vertical="center"/>
    </xf>
    <xf numFmtId="167" fontId="17" fillId="7" borderId="30" xfId="8" applyNumberFormat="1" applyFont="1" applyFill="1" applyBorder="1" applyAlignment="1">
      <alignment horizontal="right" vertical="center" wrapText="1"/>
    </xf>
    <xf numFmtId="167" fontId="17" fillId="7" borderId="27" xfId="8" applyNumberFormat="1" applyFont="1" applyFill="1" applyBorder="1" applyAlignment="1">
      <alignment horizontal="right" vertical="center" wrapText="1"/>
    </xf>
    <xf numFmtId="3" fontId="6" fillId="0" borderId="8" xfId="8" applyNumberFormat="1" applyBorder="1" applyAlignment="1">
      <alignment vertical="center"/>
    </xf>
    <xf numFmtId="167" fontId="16" fillId="3" borderId="87" xfId="8" applyNumberFormat="1" applyFont="1" applyFill="1" applyBorder="1" applyAlignment="1">
      <alignment horizontal="right" vertical="center" wrapText="1"/>
    </xf>
    <xf numFmtId="167" fontId="17" fillId="7" borderId="89" xfId="8" applyNumberFormat="1" applyFont="1" applyFill="1" applyBorder="1" applyAlignment="1">
      <alignment horizontal="right" vertical="center" wrapText="1"/>
    </xf>
    <xf numFmtId="0" fontId="31" fillId="28" borderId="8" xfId="2" applyFont="1" applyFill="1" applyBorder="1" applyAlignment="1">
      <alignment horizontal="center" vertical="center" wrapText="1"/>
    </xf>
    <xf numFmtId="0" fontId="31" fillId="28" borderId="2" xfId="2" applyFont="1" applyFill="1" applyBorder="1" applyAlignment="1">
      <alignment horizontal="center" vertical="center" wrapText="1"/>
    </xf>
    <xf numFmtId="0" fontId="31" fillId="0" borderId="8" xfId="2" applyFont="1" applyFill="1" applyBorder="1" applyAlignment="1">
      <alignment horizontal="center" vertical="center" wrapText="1"/>
    </xf>
    <xf numFmtId="0" fontId="31" fillId="0" borderId="8" xfId="2" applyFont="1" applyFill="1" applyBorder="1" applyAlignment="1">
      <alignment vertical="center" wrapText="1"/>
    </xf>
    <xf numFmtId="0" fontId="31" fillId="0" borderId="9" xfId="2" applyFont="1" applyFill="1" applyBorder="1" applyAlignment="1">
      <alignment vertical="center"/>
    </xf>
    <xf numFmtId="0" fontId="31" fillId="0" borderId="8" xfId="2" applyFont="1" applyFill="1" applyBorder="1" applyAlignment="1">
      <alignment vertical="center" textRotation="90"/>
    </xf>
    <xf numFmtId="0" fontId="31" fillId="0" borderId="8" xfId="2" applyFont="1" applyFill="1" applyBorder="1" applyAlignment="1">
      <alignment vertical="center" textRotation="90" wrapText="1"/>
    </xf>
    <xf numFmtId="0" fontId="31" fillId="0" borderId="8" xfId="2" applyFont="1" applyFill="1" applyBorder="1" applyAlignment="1">
      <alignment vertical="center" textRotation="255" wrapText="1"/>
    </xf>
    <xf numFmtId="0" fontId="31" fillId="0" borderId="9" xfId="2" applyFont="1" applyFill="1" applyBorder="1" applyAlignment="1">
      <alignment horizontal="center" vertical="center" wrapText="1"/>
    </xf>
    <xf numFmtId="3" fontId="22" fillId="0" borderId="19" xfId="0" applyNumberFormat="1" applyFont="1" applyFill="1" applyBorder="1" applyAlignment="1">
      <alignment horizontal="right" vertical="center" wrapText="1"/>
    </xf>
    <xf numFmtId="3" fontId="26" fillId="0" borderId="2" xfId="0" applyNumberFormat="1" applyFont="1" applyFill="1" applyBorder="1" applyAlignment="1">
      <alignment vertical="center" textRotation="255" wrapText="1"/>
    </xf>
    <xf numFmtId="3" fontId="23" fillId="3" borderId="6" xfId="0" applyNumberFormat="1" applyFont="1" applyFill="1" applyBorder="1" applyAlignment="1">
      <alignment horizontal="right" vertical="center" wrapText="1"/>
    </xf>
    <xf numFmtId="0" fontId="16" fillId="2" borderId="5" xfId="2" applyFont="1" applyFill="1" applyBorder="1" applyAlignment="1">
      <alignment horizontal="center"/>
    </xf>
    <xf numFmtId="0" fontId="16" fillId="2" borderId="6" xfId="2" applyFont="1" applyFill="1" applyBorder="1" applyAlignment="1">
      <alignment horizontal="center"/>
    </xf>
    <xf numFmtId="0" fontId="16" fillId="2" borderId="7" xfId="2" applyFont="1" applyFill="1" applyBorder="1" applyAlignment="1">
      <alignment horizontal="center"/>
    </xf>
    <xf numFmtId="3" fontId="16" fillId="2" borderId="0" xfId="2" applyNumberFormat="1" applyFont="1" applyFill="1" applyBorder="1" applyAlignment="1"/>
    <xf numFmtId="0" fontId="8" fillId="9" borderId="31" xfId="8" applyFont="1" applyFill="1" applyBorder="1" applyAlignment="1">
      <alignment horizontal="center" vertical="center"/>
    </xf>
    <xf numFmtId="0" fontId="15" fillId="0" borderId="31" xfId="8" applyFont="1" applyFill="1" applyBorder="1" applyAlignment="1">
      <alignment horizontal="justify" vertical="center"/>
    </xf>
    <xf numFmtId="0" fontId="15" fillId="0" borderId="31" xfId="8" applyFont="1" applyFill="1" applyBorder="1" applyAlignment="1">
      <alignment vertical="center" wrapText="1"/>
    </xf>
    <xf numFmtId="0" fontId="3" fillId="0" borderId="10" xfId="0" applyFont="1" applyBorder="1" applyAlignment="1">
      <alignment horizontal="center" vertical="center" wrapText="1"/>
    </xf>
    <xf numFmtId="3" fontId="22" fillId="0" borderId="8" xfId="0" applyNumberFormat="1" applyFont="1" applyFill="1" applyBorder="1" applyAlignment="1">
      <alignment horizontal="center" vertical="center" textRotation="255" wrapText="1"/>
    </xf>
    <xf numFmtId="0" fontId="3" fillId="0" borderId="2" xfId="0" applyFont="1" applyBorder="1" applyAlignment="1">
      <alignment horizontal="center" vertical="center" wrapText="1"/>
    </xf>
    <xf numFmtId="0" fontId="3" fillId="0" borderId="8"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15" xfId="0" applyFont="1" applyBorder="1" applyAlignment="1">
      <alignment vertical="center" wrapText="1"/>
    </xf>
    <xf numFmtId="3" fontId="22" fillId="0" borderId="10" xfId="0" applyNumberFormat="1" applyFont="1" applyFill="1" applyBorder="1" applyAlignment="1">
      <alignment horizontal="center" vertical="center" wrapText="1"/>
    </xf>
    <xf numFmtId="0" fontId="3" fillId="0" borderId="16" xfId="0" applyFont="1" applyBorder="1" applyAlignment="1">
      <alignment horizontal="center" vertical="center" wrapText="1"/>
    </xf>
    <xf numFmtId="0" fontId="3" fillId="0" borderId="16" xfId="0" applyFont="1" applyBorder="1" applyAlignment="1">
      <alignment vertical="center" wrapText="1"/>
    </xf>
    <xf numFmtId="3" fontId="26" fillId="0" borderId="2" xfId="0" applyNumberFormat="1" applyFont="1" applyFill="1" applyBorder="1" applyAlignment="1">
      <alignment horizontal="center" vertical="center" wrapText="1"/>
    </xf>
    <xf numFmtId="3" fontId="26" fillId="0" borderId="9" xfId="0" applyNumberFormat="1" applyFont="1" applyFill="1" applyBorder="1" applyAlignment="1">
      <alignment horizontal="center" vertical="center" textRotation="255" wrapText="1"/>
    </xf>
    <xf numFmtId="3" fontId="26" fillId="0" borderId="10" xfId="0" applyNumberFormat="1" applyFont="1" applyFill="1" applyBorder="1" applyAlignment="1">
      <alignment horizontal="center" vertical="center" wrapText="1"/>
    </xf>
    <xf numFmtId="3" fontId="26" fillId="0" borderId="8" xfId="0" applyNumberFormat="1" applyFont="1" applyFill="1" applyBorder="1" applyAlignment="1">
      <alignment horizontal="center" vertical="center" wrapText="1"/>
    </xf>
    <xf numFmtId="3" fontId="47" fillId="0" borderId="10" xfId="0" applyNumberFormat="1" applyFont="1" applyFill="1" applyBorder="1" applyAlignment="1">
      <alignment horizontal="center" vertical="center" wrapText="1"/>
    </xf>
    <xf numFmtId="3" fontId="47" fillId="0" borderId="8" xfId="0" applyNumberFormat="1" applyFont="1" applyFill="1" applyBorder="1" applyAlignment="1">
      <alignment horizontal="center" vertical="center" wrapText="1"/>
    </xf>
    <xf numFmtId="3" fontId="3" fillId="0" borderId="14" xfId="0" applyNumberFormat="1" applyFont="1" applyBorder="1" applyAlignment="1">
      <alignment horizontal="right" vertical="center" wrapText="1"/>
    </xf>
    <xf numFmtId="0" fontId="22" fillId="0" borderId="18" xfId="0" applyFont="1" applyFill="1" applyBorder="1" applyAlignment="1">
      <alignment vertical="center" wrapText="1"/>
    </xf>
    <xf numFmtId="0" fontId="22" fillId="0" borderId="5" xfId="0" applyFont="1" applyFill="1" applyBorder="1" applyAlignment="1">
      <alignment vertical="center" wrapText="1"/>
    </xf>
    <xf numFmtId="0" fontId="31" fillId="28" borderId="2" xfId="2" applyFont="1" applyFill="1" applyBorder="1" applyAlignment="1">
      <alignment horizontal="center" vertical="center" wrapText="1"/>
    </xf>
    <xf numFmtId="0" fontId="3" fillId="0" borderId="2"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16" xfId="0" applyFont="1" applyBorder="1" applyAlignment="1">
      <alignment horizontal="center" vertical="center" wrapText="1"/>
    </xf>
    <xf numFmtId="3" fontId="3" fillId="0" borderId="24" xfId="0" applyNumberFormat="1" applyFont="1" applyBorder="1" applyAlignment="1">
      <alignment horizontal="center" vertical="center" wrapText="1"/>
    </xf>
    <xf numFmtId="0" fontId="3" fillId="0" borderId="8" xfId="0" applyFont="1" applyBorder="1" applyAlignment="1">
      <alignment horizontal="center" vertical="center" wrapText="1"/>
    </xf>
    <xf numFmtId="0" fontId="3" fillId="0" borderId="15" xfId="0" applyFont="1" applyBorder="1" applyAlignment="1">
      <alignment horizontal="center" vertical="center" wrapText="1"/>
    </xf>
    <xf numFmtId="3" fontId="3" fillId="3" borderId="44" xfId="0" applyNumberFormat="1" applyFont="1" applyFill="1" applyBorder="1" applyAlignment="1">
      <alignment horizontal="right" vertical="center" wrapText="1"/>
    </xf>
    <xf numFmtId="0" fontId="3" fillId="3" borderId="44" xfId="0" applyFont="1" applyFill="1" applyBorder="1" applyAlignment="1">
      <alignment horizontal="right" vertical="center" wrapText="1"/>
    </xf>
    <xf numFmtId="1" fontId="3" fillId="0" borderId="1" xfId="0" applyNumberFormat="1" applyFont="1" applyBorder="1" applyAlignment="1">
      <alignment horizontal="center" vertical="center" wrapText="1"/>
    </xf>
    <xf numFmtId="9" fontId="3" fillId="0" borderId="36" xfId="0" applyNumberFormat="1" applyFont="1" applyBorder="1" applyAlignment="1">
      <alignment horizontal="center" vertical="center" wrapText="1"/>
    </xf>
    <xf numFmtId="0" fontId="3" fillId="0" borderId="2" xfId="0" applyFont="1" applyBorder="1" applyAlignment="1">
      <alignment horizontal="center" vertical="center" wrapText="1"/>
    </xf>
    <xf numFmtId="0" fontId="3" fillId="0" borderId="40" xfId="0" applyFont="1" applyBorder="1" applyAlignment="1">
      <alignment horizontal="center" vertical="center" wrapText="1"/>
    </xf>
    <xf numFmtId="3" fontId="26" fillId="0" borderId="2" xfId="0" applyNumberFormat="1" applyFont="1" applyFill="1" applyBorder="1" applyAlignment="1">
      <alignment horizontal="center" vertical="center" wrapText="1"/>
    </xf>
    <xf numFmtId="9" fontId="3" fillId="0" borderId="40" xfId="0" applyNumberFormat="1" applyFont="1" applyBorder="1" applyAlignment="1">
      <alignment horizontal="center" vertical="center" wrapText="1"/>
    </xf>
    <xf numFmtId="0" fontId="3" fillId="0" borderId="16" xfId="0" applyFont="1" applyBorder="1" applyAlignment="1">
      <alignment horizontal="center" vertical="center" wrapText="1"/>
    </xf>
    <xf numFmtId="0" fontId="3" fillId="0" borderId="15" xfId="0" applyFont="1" applyBorder="1" applyAlignment="1">
      <alignment horizontal="center" vertical="center" wrapText="1"/>
    </xf>
    <xf numFmtId="3" fontId="26" fillId="0" borderId="2" xfId="0" applyNumberFormat="1" applyFont="1" applyFill="1" applyBorder="1" applyAlignment="1">
      <alignment horizontal="center" vertical="center" wrapText="1"/>
    </xf>
    <xf numFmtId="0" fontId="3" fillId="0" borderId="16" xfId="0" applyFont="1" applyBorder="1" applyAlignment="1">
      <alignment vertical="center" wrapText="1"/>
    </xf>
    <xf numFmtId="3" fontId="26" fillId="0" borderId="8" xfId="0" applyNumberFormat="1" applyFont="1" applyFill="1" applyBorder="1" applyAlignment="1">
      <alignment horizontal="center" vertical="center" wrapText="1"/>
    </xf>
    <xf numFmtId="3" fontId="47" fillId="0" borderId="10" xfId="0" applyNumberFormat="1" applyFont="1" applyFill="1" applyBorder="1" applyAlignment="1">
      <alignment horizontal="center" vertical="center" wrapText="1"/>
    </xf>
    <xf numFmtId="9" fontId="3" fillId="0" borderId="15" xfId="0" applyNumberFormat="1" applyFont="1" applyBorder="1" applyAlignment="1">
      <alignment horizontal="center" vertical="center" wrapText="1"/>
    </xf>
    <xf numFmtId="0" fontId="3" fillId="0" borderId="40" xfId="0" applyFont="1" applyBorder="1" applyAlignment="1">
      <alignment vertical="center" wrapText="1"/>
    </xf>
    <xf numFmtId="3" fontId="22" fillId="0" borderId="8" xfId="0" applyNumberFormat="1" applyFont="1" applyFill="1" applyBorder="1" applyAlignment="1">
      <alignment vertical="center" textRotation="255" wrapText="1"/>
    </xf>
    <xf numFmtId="0" fontId="3" fillId="0" borderId="1" xfId="0" applyNumberFormat="1" applyFont="1" applyBorder="1" applyAlignment="1">
      <alignment horizontal="center" vertical="center" wrapText="1"/>
    </xf>
    <xf numFmtId="0" fontId="3" fillId="0" borderId="3" xfId="0" applyFont="1" applyBorder="1" applyAlignment="1">
      <alignment horizontal="center" vertical="center" wrapText="1"/>
    </xf>
    <xf numFmtId="0" fontId="22" fillId="0" borderId="17" xfId="0" applyFont="1" applyFill="1" applyBorder="1" applyAlignment="1">
      <alignment vertical="center" wrapText="1"/>
    </xf>
    <xf numFmtId="0" fontId="22" fillId="0" borderId="3" xfId="0" applyFont="1" applyFill="1" applyBorder="1" applyAlignment="1">
      <alignment vertical="center" wrapText="1"/>
    </xf>
    <xf numFmtId="0" fontId="3" fillId="0" borderId="15" xfId="0" applyNumberFormat="1" applyFont="1" applyBorder="1" applyAlignment="1">
      <alignment horizontal="center" vertical="center" wrapText="1"/>
    </xf>
    <xf numFmtId="0" fontId="3" fillId="3" borderId="2" xfId="0" applyFont="1" applyFill="1" applyBorder="1" applyAlignment="1">
      <alignment horizontal="center" vertical="center" wrapText="1"/>
    </xf>
    <xf numFmtId="0" fontId="3" fillId="3" borderId="44" xfId="0" applyFont="1" applyFill="1" applyBorder="1" applyAlignment="1">
      <alignment horizontal="center" vertical="center" wrapText="1"/>
    </xf>
    <xf numFmtId="9" fontId="51" fillId="0" borderId="22" xfId="0" applyNumberFormat="1" applyFont="1" applyFill="1" applyBorder="1" applyAlignment="1">
      <alignment horizontal="center" vertical="center" wrapText="1"/>
    </xf>
    <xf numFmtId="0" fontId="51" fillId="0" borderId="2" xfId="0" applyFont="1" applyFill="1" applyBorder="1" applyAlignment="1">
      <alignment vertical="center" wrapText="1"/>
    </xf>
    <xf numFmtId="0" fontId="22" fillId="0" borderId="2" xfId="0" applyFont="1" applyFill="1" applyBorder="1" applyAlignment="1">
      <alignment horizontal="center" vertical="center" wrapText="1"/>
    </xf>
    <xf numFmtId="18" fontId="47" fillId="0" borderId="2" xfId="0" applyNumberFormat="1" applyFont="1" applyFill="1" applyBorder="1" applyAlignment="1">
      <alignment vertical="center" wrapText="1"/>
    </xf>
    <xf numFmtId="9" fontId="22" fillId="0" borderId="16" xfId="0" applyNumberFormat="1" applyFont="1" applyFill="1" applyBorder="1" applyAlignment="1">
      <alignment horizontal="center" vertical="center" wrapText="1"/>
    </xf>
    <xf numFmtId="0" fontId="51" fillId="0" borderId="16" xfId="0" applyFont="1" applyFill="1" applyBorder="1" applyAlignment="1">
      <alignment vertical="center" wrapText="1"/>
    </xf>
    <xf numFmtId="0" fontId="47" fillId="0" borderId="1" xfId="0" applyFont="1" applyFill="1" applyBorder="1" applyAlignment="1">
      <alignment vertical="center" wrapText="1"/>
    </xf>
    <xf numFmtId="0" fontId="3" fillId="0" borderId="2" xfId="0" applyFont="1" applyBorder="1" applyAlignment="1">
      <alignment horizontal="center" vertical="center" wrapText="1"/>
    </xf>
    <xf numFmtId="0" fontId="3" fillId="3" borderId="0" xfId="0" applyFont="1" applyFill="1" applyBorder="1" applyAlignment="1">
      <alignment horizontal="center" vertical="center" wrapText="1"/>
    </xf>
    <xf numFmtId="3" fontId="26" fillId="0" borderId="8" xfId="0" applyNumberFormat="1" applyFont="1" applyFill="1" applyBorder="1" applyAlignment="1">
      <alignment horizontal="center" vertical="center" wrapText="1"/>
    </xf>
    <xf numFmtId="0" fontId="3" fillId="0" borderId="8" xfId="0" applyFont="1" applyBorder="1" applyAlignment="1">
      <alignment horizontal="center" vertical="center" wrapText="1"/>
    </xf>
    <xf numFmtId="0" fontId="3" fillId="0" borderId="2" xfId="0" applyFont="1" applyBorder="1" applyAlignment="1">
      <alignment horizontal="center" vertical="center" wrapText="1"/>
    </xf>
    <xf numFmtId="0" fontId="3" fillId="4" borderId="2" xfId="0" applyFont="1" applyFill="1" applyBorder="1" applyAlignment="1">
      <alignment horizontal="center" vertical="center" wrapText="1"/>
    </xf>
    <xf numFmtId="0" fontId="3" fillId="11" borderId="2" xfId="0" applyFont="1" applyFill="1" applyBorder="1" applyAlignment="1">
      <alignment horizontal="center" vertical="center" wrapText="1"/>
    </xf>
    <xf numFmtId="0" fontId="3" fillId="0" borderId="22" xfId="0" applyFont="1" applyBorder="1" applyAlignment="1">
      <alignment horizontal="center" vertical="center" wrapText="1"/>
    </xf>
    <xf numFmtId="3" fontId="26" fillId="0" borderId="2" xfId="0" applyNumberFormat="1" applyFont="1" applyFill="1" applyBorder="1" applyAlignment="1">
      <alignment horizontal="center" vertical="center" wrapText="1"/>
    </xf>
    <xf numFmtId="0" fontId="3" fillId="3" borderId="0" xfId="0" applyFont="1" applyFill="1" applyBorder="1" applyAlignment="1">
      <alignment horizontal="center" vertical="center" wrapText="1"/>
    </xf>
    <xf numFmtId="0" fontId="0" fillId="3" borderId="44" xfId="0" applyFill="1" applyBorder="1"/>
    <xf numFmtId="0" fontId="3" fillId="0" borderId="37" xfId="0" applyFont="1" applyBorder="1" applyAlignment="1">
      <alignment vertical="center" wrapText="1"/>
    </xf>
    <xf numFmtId="0" fontId="3" fillId="0" borderId="50" xfId="0" applyFont="1" applyBorder="1" applyAlignment="1">
      <alignment horizontal="center" vertical="center" wrapText="1"/>
    </xf>
    <xf numFmtId="0" fontId="22" fillId="0" borderId="20" xfId="0" applyFont="1" applyFill="1" applyBorder="1" applyAlignment="1">
      <alignment horizontal="right" vertical="center" wrapText="1"/>
    </xf>
    <xf numFmtId="3" fontId="22" fillId="0" borderId="8" xfId="0" applyNumberFormat="1" applyFont="1" applyFill="1" applyBorder="1" applyAlignment="1">
      <alignment horizontal="right" vertical="center" wrapText="1"/>
    </xf>
    <xf numFmtId="0" fontId="3" fillId="3" borderId="0" xfId="0" applyFont="1" applyFill="1" applyBorder="1" applyAlignment="1">
      <alignment vertical="center" textRotation="255" wrapText="1"/>
    </xf>
    <xf numFmtId="0" fontId="4" fillId="3" borderId="0" xfId="0" applyFont="1" applyFill="1" applyBorder="1" applyAlignment="1">
      <alignment horizontal="center"/>
    </xf>
    <xf numFmtId="0" fontId="4" fillId="3" borderId="0" xfId="0" applyFont="1" applyFill="1" applyBorder="1" applyAlignment="1">
      <alignment horizontal="center" vertical="center"/>
    </xf>
    <xf numFmtId="0" fontId="43" fillId="3" borderId="0" xfId="0" applyFont="1" applyFill="1" applyBorder="1" applyAlignment="1">
      <alignment horizontal="center" wrapText="1"/>
    </xf>
    <xf numFmtId="0" fontId="4" fillId="3" borderId="0" xfId="0" applyFont="1" applyFill="1" applyBorder="1" applyAlignment="1"/>
    <xf numFmtId="0" fontId="4" fillId="3" borderId="0" xfId="0" applyFont="1" applyFill="1" applyBorder="1" applyAlignment="1">
      <alignment horizontal="left"/>
    </xf>
    <xf numFmtId="0" fontId="4" fillId="3" borderId="13" xfId="0" applyFont="1" applyFill="1" applyBorder="1" applyAlignment="1">
      <alignment horizontal="left"/>
    </xf>
    <xf numFmtId="3" fontId="22" fillId="3" borderId="0" xfId="0" applyNumberFormat="1" applyFont="1" applyFill="1" applyBorder="1" applyAlignment="1">
      <alignment horizontal="right" vertical="center" wrapText="1"/>
    </xf>
    <xf numFmtId="0" fontId="3" fillId="0" borderId="2" xfId="0" applyFont="1" applyBorder="1" applyAlignment="1">
      <alignment horizontal="center" vertical="center" wrapText="1"/>
    </xf>
    <xf numFmtId="3" fontId="3" fillId="0" borderId="2" xfId="0" applyNumberFormat="1" applyFont="1" applyBorder="1" applyAlignment="1">
      <alignment horizontal="center" vertical="center" wrapText="1"/>
    </xf>
    <xf numFmtId="0" fontId="3" fillId="11" borderId="2" xfId="0" applyFont="1" applyFill="1" applyBorder="1" applyAlignment="1">
      <alignment horizontal="center" vertical="center" wrapText="1"/>
    </xf>
    <xf numFmtId="0" fontId="3" fillId="0" borderId="15"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35" xfId="0" applyFont="1" applyBorder="1" applyAlignment="1">
      <alignment horizontal="center" vertical="center" wrapText="1"/>
    </xf>
    <xf numFmtId="0" fontId="3" fillId="0" borderId="22" xfId="0" applyFont="1" applyBorder="1" applyAlignment="1">
      <alignment horizontal="center" vertical="center" wrapText="1"/>
    </xf>
    <xf numFmtId="0" fontId="3" fillId="4" borderId="2" xfId="0" applyFont="1" applyFill="1" applyBorder="1" applyAlignment="1">
      <alignment horizontal="center" vertical="center" wrapText="1"/>
    </xf>
    <xf numFmtId="3" fontId="26" fillId="0" borderId="8" xfId="0" applyNumberFormat="1" applyFont="1" applyFill="1" applyBorder="1" applyAlignment="1">
      <alignment horizontal="center" vertical="center" wrapText="1"/>
    </xf>
    <xf numFmtId="0" fontId="3" fillId="11" borderId="2" xfId="0" applyFont="1" applyFill="1" applyBorder="1" applyAlignment="1">
      <alignment vertical="center" wrapText="1"/>
    </xf>
    <xf numFmtId="0" fontId="0" fillId="11" borderId="2" xfId="0" applyFill="1" applyBorder="1" applyAlignment="1">
      <alignment horizontal="center" vertical="center" wrapText="1"/>
    </xf>
    <xf numFmtId="0" fontId="43" fillId="3" borderId="0" xfId="0" applyFont="1" applyFill="1" applyBorder="1" applyAlignment="1">
      <alignment wrapText="1"/>
    </xf>
    <xf numFmtId="0" fontId="22" fillId="0" borderId="8" xfId="0" applyFont="1" applyFill="1" applyBorder="1" applyAlignment="1">
      <alignment vertical="center" wrapText="1"/>
    </xf>
    <xf numFmtId="0" fontId="4" fillId="3" borderId="44" xfId="0" applyFont="1" applyFill="1" applyBorder="1" applyAlignment="1">
      <alignment horizontal="left"/>
    </xf>
    <xf numFmtId="3" fontId="22" fillId="3" borderId="44" xfId="0" applyNumberFormat="1" applyFont="1" applyFill="1" applyBorder="1" applyAlignment="1">
      <alignment horizontal="right" vertical="center" wrapText="1"/>
    </xf>
    <xf numFmtId="0" fontId="3" fillId="4" borderId="2" xfId="0" applyFont="1" applyFill="1" applyBorder="1" applyAlignment="1">
      <alignment horizontal="center" vertical="center" wrapText="1"/>
    </xf>
    <xf numFmtId="0" fontId="3" fillId="11" borderId="2" xfId="0" applyFont="1" applyFill="1" applyBorder="1" applyAlignment="1">
      <alignment horizontal="center" vertical="center" wrapText="1"/>
    </xf>
    <xf numFmtId="0" fontId="0" fillId="11" borderId="2" xfId="0" applyFill="1" applyBorder="1" applyAlignment="1">
      <alignment horizontal="center" vertical="center" wrapText="1"/>
    </xf>
    <xf numFmtId="0" fontId="22" fillId="0" borderId="24" xfId="0" applyFont="1" applyFill="1" applyBorder="1" applyAlignment="1">
      <alignment vertical="center" wrapText="1"/>
    </xf>
    <xf numFmtId="3" fontId="22" fillId="0" borderId="10" xfId="0" applyNumberFormat="1" applyFont="1" applyFill="1" applyBorder="1" applyAlignment="1">
      <alignment vertical="center" textRotation="255" wrapText="1"/>
    </xf>
    <xf numFmtId="0" fontId="3" fillId="11" borderId="2" xfId="0" applyFont="1" applyFill="1" applyBorder="1" applyAlignment="1">
      <alignment horizontal="center" vertical="center" wrapText="1"/>
    </xf>
    <xf numFmtId="3" fontId="26" fillId="0" borderId="2" xfId="0" applyNumberFormat="1" applyFont="1" applyFill="1" applyBorder="1" applyAlignment="1">
      <alignment horizontal="center" vertical="center" wrapText="1"/>
    </xf>
    <xf numFmtId="0" fontId="3" fillId="4" borderId="2" xfId="0" applyFont="1" applyFill="1" applyBorder="1" applyAlignment="1">
      <alignment horizontal="center" vertical="center" wrapText="1"/>
    </xf>
    <xf numFmtId="0" fontId="0" fillId="11" borderId="2" xfId="0" applyFill="1" applyBorder="1" applyAlignment="1">
      <alignment horizontal="center" vertical="center" wrapText="1"/>
    </xf>
    <xf numFmtId="0" fontId="3" fillId="4" borderId="2" xfId="0" applyFont="1" applyFill="1" applyBorder="1" applyAlignment="1">
      <alignment horizontal="center" vertical="center" wrapText="1"/>
    </xf>
    <xf numFmtId="0" fontId="3" fillId="11" borderId="2" xfId="0" applyFont="1" applyFill="1" applyBorder="1" applyAlignment="1">
      <alignment horizontal="center" vertical="center" wrapText="1"/>
    </xf>
    <xf numFmtId="0" fontId="0" fillId="11" borderId="2" xfId="0" applyFill="1" applyBorder="1" applyAlignment="1">
      <alignment horizontal="center" vertical="center" wrapText="1"/>
    </xf>
    <xf numFmtId="3" fontId="51" fillId="0" borderId="2" xfId="0" applyNumberFormat="1" applyFont="1" applyFill="1" applyBorder="1" applyAlignment="1">
      <alignment vertical="center" textRotation="255" wrapText="1"/>
    </xf>
    <xf numFmtId="0" fontId="22" fillId="0" borderId="23" xfId="0" applyFont="1" applyFill="1" applyBorder="1" applyAlignment="1">
      <alignment vertical="center" wrapText="1"/>
    </xf>
    <xf numFmtId="9" fontId="51" fillId="0" borderId="2" xfId="0" applyNumberFormat="1" applyFont="1" applyFill="1" applyBorder="1" applyAlignment="1">
      <alignment horizontal="center" vertical="center" wrapText="1"/>
    </xf>
    <xf numFmtId="0" fontId="3" fillId="0" borderId="16" xfId="0" applyFont="1" applyBorder="1" applyAlignment="1">
      <alignment vertical="center" wrapText="1"/>
    </xf>
    <xf numFmtId="3" fontId="47" fillId="0" borderId="8" xfId="0" applyNumberFormat="1" applyFont="1" applyFill="1" applyBorder="1" applyAlignment="1">
      <alignment horizontal="center" vertical="center" wrapText="1"/>
    </xf>
    <xf numFmtId="0" fontId="31" fillId="28" borderId="10" xfId="2" applyFont="1" applyFill="1" applyBorder="1" applyAlignment="1">
      <alignment horizontal="center" vertical="center" wrapText="1"/>
    </xf>
    <xf numFmtId="0" fontId="31" fillId="28" borderId="9" xfId="2" applyFont="1" applyFill="1" applyBorder="1" applyAlignment="1">
      <alignment horizontal="center" vertical="center" wrapText="1"/>
    </xf>
    <xf numFmtId="0" fontId="31" fillId="28" borderId="8" xfId="2" applyFont="1" applyFill="1" applyBorder="1" applyAlignment="1">
      <alignment horizontal="center" vertical="center" wrapText="1"/>
    </xf>
    <xf numFmtId="0" fontId="31" fillId="28" borderId="2" xfId="2" applyFont="1" applyFill="1" applyBorder="1" applyAlignment="1">
      <alignment horizontal="center" vertical="center" wrapText="1"/>
    </xf>
    <xf numFmtId="0" fontId="31" fillId="28" borderId="9" xfId="2" applyFont="1" applyFill="1" applyBorder="1" applyAlignment="1">
      <alignment horizontal="center" vertical="center" textRotation="90" wrapText="1"/>
    </xf>
    <xf numFmtId="0" fontId="31" fillId="28" borderId="9" xfId="2" applyFont="1" applyFill="1" applyBorder="1" applyAlignment="1">
      <alignment horizontal="center" vertical="center" textRotation="255" wrapText="1"/>
    </xf>
    <xf numFmtId="0" fontId="16" fillId="2" borderId="5" xfId="2" applyFont="1" applyFill="1" applyBorder="1" applyAlignment="1">
      <alignment horizontal="center" vertical="center"/>
    </xf>
    <xf numFmtId="0" fontId="31" fillId="27" borderId="2" xfId="2" applyFont="1" applyFill="1" applyBorder="1" applyAlignment="1">
      <alignment horizontal="center" vertical="center" wrapText="1"/>
    </xf>
    <xf numFmtId="0" fontId="16" fillId="28" borderId="10" xfId="2" applyFont="1" applyFill="1" applyBorder="1" applyAlignment="1">
      <alignment horizontal="center" vertical="center" wrapText="1"/>
    </xf>
    <xf numFmtId="3" fontId="6" fillId="0" borderId="5" xfId="2" applyNumberFormat="1" applyFont="1" applyBorder="1" applyAlignment="1">
      <alignment horizontal="center" vertical="center"/>
    </xf>
    <xf numFmtId="0" fontId="6" fillId="0" borderId="5" xfId="2" applyFont="1" applyBorder="1" applyAlignment="1">
      <alignment horizontal="center" vertical="center"/>
    </xf>
    <xf numFmtId="0" fontId="6" fillId="0" borderId="5" xfId="2" applyFont="1" applyFill="1" applyBorder="1" applyAlignment="1">
      <alignment horizontal="center" vertical="center"/>
    </xf>
    <xf numFmtId="0" fontId="6" fillId="0" borderId="5" xfId="2" applyFont="1" applyBorder="1" applyAlignment="1">
      <alignment horizontal="center" vertical="center" wrapText="1"/>
    </xf>
    <xf numFmtId="0" fontId="6" fillId="0" borderId="5" xfId="2" applyBorder="1" applyAlignment="1">
      <alignment horizontal="center" vertical="center"/>
    </xf>
    <xf numFmtId="3" fontId="6" fillId="0" borderId="7" xfId="2" applyNumberFormat="1" applyBorder="1" applyAlignment="1">
      <alignment vertical="center"/>
    </xf>
    <xf numFmtId="3" fontId="16" fillId="0" borderId="7" xfId="2" applyNumberFormat="1" applyFont="1" applyBorder="1" applyAlignment="1">
      <alignment horizontal="right" vertical="center"/>
    </xf>
    <xf numFmtId="3" fontId="16" fillId="2" borderId="7" xfId="2" applyNumberFormat="1" applyFont="1" applyFill="1" applyBorder="1" applyAlignment="1">
      <alignment horizontal="right" vertical="center"/>
    </xf>
    <xf numFmtId="3" fontId="16" fillId="2" borderId="7" xfId="2" applyNumberFormat="1" applyFont="1" applyFill="1" applyBorder="1" applyAlignment="1">
      <alignment vertical="center"/>
    </xf>
    <xf numFmtId="3" fontId="16" fillId="2" borderId="7" xfId="2" applyNumberFormat="1" applyFont="1" applyFill="1" applyBorder="1" applyAlignment="1"/>
    <xf numFmtId="0" fontId="6" fillId="3" borderId="2" xfId="2" applyFill="1" applyBorder="1"/>
    <xf numFmtId="3" fontId="16" fillId="2" borderId="5" xfId="2" applyNumberFormat="1" applyFont="1" applyFill="1" applyBorder="1" applyAlignment="1">
      <alignment horizontal="right" vertical="center"/>
    </xf>
    <xf numFmtId="0" fontId="6" fillId="0" borderId="2" xfId="2" applyBorder="1" applyAlignment="1">
      <alignment vertical="center"/>
    </xf>
    <xf numFmtId="0" fontId="31" fillId="28" borderId="2" xfId="2" applyFont="1" applyFill="1" applyBorder="1" applyAlignment="1">
      <alignment horizontal="center" vertical="center" wrapText="1"/>
    </xf>
    <xf numFmtId="0" fontId="31" fillId="28" borderId="2" xfId="2" applyFont="1" applyFill="1" applyBorder="1" applyAlignment="1">
      <alignment horizontal="center" vertical="center" wrapText="1"/>
    </xf>
    <xf numFmtId="0" fontId="31" fillId="28" borderId="2" xfId="2" applyFont="1" applyFill="1" applyBorder="1" applyAlignment="1">
      <alignment horizontal="center" vertical="center" wrapText="1"/>
    </xf>
    <xf numFmtId="0" fontId="31" fillId="28" borderId="10" xfId="2" applyFont="1" applyFill="1" applyBorder="1" applyAlignment="1">
      <alignment horizontal="center" vertical="center" wrapText="1"/>
    </xf>
    <xf numFmtId="0" fontId="31" fillId="28" borderId="2" xfId="2" applyFont="1" applyFill="1" applyBorder="1" applyAlignment="1">
      <alignment horizontal="center" vertical="center" wrapText="1"/>
    </xf>
    <xf numFmtId="3" fontId="22" fillId="3" borderId="7" xfId="0" applyNumberFormat="1" applyFont="1" applyFill="1" applyBorder="1" applyAlignment="1">
      <alignment horizontal="right" vertical="center" wrapText="1"/>
    </xf>
    <xf numFmtId="3" fontId="22" fillId="3" borderId="2" xfId="0" applyNumberFormat="1" applyFont="1" applyFill="1" applyBorder="1" applyAlignment="1">
      <alignment horizontal="right" vertical="center" wrapText="1"/>
    </xf>
    <xf numFmtId="3" fontId="22" fillId="0" borderId="46" xfId="0" applyNumberFormat="1" applyFont="1" applyBorder="1"/>
    <xf numFmtId="10" fontId="0" fillId="3" borderId="2" xfId="0" applyNumberFormat="1" applyFill="1" applyBorder="1" applyAlignment="1">
      <alignment horizontal="center" vertical="center"/>
    </xf>
    <xf numFmtId="3" fontId="22" fillId="0" borderId="51" xfId="0" applyNumberFormat="1" applyFont="1" applyBorder="1"/>
    <xf numFmtId="0" fontId="0" fillId="3" borderId="0" xfId="0" applyFill="1"/>
    <xf numFmtId="0" fontId="21" fillId="0" borderId="0" xfId="0" applyFont="1"/>
    <xf numFmtId="10" fontId="21" fillId="0" borderId="2" xfId="0" applyNumberFormat="1" applyFont="1" applyBorder="1" applyAlignment="1">
      <alignment horizontal="center" vertical="center"/>
    </xf>
    <xf numFmtId="3" fontId="22" fillId="0" borderId="2" xfId="0" applyNumberFormat="1" applyFont="1" applyBorder="1" applyAlignment="1">
      <alignment vertical="center" wrapText="1"/>
    </xf>
    <xf numFmtId="3" fontId="22" fillId="0" borderId="5" xfId="0" applyNumberFormat="1" applyFont="1" applyBorder="1" applyAlignment="1">
      <alignment vertical="center" wrapText="1"/>
    </xf>
    <xf numFmtId="168" fontId="22" fillId="0" borderId="2" xfId="0" applyNumberFormat="1" applyFont="1" applyBorder="1" applyAlignment="1">
      <alignment vertical="center" wrapText="1"/>
    </xf>
    <xf numFmtId="3" fontId="22" fillId="0" borderId="2" xfId="0" applyNumberFormat="1" applyFont="1" applyBorder="1"/>
    <xf numFmtId="3" fontId="22" fillId="0" borderId="5" xfId="0" applyNumberFormat="1" applyFont="1" applyBorder="1"/>
    <xf numFmtId="168" fontId="22" fillId="0" borderId="5" xfId="0" applyNumberFormat="1" applyFont="1" applyBorder="1" applyAlignment="1">
      <alignment vertical="center" wrapText="1"/>
    </xf>
    <xf numFmtId="3" fontId="22" fillId="0" borderId="54" xfId="0" applyNumberFormat="1" applyFont="1" applyBorder="1"/>
    <xf numFmtId="10" fontId="0" fillId="3" borderId="46" xfId="0" applyNumberFormat="1" applyFill="1" applyBorder="1" applyAlignment="1">
      <alignment horizontal="center" vertical="center"/>
    </xf>
    <xf numFmtId="10" fontId="21" fillId="3" borderId="2" xfId="0" applyNumberFormat="1" applyFont="1" applyFill="1" applyBorder="1" applyAlignment="1">
      <alignment horizontal="center" vertical="center"/>
    </xf>
    <xf numFmtId="10" fontId="21" fillId="3" borderId="46" xfId="0" applyNumberFormat="1" applyFont="1" applyFill="1" applyBorder="1" applyAlignment="1">
      <alignment horizontal="center" vertical="center"/>
    </xf>
    <xf numFmtId="3" fontId="21" fillId="0" borderId="6" xfId="0" applyNumberFormat="1" applyFont="1" applyFill="1" applyBorder="1"/>
    <xf numFmtId="0" fontId="0" fillId="0" borderId="0" xfId="0" applyBorder="1"/>
    <xf numFmtId="0" fontId="3" fillId="3" borderId="13" xfId="0" applyFont="1" applyFill="1" applyBorder="1" applyAlignment="1">
      <alignment horizontal="center" vertical="center" wrapText="1"/>
    </xf>
    <xf numFmtId="3" fontId="22" fillId="0" borderId="0" xfId="0" applyNumberFormat="1" applyFont="1" applyBorder="1"/>
    <xf numFmtId="0" fontId="0" fillId="4" borderId="2" xfId="0" applyFill="1" applyBorder="1" applyAlignment="1">
      <alignment horizontal="center" vertical="center" wrapText="1"/>
    </xf>
    <xf numFmtId="3" fontId="22" fillId="0" borderId="51" xfId="0" applyNumberFormat="1" applyFont="1" applyFill="1" applyBorder="1" applyAlignment="1">
      <alignment horizontal="right" vertical="center" wrapText="1"/>
    </xf>
    <xf numFmtId="0" fontId="0" fillId="4" borderId="6" xfId="0" applyFill="1" applyBorder="1" applyAlignment="1">
      <alignment vertical="center" wrapText="1"/>
    </xf>
    <xf numFmtId="0" fontId="54" fillId="3" borderId="52" xfId="0" applyFont="1" applyFill="1" applyBorder="1" applyAlignment="1">
      <alignment vertical="center" wrapText="1"/>
    </xf>
    <xf numFmtId="0" fontId="54" fillId="3" borderId="2" xfId="0" applyFont="1" applyFill="1" applyBorder="1" applyAlignment="1">
      <alignment horizontal="center" vertical="center" wrapText="1"/>
    </xf>
    <xf numFmtId="0" fontId="54" fillId="3" borderId="47" xfId="0" applyFont="1" applyFill="1" applyBorder="1" applyAlignment="1">
      <alignment vertical="center" wrapText="1"/>
    </xf>
    <xf numFmtId="0" fontId="54" fillId="3" borderId="2" xfId="0" applyFont="1" applyFill="1" applyBorder="1" applyAlignment="1">
      <alignment vertical="center" wrapText="1"/>
    </xf>
    <xf numFmtId="0" fontId="54" fillId="3" borderId="2" xfId="0" applyFont="1" applyFill="1" applyBorder="1" applyAlignment="1">
      <alignment horizontal="center" vertical="center"/>
    </xf>
    <xf numFmtId="0" fontId="0" fillId="3" borderId="52" xfId="0" applyFill="1" applyBorder="1" applyAlignment="1">
      <alignment wrapText="1"/>
    </xf>
    <xf numFmtId="0" fontId="54" fillId="3" borderId="47" xfId="0" applyFont="1" applyFill="1" applyBorder="1" applyAlignment="1">
      <alignment wrapText="1"/>
    </xf>
    <xf numFmtId="0" fontId="0" fillId="3" borderId="62" xfId="0" applyFill="1" applyBorder="1" applyAlignment="1">
      <alignment wrapText="1"/>
    </xf>
    <xf numFmtId="0" fontId="0" fillId="3" borderId="2" xfId="0" applyFill="1" applyBorder="1" applyAlignment="1">
      <alignment wrapText="1"/>
    </xf>
    <xf numFmtId="0" fontId="0" fillId="14" borderId="2" xfId="0" applyFill="1" applyBorder="1" applyAlignment="1">
      <alignment vertical="center" wrapText="1"/>
    </xf>
    <xf numFmtId="0" fontId="54" fillId="4" borderId="2" xfId="0" applyFont="1" applyFill="1" applyBorder="1" applyAlignment="1">
      <alignment vertical="center" wrapText="1"/>
    </xf>
    <xf numFmtId="3" fontId="21" fillId="0" borderId="2" xfId="0" applyNumberFormat="1" applyFont="1" applyFill="1" applyBorder="1"/>
    <xf numFmtId="0" fontId="5" fillId="14" borderId="2"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0" fillId="14" borderId="2" xfId="0" applyFill="1" applyBorder="1" applyAlignment="1">
      <alignment horizontal="center" vertical="center" wrapText="1"/>
    </xf>
    <xf numFmtId="0" fontId="0" fillId="3" borderId="7" xfId="0" applyFill="1" applyBorder="1" applyAlignment="1">
      <alignment horizontal="center" vertical="center" wrapText="1"/>
    </xf>
    <xf numFmtId="0" fontId="0" fillId="0" borderId="7" xfId="0" applyBorder="1"/>
    <xf numFmtId="3" fontId="22" fillId="3" borderId="2" xfId="0" applyNumberFormat="1" applyFont="1" applyFill="1" applyBorder="1" applyAlignment="1">
      <alignment horizontal="center" vertical="center" wrapText="1"/>
    </xf>
    <xf numFmtId="0" fontId="0" fillId="3" borderId="0" xfId="0" applyFill="1" applyBorder="1" applyAlignment="1">
      <alignment horizontal="center" vertical="center" wrapText="1"/>
    </xf>
    <xf numFmtId="0" fontId="3" fillId="0" borderId="2" xfId="0" applyFont="1" applyBorder="1" applyAlignment="1">
      <alignment horizontal="right" wrapText="1"/>
    </xf>
    <xf numFmtId="0" fontId="3" fillId="0" borderId="2" xfId="0" applyFont="1" applyBorder="1" applyAlignment="1">
      <alignment horizontal="right"/>
    </xf>
    <xf numFmtId="0" fontId="26" fillId="0" borderId="2" xfId="0" applyFont="1" applyFill="1" applyBorder="1" applyAlignment="1">
      <alignment vertical="center" wrapText="1"/>
    </xf>
    <xf numFmtId="0" fontId="26" fillId="0" borderId="8" xfId="0" applyFont="1" applyFill="1" applyBorder="1" applyAlignment="1">
      <alignment vertical="center" wrapText="1"/>
    </xf>
    <xf numFmtId="3" fontId="22" fillId="3" borderId="8" xfId="0" applyNumberFormat="1" applyFont="1" applyFill="1" applyBorder="1" applyAlignment="1">
      <alignment horizontal="right" vertical="center" wrapText="1"/>
    </xf>
    <xf numFmtId="3" fontId="23" fillId="3" borderId="13" xfId="0" applyNumberFormat="1" applyFont="1" applyFill="1" applyBorder="1" applyAlignment="1">
      <alignment horizontal="right" vertical="center" wrapText="1"/>
    </xf>
    <xf numFmtId="3" fontId="23" fillId="3" borderId="8" xfId="0" applyNumberFormat="1" applyFont="1" applyFill="1" applyBorder="1" applyAlignment="1">
      <alignment horizontal="right" vertical="center" wrapText="1"/>
    </xf>
    <xf numFmtId="0" fontId="26" fillId="3" borderId="2" xfId="0" applyFont="1" applyFill="1" applyBorder="1" applyAlignment="1">
      <alignment horizontal="center" vertical="center" wrapText="1"/>
    </xf>
    <xf numFmtId="3" fontId="22" fillId="3" borderId="10" xfId="0" applyNumberFormat="1" applyFont="1" applyFill="1" applyBorder="1" applyAlignment="1">
      <alignment horizontal="right" vertical="center" wrapText="1"/>
    </xf>
    <xf numFmtId="0" fontId="26" fillId="0" borderId="2" xfId="0" applyFont="1" applyFill="1" applyBorder="1" applyAlignment="1">
      <alignment horizontal="center" vertical="center" wrapText="1"/>
    </xf>
    <xf numFmtId="0" fontId="21" fillId="3" borderId="0" xfId="0" applyFont="1" applyFill="1" applyBorder="1"/>
    <xf numFmtId="3" fontId="20" fillId="3" borderId="0" xfId="0" applyNumberFormat="1" applyFont="1" applyFill="1" applyBorder="1" applyAlignment="1">
      <alignment horizontal="right"/>
    </xf>
    <xf numFmtId="0" fontId="0" fillId="0" borderId="0" xfId="0" applyBorder="1" applyAlignment="1">
      <alignment horizontal="center" vertical="center"/>
    </xf>
    <xf numFmtId="0" fontId="5" fillId="11" borderId="2" xfId="0" applyFont="1" applyFill="1" applyBorder="1" applyAlignment="1">
      <alignment horizontal="center" vertical="center"/>
    </xf>
    <xf numFmtId="0" fontId="0" fillId="32" borderId="0" xfId="0" applyFill="1"/>
    <xf numFmtId="0" fontId="3" fillId="32" borderId="45" xfId="0" applyFont="1" applyFill="1" applyBorder="1" applyAlignment="1">
      <alignment horizontal="center" vertical="center" wrapText="1"/>
    </xf>
    <xf numFmtId="0" fontId="3" fillId="32" borderId="51" xfId="0" applyFont="1" applyFill="1" applyBorder="1" applyAlignment="1">
      <alignment horizontal="center" vertical="center" wrapText="1"/>
    </xf>
    <xf numFmtId="10" fontId="0" fillId="0" borderId="8" xfId="0" applyNumberFormat="1" applyBorder="1" applyAlignment="1">
      <alignment horizontal="center" vertical="center"/>
    </xf>
    <xf numFmtId="0" fontId="0" fillId="0" borderId="8" xfId="0" applyBorder="1" applyAlignment="1">
      <alignment horizontal="center" vertical="center"/>
    </xf>
    <xf numFmtId="0" fontId="26" fillId="0" borderId="47" xfId="0" applyFont="1" applyFill="1" applyBorder="1" applyAlignment="1">
      <alignment vertical="center" wrapText="1"/>
    </xf>
    <xf numFmtId="3" fontId="6" fillId="3" borderId="2" xfId="0" applyNumberFormat="1" applyFont="1" applyFill="1" applyBorder="1" applyAlignment="1">
      <alignment horizontal="right" vertical="center" wrapText="1"/>
    </xf>
    <xf numFmtId="3" fontId="16" fillId="32" borderId="46" xfId="0" applyNumberFormat="1" applyFont="1" applyFill="1" applyBorder="1" applyAlignment="1">
      <alignment horizontal="right" vertical="center" wrapText="1"/>
    </xf>
    <xf numFmtId="10" fontId="55" fillId="32" borderId="2" xfId="0" applyNumberFormat="1" applyFont="1" applyFill="1" applyBorder="1" applyAlignment="1">
      <alignment horizontal="center" vertical="center"/>
    </xf>
    <xf numFmtId="10" fontId="55" fillId="0" borderId="2" xfId="0" applyNumberFormat="1" applyFont="1" applyBorder="1" applyAlignment="1">
      <alignment horizontal="center" vertical="center"/>
    </xf>
    <xf numFmtId="10" fontId="55" fillId="32" borderId="46" xfId="0" applyNumberFormat="1" applyFont="1" applyFill="1" applyBorder="1" applyAlignment="1">
      <alignment horizontal="center" vertical="center"/>
    </xf>
    <xf numFmtId="3" fontId="6" fillId="3" borderId="7" xfId="0" applyNumberFormat="1" applyFont="1" applyFill="1" applyBorder="1" applyAlignment="1">
      <alignment horizontal="right" vertical="center" wrapText="1"/>
    </xf>
    <xf numFmtId="0" fontId="0" fillId="3" borderId="0" xfId="0" applyFill="1" applyBorder="1" applyAlignment="1">
      <alignment wrapText="1"/>
    </xf>
    <xf numFmtId="0" fontId="0" fillId="14" borderId="5" xfId="0" applyFill="1" applyBorder="1" applyAlignment="1">
      <alignment vertical="center" wrapText="1"/>
    </xf>
    <xf numFmtId="0" fontId="54" fillId="4" borderId="5" xfId="0" applyFont="1" applyFill="1" applyBorder="1" applyAlignment="1">
      <alignment vertical="center" wrapText="1"/>
    </xf>
    <xf numFmtId="3" fontId="6" fillId="3" borderId="8" xfId="0" applyNumberFormat="1" applyFont="1" applyFill="1" applyBorder="1" applyAlignment="1">
      <alignment horizontal="right" vertical="center" wrapText="1"/>
    </xf>
    <xf numFmtId="0" fontId="0" fillId="0" borderId="2" xfId="0" applyFont="1" applyBorder="1" applyAlignment="1">
      <alignment horizontal="center" vertical="center" wrapText="1"/>
    </xf>
    <xf numFmtId="0" fontId="21" fillId="0" borderId="2" xfId="0" applyFont="1" applyFill="1" applyBorder="1" applyAlignment="1">
      <alignment vertical="center" wrapText="1"/>
    </xf>
    <xf numFmtId="0" fontId="21" fillId="0" borderId="2" xfId="0" applyFont="1" applyFill="1" applyBorder="1" applyAlignment="1">
      <alignment horizontal="center" vertical="center" wrapText="1"/>
    </xf>
    <xf numFmtId="0" fontId="0" fillId="0" borderId="2" xfId="0" applyFont="1" applyBorder="1" applyAlignment="1">
      <alignment wrapText="1"/>
    </xf>
    <xf numFmtId="0" fontId="0" fillId="0" borderId="5" xfId="0" applyFont="1" applyBorder="1" applyAlignment="1">
      <alignment wrapText="1"/>
    </xf>
    <xf numFmtId="0" fontId="21" fillId="3" borderId="2" xfId="0" applyFont="1" applyFill="1" applyBorder="1" applyAlignment="1">
      <alignment horizontal="center" vertical="center" wrapText="1"/>
    </xf>
    <xf numFmtId="0" fontId="0" fillId="0" borderId="9" xfId="0" applyFont="1" applyBorder="1" applyAlignment="1">
      <alignment wrapText="1"/>
    </xf>
    <xf numFmtId="0" fontId="0" fillId="0" borderId="8" xfId="0" applyFont="1" applyBorder="1" applyAlignment="1">
      <alignment wrapText="1"/>
    </xf>
    <xf numFmtId="0" fontId="21" fillId="32" borderId="46" xfId="0" applyFont="1" applyFill="1" applyBorder="1" applyAlignment="1">
      <alignment vertical="center" wrapText="1"/>
    </xf>
    <xf numFmtId="0" fontId="21" fillId="0" borderId="8" xfId="0" applyFont="1" applyFill="1" applyBorder="1" applyAlignment="1">
      <alignment vertical="center" wrapText="1"/>
    </xf>
    <xf numFmtId="0" fontId="21" fillId="0" borderId="10" xfId="0" applyFont="1" applyFill="1" applyBorder="1" applyAlignment="1">
      <alignment vertical="center" wrapText="1"/>
    </xf>
    <xf numFmtId="0" fontId="0" fillId="0" borderId="2" xfId="0" applyFont="1" applyBorder="1"/>
    <xf numFmtId="0" fontId="0" fillId="0" borderId="52" xfId="0" applyFont="1" applyBorder="1"/>
    <xf numFmtId="0" fontId="0" fillId="3" borderId="0" xfId="0" applyFont="1" applyFill="1" applyBorder="1" applyAlignment="1">
      <alignment horizontal="center" vertical="center" wrapText="1"/>
    </xf>
    <xf numFmtId="0" fontId="21" fillId="3" borderId="0" xfId="0" applyFont="1" applyFill="1" applyBorder="1" applyAlignment="1">
      <alignment vertical="center" wrapText="1"/>
    </xf>
    <xf numFmtId="0" fontId="21" fillId="3" borderId="0" xfId="0" applyFont="1" applyFill="1" applyBorder="1" applyAlignment="1">
      <alignment horizontal="center" textRotation="255" wrapText="1"/>
    </xf>
    <xf numFmtId="10" fontId="55" fillId="0" borderId="46" xfId="0" applyNumberFormat="1" applyFont="1" applyBorder="1" applyAlignment="1">
      <alignment horizontal="center" vertical="center"/>
    </xf>
    <xf numFmtId="3" fontId="21" fillId="32" borderId="46" xfId="0" applyNumberFormat="1" applyFont="1" applyFill="1" applyBorder="1" applyAlignment="1">
      <alignment vertical="center" wrapText="1"/>
    </xf>
    <xf numFmtId="0" fontId="0" fillId="4" borderId="0" xfId="0" applyFill="1"/>
    <xf numFmtId="3" fontId="16" fillId="32" borderId="54" xfId="0" applyNumberFormat="1" applyFont="1" applyFill="1" applyBorder="1" applyAlignment="1">
      <alignment horizontal="right" vertical="center" wrapText="1"/>
    </xf>
    <xf numFmtId="3" fontId="16" fillId="32" borderId="2" xfId="0" applyNumberFormat="1" applyFont="1" applyFill="1" applyBorder="1" applyAlignment="1">
      <alignment horizontal="right" vertical="center" wrapText="1"/>
    </xf>
    <xf numFmtId="0" fontId="0" fillId="0" borderId="2" xfId="0" applyFill="1" applyBorder="1"/>
    <xf numFmtId="168" fontId="22" fillId="0" borderId="7" xfId="0" applyNumberFormat="1" applyFont="1" applyBorder="1" applyAlignment="1">
      <alignment vertical="center" wrapText="1"/>
    </xf>
    <xf numFmtId="3" fontId="22" fillId="0" borderId="6" xfId="0" applyNumberFormat="1" applyFont="1" applyBorder="1"/>
    <xf numFmtId="3" fontId="22" fillId="0" borderId="45" xfId="0" applyNumberFormat="1" applyFont="1" applyBorder="1"/>
    <xf numFmtId="3" fontId="21" fillId="32" borderId="10" xfId="0" applyNumberFormat="1" applyFont="1" applyFill="1" applyBorder="1" applyAlignment="1">
      <alignment vertical="center" wrapText="1"/>
    </xf>
    <xf numFmtId="3" fontId="16" fillId="32" borderId="47" xfId="0" applyNumberFormat="1" applyFont="1" applyFill="1" applyBorder="1" applyAlignment="1">
      <alignment horizontal="right" vertical="center" wrapText="1"/>
    </xf>
    <xf numFmtId="3" fontId="22" fillId="0" borderId="104" xfId="0" applyNumberFormat="1" applyFont="1" applyFill="1" applyBorder="1" applyAlignment="1">
      <alignment horizontal="right" vertical="center" wrapText="1"/>
    </xf>
    <xf numFmtId="0" fontId="21" fillId="0" borderId="5" xfId="0" applyFont="1" applyFill="1" applyBorder="1"/>
    <xf numFmtId="3" fontId="22" fillId="0" borderId="46" xfId="0" applyNumberFormat="1" applyFont="1" applyFill="1" applyBorder="1" applyAlignment="1">
      <alignment horizontal="right" vertical="center" wrapText="1"/>
    </xf>
    <xf numFmtId="3" fontId="3" fillId="0" borderId="2" xfId="0" applyNumberFormat="1" applyFont="1" applyBorder="1" applyAlignment="1">
      <alignment horizontal="right" wrapText="1"/>
    </xf>
    <xf numFmtId="0" fontId="6" fillId="0" borderId="0" xfId="8" applyAlignment="1">
      <alignment horizontal="right"/>
    </xf>
    <xf numFmtId="0" fontId="26" fillId="3" borderId="44" xfId="0" applyFont="1" applyFill="1" applyBorder="1" applyAlignment="1">
      <alignment horizontal="center" vertical="center" wrapText="1"/>
    </xf>
    <xf numFmtId="3" fontId="26" fillId="32" borderId="2" xfId="0" applyNumberFormat="1" applyFont="1" applyFill="1" applyBorder="1" applyAlignment="1">
      <alignment horizontal="center" vertical="center" wrapText="1"/>
    </xf>
    <xf numFmtId="3" fontId="21" fillId="3" borderId="2" xfId="12" applyNumberFormat="1" applyFont="1" applyFill="1" applyBorder="1" applyAlignment="1">
      <alignment horizontal="right" vertical="center" wrapText="1"/>
    </xf>
    <xf numFmtId="0" fontId="21" fillId="3" borderId="2" xfId="0" applyFont="1" applyFill="1" applyBorder="1" applyAlignment="1">
      <alignment vertical="center" wrapText="1"/>
    </xf>
    <xf numFmtId="3" fontId="26" fillId="3" borderId="2" xfId="0" applyNumberFormat="1" applyFont="1" applyFill="1" applyBorder="1" applyAlignment="1">
      <alignment horizontal="center" vertical="center" wrapText="1"/>
    </xf>
    <xf numFmtId="3" fontId="26" fillId="32" borderId="10" xfId="0" applyNumberFormat="1" applyFont="1" applyFill="1" applyBorder="1" applyAlignment="1">
      <alignment horizontal="center" vertical="center" wrapText="1"/>
    </xf>
    <xf numFmtId="0" fontId="0" fillId="32" borderId="12" xfId="0" applyFill="1" applyBorder="1" applyAlignment="1"/>
    <xf numFmtId="0" fontId="0" fillId="32" borderId="2" xfId="0" applyFill="1" applyBorder="1"/>
    <xf numFmtId="0" fontId="0" fillId="32" borderId="2" xfId="0" applyFill="1" applyBorder="1" applyAlignment="1">
      <alignment textRotation="255"/>
    </xf>
    <xf numFmtId="0" fontId="0" fillId="32" borderId="46" xfId="0" applyFill="1" applyBorder="1"/>
    <xf numFmtId="3" fontId="26" fillId="0" borderId="8" xfId="0" applyNumberFormat="1" applyFont="1" applyFill="1" applyBorder="1" applyAlignment="1">
      <alignment horizontal="right" vertical="center" wrapText="1"/>
    </xf>
    <xf numFmtId="3" fontId="26" fillId="0" borderId="2" xfId="0" applyNumberFormat="1" applyFont="1" applyFill="1" applyBorder="1" applyAlignment="1">
      <alignment horizontal="right" vertical="center" wrapText="1"/>
    </xf>
    <xf numFmtId="0" fontId="3" fillId="29" borderId="6" xfId="0" applyFont="1" applyFill="1" applyBorder="1" applyAlignment="1">
      <alignment horizontal="center" vertical="center" wrapText="1"/>
    </xf>
    <xf numFmtId="0" fontId="5" fillId="29" borderId="2" xfId="0" applyFont="1" applyFill="1" applyBorder="1" applyAlignment="1">
      <alignment horizontal="center" vertical="center" wrapText="1"/>
    </xf>
    <xf numFmtId="3" fontId="61" fillId="32" borderId="46" xfId="0" applyNumberFormat="1" applyFont="1" applyFill="1" applyBorder="1" applyAlignment="1">
      <alignment horizontal="center" vertical="center" wrapText="1"/>
    </xf>
    <xf numFmtId="0" fontId="0" fillId="0" borderId="2" xfId="0" applyFont="1" applyBorder="1" applyAlignment="1">
      <alignment vertical="center" wrapText="1"/>
    </xf>
    <xf numFmtId="0" fontId="0" fillId="0" borderId="10" xfId="0" applyFont="1" applyBorder="1" applyAlignment="1">
      <alignment vertical="center" wrapText="1"/>
    </xf>
    <xf numFmtId="3" fontId="6" fillId="0" borderId="2" xfId="0" applyNumberFormat="1" applyFont="1" applyFill="1" applyBorder="1" applyAlignment="1">
      <alignment horizontal="right" vertical="center" wrapText="1"/>
    </xf>
    <xf numFmtId="3" fontId="26" fillId="0" borderId="10" xfId="0" applyNumberFormat="1" applyFont="1" applyFill="1" applyBorder="1" applyAlignment="1">
      <alignment vertical="center" wrapText="1"/>
    </xf>
    <xf numFmtId="9" fontId="26" fillId="0" borderId="2" xfId="0" applyNumberFormat="1" applyFont="1" applyFill="1" applyBorder="1" applyAlignment="1">
      <alignment horizontal="center" vertical="center" wrapText="1"/>
    </xf>
    <xf numFmtId="0" fontId="1" fillId="3" borderId="2" xfId="0" applyFont="1" applyFill="1" applyBorder="1" applyAlignment="1">
      <alignment vertical="center"/>
    </xf>
    <xf numFmtId="3" fontId="26" fillId="13" borderId="2" xfId="0" applyNumberFormat="1" applyFont="1" applyFill="1" applyBorder="1" applyAlignment="1">
      <alignment horizontal="center" vertical="center" wrapText="1"/>
    </xf>
    <xf numFmtId="3" fontId="26" fillId="0" borderId="8" xfId="0" applyNumberFormat="1" applyFont="1" applyFill="1" applyBorder="1" applyAlignment="1">
      <alignment vertical="center" wrapText="1"/>
    </xf>
    <xf numFmtId="0" fontId="46" fillId="0" borderId="6" xfId="0" applyFont="1" applyBorder="1" applyAlignment="1">
      <alignment horizontal="center" vertical="center"/>
    </xf>
    <xf numFmtId="3" fontId="22" fillId="32" borderId="2" xfId="0" applyNumberFormat="1" applyFont="1" applyFill="1" applyBorder="1" applyAlignment="1">
      <alignment horizontal="center" vertical="center" wrapText="1"/>
    </xf>
    <xf numFmtId="3" fontId="22" fillId="13" borderId="2" xfId="0" applyNumberFormat="1" applyFont="1" applyFill="1" applyBorder="1" applyAlignment="1">
      <alignment horizontal="center" vertical="center" wrapText="1"/>
    </xf>
    <xf numFmtId="0" fontId="22" fillId="3" borderId="0" xfId="0" applyFont="1" applyFill="1" applyBorder="1" applyAlignment="1">
      <alignment horizontal="center" textRotation="255" wrapText="1"/>
    </xf>
    <xf numFmtId="3" fontId="22" fillId="13" borderId="8" xfId="0" applyNumberFormat="1" applyFont="1" applyFill="1" applyBorder="1" applyAlignment="1">
      <alignment horizontal="center" vertical="center" wrapText="1"/>
    </xf>
    <xf numFmtId="1" fontId="22" fillId="0" borderId="2" xfId="0" applyNumberFormat="1" applyFont="1" applyFill="1" applyBorder="1" applyAlignment="1">
      <alignment horizontal="center" vertical="center" wrapText="1"/>
    </xf>
    <xf numFmtId="3" fontId="22" fillId="32" borderId="10" xfId="0" applyNumberFormat="1" applyFont="1" applyFill="1" applyBorder="1" applyAlignment="1">
      <alignment horizontal="center" vertical="center" wrapText="1"/>
    </xf>
    <xf numFmtId="0" fontId="0" fillId="0" borderId="2" xfId="0" applyFont="1" applyFill="1" applyBorder="1" applyAlignment="1">
      <alignment wrapText="1"/>
    </xf>
    <xf numFmtId="0" fontId="3" fillId="0" borderId="2" xfId="0" applyFont="1" applyFill="1" applyBorder="1" applyAlignment="1">
      <alignment horizontal="center" vertical="center" wrapText="1"/>
    </xf>
    <xf numFmtId="10" fontId="55" fillId="0" borderId="2" xfId="0" applyNumberFormat="1" applyFont="1" applyFill="1" applyBorder="1" applyAlignment="1">
      <alignment horizontal="center" vertical="center"/>
    </xf>
    <xf numFmtId="0" fontId="3" fillId="13" borderId="2" xfId="0" applyFont="1" applyFill="1" applyBorder="1"/>
    <xf numFmtId="3" fontId="6" fillId="0" borderId="8" xfId="0" applyNumberFormat="1" applyFont="1" applyFill="1" applyBorder="1" applyAlignment="1">
      <alignment horizontal="right" vertical="center" wrapText="1"/>
    </xf>
    <xf numFmtId="0" fontId="21" fillId="0" borderId="9" xfId="0" applyFont="1" applyFill="1" applyBorder="1" applyAlignment="1">
      <alignment vertical="center" wrapText="1"/>
    </xf>
    <xf numFmtId="0" fontId="3" fillId="0" borderId="9" xfId="0" applyFont="1" applyFill="1" applyBorder="1" applyAlignment="1">
      <alignment vertical="center" wrapText="1"/>
    </xf>
    <xf numFmtId="3" fontId="26" fillId="0" borderId="9" xfId="0" applyNumberFormat="1" applyFont="1" applyFill="1" applyBorder="1" applyAlignment="1">
      <alignment vertical="center" wrapText="1"/>
    </xf>
    <xf numFmtId="0" fontId="3" fillId="0" borderId="8" xfId="0" applyFont="1" applyFill="1" applyBorder="1" applyAlignment="1">
      <alignment vertical="center" wrapText="1"/>
    </xf>
    <xf numFmtId="0" fontId="0" fillId="0" borderId="7" xfId="0" applyFill="1" applyBorder="1"/>
    <xf numFmtId="0" fontId="0" fillId="0" borderId="0" xfId="0" applyFill="1" applyBorder="1"/>
    <xf numFmtId="3" fontId="22" fillId="13" borderId="10" xfId="0" applyNumberFormat="1" applyFont="1" applyFill="1" applyBorder="1" applyAlignment="1">
      <alignment horizontal="center" vertical="center" wrapText="1"/>
    </xf>
    <xf numFmtId="0" fontId="3" fillId="3" borderId="6" xfId="0" applyFont="1" applyFill="1" applyBorder="1"/>
    <xf numFmtId="0" fontId="3" fillId="0" borderId="2" xfId="0" applyFont="1" applyBorder="1" applyAlignment="1">
      <alignment horizontal="center" vertical="center" wrapText="1"/>
    </xf>
    <xf numFmtId="0" fontId="3" fillId="0" borderId="2" xfId="0" applyFont="1" applyBorder="1" applyAlignment="1">
      <alignment horizontal="right" vertical="center" wrapText="1"/>
    </xf>
    <xf numFmtId="3" fontId="26" fillId="0" borderId="2" xfId="0" applyNumberFormat="1" applyFont="1" applyFill="1" applyBorder="1" applyAlignment="1">
      <alignment horizontal="center" vertical="center" wrapText="1"/>
    </xf>
    <xf numFmtId="3" fontId="22" fillId="0" borderId="10" xfId="0" applyNumberFormat="1" applyFont="1" applyFill="1" applyBorder="1" applyAlignment="1">
      <alignment horizontal="center" vertical="center" wrapText="1"/>
    </xf>
    <xf numFmtId="3" fontId="22" fillId="0" borderId="8" xfId="0" applyNumberFormat="1" applyFont="1" applyFill="1" applyBorder="1" applyAlignment="1">
      <alignment horizontal="center" vertical="center" wrapText="1"/>
    </xf>
    <xf numFmtId="3" fontId="22" fillId="0" borderId="2" xfId="0" applyNumberFormat="1" applyFont="1" applyFill="1" applyBorder="1" applyAlignment="1">
      <alignment horizontal="center" vertical="center" wrapText="1"/>
    </xf>
    <xf numFmtId="0" fontId="0" fillId="0" borderId="2" xfId="0" applyBorder="1"/>
    <xf numFmtId="3" fontId="26" fillId="0" borderId="10" xfId="0" applyNumberFormat="1" applyFont="1" applyFill="1" applyBorder="1" applyAlignment="1">
      <alignment horizontal="center" vertical="center" wrapText="1"/>
    </xf>
    <xf numFmtId="3" fontId="26" fillId="0" borderId="9" xfId="0" applyNumberFormat="1" applyFont="1" applyFill="1" applyBorder="1" applyAlignment="1">
      <alignment horizontal="center" vertical="center" wrapText="1"/>
    </xf>
    <xf numFmtId="3" fontId="26" fillId="0" borderId="8" xfId="0" applyNumberFormat="1" applyFont="1" applyFill="1" applyBorder="1" applyAlignment="1">
      <alignment horizontal="center" vertical="center" wrapText="1"/>
    </xf>
    <xf numFmtId="0" fontId="4" fillId="0" borderId="6" xfId="0" applyFont="1" applyBorder="1" applyAlignment="1">
      <alignment horizontal="center" vertical="center"/>
    </xf>
    <xf numFmtId="0" fontId="0" fillId="0" borderId="2" xfId="0" applyBorder="1" applyAlignment="1">
      <alignment horizontal="center"/>
    </xf>
    <xf numFmtId="0" fontId="56" fillId="32" borderId="51" xfId="0" applyFont="1" applyFill="1" applyBorder="1" applyAlignment="1">
      <alignment horizontal="center" vertical="center" wrapText="1"/>
    </xf>
    <xf numFmtId="0" fontId="59" fillId="32" borderId="51" xfId="0" applyFont="1" applyFill="1" applyBorder="1" applyAlignment="1">
      <alignment horizontal="center" vertical="center" wrapText="1"/>
    </xf>
    <xf numFmtId="0" fontId="21" fillId="0" borderId="10" xfId="0" applyFont="1" applyFill="1" applyBorder="1" applyAlignment="1">
      <alignment horizontal="left" vertical="center" wrapText="1"/>
    </xf>
    <xf numFmtId="0" fontId="5" fillId="11" borderId="2" xfId="0" applyFont="1" applyFill="1" applyBorder="1" applyAlignment="1">
      <alignment horizontal="center" vertical="center" wrapText="1"/>
    </xf>
    <xf numFmtId="3" fontId="22" fillId="0" borderId="9" xfId="0" applyNumberFormat="1" applyFont="1" applyFill="1" applyBorder="1" applyAlignment="1">
      <alignment horizontal="center" vertical="center" wrapText="1"/>
    </xf>
    <xf numFmtId="0" fontId="3" fillId="29" borderId="2" xfId="0" applyFont="1" applyFill="1" applyBorder="1" applyAlignment="1">
      <alignment horizontal="center" vertical="center" wrapText="1"/>
    </xf>
    <xf numFmtId="9" fontId="22" fillId="0" borderId="2" xfId="0" applyNumberFormat="1" applyFont="1" applyFill="1" applyBorder="1" applyAlignment="1">
      <alignment horizontal="center" vertical="center" wrapText="1"/>
    </xf>
    <xf numFmtId="0" fontId="21" fillId="0" borderId="10" xfId="0" applyFont="1" applyFill="1" applyBorder="1" applyAlignment="1">
      <alignment horizontal="center" vertical="center" wrapText="1"/>
    </xf>
    <xf numFmtId="0" fontId="21" fillId="0" borderId="8" xfId="0" applyFont="1" applyFill="1" applyBorder="1" applyAlignment="1">
      <alignment horizontal="center" vertical="center" wrapText="1"/>
    </xf>
    <xf numFmtId="3" fontId="22" fillId="0" borderId="2" xfId="0" applyNumberFormat="1" applyFont="1" applyFill="1" applyBorder="1" applyAlignment="1">
      <alignment horizontal="center" vertical="center" wrapText="1"/>
    </xf>
    <xf numFmtId="0" fontId="3" fillId="0" borderId="2" xfId="0" applyFont="1" applyBorder="1" applyAlignment="1">
      <alignment horizontal="center" vertical="center" wrapText="1"/>
    </xf>
    <xf numFmtId="3" fontId="22" fillId="0" borderId="10" xfId="0" applyNumberFormat="1" applyFont="1" applyFill="1" applyBorder="1" applyAlignment="1">
      <alignment horizontal="center" vertical="center" wrapText="1"/>
    </xf>
    <xf numFmtId="3" fontId="22" fillId="0" borderId="8" xfId="0" applyNumberFormat="1" applyFont="1" applyFill="1" applyBorder="1" applyAlignment="1">
      <alignment horizontal="center" vertical="center" wrapText="1"/>
    </xf>
    <xf numFmtId="3" fontId="26" fillId="0" borderId="2" xfId="0" applyNumberFormat="1" applyFont="1" applyFill="1" applyBorder="1" applyAlignment="1">
      <alignment horizontal="center" vertical="center" wrapText="1"/>
    </xf>
    <xf numFmtId="0" fontId="3" fillId="0" borderId="2" xfId="0" applyFont="1" applyBorder="1" applyAlignment="1">
      <alignment horizontal="right" vertical="center" wrapText="1"/>
    </xf>
    <xf numFmtId="0" fontId="0" fillId="0" borderId="2" xfId="0" applyBorder="1"/>
    <xf numFmtId="0" fontId="4" fillId="0" borderId="6" xfId="0" applyFont="1" applyBorder="1" applyAlignment="1">
      <alignment horizontal="center" vertical="center"/>
    </xf>
    <xf numFmtId="3" fontId="26" fillId="0" borderId="10" xfId="0" applyNumberFormat="1" applyFont="1" applyFill="1" applyBorder="1" applyAlignment="1">
      <alignment horizontal="center" vertical="center" wrapText="1"/>
    </xf>
    <xf numFmtId="3" fontId="26" fillId="0" borderId="9" xfId="0" applyNumberFormat="1" applyFont="1" applyFill="1" applyBorder="1" applyAlignment="1">
      <alignment horizontal="center" vertical="center" wrapText="1"/>
    </xf>
    <xf numFmtId="3" fontId="26" fillId="0" borderId="8" xfId="0" applyNumberFormat="1" applyFont="1" applyFill="1" applyBorder="1" applyAlignment="1">
      <alignment horizontal="center" vertical="center" wrapText="1"/>
    </xf>
    <xf numFmtId="0" fontId="0" fillId="0" borderId="2" xfId="0" applyBorder="1" applyAlignment="1">
      <alignment horizontal="center"/>
    </xf>
    <xf numFmtId="0" fontId="56" fillId="32" borderId="51" xfId="0" applyFont="1" applyFill="1" applyBorder="1" applyAlignment="1">
      <alignment horizontal="center" vertical="center" wrapText="1"/>
    </xf>
    <xf numFmtId="0" fontId="59" fillId="32" borderId="51" xfId="0" applyFont="1" applyFill="1" applyBorder="1" applyAlignment="1">
      <alignment horizontal="center" vertical="center" wrapText="1"/>
    </xf>
    <xf numFmtId="0" fontId="21" fillId="0" borderId="10" xfId="0" applyFont="1" applyFill="1" applyBorder="1" applyAlignment="1">
      <alignment horizontal="left" vertical="center" wrapText="1"/>
    </xf>
    <xf numFmtId="3" fontId="22" fillId="0" borderId="9" xfId="0" applyNumberFormat="1" applyFont="1" applyFill="1" applyBorder="1" applyAlignment="1">
      <alignment horizontal="center" vertical="center" wrapText="1"/>
    </xf>
    <xf numFmtId="0" fontId="21" fillId="0" borderId="10" xfId="0" applyFont="1" applyFill="1" applyBorder="1" applyAlignment="1">
      <alignment horizontal="center" vertical="center" wrapText="1"/>
    </xf>
    <xf numFmtId="0" fontId="21" fillId="0" borderId="8" xfId="0" applyFont="1" applyFill="1" applyBorder="1" applyAlignment="1">
      <alignment horizontal="center" vertical="center" wrapText="1"/>
    </xf>
    <xf numFmtId="9" fontId="22" fillId="0" borderId="2" xfId="0" applyNumberFormat="1" applyFont="1" applyFill="1" applyBorder="1" applyAlignment="1">
      <alignment horizontal="center" vertical="center" wrapText="1"/>
    </xf>
    <xf numFmtId="0" fontId="3" fillId="29" borderId="2" xfId="0" applyFont="1" applyFill="1" applyBorder="1" applyAlignment="1">
      <alignment horizontal="center" vertical="center" wrapText="1"/>
    </xf>
    <xf numFmtId="10" fontId="56" fillId="32" borderId="46" xfId="0" applyNumberFormat="1" applyFont="1" applyFill="1" applyBorder="1" applyAlignment="1">
      <alignment horizontal="center" vertical="center"/>
    </xf>
    <xf numFmtId="0" fontId="54" fillId="4" borderId="2" xfId="0" applyFont="1" applyFill="1" applyBorder="1" applyAlignment="1">
      <alignment horizontal="center" vertical="center" wrapText="1"/>
    </xf>
    <xf numFmtId="0" fontId="54" fillId="14" borderId="2" xfId="0" applyFont="1" applyFill="1" applyBorder="1" applyAlignment="1">
      <alignment horizontal="center" vertical="center"/>
    </xf>
    <xf numFmtId="0" fontId="4" fillId="0" borderId="52" xfId="0" applyFont="1" applyBorder="1" applyAlignment="1"/>
    <xf numFmtId="0" fontId="4" fillId="0" borderId="13" xfId="0" applyFont="1" applyBorder="1" applyAlignment="1"/>
    <xf numFmtId="0" fontId="4" fillId="0" borderId="14" xfId="0" applyFont="1" applyBorder="1" applyAlignment="1"/>
    <xf numFmtId="0" fontId="0" fillId="14" borderId="6" xfId="0" applyFill="1" applyBorder="1" applyAlignment="1">
      <alignment vertical="center" wrapText="1"/>
    </xf>
    <xf numFmtId="0" fontId="0" fillId="14" borderId="7" xfId="0" applyFill="1" applyBorder="1" applyAlignment="1">
      <alignment vertical="center" wrapText="1"/>
    </xf>
    <xf numFmtId="0" fontId="0" fillId="4" borderId="5" xfId="0" applyFill="1" applyBorder="1" applyAlignment="1">
      <alignment vertical="center" wrapText="1"/>
    </xf>
    <xf numFmtId="0" fontId="0" fillId="4" borderId="7" xfId="0" applyFill="1" applyBorder="1" applyAlignment="1">
      <alignment vertical="center" wrapText="1"/>
    </xf>
    <xf numFmtId="10" fontId="55" fillId="0" borderId="8" xfId="0" applyNumberFormat="1" applyFont="1" applyBorder="1" applyAlignment="1">
      <alignment horizontal="center" vertical="center"/>
    </xf>
    <xf numFmtId="0" fontId="0" fillId="3" borderId="2" xfId="0" applyFill="1" applyBorder="1"/>
    <xf numFmtId="10" fontId="0" fillId="3" borderId="2" xfId="0" applyNumberFormat="1" applyFill="1" applyBorder="1" applyAlignment="1">
      <alignment horizontal="center"/>
    </xf>
    <xf numFmtId="0" fontId="0" fillId="3" borderId="2" xfId="0" applyFill="1" applyBorder="1" applyAlignment="1">
      <alignment horizontal="center"/>
    </xf>
    <xf numFmtId="0" fontId="1" fillId="3" borderId="2" xfId="0" applyFont="1" applyFill="1" applyBorder="1" applyAlignment="1">
      <alignment horizontal="center" vertical="center"/>
    </xf>
    <xf numFmtId="10" fontId="1" fillId="3" borderId="2" xfId="0" applyNumberFormat="1" applyFont="1" applyFill="1" applyBorder="1" applyAlignment="1">
      <alignment horizontal="center" vertical="center"/>
    </xf>
    <xf numFmtId="10" fontId="1" fillId="3" borderId="2" xfId="0" applyNumberFormat="1" applyFont="1" applyFill="1" applyBorder="1" applyAlignment="1">
      <alignment vertical="center"/>
    </xf>
    <xf numFmtId="0" fontId="1" fillId="0" borderId="2" xfId="0" applyFont="1" applyBorder="1" applyAlignment="1">
      <alignment horizontal="center" vertical="center"/>
    </xf>
    <xf numFmtId="0" fontId="0" fillId="3" borderId="2" xfId="0" applyFill="1" applyBorder="1" applyAlignment="1">
      <alignment vertical="center"/>
    </xf>
    <xf numFmtId="10" fontId="0" fillId="3" borderId="2" xfId="0" applyNumberFormat="1" applyFill="1" applyBorder="1" applyAlignment="1">
      <alignment vertical="center"/>
    </xf>
    <xf numFmtId="0" fontId="13" fillId="0" borderId="0" xfId="3" applyFont="1" applyBorder="1" applyAlignment="1">
      <alignment horizontal="center"/>
    </xf>
    <xf numFmtId="0" fontId="14" fillId="0" borderId="10" xfId="3" applyFont="1" applyBorder="1" applyAlignment="1">
      <alignment horizontal="center" vertical="center" wrapText="1"/>
    </xf>
    <xf numFmtId="0" fontId="14" fillId="0" borderId="8" xfId="3" applyFont="1" applyBorder="1" applyAlignment="1">
      <alignment horizontal="center" vertical="center" wrapText="1"/>
    </xf>
    <xf numFmtId="0" fontId="8" fillId="6" borderId="26" xfId="3" applyFont="1" applyFill="1" applyBorder="1" applyAlignment="1">
      <alignment horizontal="center" vertical="center" wrapText="1"/>
    </xf>
    <xf numFmtId="0" fontId="8" fillId="6" borderId="30" xfId="3" applyFont="1" applyFill="1" applyBorder="1" applyAlignment="1">
      <alignment horizontal="center" vertical="center" wrapText="1"/>
    </xf>
    <xf numFmtId="0" fontId="14" fillId="6" borderId="28" xfId="3" applyFont="1" applyFill="1" applyBorder="1" applyAlignment="1">
      <alignment horizontal="center" vertical="center" wrapText="1"/>
    </xf>
    <xf numFmtId="0" fontId="14" fillId="6" borderId="32" xfId="3" applyFont="1" applyFill="1" applyBorder="1" applyAlignment="1">
      <alignment horizontal="center" vertical="center" wrapText="1"/>
    </xf>
    <xf numFmtId="0" fontId="5" fillId="0" borderId="3" xfId="0" applyFont="1" applyBorder="1" applyAlignment="1">
      <alignment wrapText="1"/>
    </xf>
    <xf numFmtId="0" fontId="5" fillId="0" borderId="4" xfId="0" applyFont="1" applyBorder="1" applyAlignment="1">
      <alignment wrapText="1"/>
    </xf>
    <xf numFmtId="0" fontId="5" fillId="0" borderId="15" xfId="0" applyFont="1" applyBorder="1" applyAlignment="1">
      <alignment horizontal="center" vertical="center" wrapText="1"/>
    </xf>
    <xf numFmtId="0" fontId="5" fillId="0" borderId="16" xfId="0" applyFont="1" applyBorder="1" applyAlignment="1">
      <alignment horizontal="center" vertical="center"/>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20" xfId="0" applyFont="1" applyBorder="1" applyAlignment="1">
      <alignment horizontal="center" vertical="center"/>
    </xf>
    <xf numFmtId="0" fontId="5" fillId="0" borderId="2" xfId="0" applyFont="1" applyBorder="1" applyAlignment="1">
      <alignment horizontal="center" vertical="center" wrapText="1"/>
    </xf>
    <xf numFmtId="0" fontId="5" fillId="0" borderId="18" xfId="0" applyFont="1" applyBorder="1" applyAlignment="1">
      <alignment horizontal="center" vertical="center" wrapText="1"/>
    </xf>
    <xf numFmtId="0" fontId="5" fillId="0" borderId="19" xfId="0" applyFont="1" applyBorder="1" applyAlignment="1">
      <alignment horizontal="center" vertical="center" wrapText="1"/>
    </xf>
    <xf numFmtId="0" fontId="5" fillId="0" borderId="15" xfId="0" applyFont="1" applyBorder="1" applyAlignment="1">
      <alignment vertical="center" wrapText="1"/>
    </xf>
    <xf numFmtId="0" fontId="5" fillId="0" borderId="24" xfId="0" applyFont="1" applyBorder="1" applyAlignment="1">
      <alignment vertical="center" wrapText="1"/>
    </xf>
    <xf numFmtId="0" fontId="5" fillId="0" borderId="16" xfId="0" applyFont="1" applyBorder="1" applyAlignment="1">
      <alignment vertical="center" wrapText="1"/>
    </xf>
    <xf numFmtId="0" fontId="5" fillId="0" borderId="15" xfId="0" applyFont="1" applyBorder="1" applyAlignment="1">
      <alignment horizontal="right" vertical="center" wrapText="1"/>
    </xf>
    <xf numFmtId="0" fontId="5" fillId="0" borderId="24" xfId="0" applyFont="1" applyBorder="1" applyAlignment="1">
      <alignment horizontal="right" vertical="center" wrapText="1"/>
    </xf>
    <xf numFmtId="0" fontId="5" fillId="0" borderId="16" xfId="0" applyFont="1" applyBorder="1" applyAlignment="1">
      <alignment horizontal="right" vertical="center" wrapText="1"/>
    </xf>
    <xf numFmtId="3" fontId="5" fillId="0" borderId="17" xfId="0" applyNumberFormat="1" applyFont="1" applyBorder="1" applyAlignment="1">
      <alignment horizontal="right" vertical="center" wrapText="1"/>
    </xf>
    <xf numFmtId="0" fontId="5" fillId="0" borderId="25" xfId="0" applyFont="1" applyBorder="1" applyAlignment="1">
      <alignment horizontal="right" vertical="center" wrapText="1"/>
    </xf>
    <xf numFmtId="0" fontId="5" fillId="0" borderId="20" xfId="0" applyFont="1" applyBorder="1" applyAlignment="1">
      <alignment horizontal="right" vertical="center" wrapText="1"/>
    </xf>
    <xf numFmtId="0" fontId="5" fillId="0" borderId="3" xfId="0" applyFont="1" applyBorder="1" applyAlignment="1">
      <alignment vertical="center" wrapText="1"/>
    </xf>
    <xf numFmtId="0" fontId="5" fillId="0" borderId="23" xfId="0" applyFont="1" applyBorder="1" applyAlignment="1">
      <alignment vertical="center" wrapText="1"/>
    </xf>
    <xf numFmtId="0" fontId="5" fillId="0" borderId="4" xfId="0" applyFont="1" applyBorder="1" applyAlignment="1">
      <alignment vertical="center" wrapText="1"/>
    </xf>
    <xf numFmtId="0" fontId="5" fillId="0" borderId="21" xfId="0" applyFont="1" applyBorder="1" applyAlignment="1">
      <alignment horizontal="right" vertical="center" wrapText="1"/>
    </xf>
    <xf numFmtId="0" fontId="5" fillId="0" borderId="22" xfId="0" applyFont="1" applyBorder="1" applyAlignment="1">
      <alignment horizontal="right" vertical="center" wrapText="1"/>
    </xf>
    <xf numFmtId="3" fontId="5" fillId="0" borderId="15" xfId="0" applyNumberFormat="1" applyFont="1" applyBorder="1" applyAlignment="1">
      <alignment horizontal="right" vertical="center" wrapText="1"/>
    </xf>
    <xf numFmtId="0" fontId="31" fillId="28" borderId="10" xfId="2" applyFont="1" applyFill="1" applyBorder="1" applyAlignment="1">
      <alignment horizontal="center" vertical="center" wrapText="1"/>
    </xf>
    <xf numFmtId="0" fontId="31" fillId="28" borderId="9" xfId="2" applyFont="1" applyFill="1" applyBorder="1" applyAlignment="1">
      <alignment horizontal="center" vertical="center" wrapText="1"/>
    </xf>
    <xf numFmtId="0" fontId="31" fillId="28" borderId="8" xfId="2" applyFont="1" applyFill="1" applyBorder="1" applyAlignment="1">
      <alignment horizontal="center" vertical="center" wrapText="1"/>
    </xf>
    <xf numFmtId="0" fontId="31" fillId="28" borderId="2" xfId="2" applyFont="1" applyFill="1" applyBorder="1" applyAlignment="1">
      <alignment horizontal="center" vertical="center" wrapText="1"/>
    </xf>
    <xf numFmtId="0" fontId="31" fillId="28" borderId="10" xfId="7" applyFont="1" applyFill="1" applyBorder="1" applyAlignment="1">
      <alignment horizontal="center" vertical="center" wrapText="1"/>
    </xf>
    <xf numFmtId="0" fontId="31" fillId="28" borderId="9" xfId="7" applyFont="1" applyFill="1" applyBorder="1" applyAlignment="1">
      <alignment horizontal="center" vertical="center" wrapText="1"/>
    </xf>
    <xf numFmtId="0" fontId="31" fillId="28" borderId="9" xfId="2" applyFont="1" applyFill="1" applyBorder="1" applyAlignment="1">
      <alignment wrapText="1"/>
    </xf>
    <xf numFmtId="0" fontId="31" fillId="28" borderId="8" xfId="2" applyFont="1" applyFill="1" applyBorder="1" applyAlignment="1">
      <alignment wrapText="1"/>
    </xf>
    <xf numFmtId="0" fontId="31" fillId="27" borderId="10" xfId="2" applyFont="1" applyFill="1" applyBorder="1" applyAlignment="1">
      <alignment horizontal="center" vertical="center" wrapText="1"/>
    </xf>
    <xf numFmtId="0" fontId="31" fillId="27" borderId="8" xfId="2" applyFont="1" applyFill="1" applyBorder="1" applyAlignment="1">
      <alignment horizontal="center" vertical="center" wrapText="1"/>
    </xf>
    <xf numFmtId="0" fontId="16" fillId="0" borderId="8" xfId="2" applyFont="1" applyBorder="1" applyAlignment="1">
      <alignment vertical="center"/>
    </xf>
    <xf numFmtId="0" fontId="16" fillId="27" borderId="10" xfId="2" applyFont="1" applyFill="1" applyBorder="1" applyAlignment="1">
      <alignment horizontal="center" vertical="center" wrapText="1"/>
    </xf>
    <xf numFmtId="0" fontId="16" fillId="27" borderId="8" xfId="2" applyFont="1" applyFill="1" applyBorder="1" applyAlignment="1">
      <alignment horizontal="center" vertical="center" wrapText="1"/>
    </xf>
    <xf numFmtId="3" fontId="22" fillId="0" borderId="2" xfId="0" applyNumberFormat="1" applyFont="1" applyFill="1" applyBorder="1" applyAlignment="1">
      <alignment horizontal="center" vertical="center" wrapText="1"/>
    </xf>
    <xf numFmtId="3" fontId="22" fillId="0" borderId="9" xfId="0" applyNumberFormat="1" applyFont="1" applyFill="1" applyBorder="1" applyAlignment="1">
      <alignment horizontal="center" vertical="center" textRotation="255" wrapText="1"/>
    </xf>
    <xf numFmtId="0" fontId="3" fillId="0" borderId="10" xfId="0" applyFont="1" applyBorder="1" applyAlignment="1">
      <alignment horizontal="right" vertical="center" wrapText="1"/>
    </xf>
    <xf numFmtId="0" fontId="3" fillId="0" borderId="9" xfId="0" applyFont="1" applyBorder="1" applyAlignment="1">
      <alignment horizontal="right" vertical="center" wrapText="1"/>
    </xf>
    <xf numFmtId="3" fontId="22" fillId="0" borderId="2" xfId="0" applyNumberFormat="1" applyFont="1" applyFill="1" applyBorder="1" applyAlignment="1">
      <alignment horizontal="center" vertical="center" textRotation="255" wrapText="1"/>
    </xf>
    <xf numFmtId="0" fontId="3" fillId="0" borderId="10" xfId="0" applyFont="1" applyBorder="1" applyAlignment="1">
      <alignment horizontal="center" vertical="center" wrapText="1"/>
    </xf>
    <xf numFmtId="0" fontId="3" fillId="0" borderId="9" xfId="0" applyFont="1" applyBorder="1" applyAlignment="1">
      <alignment horizontal="center" vertical="center" wrapText="1"/>
    </xf>
    <xf numFmtId="3" fontId="22" fillId="0" borderId="10" xfId="0" applyNumberFormat="1" applyFont="1" applyFill="1" applyBorder="1" applyAlignment="1">
      <alignment horizontal="center" vertical="center" textRotation="255" wrapText="1"/>
    </xf>
    <xf numFmtId="3" fontId="22" fillId="0" borderId="8" xfId="0" applyNumberFormat="1" applyFont="1" applyFill="1" applyBorder="1" applyAlignment="1">
      <alignment horizontal="center" vertical="center" textRotation="255" wrapText="1"/>
    </xf>
    <xf numFmtId="0" fontId="3" fillId="0" borderId="5" xfId="0" applyFont="1" applyBorder="1" applyAlignment="1">
      <alignment horizontal="center" vertical="center" wrapText="1"/>
    </xf>
    <xf numFmtId="0" fontId="3" fillId="0" borderId="6" xfId="0" applyFont="1" applyBorder="1" applyAlignment="1">
      <alignment horizontal="center" vertical="center" wrapText="1"/>
    </xf>
    <xf numFmtId="0" fontId="3" fillId="0" borderId="2" xfId="0" applyFont="1" applyBorder="1" applyAlignment="1">
      <alignment horizontal="center" vertical="center" wrapText="1"/>
    </xf>
    <xf numFmtId="0" fontId="3" fillId="0" borderId="8" xfId="0" applyFont="1" applyBorder="1" applyAlignment="1">
      <alignment horizontal="center" vertical="center" wrapText="1"/>
    </xf>
    <xf numFmtId="3" fontId="3" fillId="0" borderId="10" xfId="0" applyNumberFormat="1" applyFont="1" applyBorder="1" applyAlignment="1">
      <alignment horizontal="right" vertical="center" wrapText="1"/>
    </xf>
    <xf numFmtId="3" fontId="3" fillId="0" borderId="9" xfId="0" applyNumberFormat="1" applyFont="1" applyBorder="1" applyAlignment="1">
      <alignment horizontal="right" vertical="center" wrapText="1"/>
    </xf>
    <xf numFmtId="3" fontId="3" fillId="0" borderId="8" xfId="0" applyNumberFormat="1" applyFont="1" applyBorder="1" applyAlignment="1">
      <alignment horizontal="right" vertical="center" wrapText="1"/>
    </xf>
    <xf numFmtId="3" fontId="3" fillId="0" borderId="2" xfId="0" applyNumberFormat="1" applyFont="1" applyBorder="1" applyAlignment="1">
      <alignment horizontal="center" vertical="center" wrapText="1"/>
    </xf>
    <xf numFmtId="0" fontId="3" fillId="3" borderId="0" xfId="0" applyFont="1" applyFill="1" applyBorder="1" applyAlignment="1">
      <alignment horizontal="center" vertical="center" wrapText="1"/>
    </xf>
    <xf numFmtId="0" fontId="22" fillId="3" borderId="0" xfId="0" applyFont="1" applyFill="1" applyBorder="1" applyAlignment="1">
      <alignment horizontal="center" vertical="center" wrapText="1"/>
    </xf>
    <xf numFmtId="0" fontId="3" fillId="0" borderId="7" xfId="0" applyFont="1" applyBorder="1" applyAlignment="1">
      <alignment horizontal="center" vertical="center" wrapText="1"/>
    </xf>
    <xf numFmtId="0" fontId="4" fillId="0" borderId="5" xfId="0" applyFont="1" applyBorder="1" applyAlignment="1">
      <alignment horizontal="center"/>
    </xf>
    <xf numFmtId="0" fontId="4" fillId="0" borderId="6" xfId="0" applyFont="1" applyBorder="1" applyAlignment="1">
      <alignment horizontal="center"/>
    </xf>
    <xf numFmtId="0" fontId="4" fillId="0" borderId="64" xfId="0" applyFont="1" applyBorder="1" applyAlignment="1">
      <alignment horizontal="center"/>
    </xf>
    <xf numFmtId="0" fontId="4" fillId="0" borderId="58" xfId="0" applyFont="1" applyBorder="1" applyAlignment="1">
      <alignment horizontal="center"/>
    </xf>
    <xf numFmtId="0" fontId="4" fillId="0" borderId="59" xfId="0" applyFont="1" applyBorder="1" applyAlignment="1">
      <alignment horizontal="center"/>
    </xf>
    <xf numFmtId="0" fontId="3" fillId="0" borderId="54" xfId="0" applyFont="1" applyBorder="1" applyAlignment="1">
      <alignment horizontal="center" vertical="center" wrapText="1"/>
    </xf>
    <xf numFmtId="0" fontId="3" fillId="0" borderId="45" xfId="0" applyFont="1" applyBorder="1" applyAlignment="1">
      <alignment horizontal="center" vertical="center" wrapText="1"/>
    </xf>
    <xf numFmtId="3" fontId="3" fillId="0" borderId="5" xfId="0" applyNumberFormat="1" applyFont="1" applyBorder="1" applyAlignment="1">
      <alignment horizontal="center" vertical="center" wrapText="1"/>
    </xf>
    <xf numFmtId="3" fontId="3" fillId="0" borderId="6" xfId="0" applyNumberFormat="1" applyFont="1" applyBorder="1" applyAlignment="1">
      <alignment horizontal="center" vertical="center" wrapText="1"/>
    </xf>
    <xf numFmtId="3" fontId="26" fillId="0" borderId="62" xfId="0" applyNumberFormat="1" applyFont="1" applyFill="1" applyBorder="1" applyAlignment="1">
      <alignment horizontal="center" vertical="center" textRotation="255" wrapText="1"/>
    </xf>
    <xf numFmtId="3" fontId="26" fillId="0" borderId="12" xfId="0" applyNumberFormat="1" applyFont="1" applyFill="1" applyBorder="1" applyAlignment="1">
      <alignment horizontal="center" vertical="center" textRotation="255" wrapText="1"/>
    </xf>
    <xf numFmtId="3" fontId="26" fillId="0" borderId="14" xfId="0" applyNumberFormat="1" applyFont="1" applyFill="1" applyBorder="1" applyAlignment="1">
      <alignment horizontal="center" vertical="center" textRotation="255" wrapText="1"/>
    </xf>
    <xf numFmtId="0" fontId="4" fillId="0" borderId="57" xfId="0" applyFont="1" applyBorder="1" applyAlignment="1">
      <alignment horizontal="center"/>
    </xf>
    <xf numFmtId="0" fontId="4" fillId="0" borderId="65" xfId="0" applyFont="1" applyBorder="1" applyAlignment="1">
      <alignment horizontal="center"/>
    </xf>
    <xf numFmtId="0" fontId="3" fillId="11" borderId="2" xfId="0" applyFont="1" applyFill="1" applyBorder="1" applyAlignment="1">
      <alignment horizontal="center" vertical="center" wrapText="1"/>
    </xf>
    <xf numFmtId="0" fontId="3" fillId="18" borderId="5" xfId="0" applyFont="1" applyFill="1" applyBorder="1" applyAlignment="1">
      <alignment horizontal="center" vertical="center" wrapText="1"/>
    </xf>
    <xf numFmtId="0" fontId="3" fillId="18" borderId="67" xfId="0" applyFont="1" applyFill="1" applyBorder="1" applyAlignment="1">
      <alignment horizontal="center" vertical="center" wrapText="1"/>
    </xf>
    <xf numFmtId="0" fontId="3" fillId="4" borderId="25"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66" xfId="0" applyFont="1" applyFill="1" applyBorder="1" applyAlignment="1">
      <alignment horizontal="center" vertical="center" wrapText="1"/>
    </xf>
    <xf numFmtId="0" fontId="3" fillId="4" borderId="68" xfId="0" applyFont="1" applyFill="1" applyBorder="1" applyAlignment="1">
      <alignment horizontal="center" vertical="center" wrapText="1"/>
    </xf>
    <xf numFmtId="0" fontId="3" fillId="0" borderId="15"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15" xfId="0" applyFont="1" applyBorder="1" applyAlignment="1">
      <alignment vertical="center" wrapText="1"/>
    </xf>
    <xf numFmtId="0" fontId="3" fillId="0" borderId="24" xfId="0" applyFont="1" applyBorder="1" applyAlignment="1">
      <alignment vertical="center" wrapText="1"/>
    </xf>
    <xf numFmtId="0" fontId="22" fillId="0" borderId="2" xfId="0" applyFont="1" applyBorder="1" applyAlignment="1">
      <alignment horizontal="center" vertical="center" wrapText="1"/>
    </xf>
    <xf numFmtId="0" fontId="3" fillId="0" borderId="80" xfId="0" applyFont="1" applyBorder="1" applyAlignment="1">
      <alignment horizontal="center" vertical="center" wrapText="1"/>
    </xf>
    <xf numFmtId="0" fontId="3" fillId="0" borderId="79" xfId="0" applyFont="1" applyBorder="1" applyAlignment="1">
      <alignment horizontal="center" vertical="center" wrapText="1"/>
    </xf>
    <xf numFmtId="0" fontId="3" fillId="0" borderId="81" xfId="0" applyFont="1" applyBorder="1" applyAlignment="1">
      <alignment horizontal="center" vertical="center" wrapText="1"/>
    </xf>
    <xf numFmtId="3" fontId="3" fillId="0" borderId="10" xfId="0" applyNumberFormat="1" applyFont="1" applyBorder="1" applyAlignment="1">
      <alignment horizontal="center" vertical="center" wrapText="1"/>
    </xf>
    <xf numFmtId="3" fontId="3" fillId="0" borderId="9" xfId="0" applyNumberFormat="1" applyFont="1" applyBorder="1" applyAlignment="1">
      <alignment horizontal="center" vertical="center" wrapText="1"/>
    </xf>
    <xf numFmtId="3" fontId="3" fillId="0" borderId="8" xfId="0" applyNumberFormat="1" applyFont="1" applyBorder="1" applyAlignment="1">
      <alignment horizontal="center" vertical="center" wrapText="1"/>
    </xf>
    <xf numFmtId="0" fontId="22" fillId="0" borderId="10" xfId="0" applyFont="1" applyBorder="1" applyAlignment="1">
      <alignment horizontal="center" vertical="center" wrapText="1"/>
    </xf>
    <xf numFmtId="0" fontId="22" fillId="0" borderId="9" xfId="0" applyFont="1" applyBorder="1" applyAlignment="1">
      <alignment horizontal="center" vertical="center" wrapText="1"/>
    </xf>
    <xf numFmtId="0" fontId="22" fillId="0" borderId="8" xfId="0" applyFont="1" applyBorder="1" applyAlignment="1">
      <alignment horizontal="center" vertical="center" wrapText="1"/>
    </xf>
    <xf numFmtId="3" fontId="22" fillId="0" borderId="10" xfId="0" applyNumberFormat="1" applyFont="1" applyFill="1" applyBorder="1" applyAlignment="1">
      <alignment horizontal="center" vertical="center" wrapText="1"/>
    </xf>
    <xf numFmtId="3" fontId="22" fillId="0" borderId="8" xfId="0" applyNumberFormat="1" applyFont="1" applyFill="1" applyBorder="1" applyAlignment="1">
      <alignment horizontal="center" vertical="center" wrapText="1"/>
    </xf>
    <xf numFmtId="0" fontId="3" fillId="0" borderId="40"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6" xfId="0" applyFont="1" applyBorder="1" applyAlignment="1">
      <alignment vertical="center" wrapText="1"/>
    </xf>
    <xf numFmtId="3" fontId="3" fillId="0" borderId="15" xfId="0" applyNumberFormat="1" applyFont="1" applyBorder="1" applyAlignment="1">
      <alignment horizontal="right" vertical="center" wrapText="1"/>
    </xf>
    <xf numFmtId="0" fontId="3" fillId="0" borderId="24" xfId="0" applyFont="1" applyBorder="1" applyAlignment="1">
      <alignment horizontal="right" vertical="center" wrapText="1"/>
    </xf>
    <xf numFmtId="0" fontId="3" fillId="0" borderId="16" xfId="0" applyFont="1" applyBorder="1" applyAlignment="1">
      <alignment horizontal="right" vertical="center" wrapText="1"/>
    </xf>
    <xf numFmtId="3" fontId="3" fillId="0" borderId="19" xfId="0" applyNumberFormat="1" applyFont="1" applyBorder="1" applyAlignment="1">
      <alignment horizontal="right" vertical="center" wrapText="1"/>
    </xf>
    <xf numFmtId="0" fontId="3" fillId="0" borderId="35" xfId="0" applyFont="1" applyBorder="1" applyAlignment="1">
      <alignment horizontal="right" vertical="center" wrapText="1"/>
    </xf>
    <xf numFmtId="0" fontId="3" fillId="0" borderId="22" xfId="0" applyFont="1" applyBorder="1" applyAlignment="1">
      <alignment horizontal="right" vertical="center" wrapText="1"/>
    </xf>
    <xf numFmtId="3" fontId="3" fillId="0" borderId="17" xfId="0" applyNumberFormat="1" applyFont="1" applyBorder="1" applyAlignment="1">
      <alignment horizontal="right" vertical="center" wrapText="1"/>
    </xf>
    <xf numFmtId="0" fontId="3" fillId="0" borderId="25" xfId="0" applyFont="1" applyBorder="1" applyAlignment="1">
      <alignment horizontal="right" vertical="center" wrapText="1"/>
    </xf>
    <xf numFmtId="0" fontId="3" fillId="0" borderId="20" xfId="0" applyFont="1" applyBorder="1" applyAlignment="1">
      <alignment horizontal="right" vertical="center" wrapText="1"/>
    </xf>
    <xf numFmtId="0" fontId="3" fillId="0" borderId="5" xfId="0" applyFont="1" applyBorder="1" applyAlignment="1">
      <alignment horizontal="right"/>
    </xf>
    <xf numFmtId="0" fontId="3" fillId="0" borderId="6" xfId="0" applyFont="1" applyBorder="1" applyAlignment="1">
      <alignment horizontal="right"/>
    </xf>
    <xf numFmtId="0" fontId="3" fillId="0" borderId="7" xfId="0" applyFont="1" applyBorder="1" applyAlignment="1">
      <alignment horizontal="right"/>
    </xf>
    <xf numFmtId="0" fontId="3" fillId="0" borderId="5" xfId="0" applyFont="1" applyBorder="1" applyAlignment="1">
      <alignment horizontal="right" wrapText="1"/>
    </xf>
    <xf numFmtId="0" fontId="3" fillId="0" borderId="6" xfId="0" applyFont="1" applyBorder="1" applyAlignment="1">
      <alignment horizontal="right" wrapText="1"/>
    </xf>
    <xf numFmtId="0" fontId="3" fillId="0" borderId="7" xfId="0" applyFont="1" applyBorder="1" applyAlignment="1">
      <alignment horizontal="right" wrapText="1"/>
    </xf>
    <xf numFmtId="3" fontId="3" fillId="0" borderId="24" xfId="0" applyNumberFormat="1" applyFont="1" applyBorder="1" applyAlignment="1">
      <alignment horizontal="right" vertical="center" wrapText="1"/>
    </xf>
    <xf numFmtId="3" fontId="3" fillId="0" borderId="35" xfId="0" applyNumberFormat="1" applyFont="1" applyBorder="1" applyAlignment="1">
      <alignment horizontal="right" vertical="center" wrapText="1"/>
    </xf>
    <xf numFmtId="3" fontId="3" fillId="0" borderId="42" xfId="0" applyNumberFormat="1" applyFont="1" applyBorder="1" applyAlignment="1">
      <alignment horizontal="right" vertical="center" wrapText="1"/>
    </xf>
    <xf numFmtId="3" fontId="3" fillId="0" borderId="39" xfId="0" applyNumberFormat="1" applyFont="1" applyBorder="1" applyAlignment="1">
      <alignment horizontal="right" vertical="center" wrapText="1"/>
    </xf>
    <xf numFmtId="0" fontId="3" fillId="0" borderId="47" xfId="0" applyFont="1" applyBorder="1" applyAlignment="1">
      <alignment horizontal="center" vertical="center" wrapText="1"/>
    </xf>
    <xf numFmtId="0" fontId="3" fillId="0" borderId="11" xfId="0" applyFont="1" applyBorder="1" applyAlignment="1">
      <alignment horizontal="center" vertical="center" wrapText="1"/>
    </xf>
    <xf numFmtId="3" fontId="26" fillId="0" borderId="2" xfId="0" applyNumberFormat="1" applyFont="1" applyFill="1" applyBorder="1" applyAlignment="1">
      <alignment horizontal="center" vertical="center" wrapText="1"/>
    </xf>
    <xf numFmtId="3" fontId="3" fillId="0" borderId="25" xfId="0" applyNumberFormat="1" applyFont="1" applyBorder="1" applyAlignment="1">
      <alignment horizontal="right" vertical="center" wrapText="1"/>
    </xf>
    <xf numFmtId="0" fontId="3" fillId="0" borderId="18" xfId="0" applyFont="1" applyBorder="1" applyAlignment="1">
      <alignment horizontal="center" vertical="center" wrapText="1"/>
    </xf>
    <xf numFmtId="0" fontId="3" fillId="0" borderId="0" xfId="0" applyFont="1" applyBorder="1" applyAlignment="1">
      <alignment horizontal="center" vertical="center" wrapText="1"/>
    </xf>
    <xf numFmtId="3" fontId="26" fillId="0" borderId="10" xfId="0" applyNumberFormat="1" applyFont="1" applyFill="1" applyBorder="1" applyAlignment="1">
      <alignment horizontal="center" vertical="center" textRotation="255" wrapText="1"/>
    </xf>
    <xf numFmtId="3" fontId="26" fillId="0" borderId="9" xfId="0" applyNumberFormat="1" applyFont="1" applyFill="1" applyBorder="1" applyAlignment="1">
      <alignment horizontal="center" vertical="center" textRotation="255" wrapText="1"/>
    </xf>
    <xf numFmtId="3" fontId="26" fillId="0" borderId="8" xfId="0" applyNumberFormat="1" applyFont="1" applyFill="1" applyBorder="1" applyAlignment="1">
      <alignment horizontal="center" vertical="center" textRotation="255" wrapText="1"/>
    </xf>
    <xf numFmtId="3" fontId="3" fillId="0" borderId="2" xfId="0" applyNumberFormat="1" applyFont="1" applyBorder="1" applyAlignment="1">
      <alignment horizontal="right" vertical="center" wrapText="1"/>
    </xf>
    <xf numFmtId="0" fontId="3" fillId="0" borderId="2" xfId="0" applyFont="1" applyBorder="1" applyAlignment="1">
      <alignment horizontal="right" vertical="center" wrapText="1"/>
    </xf>
    <xf numFmtId="0" fontId="3" fillId="0" borderId="17" xfId="0" applyFont="1" applyBorder="1" applyAlignment="1">
      <alignment horizontal="center" vertical="center" wrapText="1"/>
    </xf>
    <xf numFmtId="0" fontId="3" fillId="0" borderId="25" xfId="0" applyFont="1" applyBorder="1" applyAlignment="1">
      <alignment horizontal="center" vertical="center" wrapText="1"/>
    </xf>
    <xf numFmtId="0" fontId="3" fillId="0" borderId="20" xfId="0" applyFont="1" applyBorder="1" applyAlignment="1">
      <alignment horizontal="center" vertical="center" wrapText="1"/>
    </xf>
    <xf numFmtId="0" fontId="3" fillId="0" borderId="51" xfId="0" applyFont="1" applyBorder="1" applyAlignment="1">
      <alignment horizontal="center" vertical="center" wrapText="1"/>
    </xf>
    <xf numFmtId="0" fontId="3" fillId="0" borderId="78" xfId="0" applyFont="1" applyBorder="1" applyAlignment="1">
      <alignment horizontal="center" vertical="center" wrapText="1"/>
    </xf>
    <xf numFmtId="3" fontId="3" fillId="0" borderId="15" xfId="0" applyNumberFormat="1" applyFont="1" applyBorder="1" applyAlignment="1">
      <alignment horizontal="center" vertical="center" wrapText="1"/>
    </xf>
    <xf numFmtId="3" fontId="3" fillId="0" borderId="24" xfId="0" applyNumberFormat="1" applyFont="1" applyBorder="1" applyAlignment="1">
      <alignment horizontal="center" vertical="center" wrapText="1"/>
    </xf>
    <xf numFmtId="3" fontId="3" fillId="0" borderId="16" xfId="0" applyNumberFormat="1" applyFont="1" applyBorder="1" applyAlignment="1">
      <alignment horizontal="center" vertical="center" wrapText="1"/>
    </xf>
    <xf numFmtId="3" fontId="3" fillId="0" borderId="16" xfId="0" applyNumberFormat="1" applyFont="1" applyBorder="1" applyAlignment="1">
      <alignment horizontal="right" vertical="center" wrapText="1"/>
    </xf>
    <xf numFmtId="0" fontId="3" fillId="0" borderId="35"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22" xfId="0" applyFont="1" applyBorder="1" applyAlignment="1">
      <alignment horizontal="center" vertical="center" wrapText="1"/>
    </xf>
    <xf numFmtId="0" fontId="3" fillId="0" borderId="63"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14" xfId="0" applyFont="1" applyBorder="1" applyAlignment="1">
      <alignment horizontal="center" vertical="center" wrapText="1"/>
    </xf>
    <xf numFmtId="3" fontId="3" fillId="0" borderId="72" xfId="0" applyNumberFormat="1" applyFont="1" applyBorder="1" applyAlignment="1">
      <alignment horizontal="right" vertical="center" wrapText="1"/>
    </xf>
    <xf numFmtId="3" fontId="3" fillId="0" borderId="66" xfId="0" applyNumberFormat="1" applyFont="1" applyBorder="1" applyAlignment="1">
      <alignment horizontal="right" vertical="center" wrapText="1"/>
    </xf>
    <xf numFmtId="3" fontId="3" fillId="0" borderId="73" xfId="0" applyNumberFormat="1" applyFont="1" applyBorder="1" applyAlignment="1">
      <alignment horizontal="right" vertical="center" wrapText="1"/>
    </xf>
    <xf numFmtId="0" fontId="3" fillId="4" borderId="8" xfId="0" applyFont="1" applyFill="1" applyBorder="1" applyAlignment="1">
      <alignment horizontal="center" vertical="center" wrapText="1"/>
    </xf>
    <xf numFmtId="0" fontId="3" fillId="0" borderId="53" xfId="0" applyFont="1" applyBorder="1" applyAlignment="1">
      <alignment horizontal="center" vertical="center" wrapText="1"/>
    </xf>
    <xf numFmtId="9" fontId="3" fillId="0" borderId="53" xfId="0" applyNumberFormat="1" applyFont="1" applyBorder="1" applyAlignment="1">
      <alignment horizontal="center" vertical="center" wrapText="1"/>
    </xf>
    <xf numFmtId="9" fontId="3" fillId="0" borderId="9" xfId="0" applyNumberFormat="1" applyFont="1" applyBorder="1" applyAlignment="1">
      <alignment horizontal="center" vertical="center" wrapText="1"/>
    </xf>
    <xf numFmtId="9" fontId="3" fillId="0" borderId="8" xfId="0" applyNumberFormat="1" applyFont="1" applyBorder="1" applyAlignment="1">
      <alignment horizontal="center" vertical="center" wrapText="1"/>
    </xf>
    <xf numFmtId="0" fontId="3" fillId="4" borderId="2" xfId="0" applyFont="1" applyFill="1" applyBorder="1" applyAlignment="1">
      <alignment horizontal="center" vertical="center" wrapText="1"/>
    </xf>
    <xf numFmtId="0" fontId="3" fillId="0" borderId="10" xfId="0" applyFont="1" applyBorder="1" applyAlignment="1">
      <alignment horizontal="center" vertical="center" textRotation="255" wrapText="1"/>
    </xf>
    <xf numFmtId="0" fontId="3" fillId="0" borderId="9" xfId="0" applyFont="1" applyBorder="1" applyAlignment="1">
      <alignment horizontal="center" vertical="center" textRotation="255" wrapText="1"/>
    </xf>
    <xf numFmtId="0" fontId="3" fillId="0" borderId="8" xfId="0" applyFont="1" applyBorder="1" applyAlignment="1">
      <alignment horizontal="center" vertical="center" textRotation="255" wrapText="1"/>
    </xf>
    <xf numFmtId="0" fontId="0" fillId="17" borderId="47" xfId="0" applyFill="1" applyBorder="1" applyAlignment="1">
      <alignment horizontal="center" vertical="center" wrapText="1"/>
    </xf>
    <xf numFmtId="0" fontId="0" fillId="17" borderId="52" xfId="0" applyFill="1" applyBorder="1" applyAlignment="1">
      <alignment horizontal="center" vertical="center" wrapText="1"/>
    </xf>
    <xf numFmtId="3" fontId="3" fillId="0" borderId="50" xfId="0" applyNumberFormat="1" applyFont="1" applyBorder="1" applyAlignment="1">
      <alignment horizontal="right" vertical="center" wrapText="1"/>
    </xf>
    <xf numFmtId="0" fontId="0" fillId="0" borderId="62" xfId="0" applyBorder="1" applyAlignment="1">
      <alignment horizontal="center" vertical="center" wrapText="1"/>
    </xf>
    <xf numFmtId="0" fontId="0" fillId="0" borderId="12" xfId="0" applyBorder="1" applyAlignment="1">
      <alignment horizontal="center" vertical="center" wrapText="1"/>
    </xf>
    <xf numFmtId="0" fontId="0" fillId="0" borderId="14" xfId="0" applyBorder="1" applyAlignment="1">
      <alignment horizontal="center" vertical="center" wrapText="1"/>
    </xf>
    <xf numFmtId="3" fontId="3" fillId="0" borderId="41" xfId="0" applyNumberFormat="1" applyFont="1" applyBorder="1" applyAlignment="1">
      <alignment horizontal="center" vertical="center" wrapText="1"/>
    </xf>
    <xf numFmtId="3" fontId="3" fillId="0" borderId="39" xfId="0" applyNumberFormat="1" applyFont="1" applyBorder="1" applyAlignment="1">
      <alignment horizontal="center" vertical="center" wrapText="1"/>
    </xf>
    <xf numFmtId="3" fontId="3" fillId="0" borderId="82" xfId="0" applyNumberFormat="1" applyFont="1" applyBorder="1" applyAlignment="1">
      <alignment horizontal="center" vertical="center" wrapText="1"/>
    </xf>
    <xf numFmtId="0" fontId="13" fillId="12" borderId="28" xfId="8" applyFont="1" applyFill="1" applyBorder="1" applyAlignment="1">
      <alignment horizontal="center" vertical="center" wrapText="1"/>
    </xf>
    <xf numFmtId="0" fontId="13" fillId="12" borderId="32" xfId="8" applyFont="1" applyFill="1" applyBorder="1" applyAlignment="1">
      <alignment horizontal="center" vertical="center" wrapText="1"/>
    </xf>
    <xf numFmtId="0" fontId="13" fillId="6" borderId="28" xfId="8" applyFont="1" applyFill="1" applyBorder="1" applyAlignment="1">
      <alignment horizontal="center" vertical="center" wrapText="1"/>
    </xf>
    <xf numFmtId="0" fontId="13" fillId="6" borderId="32" xfId="8" applyFont="1" applyFill="1" applyBorder="1" applyAlignment="1">
      <alignment horizontal="center" vertical="center" wrapText="1"/>
    </xf>
    <xf numFmtId="0" fontId="16" fillId="0" borderId="52" xfId="8" applyFont="1" applyBorder="1" applyAlignment="1">
      <alignment horizontal="center" vertical="center"/>
    </xf>
    <xf numFmtId="0" fontId="16" fillId="0" borderId="13" xfId="8" applyFont="1" applyBorder="1" applyAlignment="1">
      <alignment horizontal="center" vertical="center"/>
    </xf>
    <xf numFmtId="0" fontId="14" fillId="0" borderId="10" xfId="8" applyFont="1" applyBorder="1" applyAlignment="1">
      <alignment horizontal="center" vertical="center" wrapText="1"/>
    </xf>
    <xf numFmtId="0" fontId="14" fillId="0" borderId="8" xfId="8" applyFont="1" applyBorder="1" applyAlignment="1">
      <alignment horizontal="center" vertical="center" wrapText="1"/>
    </xf>
    <xf numFmtId="0" fontId="9" fillId="6" borderId="26" xfId="8" applyFont="1" applyFill="1" applyBorder="1" applyAlignment="1">
      <alignment horizontal="center" vertical="center" wrapText="1"/>
    </xf>
    <xf numFmtId="0" fontId="9" fillId="6" borderId="30" xfId="8" applyFont="1" applyFill="1" applyBorder="1" applyAlignment="1">
      <alignment horizontal="center" vertical="center" wrapText="1"/>
    </xf>
    <xf numFmtId="0" fontId="16" fillId="12" borderId="28" xfId="8" applyFont="1" applyFill="1" applyBorder="1" applyAlignment="1">
      <alignment horizontal="center" vertical="center" wrapText="1"/>
    </xf>
    <xf numFmtId="0" fontId="16" fillId="12" borderId="32" xfId="8" applyFont="1" applyFill="1" applyBorder="1" applyAlignment="1">
      <alignment horizontal="center" vertical="center" wrapText="1"/>
    </xf>
    <xf numFmtId="0" fontId="16" fillId="12" borderId="83" xfId="8" applyFont="1" applyFill="1" applyBorder="1" applyAlignment="1">
      <alignment horizontal="center" vertical="center" wrapText="1"/>
    </xf>
    <xf numFmtId="0" fontId="16" fillId="12" borderId="84" xfId="8" applyFont="1" applyFill="1" applyBorder="1" applyAlignment="1">
      <alignment horizontal="center" vertical="center" wrapText="1"/>
    </xf>
    <xf numFmtId="0" fontId="40" fillId="0" borderId="2" xfId="8" applyFont="1" applyBorder="1" applyAlignment="1">
      <alignment horizontal="center" vertical="center"/>
    </xf>
    <xf numFmtId="0" fontId="6" fillId="0" borderId="2" xfId="2" applyBorder="1" applyAlignment="1">
      <alignment horizontal="center" vertical="center" wrapText="1"/>
    </xf>
    <xf numFmtId="0" fontId="16" fillId="0" borderId="0" xfId="2" applyFont="1" applyAlignment="1">
      <alignment horizontal="right"/>
    </xf>
    <xf numFmtId="0" fontId="16" fillId="2" borderId="5" xfId="2" applyFont="1" applyFill="1" applyBorder="1" applyAlignment="1">
      <alignment horizontal="center" vertical="center"/>
    </xf>
    <xf numFmtId="0" fontId="16" fillId="2" borderId="6" xfId="2" applyFont="1" applyFill="1" applyBorder="1" applyAlignment="1">
      <alignment horizontal="center" vertical="center"/>
    </xf>
    <xf numFmtId="0" fontId="16" fillId="2" borderId="7" xfId="2" applyFont="1" applyFill="1" applyBorder="1" applyAlignment="1">
      <alignment horizontal="center" vertical="center"/>
    </xf>
    <xf numFmtId="0" fontId="40" fillId="0" borderId="2" xfId="2" applyFont="1" applyBorder="1" applyAlignment="1">
      <alignment horizontal="center" vertical="center" wrapText="1"/>
    </xf>
    <xf numFmtId="1" fontId="16" fillId="2" borderId="5" xfId="2" applyNumberFormat="1" applyFont="1" applyFill="1" applyBorder="1" applyAlignment="1">
      <alignment horizontal="center" vertical="center"/>
    </xf>
    <xf numFmtId="1" fontId="16" fillId="2" borderId="6" xfId="2" applyNumberFormat="1" applyFont="1" applyFill="1" applyBorder="1" applyAlignment="1">
      <alignment horizontal="center" vertical="center"/>
    </xf>
    <xf numFmtId="1" fontId="16" fillId="2" borderId="7" xfId="2" applyNumberFormat="1" applyFont="1" applyFill="1" applyBorder="1" applyAlignment="1">
      <alignment horizontal="center" vertical="center"/>
    </xf>
    <xf numFmtId="0" fontId="31" fillId="27" borderId="10" xfId="2" applyFont="1" applyFill="1" applyBorder="1" applyAlignment="1">
      <alignment horizontal="center" vertical="center" textRotation="255" wrapText="1"/>
    </xf>
    <xf numFmtId="0" fontId="31" fillId="27" borderId="8" xfId="2" applyFont="1" applyFill="1" applyBorder="1" applyAlignment="1">
      <alignment horizontal="center" vertical="center" textRotation="255" wrapText="1"/>
    </xf>
    <xf numFmtId="0" fontId="16" fillId="27" borderId="10" xfId="2" applyFont="1" applyFill="1" applyBorder="1" applyAlignment="1">
      <alignment horizontal="center" vertical="center" textRotation="90" wrapText="1"/>
    </xf>
    <xf numFmtId="0" fontId="16" fillId="27" borderId="8" xfId="2" applyFont="1" applyFill="1" applyBorder="1" applyAlignment="1">
      <alignment horizontal="center" vertical="center" textRotation="90" wrapText="1"/>
    </xf>
    <xf numFmtId="0" fontId="13" fillId="27" borderId="10" xfId="2" applyFont="1" applyFill="1" applyBorder="1" applyAlignment="1">
      <alignment horizontal="center" vertical="center" textRotation="90" wrapText="1"/>
    </xf>
    <xf numFmtId="0" fontId="13" fillId="27" borderId="8" xfId="2" applyFont="1" applyFill="1" applyBorder="1" applyAlignment="1">
      <alignment horizontal="center" vertical="center" textRotation="90" wrapText="1"/>
    </xf>
    <xf numFmtId="0" fontId="16" fillId="27" borderId="10" xfId="2" applyFont="1" applyFill="1" applyBorder="1" applyAlignment="1">
      <alignment vertical="center" textRotation="255" wrapText="1"/>
    </xf>
    <xf numFmtId="0" fontId="16" fillId="27" borderId="8" xfId="2" applyFont="1" applyFill="1" applyBorder="1" applyAlignment="1">
      <alignment vertical="center" textRotation="255" wrapText="1"/>
    </xf>
    <xf numFmtId="0" fontId="31" fillId="28" borderId="9" xfId="2" applyFont="1" applyFill="1" applyBorder="1" applyAlignment="1">
      <alignment horizontal="center" vertical="center" textRotation="255" wrapText="1"/>
    </xf>
    <xf numFmtId="0" fontId="31" fillId="28" borderId="8" xfId="2" applyFont="1" applyFill="1" applyBorder="1" applyAlignment="1">
      <alignment horizontal="center" vertical="center" textRotation="255" wrapText="1"/>
    </xf>
    <xf numFmtId="0" fontId="31" fillId="28" borderId="10" xfId="2" applyFont="1" applyFill="1" applyBorder="1" applyAlignment="1">
      <alignment horizontal="center" vertical="center" textRotation="255" wrapText="1"/>
    </xf>
    <xf numFmtId="0" fontId="31" fillId="28" borderId="10" xfId="2" applyFont="1" applyFill="1" applyBorder="1" applyAlignment="1">
      <alignment horizontal="center" vertical="center" textRotation="90" wrapText="1"/>
    </xf>
    <xf numFmtId="0" fontId="31" fillId="28" borderId="9" xfId="2" applyFont="1" applyFill="1" applyBorder="1" applyAlignment="1">
      <alignment horizontal="center" vertical="center" textRotation="90" wrapText="1"/>
    </xf>
    <xf numFmtId="0" fontId="31" fillId="28" borderId="2" xfId="2" applyFont="1" applyFill="1" applyBorder="1" applyAlignment="1">
      <alignment horizontal="center" vertical="center" textRotation="90" wrapText="1"/>
    </xf>
    <xf numFmtId="0" fontId="38" fillId="28" borderId="10" xfId="2" applyFont="1" applyFill="1" applyBorder="1" applyAlignment="1">
      <alignment horizontal="center" vertical="center" textRotation="255" wrapText="1"/>
    </xf>
    <xf numFmtId="0" fontId="38" fillId="28" borderId="9" xfId="2" applyFont="1" applyFill="1" applyBorder="1" applyAlignment="1">
      <alignment horizontal="center" vertical="center" textRotation="255" wrapText="1"/>
    </xf>
    <xf numFmtId="0" fontId="6" fillId="0" borderId="0" xfId="2" applyAlignment="1">
      <alignment horizontal="left"/>
    </xf>
    <xf numFmtId="3" fontId="6" fillId="0" borderId="0" xfId="2" applyNumberFormat="1" applyAlignment="1">
      <alignment horizontal="right"/>
    </xf>
    <xf numFmtId="3" fontId="6" fillId="0" borderId="12" xfId="2" applyNumberFormat="1" applyBorder="1" applyAlignment="1">
      <alignment horizontal="right"/>
    </xf>
    <xf numFmtId="0" fontId="6" fillId="0" borderId="2" xfId="2" applyFont="1" applyBorder="1" applyAlignment="1">
      <alignment horizontal="center" vertical="center" wrapText="1"/>
    </xf>
    <xf numFmtId="0" fontId="31" fillId="28" borderId="2" xfId="2" applyFont="1" applyFill="1" applyBorder="1" applyAlignment="1">
      <alignment horizontal="center" vertical="center" textRotation="255" wrapText="1"/>
    </xf>
    <xf numFmtId="0" fontId="31" fillId="28" borderId="8" xfId="2" applyFont="1" applyFill="1" applyBorder="1" applyAlignment="1">
      <alignment horizontal="center" vertical="center" textRotation="90" wrapText="1"/>
    </xf>
    <xf numFmtId="0" fontId="39" fillId="28" borderId="10" xfId="2" applyFont="1" applyFill="1" applyBorder="1" applyAlignment="1">
      <alignment horizontal="center" vertical="center" textRotation="255" wrapText="1"/>
    </xf>
    <xf numFmtId="0" fontId="39" fillId="28" borderId="8" xfId="2" applyFont="1" applyFill="1" applyBorder="1" applyAlignment="1">
      <alignment horizontal="center" vertical="center" textRotation="255" wrapText="1"/>
    </xf>
    <xf numFmtId="0" fontId="16" fillId="28" borderId="10" xfId="2" applyFont="1" applyFill="1" applyBorder="1" applyAlignment="1">
      <alignment horizontal="center" vertical="center" wrapText="1"/>
    </xf>
    <xf numFmtId="0" fontId="16" fillId="28" borderId="8" xfId="2" applyFont="1" applyFill="1" applyBorder="1" applyAlignment="1">
      <alignment horizontal="center" vertical="center" wrapText="1"/>
    </xf>
    <xf numFmtId="0" fontId="6" fillId="0" borderId="0" xfId="2" applyAlignment="1">
      <alignment horizontal="right" vertical="center"/>
    </xf>
    <xf numFmtId="38" fontId="6" fillId="0" borderId="2" xfId="2" applyNumberFormat="1" applyFont="1" applyBorder="1" applyAlignment="1">
      <alignment horizontal="center"/>
    </xf>
    <xf numFmtId="0" fontId="16" fillId="2" borderId="5" xfId="2" applyFont="1" applyFill="1" applyBorder="1" applyAlignment="1">
      <alignment horizontal="center"/>
    </xf>
    <xf numFmtId="0" fontId="16" fillId="2" borderId="6" xfId="2" applyFont="1" applyFill="1" applyBorder="1" applyAlignment="1">
      <alignment horizontal="center"/>
    </xf>
    <xf numFmtId="0" fontId="16" fillId="2" borderId="7" xfId="2" applyFont="1" applyFill="1" applyBorder="1" applyAlignment="1">
      <alignment horizontal="center"/>
    </xf>
    <xf numFmtId="3" fontId="6" fillId="0" borderId="0" xfId="2" applyNumberFormat="1" applyAlignment="1">
      <alignment horizontal="right" vertical="center"/>
    </xf>
    <xf numFmtId="0" fontId="16" fillId="0" borderId="0" xfId="2" applyFont="1" applyAlignment="1">
      <alignment horizontal="left"/>
    </xf>
    <xf numFmtId="0" fontId="6" fillId="0" borderId="5" xfId="2" applyBorder="1" applyAlignment="1">
      <alignment horizontal="center" vertical="center" wrapText="1"/>
    </xf>
    <xf numFmtId="0" fontId="6" fillId="0" borderId="0" xfId="2" applyAlignment="1">
      <alignment horizontal="center"/>
    </xf>
    <xf numFmtId="0" fontId="6" fillId="0" borderId="0" xfId="2" applyAlignment="1">
      <alignment horizontal="left" vertical="center"/>
    </xf>
    <xf numFmtId="3" fontId="16" fillId="0" borderId="0" xfId="2" applyNumberFormat="1" applyFont="1" applyAlignment="1">
      <alignment horizontal="right"/>
    </xf>
    <xf numFmtId="0" fontId="31" fillId="27" borderId="2" xfId="2" applyFont="1" applyFill="1" applyBorder="1" applyAlignment="1">
      <alignment horizontal="center" vertical="center" wrapText="1"/>
    </xf>
    <xf numFmtId="0" fontId="31" fillId="27" borderId="5" xfId="2" applyFont="1" applyFill="1" applyBorder="1" applyAlignment="1">
      <alignment horizontal="center" vertical="center" wrapText="1"/>
    </xf>
    <xf numFmtId="0" fontId="36" fillId="0" borderId="0" xfId="2" applyFont="1" applyAlignment="1">
      <alignment horizontal="center" vertical="center" wrapText="1"/>
    </xf>
    <xf numFmtId="0" fontId="16" fillId="3" borderId="6" xfId="2" applyFont="1" applyFill="1" applyBorder="1" applyAlignment="1">
      <alignment horizontal="center"/>
    </xf>
    <xf numFmtId="0" fontId="16" fillId="3" borderId="7" xfId="2" applyFont="1" applyFill="1" applyBorder="1" applyAlignment="1">
      <alignment horizontal="center"/>
    </xf>
    <xf numFmtId="0" fontId="14" fillId="28" borderId="10" xfId="2" applyFont="1" applyFill="1" applyBorder="1" applyAlignment="1">
      <alignment horizontal="center" vertical="center" textRotation="255" wrapText="1"/>
    </xf>
    <xf numFmtId="0" fontId="14" fillId="28" borderId="9" xfId="2" applyFont="1" applyFill="1" applyBorder="1" applyAlignment="1">
      <alignment horizontal="center" vertical="center" textRotation="255" wrapText="1"/>
    </xf>
    <xf numFmtId="0" fontId="16" fillId="28" borderId="2" xfId="2" applyFont="1" applyFill="1" applyBorder="1" applyAlignment="1">
      <alignment horizontal="center" vertical="center" textRotation="90" wrapText="1"/>
    </xf>
    <xf numFmtId="0" fontId="37" fillId="28" borderId="8" xfId="2" applyFont="1" applyFill="1" applyBorder="1" applyAlignment="1">
      <alignment horizontal="center" vertical="center" textRotation="255" wrapText="1"/>
    </xf>
    <xf numFmtId="0" fontId="31" fillId="28" borderId="10" xfId="2" applyFont="1" applyFill="1" applyBorder="1" applyAlignment="1">
      <alignment horizontal="center" vertical="center"/>
    </xf>
    <xf numFmtId="0" fontId="31" fillId="28" borderId="9" xfId="2" applyFont="1" applyFill="1" applyBorder="1" applyAlignment="1">
      <alignment horizontal="center" vertical="center"/>
    </xf>
    <xf numFmtId="0" fontId="31" fillId="28" borderId="10" xfId="2" applyFont="1" applyFill="1" applyBorder="1" applyAlignment="1">
      <alignment horizontal="center" vertical="center" textRotation="90"/>
    </xf>
    <xf numFmtId="0" fontId="31" fillId="28" borderId="9" xfId="2" applyFont="1" applyFill="1" applyBorder="1" applyAlignment="1">
      <alignment horizontal="center" vertical="center" textRotation="90"/>
    </xf>
    <xf numFmtId="0" fontId="0" fillId="0" borderId="2" xfId="0" applyBorder="1"/>
    <xf numFmtId="0" fontId="0" fillId="14" borderId="5" xfId="0" applyFill="1" applyBorder="1" applyAlignment="1">
      <alignment horizontal="center" vertical="center" wrapText="1"/>
    </xf>
    <xf numFmtId="0" fontId="0" fillId="14" borderId="6" xfId="0" applyFill="1" applyBorder="1" applyAlignment="1">
      <alignment horizontal="center" vertical="center" wrapText="1"/>
    </xf>
    <xf numFmtId="0" fontId="0" fillId="4" borderId="5" xfId="0" applyFill="1" applyBorder="1" applyAlignment="1">
      <alignment horizontal="center" vertical="center" wrapText="1"/>
    </xf>
    <xf numFmtId="0" fontId="0" fillId="4" borderId="6" xfId="0" applyFill="1" applyBorder="1" applyAlignment="1">
      <alignment horizontal="center" vertical="center" wrapText="1"/>
    </xf>
    <xf numFmtId="0" fontId="4" fillId="0" borderId="52" xfId="0" applyFont="1" applyBorder="1" applyAlignment="1">
      <alignment horizontal="center"/>
    </xf>
    <xf numFmtId="0" fontId="4" fillId="0" borderId="13" xfId="0" applyFont="1" applyBorder="1" applyAlignment="1">
      <alignment horizontal="center"/>
    </xf>
    <xf numFmtId="0" fontId="3" fillId="4" borderId="24"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4" fillId="0" borderId="2" xfId="0" applyFont="1" applyBorder="1" applyAlignment="1">
      <alignment horizontal="center"/>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3" fillId="0" borderId="5" xfId="0" applyFont="1" applyBorder="1" applyAlignment="1">
      <alignment horizontal="center" wrapText="1"/>
    </xf>
    <xf numFmtId="0" fontId="44" fillId="0" borderId="6" xfId="0" applyFont="1" applyBorder="1" applyAlignment="1">
      <alignment wrapText="1"/>
    </xf>
    <xf numFmtId="0" fontId="44" fillId="0" borderId="7" xfId="0" applyFont="1" applyBorder="1" applyAlignment="1">
      <alignment wrapText="1"/>
    </xf>
    <xf numFmtId="0" fontId="0" fillId="0" borderId="2" xfId="0" applyBorder="1" applyAlignment="1">
      <alignment horizontal="center" vertical="center" wrapText="1"/>
    </xf>
    <xf numFmtId="0" fontId="0" fillId="11" borderId="5" xfId="0" applyFill="1" applyBorder="1" applyAlignment="1">
      <alignment horizontal="center" vertical="center" wrapText="1"/>
    </xf>
    <xf numFmtId="0" fontId="0" fillId="11" borderId="6" xfId="0" applyFill="1" applyBorder="1" applyAlignment="1">
      <alignment horizontal="center" vertical="center" wrapText="1"/>
    </xf>
    <xf numFmtId="0" fontId="0" fillId="11" borderId="7" xfId="0" applyFill="1" applyBorder="1" applyAlignment="1">
      <alignment horizontal="center" vertical="center" wrapText="1"/>
    </xf>
    <xf numFmtId="0" fontId="0" fillId="12" borderId="2" xfId="0" applyFill="1" applyBorder="1" applyAlignment="1">
      <alignment horizontal="center"/>
    </xf>
    <xf numFmtId="0" fontId="0" fillId="14" borderId="7" xfId="0" applyFill="1" applyBorder="1" applyAlignment="1">
      <alignment horizontal="center" vertical="center" wrapText="1"/>
    </xf>
    <xf numFmtId="0" fontId="0" fillId="4" borderId="7" xfId="0" applyFill="1" applyBorder="1" applyAlignment="1">
      <alignment horizontal="center" vertical="center" wrapText="1"/>
    </xf>
    <xf numFmtId="0" fontId="3" fillId="0" borderId="37" xfId="0" applyFont="1" applyBorder="1" applyAlignment="1">
      <alignment horizontal="center" vertical="center" wrapText="1"/>
    </xf>
    <xf numFmtId="3" fontId="3" fillId="0" borderId="37" xfId="0" applyNumberFormat="1" applyFont="1" applyBorder="1" applyAlignment="1">
      <alignment horizontal="right" vertical="center" wrapText="1"/>
    </xf>
    <xf numFmtId="3" fontId="26" fillId="0" borderId="2" xfId="0" applyNumberFormat="1" applyFont="1" applyFill="1" applyBorder="1" applyAlignment="1">
      <alignment horizontal="center" vertical="center" textRotation="255" wrapText="1"/>
    </xf>
    <xf numFmtId="3" fontId="26" fillId="0" borderId="10" xfId="0" applyNumberFormat="1" applyFont="1" applyFill="1" applyBorder="1" applyAlignment="1">
      <alignment horizontal="center" vertical="center" wrapText="1"/>
    </xf>
    <xf numFmtId="3" fontId="26" fillId="0" borderId="9" xfId="0" applyNumberFormat="1" applyFont="1" applyFill="1" applyBorder="1" applyAlignment="1">
      <alignment horizontal="center" vertical="center" wrapText="1"/>
    </xf>
    <xf numFmtId="3" fontId="26" fillId="0" borderId="8" xfId="0" applyNumberFormat="1" applyFont="1" applyFill="1" applyBorder="1" applyAlignment="1">
      <alignment horizontal="center" vertical="center" wrapText="1"/>
    </xf>
    <xf numFmtId="49" fontId="22" fillId="0" borderId="10" xfId="0" applyNumberFormat="1" applyFont="1" applyFill="1" applyBorder="1" applyAlignment="1">
      <alignment horizontal="center" vertical="center" wrapText="1"/>
    </xf>
    <xf numFmtId="49" fontId="22" fillId="0" borderId="8" xfId="0" applyNumberFormat="1" applyFont="1" applyFill="1" applyBorder="1" applyAlignment="1">
      <alignment horizontal="center" vertical="center" wrapText="1"/>
    </xf>
    <xf numFmtId="0" fontId="3" fillId="0" borderId="47" xfId="0" applyFont="1" applyBorder="1" applyAlignment="1">
      <alignment horizontal="right" vertical="center" wrapText="1"/>
    </xf>
    <xf numFmtId="0" fontId="3" fillId="0" borderId="11" xfId="0" applyFont="1" applyBorder="1" applyAlignment="1">
      <alignment horizontal="right" vertical="center" wrapText="1"/>
    </xf>
    <xf numFmtId="0" fontId="3" fillId="0" borderId="48" xfId="0" applyFont="1" applyBorder="1" applyAlignment="1">
      <alignment horizontal="center" vertical="center" wrapText="1"/>
    </xf>
    <xf numFmtId="0" fontId="3" fillId="0" borderId="49" xfId="0" applyFont="1" applyBorder="1" applyAlignment="1">
      <alignment horizontal="center" vertical="center" wrapText="1"/>
    </xf>
    <xf numFmtId="0" fontId="3" fillId="0" borderId="17" xfId="0" applyFont="1" applyBorder="1" applyAlignment="1">
      <alignment horizontal="right" vertical="center" wrapText="1"/>
    </xf>
    <xf numFmtId="0" fontId="3" fillId="0" borderId="18" xfId="0" applyFont="1" applyBorder="1" applyAlignment="1">
      <alignment horizontal="right" vertical="center" wrapText="1"/>
    </xf>
    <xf numFmtId="0" fontId="3" fillId="0" borderId="19" xfId="0" applyFont="1" applyBorder="1" applyAlignment="1">
      <alignment horizontal="right" vertical="center" wrapText="1"/>
    </xf>
    <xf numFmtId="0" fontId="0" fillId="0" borderId="102" xfId="0" applyBorder="1"/>
    <xf numFmtId="0" fontId="0" fillId="0" borderId="0" xfId="0" applyBorder="1" applyAlignment="1">
      <alignment horizontal="left"/>
    </xf>
    <xf numFmtId="0" fontId="3" fillId="0" borderId="60" xfId="0" applyFont="1" applyBorder="1" applyAlignment="1">
      <alignment horizontal="center" vertical="center" wrapText="1"/>
    </xf>
    <xf numFmtId="0" fontId="3" fillId="0" borderId="61" xfId="0" applyFont="1" applyBorder="1" applyAlignment="1">
      <alignment horizontal="center" vertical="center" wrapText="1"/>
    </xf>
    <xf numFmtId="0" fontId="22" fillId="0" borderId="60" xfId="0" applyFont="1" applyBorder="1" applyAlignment="1">
      <alignment horizontal="center" vertical="center" wrapText="1"/>
    </xf>
    <xf numFmtId="0" fontId="3" fillId="3" borderId="6" xfId="0" applyFont="1" applyFill="1" applyBorder="1" applyAlignment="1">
      <alignment horizontal="center" vertical="center" wrapText="1"/>
    </xf>
    <xf numFmtId="0" fontId="0" fillId="0" borderId="0" xfId="0" applyBorder="1" applyAlignment="1">
      <alignment horizontal="center"/>
    </xf>
    <xf numFmtId="0" fontId="16" fillId="3" borderId="44" xfId="2" applyFont="1" applyFill="1" applyBorder="1" applyAlignment="1">
      <alignment horizontal="center"/>
    </xf>
    <xf numFmtId="0" fontId="16" fillId="0" borderId="2" xfId="2" applyFont="1" applyBorder="1" applyAlignment="1">
      <alignment horizontal="center"/>
    </xf>
    <xf numFmtId="0" fontId="16" fillId="16" borderId="2" xfId="2" applyFont="1" applyFill="1" applyBorder="1" applyAlignment="1">
      <alignment horizontal="center"/>
    </xf>
    <xf numFmtId="0" fontId="16" fillId="28" borderId="2" xfId="2" applyFont="1" applyFill="1" applyBorder="1" applyAlignment="1">
      <alignment horizontal="center" vertical="center" textRotation="255" wrapText="1"/>
    </xf>
    <xf numFmtId="0" fontId="31" fillId="28" borderId="8" xfId="2" applyFont="1" applyFill="1" applyBorder="1" applyAlignment="1">
      <alignment horizontal="center" vertical="center" textRotation="90"/>
    </xf>
    <xf numFmtId="0" fontId="31" fillId="28" borderId="8" xfId="2" applyFont="1" applyFill="1" applyBorder="1" applyAlignment="1">
      <alignment horizontal="center" vertical="center"/>
    </xf>
    <xf numFmtId="0" fontId="6" fillId="31" borderId="10" xfId="2" applyFont="1" applyFill="1" applyBorder="1" applyAlignment="1">
      <alignment horizontal="center" vertical="center" wrapText="1"/>
    </xf>
    <xf numFmtId="0" fontId="6" fillId="31" borderId="8" xfId="2" applyFont="1" applyFill="1" applyBorder="1" applyAlignment="1">
      <alignment horizontal="center" vertical="center" wrapText="1"/>
    </xf>
    <xf numFmtId="0" fontId="6" fillId="29" borderId="10" xfId="2" applyFont="1" applyFill="1" applyBorder="1" applyAlignment="1">
      <alignment horizontal="center" vertical="center" wrapText="1"/>
    </xf>
    <xf numFmtId="0" fontId="6" fillId="29" borderId="8" xfId="2" applyFont="1" applyFill="1" applyBorder="1" applyAlignment="1">
      <alignment horizontal="center" vertical="center" wrapText="1"/>
    </xf>
    <xf numFmtId="0" fontId="6" fillId="30" borderId="10" xfId="2" applyFont="1" applyFill="1" applyBorder="1" applyAlignment="1">
      <alignment horizontal="center" vertical="center" wrapText="1"/>
    </xf>
    <xf numFmtId="0" fontId="6" fillId="30" borderId="8" xfId="2" applyFont="1" applyFill="1" applyBorder="1" applyAlignment="1">
      <alignment horizontal="center" vertical="center" wrapText="1"/>
    </xf>
    <xf numFmtId="3" fontId="15" fillId="0" borderId="28" xfId="8" applyNumberFormat="1" applyFont="1" applyFill="1" applyBorder="1" applyAlignment="1">
      <alignment horizontal="center" vertical="center" textRotation="255"/>
    </xf>
    <xf numFmtId="3" fontId="15" fillId="0" borderId="86" xfId="8" applyNumberFormat="1" applyFont="1" applyFill="1" applyBorder="1" applyAlignment="1">
      <alignment horizontal="center" vertical="center" textRotation="255"/>
    </xf>
    <xf numFmtId="3" fontId="15" fillId="0" borderId="32" xfId="8" applyNumberFormat="1" applyFont="1" applyFill="1" applyBorder="1" applyAlignment="1">
      <alignment horizontal="center" vertical="center" textRotation="255"/>
    </xf>
    <xf numFmtId="3" fontId="15" fillId="0" borderId="28" xfId="8" applyNumberFormat="1" applyFont="1" applyFill="1" applyBorder="1" applyAlignment="1">
      <alignment horizontal="center" vertical="center" textRotation="255" wrapText="1"/>
    </xf>
    <xf numFmtId="3" fontId="15" fillId="0" borderId="86" xfId="8" applyNumberFormat="1" applyFont="1" applyFill="1" applyBorder="1" applyAlignment="1">
      <alignment horizontal="center" vertical="center" textRotation="255" wrapText="1"/>
    </xf>
    <xf numFmtId="3" fontId="15" fillId="0" borderId="32" xfId="8" applyNumberFormat="1" applyFont="1" applyFill="1" applyBorder="1" applyAlignment="1">
      <alignment horizontal="center" vertical="center" textRotation="255" wrapText="1"/>
    </xf>
    <xf numFmtId="0" fontId="15" fillId="0" borderId="28" xfId="8" applyFont="1" applyFill="1" applyBorder="1" applyAlignment="1">
      <alignment horizontal="center" vertical="center" textRotation="255" wrapText="1"/>
    </xf>
    <xf numFmtId="0" fontId="15" fillId="0" borderId="86" xfId="8" applyFont="1" applyFill="1" applyBorder="1" applyAlignment="1">
      <alignment horizontal="center" vertical="center" textRotation="255" wrapText="1"/>
    </xf>
    <xf numFmtId="0" fontId="15" fillId="0" borderId="32" xfId="8" applyFont="1" applyFill="1" applyBorder="1" applyAlignment="1">
      <alignment horizontal="center" vertical="center" textRotation="255" wrapText="1"/>
    </xf>
    <xf numFmtId="0" fontId="6" fillId="3" borderId="86" xfId="8" applyFill="1" applyBorder="1" applyAlignment="1">
      <alignment horizontal="center"/>
    </xf>
    <xf numFmtId="0" fontId="50" fillId="6" borderId="28" xfId="8" applyFont="1" applyFill="1" applyBorder="1" applyAlignment="1">
      <alignment horizontal="center" vertical="center" wrapText="1"/>
    </xf>
    <xf numFmtId="0" fontId="50" fillId="6" borderId="32" xfId="8" applyFont="1" applyFill="1" applyBorder="1" applyAlignment="1">
      <alignment horizontal="center" vertical="center" wrapText="1"/>
    </xf>
    <xf numFmtId="0" fontId="15" fillId="0" borderId="28" xfId="8" applyFont="1" applyFill="1" applyBorder="1" applyAlignment="1">
      <alignment horizontal="center" vertical="center" textRotation="255"/>
    </xf>
    <xf numFmtId="0" fontId="15" fillId="0" borderId="86" xfId="8" applyFont="1" applyFill="1" applyBorder="1" applyAlignment="1">
      <alignment horizontal="center" vertical="center" textRotation="255"/>
    </xf>
    <xf numFmtId="0" fontId="15" fillId="0" borderId="32" xfId="8" applyFont="1" applyFill="1" applyBorder="1" applyAlignment="1">
      <alignment horizontal="center" vertical="center" textRotation="255"/>
    </xf>
    <xf numFmtId="0" fontId="40" fillId="0" borderId="5" xfId="8" applyFont="1" applyBorder="1" applyAlignment="1">
      <alignment horizontal="center" vertical="center"/>
    </xf>
    <xf numFmtId="0" fontId="40" fillId="0" borderId="6" xfId="8" applyFont="1" applyBorder="1" applyAlignment="1">
      <alignment horizontal="center" vertical="center"/>
    </xf>
    <xf numFmtId="0" fontId="40" fillId="0" borderId="7" xfId="8" applyFont="1" applyBorder="1" applyAlignment="1">
      <alignment horizontal="center" vertical="center"/>
    </xf>
    <xf numFmtId="3" fontId="3" fillId="0" borderId="62" xfId="0" applyNumberFormat="1" applyFont="1" applyBorder="1" applyAlignment="1">
      <alignment horizontal="center" vertical="center" wrapText="1"/>
    </xf>
    <xf numFmtId="3" fontId="3" fillId="0" borderId="12" xfId="0" applyNumberFormat="1" applyFont="1" applyBorder="1" applyAlignment="1">
      <alignment horizontal="center" vertical="center" wrapText="1"/>
    </xf>
    <xf numFmtId="3" fontId="3" fillId="0" borderId="14" xfId="0" applyNumberFormat="1" applyFont="1" applyBorder="1" applyAlignment="1">
      <alignment horizontal="center" vertical="center" wrapText="1"/>
    </xf>
    <xf numFmtId="3" fontId="3" fillId="0" borderId="7" xfId="0" applyNumberFormat="1" applyFont="1" applyBorder="1" applyAlignment="1">
      <alignment horizontal="center" vertical="center" wrapText="1"/>
    </xf>
    <xf numFmtId="3" fontId="3" fillId="0" borderId="62" xfId="0" applyNumberFormat="1" applyFont="1" applyBorder="1" applyAlignment="1">
      <alignment horizontal="right" vertical="center" wrapText="1"/>
    </xf>
    <xf numFmtId="3" fontId="3" fillId="0" borderId="12" xfId="0" applyNumberFormat="1" applyFont="1" applyBorder="1" applyAlignment="1">
      <alignment horizontal="right" vertical="center" wrapText="1"/>
    </xf>
    <xf numFmtId="3" fontId="3" fillId="0" borderId="14" xfId="0" applyNumberFormat="1" applyFont="1" applyBorder="1" applyAlignment="1">
      <alignment horizontal="right" vertical="center" wrapText="1"/>
    </xf>
    <xf numFmtId="3" fontId="3" fillId="0" borderId="22" xfId="0" applyNumberFormat="1" applyFont="1" applyBorder="1" applyAlignment="1">
      <alignment horizontal="right" vertical="center" wrapText="1"/>
    </xf>
    <xf numFmtId="3" fontId="3" fillId="0" borderId="56" xfId="0" applyNumberFormat="1" applyFont="1" applyBorder="1" applyAlignment="1">
      <alignment horizontal="right" vertical="center" wrapText="1"/>
    </xf>
    <xf numFmtId="0" fontId="46" fillId="12" borderId="90" xfId="0" applyFont="1" applyFill="1" applyBorder="1" applyAlignment="1">
      <alignment horizontal="center" vertical="center" wrapText="1"/>
    </xf>
    <xf numFmtId="0" fontId="43" fillId="12" borderId="2" xfId="0" applyFont="1" applyFill="1" applyBorder="1" applyAlignment="1">
      <alignment horizontal="center" vertical="center" wrapText="1"/>
    </xf>
    <xf numFmtId="0" fontId="3" fillId="18" borderId="6" xfId="0" applyFont="1" applyFill="1" applyBorder="1" applyAlignment="1">
      <alignment horizontal="center" vertical="center" wrapText="1"/>
    </xf>
    <xf numFmtId="0" fontId="0" fillId="11" borderId="2" xfId="0"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27" fillId="0" borderId="2" xfId="0" applyFont="1" applyBorder="1" applyAlignment="1">
      <alignment horizontal="center" vertical="center" textRotation="255" wrapText="1"/>
    </xf>
    <xf numFmtId="3" fontId="47" fillId="0" borderId="2" xfId="0" applyNumberFormat="1" applyFont="1" applyFill="1" applyBorder="1" applyAlignment="1">
      <alignment horizontal="center" vertical="center" textRotation="255" wrapText="1"/>
    </xf>
    <xf numFmtId="0" fontId="3" fillId="0" borderId="2" xfId="0" applyFont="1" applyBorder="1" applyAlignment="1">
      <alignment horizontal="center" vertical="center" textRotation="255" wrapText="1"/>
    </xf>
    <xf numFmtId="0" fontId="3" fillId="0" borderId="12" xfId="0" applyFont="1" applyBorder="1" applyAlignment="1">
      <alignment horizontal="center" vertical="center" wrapText="1"/>
    </xf>
    <xf numFmtId="9" fontId="3" fillId="0" borderId="24" xfId="0" applyNumberFormat="1" applyFont="1" applyBorder="1" applyAlignment="1">
      <alignment horizontal="center" vertical="center" wrapText="1"/>
    </xf>
    <xf numFmtId="0" fontId="0" fillId="0" borderId="2" xfId="0" applyBorder="1" applyAlignment="1">
      <alignment horizontal="center"/>
    </xf>
    <xf numFmtId="3" fontId="47" fillId="0" borderId="10" xfId="0" applyNumberFormat="1" applyFont="1" applyFill="1" applyBorder="1" applyAlignment="1">
      <alignment horizontal="center" vertical="center" textRotation="255" wrapText="1"/>
    </xf>
    <xf numFmtId="3" fontId="47" fillId="0" borderId="9" xfId="0" applyNumberFormat="1" applyFont="1" applyFill="1" applyBorder="1" applyAlignment="1">
      <alignment horizontal="center" vertical="center" textRotation="255" wrapText="1"/>
    </xf>
    <xf numFmtId="9" fontId="3" fillId="0" borderId="2" xfId="0" applyNumberFormat="1" applyFont="1" applyBorder="1" applyAlignment="1">
      <alignment horizontal="center" vertical="center" wrapText="1"/>
    </xf>
    <xf numFmtId="0" fontId="3" fillId="0" borderId="52" xfId="0" applyFont="1" applyBorder="1" applyAlignment="1">
      <alignment horizontal="center" vertical="center" wrapText="1"/>
    </xf>
    <xf numFmtId="3" fontId="47" fillId="0" borderId="10" xfId="0" applyNumberFormat="1" applyFont="1" applyFill="1" applyBorder="1" applyAlignment="1">
      <alignment horizontal="center" vertical="center" wrapText="1"/>
    </xf>
    <xf numFmtId="3" fontId="47" fillId="0" borderId="9" xfId="0" applyNumberFormat="1" applyFont="1" applyFill="1" applyBorder="1" applyAlignment="1">
      <alignment horizontal="center" vertical="center" wrapText="1"/>
    </xf>
    <xf numFmtId="3" fontId="47" fillId="0" borderId="8" xfId="0" applyNumberFormat="1" applyFont="1" applyFill="1" applyBorder="1" applyAlignment="1">
      <alignment horizontal="center" vertical="center" wrapText="1"/>
    </xf>
    <xf numFmtId="1" fontId="3" fillId="0" borderId="9" xfId="0" applyNumberFormat="1" applyFont="1" applyBorder="1" applyAlignment="1">
      <alignment horizontal="center" vertical="center" wrapText="1"/>
    </xf>
    <xf numFmtId="1" fontId="3" fillId="0" borderId="8" xfId="0" applyNumberFormat="1" applyFont="1" applyBorder="1" applyAlignment="1">
      <alignment horizontal="center" vertical="center" wrapText="1"/>
    </xf>
    <xf numFmtId="0" fontId="43" fillId="3" borderId="0" xfId="0" applyFont="1" applyFill="1" applyBorder="1" applyAlignment="1">
      <alignment horizontal="center" wrapText="1"/>
    </xf>
    <xf numFmtId="1" fontId="3" fillId="0" borderId="2" xfId="0" applyNumberFormat="1" applyFont="1" applyBorder="1" applyAlignment="1">
      <alignment horizontal="center" vertical="center" wrapText="1"/>
    </xf>
    <xf numFmtId="0" fontId="4" fillId="3" borderId="0" xfId="0" applyFont="1" applyFill="1" applyBorder="1" applyAlignment="1">
      <alignment horizontal="center" vertical="center"/>
    </xf>
    <xf numFmtId="1" fontId="3" fillId="0" borderId="10" xfId="0" applyNumberFormat="1" applyFont="1" applyBorder="1" applyAlignment="1">
      <alignment horizontal="center" vertical="center" wrapText="1"/>
    </xf>
    <xf numFmtId="0" fontId="3" fillId="0" borderId="55" xfId="0" applyFont="1" applyBorder="1" applyAlignment="1">
      <alignment horizontal="center" vertical="center" wrapText="1"/>
    </xf>
    <xf numFmtId="0" fontId="3" fillId="0" borderId="44" xfId="0" applyFont="1" applyBorder="1" applyAlignment="1">
      <alignment horizontal="center" vertical="center" wrapText="1"/>
    </xf>
    <xf numFmtId="3" fontId="47" fillId="0" borderId="8" xfId="0" applyNumberFormat="1" applyFont="1" applyFill="1" applyBorder="1" applyAlignment="1">
      <alignment horizontal="center" vertical="center" textRotation="255" wrapText="1"/>
    </xf>
    <xf numFmtId="0" fontId="0" fillId="0" borderId="0" xfId="0" applyAlignment="1">
      <alignment horizontal="center"/>
    </xf>
    <xf numFmtId="0" fontId="0" fillId="0" borderId="3" xfId="0" applyBorder="1" applyAlignment="1">
      <alignment horizontal="center" wrapText="1"/>
    </xf>
    <xf numFmtId="0" fontId="0" fillId="0" borderId="23" xfId="0" applyBorder="1" applyAlignment="1">
      <alignment horizontal="center" wrapText="1"/>
    </xf>
    <xf numFmtId="0" fontId="0" fillId="0" borderId="4" xfId="0" applyBorder="1" applyAlignment="1">
      <alignment horizontal="center" wrapText="1"/>
    </xf>
    <xf numFmtId="0" fontId="0" fillId="0" borderId="3" xfId="0" applyBorder="1" applyAlignment="1">
      <alignment wrapText="1"/>
    </xf>
    <xf numFmtId="0" fontId="0" fillId="0" borderId="4" xfId="0" applyBorder="1" applyAlignment="1">
      <alignment wrapText="1"/>
    </xf>
    <xf numFmtId="0" fontId="0" fillId="0" borderId="15" xfId="0" applyBorder="1" applyAlignment="1">
      <alignment horizontal="right" vertical="center" wrapText="1"/>
    </xf>
    <xf numFmtId="0" fontId="0" fillId="0" borderId="24" xfId="0" applyBorder="1" applyAlignment="1">
      <alignment horizontal="right" vertical="center" wrapText="1"/>
    </xf>
    <xf numFmtId="0" fontId="0" fillId="0" borderId="16" xfId="0" applyBorder="1" applyAlignment="1">
      <alignment horizontal="right" vertical="center" wrapText="1"/>
    </xf>
    <xf numFmtId="0" fontId="0" fillId="0" borderId="3" xfId="0" applyBorder="1" applyAlignment="1">
      <alignment vertical="center" wrapText="1"/>
    </xf>
    <xf numFmtId="0" fontId="0" fillId="0" borderId="23" xfId="0" applyBorder="1" applyAlignment="1">
      <alignment vertical="center" wrapText="1"/>
    </xf>
    <xf numFmtId="0" fontId="0" fillId="0" borderId="4" xfId="0" applyBorder="1" applyAlignment="1">
      <alignment vertical="center" wrapText="1"/>
    </xf>
    <xf numFmtId="0" fontId="0" fillId="0" borderId="3" xfId="0" applyBorder="1" applyAlignment="1">
      <alignment horizontal="right" vertical="center" wrapText="1"/>
    </xf>
    <xf numFmtId="0" fontId="0" fillId="0" borderId="23" xfId="0" applyBorder="1" applyAlignment="1">
      <alignment horizontal="right" vertical="center" wrapText="1"/>
    </xf>
    <xf numFmtId="0" fontId="0" fillId="0" borderId="4" xfId="0" applyBorder="1" applyAlignment="1">
      <alignment horizontal="right" vertical="center" wrapText="1"/>
    </xf>
    <xf numFmtId="0" fontId="0" fillId="0" borderId="10" xfId="0" applyBorder="1" applyAlignment="1">
      <alignment horizontal="right" vertical="center" wrapText="1"/>
    </xf>
    <xf numFmtId="0" fontId="0" fillId="0" borderId="9" xfId="0" applyBorder="1" applyAlignment="1">
      <alignment horizontal="right" vertical="center" wrapText="1"/>
    </xf>
    <xf numFmtId="0" fontId="0" fillId="0" borderId="8" xfId="0" applyBorder="1" applyAlignment="1">
      <alignment horizontal="right" vertical="center" wrapText="1"/>
    </xf>
    <xf numFmtId="0" fontId="0" fillId="0" borderId="15" xfId="0" applyBorder="1" applyAlignment="1">
      <alignment vertical="center" wrapText="1"/>
    </xf>
    <xf numFmtId="0" fontId="0" fillId="0" borderId="24" xfId="0" applyBorder="1" applyAlignment="1">
      <alignment vertical="center" wrapText="1"/>
    </xf>
    <xf numFmtId="0" fontId="0" fillId="0" borderId="16" xfId="0" applyBorder="1" applyAlignment="1">
      <alignment vertical="center" wrapText="1"/>
    </xf>
    <xf numFmtId="0" fontId="0" fillId="0" borderId="17" xfId="0" applyBorder="1" applyAlignment="1">
      <alignment horizontal="right" vertical="center" wrapText="1"/>
    </xf>
    <xf numFmtId="0" fontId="0" fillId="0" borderId="25" xfId="0" applyBorder="1" applyAlignment="1">
      <alignment horizontal="right" vertical="center" wrapText="1"/>
    </xf>
    <xf numFmtId="0" fontId="0" fillId="0" borderId="20" xfId="0" applyBorder="1" applyAlignment="1">
      <alignment horizontal="right" vertical="center" wrapText="1"/>
    </xf>
    <xf numFmtId="0" fontId="0" fillId="0" borderId="2" xfId="0" applyBorder="1" applyAlignment="1">
      <alignment horizontal="right" vertical="center" wrapText="1"/>
    </xf>
    <xf numFmtId="0" fontId="1" fillId="0" borderId="15"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17" xfId="0" applyFont="1" applyBorder="1" applyAlignment="1">
      <alignment horizontal="center" vertical="center" wrapText="1"/>
    </xf>
    <xf numFmtId="0" fontId="1" fillId="0" borderId="20" xfId="0" applyFont="1" applyBorder="1" applyAlignment="1">
      <alignment horizontal="center" vertical="center" wrapText="1"/>
    </xf>
    <xf numFmtId="0" fontId="1" fillId="0" borderId="2" xfId="0" applyFont="1" applyBorder="1" applyAlignment="1">
      <alignment horizontal="center" vertical="center" wrapText="1"/>
    </xf>
    <xf numFmtId="0" fontId="27" fillId="0" borderId="54" xfId="0" applyFont="1" applyBorder="1" applyAlignment="1">
      <alignment horizontal="center"/>
    </xf>
    <xf numFmtId="0" fontId="27" fillId="0" borderId="51" xfId="0" applyFont="1" applyBorder="1" applyAlignment="1">
      <alignment horizontal="center"/>
    </xf>
    <xf numFmtId="0" fontId="3" fillId="0" borderId="43" xfId="0" applyFont="1" applyBorder="1" applyAlignment="1">
      <alignment horizontal="center" vertical="center" wrapText="1"/>
    </xf>
    <xf numFmtId="0" fontId="0" fillId="0" borderId="0" xfId="0" applyAlignment="1">
      <alignment horizontal="center" vertical="center" wrapText="1"/>
    </xf>
    <xf numFmtId="0" fontId="5" fillId="11" borderId="2" xfId="0" applyFont="1" applyFill="1" applyBorder="1" applyAlignment="1">
      <alignment horizontal="center" vertical="center" wrapText="1"/>
    </xf>
    <xf numFmtId="0" fontId="5" fillId="11" borderId="10" xfId="0" applyFont="1" applyFill="1" applyBorder="1" applyAlignment="1">
      <alignment horizontal="center" vertical="center" wrapText="1"/>
    </xf>
    <xf numFmtId="0" fontId="5" fillId="11" borderId="8" xfId="0" applyFont="1" applyFill="1" applyBorder="1" applyAlignment="1">
      <alignment horizontal="center" vertical="center" wrapText="1"/>
    </xf>
    <xf numFmtId="0" fontId="5" fillId="11" borderId="47" xfId="0" applyFont="1" applyFill="1" applyBorder="1" applyAlignment="1">
      <alignment horizontal="center" vertical="center" wrapText="1"/>
    </xf>
    <xf numFmtId="0" fontId="5" fillId="11" borderId="52" xfId="0" applyFont="1" applyFill="1" applyBorder="1" applyAlignment="1">
      <alignment horizontal="center" vertical="center" wrapText="1"/>
    </xf>
    <xf numFmtId="0" fontId="3" fillId="11" borderId="10" xfId="0" applyFont="1" applyFill="1" applyBorder="1" applyAlignment="1">
      <alignment horizontal="center" vertical="center" wrapText="1"/>
    </xf>
    <xf numFmtId="0" fontId="3" fillId="11" borderId="8" xfId="0" applyFont="1" applyFill="1" applyBorder="1" applyAlignment="1">
      <alignment horizontal="center" vertical="center" wrapText="1"/>
    </xf>
    <xf numFmtId="0" fontId="43" fillId="0" borderId="6" xfId="0" applyFont="1" applyBorder="1" applyAlignment="1">
      <alignment horizontal="center" wrapText="1"/>
    </xf>
    <xf numFmtId="0" fontId="43" fillId="0" borderId="7" xfId="0" applyFont="1" applyBorder="1" applyAlignment="1">
      <alignment horizontal="center" wrapText="1"/>
    </xf>
    <xf numFmtId="3" fontId="4" fillId="0" borderId="52" xfId="0" applyNumberFormat="1" applyFont="1" applyBorder="1" applyAlignment="1">
      <alignment horizontal="center"/>
    </xf>
    <xf numFmtId="3" fontId="4" fillId="0" borderId="13" xfId="0" applyNumberFormat="1" applyFont="1" applyBorder="1" applyAlignment="1">
      <alignment horizontal="center"/>
    </xf>
    <xf numFmtId="3" fontId="4" fillId="0" borderId="14" xfId="0" applyNumberFormat="1" applyFont="1" applyBorder="1" applyAlignment="1">
      <alignment horizontal="center"/>
    </xf>
    <xf numFmtId="0" fontId="3" fillId="29" borderId="2" xfId="0" applyFont="1" applyFill="1" applyBorder="1" applyAlignment="1">
      <alignment horizontal="center" vertical="center" wrapText="1"/>
    </xf>
    <xf numFmtId="3" fontId="22" fillId="0" borderId="9" xfId="0" applyNumberFormat="1" applyFont="1" applyFill="1" applyBorder="1" applyAlignment="1">
      <alignment horizontal="center" vertical="center" wrapText="1"/>
    </xf>
    <xf numFmtId="0" fontId="4" fillId="0" borderId="14" xfId="0" applyFont="1" applyBorder="1" applyAlignment="1">
      <alignment horizontal="center"/>
    </xf>
    <xf numFmtId="0" fontId="0" fillId="0" borderId="10" xfId="0" applyBorder="1" applyAlignment="1">
      <alignment horizontal="center" vertical="center" textRotation="255"/>
    </xf>
    <xf numFmtId="0" fontId="0" fillId="0" borderId="9" xfId="0" applyBorder="1" applyAlignment="1">
      <alignment horizontal="center" vertical="center" textRotation="255"/>
    </xf>
    <xf numFmtId="0" fontId="0" fillId="0" borderId="10" xfId="0" applyFont="1" applyBorder="1" applyAlignment="1">
      <alignment horizontal="left" vertical="center" wrapText="1"/>
    </xf>
    <xf numFmtId="0" fontId="0" fillId="0" borderId="9" xfId="0" applyFont="1" applyBorder="1" applyAlignment="1">
      <alignment horizontal="left" vertical="center" wrapText="1"/>
    </xf>
    <xf numFmtId="0" fontId="0" fillId="0" borderId="8" xfId="0" applyFont="1" applyBorder="1" applyAlignment="1">
      <alignment horizontal="left" vertical="center" wrapText="1"/>
    </xf>
    <xf numFmtId="9" fontId="22" fillId="0" borderId="10" xfId="13" applyFont="1" applyFill="1" applyBorder="1" applyAlignment="1">
      <alignment horizontal="center" vertical="center" wrapText="1"/>
    </xf>
    <xf numFmtId="9" fontId="22" fillId="0" borderId="9" xfId="13" applyFont="1" applyFill="1" applyBorder="1" applyAlignment="1">
      <alignment horizontal="center" vertical="center" wrapText="1"/>
    </xf>
    <xf numFmtId="9" fontId="22" fillId="0" borderId="8" xfId="13" applyFont="1" applyFill="1" applyBorder="1" applyAlignment="1">
      <alignment horizontal="center" vertical="center" wrapText="1"/>
    </xf>
    <xf numFmtId="0" fontId="58" fillId="32" borderId="54" xfId="0" applyFont="1" applyFill="1" applyBorder="1" applyAlignment="1">
      <alignment horizontal="center" vertical="center" wrapText="1"/>
    </xf>
    <xf numFmtId="0" fontId="58" fillId="32" borderId="45" xfId="0" applyFont="1" applyFill="1" applyBorder="1" applyAlignment="1">
      <alignment horizontal="center" vertical="center" wrapText="1"/>
    </xf>
    <xf numFmtId="0" fontId="58" fillId="32" borderId="51" xfId="0" applyFont="1" applyFill="1" applyBorder="1" applyAlignment="1">
      <alignment horizontal="center" vertical="center" wrapText="1"/>
    </xf>
    <xf numFmtId="0" fontId="0" fillId="0" borderId="8" xfId="0" applyBorder="1" applyAlignment="1">
      <alignment horizontal="center" vertical="center" textRotation="255"/>
    </xf>
    <xf numFmtId="3" fontId="26" fillId="0" borderId="105" xfId="0" applyNumberFormat="1" applyFont="1" applyFill="1" applyBorder="1" applyAlignment="1">
      <alignment horizontal="center" vertical="center" wrapText="1"/>
    </xf>
    <xf numFmtId="0" fontId="58" fillId="32" borderId="2" xfId="0" applyFont="1" applyFill="1" applyBorder="1" applyAlignment="1">
      <alignment horizontal="center" vertical="center" wrapText="1"/>
    </xf>
    <xf numFmtId="0" fontId="0" fillId="0" borderId="2" xfId="0" applyBorder="1" applyAlignment="1">
      <alignment horizontal="center" vertical="center" textRotation="255" wrapText="1"/>
    </xf>
    <xf numFmtId="0" fontId="21" fillId="0" borderId="10" xfId="0" applyFont="1" applyFill="1" applyBorder="1" applyAlignment="1">
      <alignment horizontal="center" vertical="center" wrapText="1"/>
    </xf>
    <xf numFmtId="0" fontId="21" fillId="0" borderId="8"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59" fillId="32" borderId="54" xfId="0" applyFont="1" applyFill="1" applyBorder="1" applyAlignment="1">
      <alignment horizontal="center" vertical="center" wrapText="1"/>
    </xf>
    <xf numFmtId="0" fontId="59" fillId="32" borderId="45" xfId="0" applyFont="1" applyFill="1" applyBorder="1" applyAlignment="1">
      <alignment horizontal="center" vertical="center" wrapText="1"/>
    </xf>
    <xf numFmtId="0" fontId="59" fillId="32" borderId="51" xfId="0" applyFont="1" applyFill="1" applyBorder="1" applyAlignment="1">
      <alignment horizontal="center" vertical="center" wrapText="1"/>
    </xf>
    <xf numFmtId="0" fontId="0" fillId="3" borderId="2" xfId="0" applyFill="1" applyBorder="1" applyAlignment="1">
      <alignment horizontal="center" vertical="center" textRotation="255"/>
    </xf>
    <xf numFmtId="0" fontId="56" fillId="32" borderId="54" xfId="0" applyFont="1" applyFill="1" applyBorder="1" applyAlignment="1">
      <alignment horizontal="center" vertical="center" wrapText="1"/>
    </xf>
    <xf numFmtId="0" fontId="56" fillId="32" borderId="45" xfId="0" applyFont="1" applyFill="1" applyBorder="1" applyAlignment="1">
      <alignment horizontal="center" vertical="center" wrapText="1"/>
    </xf>
    <xf numFmtId="0" fontId="56" fillId="32" borderId="51" xfId="0" applyFont="1" applyFill="1" applyBorder="1" applyAlignment="1">
      <alignment horizontal="center" vertical="center" wrapText="1"/>
    </xf>
    <xf numFmtId="0" fontId="0" fillId="0" borderId="2" xfId="0" applyBorder="1" applyAlignment="1">
      <alignment horizontal="center" vertical="center" textRotation="255"/>
    </xf>
    <xf numFmtId="170" fontId="26" fillId="0" borderId="10" xfId="14" applyNumberFormat="1" applyFont="1" applyFill="1" applyBorder="1" applyAlignment="1">
      <alignment horizontal="center" vertical="center" wrapText="1"/>
    </xf>
    <xf numFmtId="170" fontId="26" fillId="0" borderId="9" xfId="14" applyNumberFormat="1" applyFont="1" applyFill="1" applyBorder="1" applyAlignment="1">
      <alignment horizontal="center" vertical="center" wrapText="1"/>
    </xf>
    <xf numFmtId="170" fontId="26" fillId="0" borderId="8" xfId="14" applyNumberFormat="1" applyFont="1" applyFill="1" applyBorder="1" applyAlignment="1">
      <alignment horizontal="center" vertical="center" wrapText="1"/>
    </xf>
    <xf numFmtId="170" fontId="22" fillId="0" borderId="10" xfId="14" applyNumberFormat="1" applyFont="1" applyFill="1" applyBorder="1" applyAlignment="1">
      <alignment horizontal="center" vertical="center" wrapText="1"/>
    </xf>
    <xf numFmtId="170" fontId="22" fillId="0" borderId="9" xfId="14" applyNumberFormat="1" applyFont="1" applyFill="1" applyBorder="1" applyAlignment="1">
      <alignment horizontal="center" vertical="center" wrapText="1"/>
    </xf>
    <xf numFmtId="170" fontId="22" fillId="0" borderId="8" xfId="14" applyNumberFormat="1" applyFont="1" applyFill="1" applyBorder="1" applyAlignment="1">
      <alignment horizontal="center" vertical="center" wrapText="1"/>
    </xf>
    <xf numFmtId="170" fontId="26" fillId="0" borderId="2" xfId="14" applyNumberFormat="1" applyFont="1" applyFill="1" applyBorder="1" applyAlignment="1">
      <alignment horizontal="center" vertical="center" wrapText="1"/>
    </xf>
    <xf numFmtId="170" fontId="22" fillId="0" borderId="2" xfId="14" applyNumberFormat="1" applyFont="1" applyFill="1" applyBorder="1" applyAlignment="1">
      <alignment horizontal="center" vertical="center" wrapText="1"/>
    </xf>
    <xf numFmtId="0" fontId="0" fillId="0" borderId="5" xfId="0" applyBorder="1" applyAlignment="1">
      <alignment horizontal="center"/>
    </xf>
    <xf numFmtId="0" fontId="0" fillId="0" borderId="7" xfId="0" applyBorder="1" applyAlignment="1">
      <alignment horizontal="center"/>
    </xf>
    <xf numFmtId="0" fontId="21" fillId="0" borderId="9" xfId="0" applyFont="1" applyFill="1" applyBorder="1" applyAlignment="1">
      <alignment horizontal="center" vertical="center" wrapText="1"/>
    </xf>
    <xf numFmtId="0" fontId="46" fillId="32" borderId="54" xfId="0" applyFont="1" applyFill="1" applyBorder="1" applyAlignment="1">
      <alignment horizontal="center" vertical="center" wrapText="1"/>
    </xf>
    <xf numFmtId="0" fontId="46" fillId="32" borderId="45" xfId="0" applyFont="1" applyFill="1" applyBorder="1" applyAlignment="1">
      <alignment horizontal="center" vertical="center" wrapText="1"/>
    </xf>
    <xf numFmtId="0" fontId="46" fillId="32" borderId="51" xfId="0" applyFont="1" applyFill="1" applyBorder="1" applyAlignment="1">
      <alignment horizontal="center" vertical="center" wrapText="1"/>
    </xf>
    <xf numFmtId="9" fontId="22" fillId="0" borderId="2" xfId="0" applyNumberFormat="1" applyFont="1" applyFill="1" applyBorder="1" applyAlignment="1">
      <alignment horizontal="center" vertical="center" wrapText="1"/>
    </xf>
    <xf numFmtId="9" fontId="22" fillId="0" borderId="10" xfId="0" applyNumberFormat="1" applyFont="1" applyFill="1" applyBorder="1" applyAlignment="1">
      <alignment horizontal="center" vertical="center" wrapText="1"/>
    </xf>
    <xf numFmtId="9" fontId="22" fillId="0" borderId="9" xfId="0" applyNumberFormat="1" applyFont="1" applyFill="1" applyBorder="1" applyAlignment="1">
      <alignment horizontal="center" vertical="center" wrapText="1"/>
    </xf>
    <xf numFmtId="9" fontId="22" fillId="0" borderId="8" xfId="0" applyNumberFormat="1" applyFont="1" applyFill="1" applyBorder="1" applyAlignment="1">
      <alignment horizontal="center" vertical="center" wrapText="1"/>
    </xf>
    <xf numFmtId="9" fontId="26" fillId="0" borderId="10" xfId="0" applyNumberFormat="1" applyFont="1" applyFill="1" applyBorder="1" applyAlignment="1">
      <alignment horizontal="center" vertical="center" wrapText="1"/>
    </xf>
    <xf numFmtId="9" fontId="26" fillId="0" borderId="9" xfId="0" applyNumberFormat="1" applyFont="1" applyFill="1" applyBorder="1" applyAlignment="1">
      <alignment horizontal="center" vertical="center" wrapText="1"/>
    </xf>
    <xf numFmtId="9" fontId="26" fillId="0" borderId="8" xfId="0" applyNumberFormat="1" applyFont="1" applyFill="1" applyBorder="1" applyAlignment="1">
      <alignment horizontal="center" vertical="center" wrapText="1"/>
    </xf>
    <xf numFmtId="0" fontId="54" fillId="4" borderId="2" xfId="0" applyFont="1" applyFill="1" applyBorder="1" applyAlignment="1">
      <alignment horizontal="center" vertical="center" wrapText="1"/>
    </xf>
    <xf numFmtId="0" fontId="54" fillId="14" borderId="47" xfId="0" applyFont="1" applyFill="1" applyBorder="1" applyAlignment="1">
      <alignment horizontal="center" wrapText="1"/>
    </xf>
    <xf numFmtId="0" fontId="0" fillId="14" borderId="62" xfId="0" applyFill="1" applyBorder="1" applyAlignment="1">
      <alignment horizontal="center" wrapText="1"/>
    </xf>
    <xf numFmtId="0" fontId="0" fillId="14" borderId="52" xfId="0" applyFill="1" applyBorder="1" applyAlignment="1">
      <alignment horizontal="center" wrapText="1"/>
    </xf>
    <xf numFmtId="0" fontId="0" fillId="14" borderId="14" xfId="0" applyFill="1" applyBorder="1" applyAlignment="1">
      <alignment horizontal="center" wrapText="1"/>
    </xf>
    <xf numFmtId="0" fontId="54" fillId="14" borderId="47" xfId="0" applyFont="1" applyFill="1" applyBorder="1" applyAlignment="1">
      <alignment horizontal="center" vertical="center" wrapText="1"/>
    </xf>
    <xf numFmtId="0" fontId="0" fillId="14" borderId="62" xfId="0" applyFill="1" applyBorder="1" applyAlignment="1">
      <alignment horizontal="center" vertical="center" wrapText="1"/>
    </xf>
    <xf numFmtId="0" fontId="0" fillId="14" borderId="52" xfId="0" applyFill="1" applyBorder="1" applyAlignment="1">
      <alignment horizontal="center" vertical="center" wrapText="1"/>
    </xf>
    <xf numFmtId="0" fontId="0" fillId="14" borderId="14" xfId="0" applyFill="1" applyBorder="1" applyAlignment="1">
      <alignment horizontal="center" vertical="center" wrapText="1"/>
    </xf>
    <xf numFmtId="0" fontId="54" fillId="11" borderId="10" xfId="0" applyFont="1" applyFill="1" applyBorder="1" applyAlignment="1">
      <alignment horizontal="center" vertical="center" wrapText="1"/>
    </xf>
    <xf numFmtId="0" fontId="54" fillId="11" borderId="9" xfId="0" applyFont="1" applyFill="1" applyBorder="1" applyAlignment="1">
      <alignment horizontal="center" vertical="center" wrapText="1"/>
    </xf>
    <xf numFmtId="0" fontId="54" fillId="11" borderId="8" xfId="0" applyFont="1" applyFill="1" applyBorder="1" applyAlignment="1">
      <alignment horizontal="center" vertical="center" wrapText="1"/>
    </xf>
    <xf numFmtId="0" fontId="1" fillId="3" borderId="2" xfId="0" applyFont="1" applyFill="1" applyBorder="1" applyAlignment="1">
      <alignment horizontal="center" vertical="center"/>
    </xf>
    <xf numFmtId="0" fontId="59" fillId="32" borderId="54" xfId="0" applyFont="1" applyFill="1" applyBorder="1" applyAlignment="1">
      <alignment horizontal="left" vertical="center" wrapText="1"/>
    </xf>
    <xf numFmtId="0" fontId="59" fillId="32" borderId="45" xfId="0" applyFont="1" applyFill="1" applyBorder="1" applyAlignment="1">
      <alignment horizontal="left" vertical="center" wrapText="1"/>
    </xf>
    <xf numFmtId="0" fontId="59" fillId="32" borderId="51" xfId="0" applyFont="1" applyFill="1" applyBorder="1" applyAlignment="1">
      <alignment horizontal="left" vertical="center" wrapText="1"/>
    </xf>
    <xf numFmtId="0" fontId="31" fillId="32" borderId="54" xfId="0" applyFont="1" applyFill="1" applyBorder="1" applyAlignment="1">
      <alignment horizontal="left" vertical="center" wrapText="1"/>
    </xf>
    <xf numFmtId="0" fontId="31" fillId="32" borderId="45" xfId="0" applyFont="1" applyFill="1" applyBorder="1" applyAlignment="1">
      <alignment horizontal="left" vertical="center" wrapText="1"/>
    </xf>
    <xf numFmtId="0" fontId="31" fillId="32" borderId="51" xfId="0" applyFont="1" applyFill="1" applyBorder="1" applyAlignment="1">
      <alignment horizontal="left" vertical="center" wrapText="1"/>
    </xf>
    <xf numFmtId="3" fontId="30" fillId="3" borderId="0" xfId="0" applyNumberFormat="1" applyFont="1" applyFill="1" applyBorder="1" applyAlignment="1">
      <alignment horizontal="right" vertical="center" wrapText="1"/>
    </xf>
    <xf numFmtId="0" fontId="29" fillId="0" borderId="0" xfId="0" applyFont="1" applyBorder="1"/>
    <xf numFmtId="0" fontId="29" fillId="3" borderId="0" xfId="0" applyFont="1" applyFill="1" applyBorder="1"/>
    <xf numFmtId="10" fontId="29" fillId="3" borderId="0" xfId="0" applyNumberFormat="1" applyFont="1" applyFill="1" applyBorder="1" applyAlignment="1">
      <alignment horizontal="center" vertical="center"/>
    </xf>
    <xf numFmtId="3" fontId="29" fillId="0" borderId="0" xfId="0" applyNumberFormat="1" applyFont="1" applyBorder="1"/>
    <xf numFmtId="0" fontId="63" fillId="3" borderId="0" xfId="8" applyFont="1" applyFill="1" applyBorder="1"/>
  </cellXfs>
  <cellStyles count="18">
    <cellStyle name="40% - Énfasis5 2" xfId="7"/>
    <cellStyle name="Euro" xfId="4"/>
    <cellStyle name="Euro 2" xfId="15"/>
    <cellStyle name="Hipervínculo" xfId="1" builtinId="8"/>
    <cellStyle name="Millares 2" xfId="5"/>
    <cellStyle name="Millares 2 2" xfId="16"/>
    <cellStyle name="Millares 3" xfId="6"/>
    <cellStyle name="Millares 3 2" xfId="17"/>
    <cellStyle name="Moneda" xfId="14" builtinId="4"/>
    <cellStyle name="Neutral" xfId="12" builtinId="28"/>
    <cellStyle name="Normal" xfId="0" builtinId="0"/>
    <cellStyle name="Normal 2" xfId="2"/>
    <cellStyle name="Normal 2 2" xfId="3"/>
    <cellStyle name="Normal 2 2 2" xfId="8"/>
    <cellStyle name="Normal 3" xfId="9"/>
    <cellStyle name="Normal 4" xfId="10"/>
    <cellStyle name="Porcentaje" xfId="13" builtinId="5"/>
    <cellStyle name="TableStyleLight1" xfId="11"/>
  </cellStyles>
  <dxfs count="0"/>
  <tableStyles count="0" defaultTableStyle="TableStyleMedium9" defaultPivotStyle="PivotStyleLight16"/>
  <colors>
    <mruColors>
      <color rgb="FFFFFFFF"/>
      <color rgb="FFFF0066"/>
      <color rgb="FFFF33CC"/>
      <color rgb="FFFFCC00"/>
      <color rgb="FFFF66CC"/>
      <color rgb="FFFF99FF"/>
      <color rgb="FFFF66FF"/>
      <color rgb="FFFF3399"/>
      <color rgb="FFED3713"/>
      <color rgb="FFFCD5B4"/>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9" Type="http://schemas.openxmlformats.org/officeDocument/2006/relationships/externalLink" Target="externalLinks/externalLink1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9.xml"/><Relationship Id="rId42" Type="http://schemas.openxmlformats.org/officeDocument/2006/relationships/externalLink" Target="externalLinks/externalLink1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8.xml"/><Relationship Id="rId38" Type="http://schemas.openxmlformats.org/officeDocument/2006/relationships/externalLink" Target="externalLinks/externalLink13.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4.xml"/><Relationship Id="rId41" Type="http://schemas.openxmlformats.org/officeDocument/2006/relationships/externalLink" Target="externalLinks/externalLink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7.xml"/><Relationship Id="rId37" Type="http://schemas.openxmlformats.org/officeDocument/2006/relationships/externalLink" Target="externalLinks/externalLink12.xml"/><Relationship Id="rId40" Type="http://schemas.openxmlformats.org/officeDocument/2006/relationships/externalLink" Target="externalLinks/externalLink15.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36" Type="http://schemas.openxmlformats.org/officeDocument/2006/relationships/externalLink" Target="externalLinks/externalLink1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6.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externalLink" Target="externalLinks/externalLink5.xml"/><Relationship Id="rId35" Type="http://schemas.openxmlformats.org/officeDocument/2006/relationships/externalLink" Target="externalLinks/externalLink10.xml"/><Relationship Id="rId43"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0"/>
      <c:rotY val="10"/>
      <c:depthPercent val="120"/>
      <c:rAngAx val="0"/>
      <c:perspective val="20"/>
    </c:view3D>
    <c:floor>
      <c:thickness val="0"/>
    </c:floor>
    <c:sideWall>
      <c:thickness val="0"/>
    </c:sideWall>
    <c:backWall>
      <c:thickness val="0"/>
    </c:backWall>
    <c:plotArea>
      <c:layout>
        <c:manualLayout>
          <c:layoutTarget val="inner"/>
          <c:xMode val="edge"/>
          <c:yMode val="edge"/>
          <c:x val="0.14065943787794397"/>
          <c:y val="0.18834751077802023"/>
          <c:w val="0.83978500930393574"/>
          <c:h val="0.61959961122790796"/>
        </c:manualLayout>
      </c:layout>
      <c:bar3DChart>
        <c:barDir val="col"/>
        <c:grouping val="clustered"/>
        <c:varyColors val="0"/>
        <c:ser>
          <c:idx val="0"/>
          <c:order val="0"/>
          <c:tx>
            <c:v>R.ASIGNADOS</c:v>
          </c:tx>
          <c:invertIfNegative val="0"/>
          <c:dLbls>
            <c:dLbl>
              <c:idx val="0"/>
              <c:layout>
                <c:manualLayout>
                  <c:x val="4.825089859383457E-3"/>
                  <c:y val="-1.9124188423815445E-2"/>
                </c:manualLayout>
              </c:layout>
              <c:showLegendKey val="0"/>
              <c:showVal val="1"/>
              <c:showCatName val="0"/>
              <c:showSerName val="0"/>
              <c:showPercent val="0"/>
              <c:showBubbleSize val="0"/>
            </c:dLbl>
            <c:dLbl>
              <c:idx val="2"/>
              <c:layout>
                <c:manualLayout>
                  <c:x val="-6.5184423044383726E-17"/>
                  <c:y val="-7.6335893156998088E-3"/>
                </c:manualLayout>
              </c:layout>
              <c:showLegendKey val="0"/>
              <c:showVal val="1"/>
              <c:showCatName val="0"/>
              <c:showSerName val="0"/>
              <c:showPercent val="0"/>
              <c:showBubbleSize val="0"/>
            </c:dLbl>
            <c:dLbl>
              <c:idx val="3"/>
              <c:layout>
                <c:manualLayout>
                  <c:x val="1.777777528920031E-3"/>
                  <c:y val="-7.6335893156998088E-3"/>
                </c:manualLayout>
              </c:layout>
              <c:showLegendKey val="0"/>
              <c:showVal val="1"/>
              <c:showCatName val="0"/>
              <c:showSerName val="0"/>
              <c:showPercent val="0"/>
              <c:showBubbleSize val="0"/>
            </c:dLbl>
            <c:txPr>
              <a:bodyPr/>
              <a:lstStyle/>
              <a:p>
                <a:pPr>
                  <a:defRPr sz="1050" b="1"/>
                </a:pPr>
                <a:endParaRPr lang="es-CO"/>
              </a:p>
            </c:txPr>
            <c:showLegendKey val="0"/>
            <c:showVal val="1"/>
            <c:showCatName val="0"/>
            <c:showSerName val="0"/>
            <c:showPercent val="0"/>
            <c:showBubbleSize val="0"/>
            <c:showLeaderLines val="0"/>
          </c:dLbls>
          <c:cat>
            <c:strRef>
              <c:f>('P.ACION POR SUBSISTEMA'!$EG$208,'P.ACION POR SUBSISTEMA'!$EG$209,'P.ACION POR SUBSISTEMA'!$EG$210,'P.ACION POR SUBSISTEMA'!$EG$211,'P.ACION POR SUBSISTEMA'!$EG$212)</c:f>
              <c:strCache>
                <c:ptCount val="5"/>
                <c:pt idx="0">
                  <c:v> S. FORMACION</c:v>
                </c:pt>
                <c:pt idx="1">
                  <c:v> S. INVESTIGACIÓN</c:v>
                </c:pt>
                <c:pt idx="2">
                  <c:v> S.PROYECCION SOCIAL</c:v>
                </c:pt>
                <c:pt idx="3">
                  <c:v> S. BIENESTAR UNIVERSITARIO</c:v>
                </c:pt>
                <c:pt idx="4">
                  <c:v> S. ADMINISTRATIVO</c:v>
                </c:pt>
              </c:strCache>
            </c:strRef>
          </c:cat>
          <c:val>
            <c:numRef>
              <c:f>('P.ACION POR SUBSISTEMA'!$EK$208,'P.ACION POR SUBSISTEMA'!$EK$209,'P.ACION POR SUBSISTEMA'!$EK$210,'P.ACION POR SUBSISTEMA'!$EK$211,'P.ACION POR SUBSISTEMA'!$EK$212)</c:f>
              <c:numCache>
                <c:formatCode>#,##0</c:formatCode>
                <c:ptCount val="5"/>
                <c:pt idx="0">
                  <c:v>1877108763</c:v>
                </c:pt>
                <c:pt idx="1">
                  <c:v>6535792729</c:v>
                </c:pt>
                <c:pt idx="2">
                  <c:v>2989241271</c:v>
                </c:pt>
                <c:pt idx="3">
                  <c:v>2555236800</c:v>
                </c:pt>
                <c:pt idx="4">
                  <c:v>11131713740</c:v>
                </c:pt>
              </c:numCache>
            </c:numRef>
          </c:val>
        </c:ser>
        <c:ser>
          <c:idx val="1"/>
          <c:order val="1"/>
          <c:tx>
            <c:v>R. EJECUTADOS</c:v>
          </c:tx>
          <c:invertIfNegative val="0"/>
          <c:dLbls>
            <c:dLbl>
              <c:idx val="0"/>
              <c:layout>
                <c:manualLayout>
                  <c:x val="-3.5555550578400619E-3"/>
                  <c:y val="5.0890595437998723E-3"/>
                </c:manualLayout>
              </c:layout>
              <c:showLegendKey val="0"/>
              <c:showVal val="1"/>
              <c:showCatName val="0"/>
              <c:showSerName val="0"/>
              <c:showPercent val="0"/>
              <c:showBubbleSize val="0"/>
            </c:dLbl>
            <c:dLbl>
              <c:idx val="2"/>
              <c:layout>
                <c:manualLayout>
                  <c:x val="-4.825089859383457E-3"/>
                  <c:y val="0"/>
                </c:manualLayout>
              </c:layout>
              <c:showLegendKey val="0"/>
              <c:showVal val="1"/>
              <c:showCatName val="0"/>
              <c:showSerName val="0"/>
              <c:showPercent val="0"/>
              <c:showBubbleSize val="0"/>
            </c:dLbl>
            <c:dLbl>
              <c:idx val="3"/>
              <c:layout>
                <c:manualLayout>
                  <c:x val="3.5555550578400619E-3"/>
                  <c:y val="3.0534357262799235E-2"/>
                </c:manualLayout>
              </c:layout>
              <c:showLegendKey val="0"/>
              <c:showVal val="1"/>
              <c:showCatName val="0"/>
              <c:showSerName val="0"/>
              <c:showPercent val="0"/>
              <c:showBubbleSize val="0"/>
            </c:dLbl>
            <c:dLbl>
              <c:idx val="4"/>
              <c:layout>
                <c:manualLayout>
                  <c:x val="-8.0418164323057626E-3"/>
                  <c:y val="0"/>
                </c:manualLayout>
              </c:layout>
              <c:showLegendKey val="0"/>
              <c:showVal val="1"/>
              <c:showCatName val="0"/>
              <c:showSerName val="0"/>
              <c:showPercent val="0"/>
              <c:showBubbleSize val="0"/>
            </c:dLbl>
            <c:txPr>
              <a:bodyPr/>
              <a:lstStyle/>
              <a:p>
                <a:pPr>
                  <a:defRPr sz="1050" b="1"/>
                </a:pPr>
                <a:endParaRPr lang="es-CO"/>
              </a:p>
            </c:txPr>
            <c:showLegendKey val="0"/>
            <c:showVal val="1"/>
            <c:showCatName val="0"/>
            <c:showSerName val="0"/>
            <c:showPercent val="0"/>
            <c:showBubbleSize val="0"/>
            <c:showLeaderLines val="0"/>
          </c:dLbls>
          <c:cat>
            <c:strRef>
              <c:f>('P.ACION POR SUBSISTEMA'!$EG$208,'P.ACION POR SUBSISTEMA'!$EG$209,'P.ACION POR SUBSISTEMA'!$EG$210,'P.ACION POR SUBSISTEMA'!$EG$211,'P.ACION POR SUBSISTEMA'!$EG$212)</c:f>
              <c:strCache>
                <c:ptCount val="5"/>
                <c:pt idx="0">
                  <c:v> S. FORMACION</c:v>
                </c:pt>
                <c:pt idx="1">
                  <c:v> S. INVESTIGACIÓN</c:v>
                </c:pt>
                <c:pt idx="2">
                  <c:v> S.PROYECCION SOCIAL</c:v>
                </c:pt>
                <c:pt idx="3">
                  <c:v> S. BIENESTAR UNIVERSITARIO</c:v>
                </c:pt>
                <c:pt idx="4">
                  <c:v> S. ADMINISTRATIVO</c:v>
                </c:pt>
              </c:strCache>
            </c:strRef>
          </c:cat>
          <c:val>
            <c:numRef>
              <c:f>('P.ACION POR SUBSISTEMA'!$EL$208,'P.ACION POR SUBSISTEMA'!$EL$209,'P.ACION POR SUBSISTEMA'!$EL$210,'P.ACION POR SUBSISTEMA'!$EL$211,'P.ACION POR SUBSISTEMA'!$EL$212)</c:f>
              <c:numCache>
                <c:formatCode>#,##0</c:formatCode>
                <c:ptCount val="5"/>
                <c:pt idx="0">
                  <c:v>955358031</c:v>
                </c:pt>
                <c:pt idx="1">
                  <c:v>3498022563</c:v>
                </c:pt>
                <c:pt idx="2">
                  <c:v>1853898673</c:v>
                </c:pt>
                <c:pt idx="3">
                  <c:v>1985775008</c:v>
                </c:pt>
                <c:pt idx="4">
                  <c:v>4709181432</c:v>
                </c:pt>
              </c:numCache>
            </c:numRef>
          </c:val>
        </c:ser>
        <c:ser>
          <c:idx val="2"/>
          <c:order val="2"/>
          <c:tx>
            <c:v>% EJECUCION</c:v>
          </c:tx>
          <c:invertIfNegative val="0"/>
          <c:dLbls>
            <c:dLbl>
              <c:idx val="0"/>
              <c:layout>
                <c:manualLayout>
                  <c:x val="-5.8239847744986022E-2"/>
                  <c:y val="2.3391812865497935E-3"/>
                </c:manualLayout>
              </c:layout>
              <c:showLegendKey val="0"/>
              <c:showVal val="1"/>
              <c:showCatName val="0"/>
              <c:showSerName val="0"/>
              <c:showPercent val="0"/>
              <c:showBubbleSize val="0"/>
            </c:dLbl>
            <c:dLbl>
              <c:idx val="1"/>
              <c:layout>
                <c:manualLayout>
                  <c:x val="-5.620913079235574E-2"/>
                  <c:y val="-7.017728047152001E-3"/>
                </c:manualLayout>
              </c:layout>
              <c:showLegendKey val="0"/>
              <c:showVal val="1"/>
              <c:showCatName val="0"/>
              <c:showSerName val="0"/>
              <c:showPercent val="0"/>
              <c:showBubbleSize val="0"/>
            </c:dLbl>
            <c:dLbl>
              <c:idx val="2"/>
              <c:layout>
                <c:manualLayout>
                  <c:x val="-5.4600767505894647E-2"/>
                  <c:y val="-7.0175438596491229E-3"/>
                </c:manualLayout>
              </c:layout>
              <c:showLegendKey val="0"/>
              <c:showVal val="1"/>
              <c:showCatName val="0"/>
              <c:showSerName val="0"/>
              <c:showPercent val="0"/>
              <c:showBubbleSize val="0"/>
            </c:dLbl>
            <c:dLbl>
              <c:idx val="3"/>
              <c:layout>
                <c:manualLayout>
                  <c:x val="-5.8917513252533554E-2"/>
                  <c:y val="-1.4035087719298246E-2"/>
                </c:manualLayout>
              </c:layout>
              <c:showLegendKey val="0"/>
              <c:showVal val="1"/>
              <c:showCatName val="0"/>
              <c:showSerName val="0"/>
              <c:showPercent val="0"/>
              <c:showBubbleSize val="0"/>
            </c:dLbl>
            <c:dLbl>
              <c:idx val="4"/>
              <c:layout>
                <c:manualLayout>
                  <c:x val="-5.8917513252533554E-2"/>
                  <c:y val="-1.1901275498457429E-2"/>
                </c:manualLayout>
              </c:layout>
              <c:showLegendKey val="0"/>
              <c:showVal val="1"/>
              <c:showCatName val="0"/>
              <c:showSerName val="0"/>
              <c:showPercent val="0"/>
              <c:showBubbleSize val="0"/>
            </c:dLbl>
            <c:txPr>
              <a:bodyPr/>
              <a:lstStyle/>
              <a:p>
                <a:pPr>
                  <a:defRPr sz="1050" b="1"/>
                </a:pPr>
                <a:endParaRPr lang="es-CO"/>
              </a:p>
            </c:txPr>
            <c:showLegendKey val="0"/>
            <c:showVal val="1"/>
            <c:showCatName val="0"/>
            <c:showSerName val="0"/>
            <c:showPercent val="0"/>
            <c:showBubbleSize val="0"/>
            <c:showLeaderLines val="0"/>
          </c:dLbls>
          <c:cat>
            <c:strRef>
              <c:f>('P.ACION POR SUBSISTEMA'!$EG$208,'P.ACION POR SUBSISTEMA'!$EG$209,'P.ACION POR SUBSISTEMA'!$EG$210,'P.ACION POR SUBSISTEMA'!$EG$211,'P.ACION POR SUBSISTEMA'!$EG$212)</c:f>
              <c:strCache>
                <c:ptCount val="5"/>
                <c:pt idx="0">
                  <c:v> S. FORMACION</c:v>
                </c:pt>
                <c:pt idx="1">
                  <c:v> S. INVESTIGACIÓN</c:v>
                </c:pt>
                <c:pt idx="2">
                  <c:v> S.PROYECCION SOCIAL</c:v>
                </c:pt>
                <c:pt idx="3">
                  <c:v> S. BIENESTAR UNIVERSITARIO</c:v>
                </c:pt>
                <c:pt idx="4">
                  <c:v> S. ADMINISTRATIVO</c:v>
                </c:pt>
              </c:strCache>
            </c:strRef>
          </c:cat>
          <c:val>
            <c:numRef>
              <c:f>('P.ACION POR SUBSISTEMA'!$EM$208,'P.ACION POR SUBSISTEMA'!$EM$209,'P.ACION POR SUBSISTEMA'!$EM$210,'P.ACION POR SUBSISTEMA'!$EM$211,'P.ACION POR SUBSISTEMA'!$EM$212)</c:f>
              <c:numCache>
                <c:formatCode>0.00%</c:formatCode>
                <c:ptCount val="5"/>
                <c:pt idx="0">
                  <c:v>0.50895187845862722</c:v>
                </c:pt>
                <c:pt idx="1">
                  <c:v>0.53521014328971994</c:v>
                </c:pt>
                <c:pt idx="2">
                  <c:v>0.62019037773414976</c:v>
                </c:pt>
                <c:pt idx="3">
                  <c:v>0.77713932736097102</c:v>
                </c:pt>
                <c:pt idx="4">
                  <c:v>0.4230419090888336</c:v>
                </c:pt>
              </c:numCache>
            </c:numRef>
          </c:val>
        </c:ser>
        <c:dLbls>
          <c:showLegendKey val="0"/>
          <c:showVal val="1"/>
          <c:showCatName val="0"/>
          <c:showSerName val="0"/>
          <c:showPercent val="0"/>
          <c:showBubbleSize val="0"/>
        </c:dLbls>
        <c:gapWidth val="75"/>
        <c:shape val="box"/>
        <c:axId val="149472768"/>
        <c:axId val="149474304"/>
        <c:axId val="0"/>
      </c:bar3DChart>
      <c:catAx>
        <c:axId val="149472768"/>
        <c:scaling>
          <c:orientation val="minMax"/>
        </c:scaling>
        <c:delete val="0"/>
        <c:axPos val="b"/>
        <c:majorTickMark val="none"/>
        <c:minorTickMark val="none"/>
        <c:tickLblPos val="nextTo"/>
        <c:crossAx val="149474304"/>
        <c:crosses val="autoZero"/>
        <c:auto val="1"/>
        <c:lblAlgn val="ctr"/>
        <c:lblOffset val="100"/>
        <c:noMultiLvlLbl val="0"/>
      </c:catAx>
      <c:valAx>
        <c:axId val="149474304"/>
        <c:scaling>
          <c:orientation val="minMax"/>
        </c:scaling>
        <c:delete val="0"/>
        <c:axPos val="l"/>
        <c:majorGridlines/>
        <c:numFmt formatCode="#,##0" sourceLinked="1"/>
        <c:majorTickMark val="out"/>
        <c:minorTickMark val="none"/>
        <c:tickLblPos val="nextTo"/>
        <c:txPr>
          <a:bodyPr/>
          <a:lstStyle/>
          <a:p>
            <a:pPr>
              <a:defRPr sz="900"/>
            </a:pPr>
            <a:endParaRPr lang="es-CO"/>
          </a:p>
        </c:txPr>
        <c:crossAx val="149472768"/>
        <c:crosses val="autoZero"/>
        <c:crossBetween val="between"/>
      </c:valAx>
    </c:plotArea>
    <c:legend>
      <c:legendPos val="b"/>
      <c:layout/>
      <c:overlay val="0"/>
    </c:legend>
    <c:plotVisOnly val="1"/>
    <c:dispBlanksAs val="gap"/>
    <c:showDLblsOverMax val="0"/>
  </c:chart>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800" b="1" i="0" baseline="0">
                <a:effectLst/>
              </a:rPr>
              <a:t>          EJECUCION PLAN DE ACCION POR RUBROS PRESUPUESTALES </a:t>
            </a:r>
          </a:p>
          <a:p>
            <a:pPr>
              <a:defRPr/>
            </a:pPr>
            <a:r>
              <a:rPr lang="es-CO" sz="1800" b="1" i="0" baseline="0">
                <a:effectLst/>
              </a:rPr>
              <a:t>A  SEPTIEMBRE DE 2015</a:t>
            </a:r>
            <a:endParaRPr lang="es-CO">
              <a:effectLst/>
            </a:endParaRPr>
          </a:p>
        </c:rich>
      </c:tx>
      <c:layout>
        <c:manualLayout>
          <c:xMode val="edge"/>
          <c:yMode val="edge"/>
          <c:x val="0.16589077347751385"/>
          <c:y val="1.4492750866759697E-2"/>
        </c:manualLayout>
      </c:layout>
      <c:overlay val="0"/>
    </c:title>
    <c:autoTitleDeleted val="0"/>
    <c:view3D>
      <c:rotX val="10"/>
      <c:rotY val="10"/>
      <c:depthPercent val="150"/>
      <c:rAngAx val="0"/>
      <c:perspective val="10"/>
    </c:view3D>
    <c:floor>
      <c:thickness val="0"/>
    </c:floor>
    <c:sideWall>
      <c:thickness val="0"/>
    </c:sideWall>
    <c:backWall>
      <c:thickness val="0"/>
    </c:backWall>
    <c:plotArea>
      <c:layout>
        <c:manualLayout>
          <c:layoutTarget val="inner"/>
          <c:xMode val="edge"/>
          <c:yMode val="edge"/>
          <c:x val="0.10320579110651498"/>
          <c:y val="0.16051463339901986"/>
          <c:w val="0.88134213833405262"/>
          <c:h val="0.53763978514972321"/>
        </c:manualLayout>
      </c:layout>
      <c:bar3DChart>
        <c:barDir val="col"/>
        <c:grouping val="clustered"/>
        <c:varyColors val="0"/>
        <c:ser>
          <c:idx val="0"/>
          <c:order val="0"/>
          <c:tx>
            <c:v>R. ASIGNADOS</c:v>
          </c:tx>
          <c:invertIfNegative val="0"/>
          <c:dLbls>
            <c:dLbl>
              <c:idx val="0"/>
              <c:layout>
                <c:manualLayout>
                  <c:x val="8.2730093071354711E-3"/>
                  <c:y val="7.2463754333798704E-3"/>
                </c:manualLayout>
              </c:layout>
              <c:showLegendKey val="0"/>
              <c:showVal val="1"/>
              <c:showCatName val="0"/>
              <c:showSerName val="0"/>
              <c:showPercent val="0"/>
              <c:showBubbleSize val="0"/>
            </c:dLbl>
            <c:txPr>
              <a:bodyPr/>
              <a:lstStyle/>
              <a:p>
                <a:pPr>
                  <a:defRPr sz="1050" b="1"/>
                </a:pPr>
                <a:endParaRPr lang="es-CO"/>
              </a:p>
            </c:txPr>
            <c:showLegendKey val="0"/>
            <c:showVal val="1"/>
            <c:showCatName val="0"/>
            <c:showSerName val="0"/>
            <c:showPercent val="0"/>
            <c:showBubbleSize val="0"/>
            <c:showLeaderLines val="0"/>
          </c:dLbls>
          <c:cat>
            <c:strRef>
              <c:f>('P.ACION POR SUBSISTEMA'!$EG$198,'P.ACION POR SUBSISTEMA'!$EG$199,'P.ACION POR SUBSISTEMA'!$EG$200,'P.ACION POR SUBSISTEMA'!$EG$201,'P.ACION POR SUBSISTEMA'!$EG$202,'P.ACION POR SUBSISTEMA'!$EG$203,'P.ACION POR SUBSISTEMA'!$EG$204)</c:f>
              <c:strCache>
                <c:ptCount val="7"/>
                <c:pt idx="0">
                  <c:v>CONSTRUCCIONES</c:v>
                </c:pt>
                <c:pt idx="1">
                  <c:v>ADQUISICION EQUIPOS</c:v>
                </c:pt>
                <c:pt idx="2">
                  <c:v>CAPACITACION</c:v>
                </c:pt>
                <c:pt idx="3">
                  <c:v>INVESTIGACIONES</c:v>
                </c:pt>
                <c:pt idx="4">
                  <c:v>PLANEACION</c:v>
                </c:pt>
                <c:pt idx="5">
                  <c:v>EXTENSION</c:v>
                </c:pt>
                <c:pt idx="6">
                  <c:v>BIENESTAR UNIVERSITARIO</c:v>
                </c:pt>
              </c:strCache>
            </c:strRef>
          </c:cat>
          <c:val>
            <c:numRef>
              <c:f>('P.ACION POR SUBSISTEMA'!$EK$198,'P.ACION POR SUBSISTEMA'!$EK$199,'P.ACION POR SUBSISTEMA'!$EK$200,'P.ACION POR SUBSISTEMA'!$EK$201,'P.ACION POR SUBSISTEMA'!$EK$202,'P.ACION POR SUBSISTEMA'!$EK$203,'P.ACION POR SUBSISTEMA'!$EK$204)</c:f>
              <c:numCache>
                <c:formatCode>#,##0</c:formatCode>
                <c:ptCount val="7"/>
                <c:pt idx="0">
                  <c:v>6657597529</c:v>
                </c:pt>
                <c:pt idx="1">
                  <c:v>3641271790</c:v>
                </c:pt>
                <c:pt idx="2">
                  <c:v>1176253184</c:v>
                </c:pt>
                <c:pt idx="3">
                  <c:v>6535792729</c:v>
                </c:pt>
                <c:pt idx="4">
                  <c:v>1533700000</c:v>
                </c:pt>
                <c:pt idx="5">
                  <c:v>2989241271</c:v>
                </c:pt>
                <c:pt idx="6">
                  <c:v>2555236800</c:v>
                </c:pt>
              </c:numCache>
            </c:numRef>
          </c:val>
        </c:ser>
        <c:ser>
          <c:idx val="1"/>
          <c:order val="1"/>
          <c:tx>
            <c:v>R. EJECUTADOS</c:v>
          </c:tx>
          <c:invertIfNegative val="0"/>
          <c:dLbls>
            <c:txPr>
              <a:bodyPr/>
              <a:lstStyle/>
              <a:p>
                <a:pPr>
                  <a:defRPr sz="1050" b="1"/>
                </a:pPr>
                <a:endParaRPr lang="es-CO"/>
              </a:p>
            </c:txPr>
            <c:showLegendKey val="0"/>
            <c:showVal val="1"/>
            <c:showCatName val="0"/>
            <c:showSerName val="0"/>
            <c:showPercent val="0"/>
            <c:showBubbleSize val="0"/>
            <c:showLeaderLines val="0"/>
          </c:dLbls>
          <c:cat>
            <c:strRef>
              <c:f>('P.ACION POR SUBSISTEMA'!$EG$198,'P.ACION POR SUBSISTEMA'!$EG$199,'P.ACION POR SUBSISTEMA'!$EG$200,'P.ACION POR SUBSISTEMA'!$EG$201,'P.ACION POR SUBSISTEMA'!$EG$202,'P.ACION POR SUBSISTEMA'!$EG$203,'P.ACION POR SUBSISTEMA'!$EG$204)</c:f>
              <c:strCache>
                <c:ptCount val="7"/>
                <c:pt idx="0">
                  <c:v>CONSTRUCCIONES</c:v>
                </c:pt>
                <c:pt idx="1">
                  <c:v>ADQUISICION EQUIPOS</c:v>
                </c:pt>
                <c:pt idx="2">
                  <c:v>CAPACITACION</c:v>
                </c:pt>
                <c:pt idx="3">
                  <c:v>INVESTIGACIONES</c:v>
                </c:pt>
                <c:pt idx="4">
                  <c:v>PLANEACION</c:v>
                </c:pt>
                <c:pt idx="5">
                  <c:v>EXTENSION</c:v>
                </c:pt>
                <c:pt idx="6">
                  <c:v>BIENESTAR UNIVERSITARIO</c:v>
                </c:pt>
              </c:strCache>
            </c:strRef>
          </c:cat>
          <c:val>
            <c:numRef>
              <c:f>('P.ACION POR SUBSISTEMA'!$EL$198,'P.ACION POR SUBSISTEMA'!$EL$199,'P.ACION POR SUBSISTEMA'!$EL$200,'P.ACION POR SUBSISTEMA'!$EL$201,'P.ACION POR SUBSISTEMA'!$EL$202,'P.ACION POR SUBSISTEMA'!$EL$203,'P.ACION POR SUBSISTEMA'!$EL$204)</c:f>
              <c:numCache>
                <c:formatCode>#,##0</c:formatCode>
                <c:ptCount val="7"/>
                <c:pt idx="0">
                  <c:v>2279061974</c:v>
                </c:pt>
                <c:pt idx="1">
                  <c:v>1898549257</c:v>
                </c:pt>
                <c:pt idx="2">
                  <c:v>734185185</c:v>
                </c:pt>
                <c:pt idx="3">
                  <c:v>3498022563</c:v>
                </c:pt>
                <c:pt idx="4">
                  <c:v>752743047</c:v>
                </c:pt>
                <c:pt idx="5">
                  <c:v>1853898673</c:v>
                </c:pt>
                <c:pt idx="6">
                  <c:v>1985775008</c:v>
                </c:pt>
              </c:numCache>
            </c:numRef>
          </c:val>
        </c:ser>
        <c:ser>
          <c:idx val="2"/>
          <c:order val="2"/>
          <c:tx>
            <c:v>% EJECUCION</c:v>
          </c:tx>
          <c:invertIfNegative val="0"/>
          <c:dLbls>
            <c:dLbl>
              <c:idx val="0"/>
              <c:layout>
                <c:manualLayout>
                  <c:x val="-2.9007320310400705E-2"/>
                  <c:y val="-1.4492750866759697E-2"/>
                </c:manualLayout>
              </c:layout>
              <c:showLegendKey val="0"/>
              <c:showVal val="1"/>
              <c:showCatName val="0"/>
              <c:showSerName val="0"/>
              <c:showPercent val="0"/>
              <c:showBubbleSize val="0"/>
            </c:dLbl>
            <c:dLbl>
              <c:idx val="1"/>
              <c:layout>
                <c:manualLayout>
                  <c:x val="-2.9007320310400705E-2"/>
                  <c:y val="0"/>
                </c:manualLayout>
              </c:layout>
              <c:showLegendKey val="0"/>
              <c:showVal val="1"/>
              <c:showCatName val="0"/>
              <c:showSerName val="0"/>
              <c:showPercent val="0"/>
              <c:showBubbleSize val="0"/>
            </c:dLbl>
            <c:dLbl>
              <c:idx val="2"/>
              <c:layout>
                <c:manualLayout>
                  <c:x val="-3.0412211917150479E-2"/>
                  <c:y val="0"/>
                </c:manualLayout>
              </c:layout>
              <c:showLegendKey val="0"/>
              <c:showVal val="1"/>
              <c:showCatName val="0"/>
              <c:showSerName val="0"/>
              <c:showPercent val="0"/>
              <c:showBubbleSize val="0"/>
            </c:dLbl>
            <c:dLbl>
              <c:idx val="3"/>
              <c:layout>
                <c:manualLayout>
                  <c:x val="-3.0399183556036879E-2"/>
                  <c:y val="-1.4492750866759697E-2"/>
                </c:manualLayout>
              </c:layout>
              <c:showLegendKey val="0"/>
              <c:showVal val="1"/>
              <c:showCatName val="0"/>
              <c:showSerName val="0"/>
              <c:showPercent val="0"/>
              <c:showBubbleSize val="0"/>
            </c:dLbl>
            <c:dLbl>
              <c:idx val="4"/>
              <c:layout>
                <c:manualLayout>
                  <c:x val="-3.0373235403485629E-2"/>
                  <c:y val="0"/>
                </c:manualLayout>
              </c:layout>
              <c:showLegendKey val="0"/>
              <c:showVal val="1"/>
              <c:showCatName val="0"/>
              <c:showSerName val="0"/>
              <c:showPercent val="0"/>
              <c:showBubbleSize val="0"/>
            </c:dLbl>
            <c:dLbl>
              <c:idx val="5"/>
              <c:layout>
                <c:manualLayout>
                  <c:x val="-3.179093823199701E-2"/>
                  <c:y val="-1.690820934455298E-2"/>
                </c:manualLayout>
              </c:layout>
              <c:showLegendKey val="0"/>
              <c:showVal val="1"/>
              <c:showCatName val="0"/>
              <c:showSerName val="0"/>
              <c:showPercent val="0"/>
              <c:showBubbleSize val="0"/>
            </c:dLbl>
            <c:dLbl>
              <c:idx val="6"/>
              <c:layout>
                <c:manualLayout>
                  <c:x val="-3.3169773116519689E-2"/>
                  <c:y val="-1.4492750866759697E-2"/>
                </c:manualLayout>
              </c:layout>
              <c:showLegendKey val="0"/>
              <c:showVal val="1"/>
              <c:showCatName val="0"/>
              <c:showSerName val="0"/>
              <c:showPercent val="0"/>
              <c:showBubbleSize val="0"/>
            </c:dLbl>
            <c:txPr>
              <a:bodyPr/>
              <a:lstStyle/>
              <a:p>
                <a:pPr>
                  <a:defRPr sz="1050" b="1"/>
                </a:pPr>
                <a:endParaRPr lang="es-CO"/>
              </a:p>
            </c:txPr>
            <c:showLegendKey val="0"/>
            <c:showVal val="1"/>
            <c:showCatName val="0"/>
            <c:showSerName val="0"/>
            <c:showPercent val="0"/>
            <c:showBubbleSize val="0"/>
            <c:showLeaderLines val="0"/>
          </c:dLbls>
          <c:cat>
            <c:strRef>
              <c:f>('P.ACION POR SUBSISTEMA'!$EG$198,'P.ACION POR SUBSISTEMA'!$EG$199,'P.ACION POR SUBSISTEMA'!$EG$200,'P.ACION POR SUBSISTEMA'!$EG$201,'P.ACION POR SUBSISTEMA'!$EG$202,'P.ACION POR SUBSISTEMA'!$EG$203,'P.ACION POR SUBSISTEMA'!$EG$204)</c:f>
              <c:strCache>
                <c:ptCount val="7"/>
                <c:pt idx="0">
                  <c:v>CONSTRUCCIONES</c:v>
                </c:pt>
                <c:pt idx="1">
                  <c:v>ADQUISICION EQUIPOS</c:v>
                </c:pt>
                <c:pt idx="2">
                  <c:v>CAPACITACION</c:v>
                </c:pt>
                <c:pt idx="3">
                  <c:v>INVESTIGACIONES</c:v>
                </c:pt>
                <c:pt idx="4">
                  <c:v>PLANEACION</c:v>
                </c:pt>
                <c:pt idx="5">
                  <c:v>EXTENSION</c:v>
                </c:pt>
                <c:pt idx="6">
                  <c:v>BIENESTAR UNIVERSITARIO</c:v>
                </c:pt>
              </c:strCache>
            </c:strRef>
          </c:cat>
          <c:val>
            <c:numRef>
              <c:f>('P.ACION POR SUBSISTEMA'!$EM$198,'P.ACION POR SUBSISTEMA'!$EM$199,'P.ACION POR SUBSISTEMA'!$EM$200,'P.ACION POR SUBSISTEMA'!$EM$201,'P.ACION POR SUBSISTEMA'!$EM$202,'P.ACION POR SUBSISTEMA'!$EM$203,'P.ACION POR SUBSISTEMA'!$EM$204)</c:f>
              <c:numCache>
                <c:formatCode>0.00%</c:formatCode>
                <c:ptCount val="7"/>
                <c:pt idx="0">
                  <c:v>0.3423249849623044</c:v>
                </c:pt>
                <c:pt idx="1">
                  <c:v>0.5213972937186323</c:v>
                </c:pt>
                <c:pt idx="2">
                  <c:v>0.62417275037956454</c:v>
                </c:pt>
                <c:pt idx="3">
                  <c:v>0.53521014328971994</c:v>
                </c:pt>
                <c:pt idx="4">
                  <c:v>0.49080201277955271</c:v>
                </c:pt>
                <c:pt idx="5">
                  <c:v>0.62019037773414976</c:v>
                </c:pt>
                <c:pt idx="6">
                  <c:v>0.77713932736097102</c:v>
                </c:pt>
              </c:numCache>
            </c:numRef>
          </c:val>
        </c:ser>
        <c:dLbls>
          <c:showLegendKey val="0"/>
          <c:showVal val="1"/>
          <c:showCatName val="0"/>
          <c:showSerName val="0"/>
          <c:showPercent val="0"/>
          <c:showBubbleSize val="0"/>
        </c:dLbls>
        <c:gapWidth val="150"/>
        <c:shape val="box"/>
        <c:axId val="153780224"/>
        <c:axId val="153781760"/>
        <c:axId val="0"/>
      </c:bar3DChart>
      <c:catAx>
        <c:axId val="153780224"/>
        <c:scaling>
          <c:orientation val="minMax"/>
        </c:scaling>
        <c:delete val="0"/>
        <c:axPos val="b"/>
        <c:majorTickMark val="none"/>
        <c:minorTickMark val="none"/>
        <c:tickLblPos val="nextTo"/>
        <c:crossAx val="153781760"/>
        <c:crosses val="autoZero"/>
        <c:auto val="1"/>
        <c:lblAlgn val="ctr"/>
        <c:lblOffset val="100"/>
        <c:noMultiLvlLbl val="0"/>
      </c:catAx>
      <c:valAx>
        <c:axId val="153781760"/>
        <c:scaling>
          <c:orientation val="minMax"/>
        </c:scaling>
        <c:delete val="0"/>
        <c:axPos val="l"/>
        <c:majorGridlines/>
        <c:numFmt formatCode="#,##0" sourceLinked="1"/>
        <c:majorTickMark val="out"/>
        <c:minorTickMark val="none"/>
        <c:tickLblPos val="nextTo"/>
        <c:crossAx val="153780224"/>
        <c:crosses val="autoZero"/>
        <c:crossBetween val="between"/>
      </c:valAx>
    </c:plotArea>
    <c:legend>
      <c:legendPos val="b"/>
      <c:layout>
        <c:manualLayout>
          <c:xMode val="edge"/>
          <c:yMode val="edge"/>
          <c:x val="0.4032408944706547"/>
          <c:y val="0.92492051334769043"/>
          <c:w val="0.34741525458231887"/>
          <c:h val="4.3678526440996908E-2"/>
        </c:manualLayout>
      </c:layou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800" b="1" i="0" baseline="0">
                <a:effectLst/>
              </a:rPr>
              <a:t>% DE EJECUCION A SEPTIEMBRE DE 2015</a:t>
            </a:r>
            <a:endParaRPr lang="es-CO">
              <a:effectLst/>
            </a:endParaRP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v>% EJECUCION</c:v>
          </c:tx>
          <c:invertIfNegative val="0"/>
          <c:dLbls>
            <c:dLbl>
              <c:idx val="0"/>
              <c:layout>
                <c:manualLayout>
                  <c:x val="2.3767082590612004E-3"/>
                  <c:y val="-1.441441850448138E-2"/>
                </c:manualLayout>
              </c:layout>
              <c:showLegendKey val="0"/>
              <c:showVal val="1"/>
              <c:showCatName val="0"/>
              <c:showSerName val="0"/>
              <c:showPercent val="0"/>
              <c:showBubbleSize val="0"/>
            </c:dLbl>
            <c:dLbl>
              <c:idx val="1"/>
              <c:layout>
                <c:manualLayout>
                  <c:x val="-2.3767082590612004E-3"/>
                  <c:y val="-1.0810813878361036E-2"/>
                </c:manualLayout>
              </c:layout>
              <c:showLegendKey val="0"/>
              <c:showVal val="1"/>
              <c:showCatName val="0"/>
              <c:showSerName val="0"/>
              <c:showPercent val="0"/>
              <c:showBubbleSize val="0"/>
            </c:dLbl>
            <c:dLbl>
              <c:idx val="2"/>
              <c:layout>
                <c:manualLayout>
                  <c:x val="0"/>
                  <c:y val="-7.2072092522406902E-3"/>
                </c:manualLayout>
              </c:layout>
              <c:showLegendKey val="0"/>
              <c:showVal val="1"/>
              <c:showCatName val="0"/>
              <c:showSerName val="0"/>
              <c:showPercent val="0"/>
              <c:showBubbleSize val="0"/>
            </c:dLbl>
            <c:dLbl>
              <c:idx val="3"/>
              <c:layout>
                <c:manualLayout>
                  <c:x val="0"/>
                  <c:y val="-1.0810813878361036E-2"/>
                </c:manualLayout>
              </c:layout>
              <c:showLegendKey val="0"/>
              <c:showVal val="1"/>
              <c:showCatName val="0"/>
              <c:showSerName val="0"/>
              <c:showPercent val="0"/>
              <c:showBubbleSize val="0"/>
            </c:dLbl>
            <c:dLbl>
              <c:idx val="4"/>
              <c:layout>
                <c:manualLayout>
                  <c:x val="-1.8714238260324411E-7"/>
                  <c:y val="-2.1621627756722071E-2"/>
                </c:manualLayout>
              </c:layout>
              <c:showLegendKey val="0"/>
              <c:showVal val="1"/>
              <c:showCatName val="0"/>
              <c:showSerName val="0"/>
              <c:showPercent val="0"/>
              <c:showBubbleSize val="0"/>
            </c:dLbl>
            <c:txPr>
              <a:bodyPr/>
              <a:lstStyle/>
              <a:p>
                <a:pPr>
                  <a:defRPr b="1"/>
                </a:pPr>
                <a:endParaRPr lang="es-CO"/>
              </a:p>
            </c:txPr>
            <c:showLegendKey val="0"/>
            <c:showVal val="1"/>
            <c:showCatName val="0"/>
            <c:showSerName val="0"/>
            <c:showPercent val="0"/>
            <c:showBubbleSize val="0"/>
            <c:showLeaderLines val="0"/>
          </c:dLbls>
          <c:cat>
            <c:strRef>
              <c:f>'P.ACION POR SUBSISTEMA'!$D$277:$D$281</c:f>
              <c:strCache>
                <c:ptCount val="5"/>
                <c:pt idx="0">
                  <c:v>FORMACION</c:v>
                </c:pt>
                <c:pt idx="1">
                  <c:v>INVESTIGACION</c:v>
                </c:pt>
                <c:pt idx="2">
                  <c:v>PROY. SOCIAL</c:v>
                </c:pt>
                <c:pt idx="3">
                  <c:v>BIENESTAR</c:v>
                </c:pt>
                <c:pt idx="4">
                  <c:v>ADMINISTRATIVO</c:v>
                </c:pt>
              </c:strCache>
            </c:strRef>
          </c:cat>
          <c:val>
            <c:numRef>
              <c:f>'P.ACION POR SUBSISTEMA'!$F$277:$F$281</c:f>
              <c:numCache>
                <c:formatCode>0.00%</c:formatCode>
                <c:ptCount val="5"/>
                <c:pt idx="0">
                  <c:v>0.50895187845862722</c:v>
                </c:pt>
                <c:pt idx="1">
                  <c:v>0.53521014328971994</c:v>
                </c:pt>
                <c:pt idx="2">
                  <c:v>0.62019037773414976</c:v>
                </c:pt>
                <c:pt idx="3">
                  <c:v>0.77713932736097102</c:v>
                </c:pt>
                <c:pt idx="4">
                  <c:v>0.4230419090888336</c:v>
                </c:pt>
              </c:numCache>
            </c:numRef>
          </c:val>
        </c:ser>
        <c:dLbls>
          <c:showLegendKey val="0"/>
          <c:showVal val="1"/>
          <c:showCatName val="0"/>
          <c:showSerName val="0"/>
          <c:showPercent val="0"/>
          <c:showBubbleSize val="0"/>
        </c:dLbls>
        <c:gapWidth val="150"/>
        <c:shape val="box"/>
        <c:axId val="153830528"/>
        <c:axId val="153837568"/>
        <c:axId val="0"/>
      </c:bar3DChart>
      <c:catAx>
        <c:axId val="153830528"/>
        <c:scaling>
          <c:orientation val="minMax"/>
        </c:scaling>
        <c:delete val="0"/>
        <c:axPos val="b"/>
        <c:majorTickMark val="none"/>
        <c:minorTickMark val="none"/>
        <c:tickLblPos val="nextTo"/>
        <c:crossAx val="153837568"/>
        <c:crosses val="autoZero"/>
        <c:auto val="1"/>
        <c:lblAlgn val="ctr"/>
        <c:lblOffset val="100"/>
        <c:noMultiLvlLbl val="0"/>
      </c:catAx>
      <c:valAx>
        <c:axId val="153837568"/>
        <c:scaling>
          <c:orientation val="minMax"/>
        </c:scaling>
        <c:delete val="1"/>
        <c:axPos val="l"/>
        <c:numFmt formatCode="0.00%" sourceLinked="1"/>
        <c:majorTickMark val="none"/>
        <c:minorTickMark val="none"/>
        <c:tickLblPos val="nextTo"/>
        <c:crossAx val="153830528"/>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800" b="1" i="0" baseline="0">
                <a:effectLst/>
              </a:rPr>
              <a:t>PORCENTAJE DE EJECUCION POR RUBROS PRESUPUESTALES A SEPTIEMBRE DE 2015</a:t>
            </a:r>
          </a:p>
        </c:rich>
      </c:tx>
      <c:overlay val="0"/>
    </c:title>
    <c:autoTitleDeleted val="0"/>
    <c:view3D>
      <c:rotX val="10"/>
      <c:rotY val="20"/>
      <c:depthPercent val="150"/>
      <c:rAngAx val="1"/>
    </c:view3D>
    <c:floor>
      <c:thickness val="0"/>
    </c:floor>
    <c:sideWall>
      <c:thickness val="0"/>
    </c:sideWall>
    <c:backWall>
      <c:thickness val="0"/>
    </c:backWall>
    <c:plotArea>
      <c:layout/>
      <c:bar3DChart>
        <c:barDir val="col"/>
        <c:grouping val="clustered"/>
        <c:varyColors val="0"/>
        <c:ser>
          <c:idx val="0"/>
          <c:order val="0"/>
          <c:tx>
            <c:v>% EJECUCION</c:v>
          </c:tx>
          <c:invertIfNegative val="0"/>
          <c:dLbls>
            <c:txPr>
              <a:bodyPr/>
              <a:lstStyle/>
              <a:p>
                <a:pPr>
                  <a:defRPr b="1" i="0"/>
                </a:pPr>
                <a:endParaRPr lang="es-CO"/>
              </a:p>
            </c:txPr>
            <c:showLegendKey val="0"/>
            <c:showVal val="1"/>
            <c:showCatName val="0"/>
            <c:showSerName val="0"/>
            <c:showPercent val="0"/>
            <c:showBubbleSize val="0"/>
            <c:showLeaderLines val="0"/>
          </c:dLbls>
          <c:cat>
            <c:strRef>
              <c:f>'P.ACION POR SUBSISTEMA'!$EG$198:$EG$204</c:f>
              <c:strCache>
                <c:ptCount val="7"/>
                <c:pt idx="0">
                  <c:v>CONSTRUCCIONES</c:v>
                </c:pt>
                <c:pt idx="1">
                  <c:v>ADQUISICION EQUIPOS</c:v>
                </c:pt>
                <c:pt idx="2">
                  <c:v>CAPACITACION</c:v>
                </c:pt>
                <c:pt idx="3">
                  <c:v>INVESTIGACIONES</c:v>
                </c:pt>
                <c:pt idx="4">
                  <c:v>PLANEACION</c:v>
                </c:pt>
                <c:pt idx="5">
                  <c:v>EXTENSION</c:v>
                </c:pt>
                <c:pt idx="6">
                  <c:v>BIENESTAR UNIVERSITARIO</c:v>
                </c:pt>
              </c:strCache>
            </c:strRef>
          </c:cat>
          <c:val>
            <c:numRef>
              <c:f>'P.ACION POR SUBSISTEMA'!$EM$198:$EM$204</c:f>
              <c:numCache>
                <c:formatCode>0.00%</c:formatCode>
                <c:ptCount val="7"/>
                <c:pt idx="0">
                  <c:v>0.3423249849623044</c:v>
                </c:pt>
                <c:pt idx="1">
                  <c:v>0.5213972937186323</c:v>
                </c:pt>
                <c:pt idx="2">
                  <c:v>0.62417275037956454</c:v>
                </c:pt>
                <c:pt idx="3">
                  <c:v>0.53521014328971994</c:v>
                </c:pt>
                <c:pt idx="4">
                  <c:v>0.49080201277955271</c:v>
                </c:pt>
                <c:pt idx="5">
                  <c:v>0.62019037773414976</c:v>
                </c:pt>
                <c:pt idx="6">
                  <c:v>0.77713932736097102</c:v>
                </c:pt>
              </c:numCache>
            </c:numRef>
          </c:val>
        </c:ser>
        <c:dLbls>
          <c:showLegendKey val="0"/>
          <c:showVal val="1"/>
          <c:showCatName val="0"/>
          <c:showSerName val="0"/>
          <c:showPercent val="0"/>
          <c:showBubbleSize val="0"/>
        </c:dLbls>
        <c:gapWidth val="150"/>
        <c:shape val="box"/>
        <c:axId val="153863296"/>
        <c:axId val="153874432"/>
        <c:axId val="0"/>
      </c:bar3DChart>
      <c:catAx>
        <c:axId val="153863296"/>
        <c:scaling>
          <c:orientation val="minMax"/>
        </c:scaling>
        <c:delete val="0"/>
        <c:axPos val="b"/>
        <c:numFmt formatCode="General" sourceLinked="1"/>
        <c:majorTickMark val="none"/>
        <c:minorTickMark val="none"/>
        <c:tickLblPos val="nextTo"/>
        <c:crossAx val="153874432"/>
        <c:crosses val="autoZero"/>
        <c:auto val="1"/>
        <c:lblAlgn val="ctr"/>
        <c:lblOffset val="100"/>
        <c:noMultiLvlLbl val="0"/>
      </c:catAx>
      <c:valAx>
        <c:axId val="153874432"/>
        <c:scaling>
          <c:orientation val="minMax"/>
        </c:scaling>
        <c:delete val="1"/>
        <c:axPos val="l"/>
        <c:numFmt formatCode="0.00%" sourceLinked="1"/>
        <c:majorTickMark val="out"/>
        <c:minorTickMark val="none"/>
        <c:tickLblPos val="nextTo"/>
        <c:crossAx val="153863296"/>
        <c:crosses val="autoZero"/>
        <c:crossBetween val="between"/>
      </c:valAx>
    </c:plotArea>
    <c:legend>
      <c:legendPos val="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46</xdr:col>
      <xdr:colOff>47624</xdr:colOff>
      <xdr:row>208</xdr:row>
      <xdr:rowOff>104775</xdr:rowOff>
    </xdr:from>
    <xdr:to>
      <xdr:col>134</xdr:col>
      <xdr:colOff>438150</xdr:colOff>
      <xdr:row>237</xdr:row>
      <xdr:rowOff>9525</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714375</xdr:colOff>
      <xdr:row>243</xdr:row>
      <xdr:rowOff>57149</xdr:rowOff>
    </xdr:from>
    <xdr:to>
      <xdr:col>134</xdr:col>
      <xdr:colOff>400050</xdr:colOff>
      <xdr:row>270</xdr:row>
      <xdr:rowOff>171450</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46</xdr:col>
      <xdr:colOff>657223</xdr:colOff>
      <xdr:row>272</xdr:row>
      <xdr:rowOff>171450</xdr:rowOff>
    </xdr:from>
    <xdr:to>
      <xdr:col>113</xdr:col>
      <xdr:colOff>95249</xdr:colOff>
      <xdr:row>292</xdr:row>
      <xdr:rowOff>19050</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46</xdr:col>
      <xdr:colOff>542925</xdr:colOff>
      <xdr:row>296</xdr:row>
      <xdr:rowOff>104774</xdr:rowOff>
    </xdr:from>
    <xdr:to>
      <xdr:col>113</xdr:col>
      <xdr:colOff>19049</xdr:colOff>
      <xdr:row>318</xdr:row>
      <xdr:rowOff>95250</xdr:rowOff>
    </xdr:to>
    <xdr:graphicFrame macro="">
      <xdr:nvGraphicFramePr>
        <xdr:cNvPr id="8" name="7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0.12267</cdr:x>
      <cdr:y>0.04819</cdr:y>
    </cdr:from>
    <cdr:to>
      <cdr:x>0.91733</cdr:x>
      <cdr:y>0.12249</cdr:y>
    </cdr:to>
    <cdr:sp macro="" textlink="">
      <cdr:nvSpPr>
        <cdr:cNvPr id="2" name="1 CuadroTexto"/>
        <cdr:cNvSpPr txBox="1"/>
      </cdr:nvSpPr>
      <cdr:spPr>
        <a:xfrm xmlns:a="http://schemas.openxmlformats.org/drawingml/2006/main">
          <a:off x="876302" y="228599"/>
          <a:ext cx="5676900" cy="3524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es-CO" sz="1800" b="1" i="0" baseline="0">
              <a:effectLst/>
              <a:latin typeface="+mn-lt"/>
              <a:ea typeface="+mn-ea"/>
              <a:cs typeface="+mn-cs"/>
            </a:rPr>
            <a:t>EJECUCION PLAN DE ACCION A SEPTIEMBRE DE 2015</a:t>
          </a:r>
          <a:endParaRPr lang="es-CO" sz="1800">
            <a:effectLst/>
          </a:endParaRPr>
        </a:p>
        <a:p xmlns:a="http://schemas.openxmlformats.org/drawingml/2006/main">
          <a:pPr algn="ctr"/>
          <a:endParaRPr lang="es-CO" sz="1800"/>
        </a:p>
      </cdr:txBody>
    </cdr:sp>
  </cdr:relSizeAnchor>
</c:userShapes>
</file>

<file path=xl/externalLinks/_rels/externalLink1.xml.rels><?xml version="1.0" encoding="UTF-8" standalone="yes"?>
<Relationships xmlns="http://schemas.openxmlformats.org/package/2006/relationships"><Relationship Id="rId1" Type="http://schemas.microsoft.com/office/2006/relationships/xlExternalLinkPath/xlPathMissing" Target="PLAN%20DE%20ACCI&#211;N%202010%20INIC"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Planeaci&#243;n/Desktop/INFORMACION%202015/ANTEPROYECTO%20PRESUPUSTO%202015/INFORME%20PRESUPUESTAL%202015/JULIO%20DE%20201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PLANEA~1/AppData/Local/Temp/INFORME%20PRESUPUESTAL%202015/MARZO%20201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PLANEA~1/AppData/Local/Temp/INFORME%20PRESUPUESTAL%202015/FEBRERO%20201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Planeaci&#243;n/Desktop/INFORMACION%202015/ANTEPROYECTO%20PRESUPUSTO%202015/INFORME%20PRESUPUESTAL%202015/Copia%20de%20JUNIO%202015-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Planeaci&#243;n/Desktop/Copia%20de%20MAYO%20201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Planeaci&#243;n/Desktop/FEBRERO%20201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Planeaci&#243;n/Desktop/INFORMACION%202015/EJECUCION%20MENSUAL%20PLAN%20DE%20ACCION%202015/ANTEPROYECTO%20PRESUPUSTO%202015/INFORME%20PRESUPUESTAL%202015/ENERO%20201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PLANEA~1/AppData/Local/Temp/INFORME%20PRESUPUESTAL%202015/MAYO%20DE%20201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LANEA~1/AppData/Local/Temp/PRESUPUESTO%202014/Info%20maria%20edith/disco%20d/Documentos/oliva%20escritorio/PLAN%20DES%202009%202012/2013/Users/Planeacion/AppData/Roaming/Microsoft/Excel/PRESUPUESTO%20INVERSI&#211;N%20201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PLANEA~1/AppData/Local/Temp/PRESUPUESTO%202014/Info%20maria%20edith/disco%20d/Documentos/oliva%20escritorio/PLAN%20DES%202009%202012/2013/Users/Planeacion/oliva%20escritorio/PLAN%20DES%202009%202012/2010/PLAN%20DE%20ACCION%202010%20ACTUALIZAD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PLANEA~1/AppData/Local/Temp/PRESUPUESTO%202014/Info%20maria%20edith/disco%20d/Documentos/oliva%20escritorio/PLAN%20DES%202009%202012/2013/Users/Planeacion/oliva%20escritorio/PLAN%20DES%202009%202012/2010/PLAN%20DE%20ACCION%20PLANTA%20F&#205;SICA%20CIERRE%202010.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PLANEA~1/AppData/Local/Temp/PRESUPUESTO%202014/Info%20maria%20edith/disco%20d/Documentos/oliva%20escritorio/PLAN%20DES%202009%202012/2013/EXCEDENTES%20FACULTADES%20FONDOS%20ESPECIALES/ESTADO%20EXCEDENTES%20FAC.EDUCACI&#211;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PLANEA~1/AppData/Local/Temp/PRESUPUESTO%202014/Info%20maria%20edith/disco%20d/Documentos/oliva%20escritorio/PLAN%20DES%202009%202012/2013/Users/Planeacion/AppData/Roaming/Microsoft/Excel/AJUSTES%20POAI%20%20MAYO%20DE%202011/ESTAMPILLA%20DEPTO%20Y%20MUNICIPIOS%20201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Planeaci&#243;n/Desktop/INFORMACION%202015/ANTEPROYECTO%20PRESUPUSTO%202015/INFORME%20PRESUPUESTAL%202015/AGOSTO%20DE%20201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SEPTIEMBRE%2020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PLANEA~1/AppData/Local/Temp/INFORME%20PRESUPUESTAL%202015/ABRIL%20DE%202015-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ÓN 2010 INIC"/>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LIO 2015"/>
    </sheetNames>
    <sheetDataSet>
      <sheetData sheetId="0">
        <row r="28">
          <cell r="M28">
            <v>323401561</v>
          </cell>
        </row>
        <row r="138">
          <cell r="H138">
            <v>239600131</v>
          </cell>
        </row>
        <row r="208">
          <cell r="M208">
            <v>372698968</v>
          </cell>
        </row>
        <row r="236">
          <cell r="M236">
            <v>300000000</v>
          </cell>
        </row>
        <row r="332">
          <cell r="H332">
            <v>116640423</v>
          </cell>
        </row>
        <row r="347">
          <cell r="H347">
            <v>92095815</v>
          </cell>
        </row>
        <row r="358">
          <cell r="H358">
            <v>7976469</v>
          </cell>
        </row>
        <row r="363">
          <cell r="AD363">
            <v>5000000</v>
          </cell>
        </row>
        <row r="577">
          <cell r="O577">
            <v>30000000</v>
          </cell>
        </row>
        <row r="716">
          <cell r="G716">
            <v>20000000</v>
          </cell>
        </row>
        <row r="771">
          <cell r="AD771">
            <v>29000000</v>
          </cell>
        </row>
        <row r="839">
          <cell r="AD839">
            <v>12000000</v>
          </cell>
        </row>
        <row r="1039">
          <cell r="H1039">
            <v>28003560</v>
          </cell>
        </row>
        <row r="1091">
          <cell r="X1091">
            <v>64046971</v>
          </cell>
        </row>
        <row r="1127">
          <cell r="H1127">
            <v>6500000</v>
          </cell>
        </row>
        <row r="1192">
          <cell r="Y1192">
            <v>23611711</v>
          </cell>
        </row>
        <row r="1215">
          <cell r="Y1215">
            <v>25000000</v>
          </cell>
        </row>
        <row r="1233">
          <cell r="G1233">
            <v>8000000</v>
          </cell>
        </row>
        <row r="1386">
          <cell r="Y1386">
            <v>1450000</v>
          </cell>
        </row>
        <row r="1401">
          <cell r="H1401">
            <v>4000000</v>
          </cell>
        </row>
        <row r="1462">
          <cell r="AD1462">
            <v>6000000</v>
          </cell>
        </row>
        <row r="1469">
          <cell r="Y1469">
            <v>20000000</v>
          </cell>
        </row>
        <row r="1471">
          <cell r="H1471">
            <v>170298</v>
          </cell>
        </row>
        <row r="1473">
          <cell r="H1473">
            <v>12118400</v>
          </cell>
        </row>
        <row r="1477">
          <cell r="H1477">
            <v>1152000</v>
          </cell>
        </row>
        <row r="1480">
          <cell r="H1480">
            <v>3872100</v>
          </cell>
        </row>
        <row r="1485">
          <cell r="H1485">
            <v>6091600</v>
          </cell>
        </row>
        <row r="1490">
          <cell r="H1490">
            <v>862000</v>
          </cell>
        </row>
        <row r="1493">
          <cell r="H1493">
            <v>862000</v>
          </cell>
        </row>
        <row r="1496">
          <cell r="H1496">
            <v>8426494</v>
          </cell>
        </row>
        <row r="1502">
          <cell r="H1502">
            <v>3537000</v>
          </cell>
        </row>
        <row r="1504">
          <cell r="H1504">
            <v>10348145</v>
          </cell>
        </row>
        <row r="1506">
          <cell r="H1506">
            <v>14002131</v>
          </cell>
        </row>
        <row r="1511">
          <cell r="H1511">
            <v>6862056</v>
          </cell>
        </row>
        <row r="1634">
          <cell r="G1634">
            <v>2000000</v>
          </cell>
        </row>
        <row r="1694">
          <cell r="H1694">
            <v>14408959</v>
          </cell>
        </row>
        <row r="1957">
          <cell r="W1957">
            <v>3000000</v>
          </cell>
        </row>
        <row r="1958">
          <cell r="H1958">
            <v>10640000</v>
          </cell>
        </row>
        <row r="1962">
          <cell r="AD1962">
            <v>5000000</v>
          </cell>
        </row>
        <row r="1989">
          <cell r="H1989">
            <v>43238890</v>
          </cell>
        </row>
        <row r="1995">
          <cell r="H1995">
            <v>7178800</v>
          </cell>
        </row>
        <row r="1997">
          <cell r="H1997">
            <v>33047433</v>
          </cell>
        </row>
        <row r="2168">
          <cell r="AD2168">
            <v>4500000</v>
          </cell>
        </row>
        <row r="2253">
          <cell r="AD2253">
            <v>3000000</v>
          </cell>
        </row>
        <row r="2291">
          <cell r="AD2291">
            <v>2898900</v>
          </cell>
        </row>
        <row r="2631">
          <cell r="H2631">
            <v>8739200</v>
          </cell>
        </row>
        <row r="2656">
          <cell r="H2656">
            <v>7792400</v>
          </cell>
        </row>
        <row r="2722">
          <cell r="H2722">
            <v>110733333</v>
          </cell>
        </row>
        <row r="2743">
          <cell r="AD2743">
            <v>27579091</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ZO 2015"/>
      <sheetName val="NOTAS"/>
    </sheetNames>
    <sheetDataSet>
      <sheetData sheetId="0">
        <row r="34">
          <cell r="H34">
            <v>353476253</v>
          </cell>
        </row>
        <row r="374">
          <cell r="O374">
            <v>80000000</v>
          </cell>
        </row>
        <row r="488">
          <cell r="J488">
            <v>80000000</v>
          </cell>
        </row>
        <row r="496">
          <cell r="W496">
            <v>100000000</v>
          </cell>
        </row>
        <row r="535">
          <cell r="V535">
            <v>15000000</v>
          </cell>
        </row>
        <row r="635">
          <cell r="Z635">
            <v>80844085</v>
          </cell>
        </row>
        <row r="700">
          <cell r="V700">
            <v>57329123</v>
          </cell>
        </row>
        <row r="1089">
          <cell r="H1089">
            <v>876100</v>
          </cell>
        </row>
        <row r="1091">
          <cell r="V1091">
            <v>876100</v>
          </cell>
        </row>
        <row r="1116">
          <cell r="N1116">
            <v>3000000</v>
          </cell>
        </row>
        <row r="1117">
          <cell r="H1117">
            <v>3000000</v>
          </cell>
        </row>
        <row r="1120">
          <cell r="H1120">
            <v>6828964</v>
          </cell>
        </row>
        <row r="1122">
          <cell r="N1122">
            <v>6829000</v>
          </cell>
        </row>
        <row r="1360">
          <cell r="O1360">
            <v>370000000</v>
          </cell>
        </row>
        <row r="1462">
          <cell r="O1462">
            <v>20000000</v>
          </cell>
        </row>
        <row r="1463">
          <cell r="O1463">
            <v>20000000</v>
          </cell>
        </row>
        <row r="1529">
          <cell r="L1529">
            <v>70000000</v>
          </cell>
          <cell r="N1529">
            <v>110733333</v>
          </cell>
        </row>
      </sheetData>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BRERO 2015"/>
      <sheetName val="NOTAS"/>
    </sheetNames>
    <sheetDataSet>
      <sheetData sheetId="0">
        <row r="72">
          <cell r="H72">
            <v>31700000</v>
          </cell>
        </row>
        <row r="228">
          <cell r="H228">
            <v>3525240</v>
          </cell>
        </row>
        <row r="334">
          <cell r="X334">
            <v>273344421</v>
          </cell>
        </row>
        <row r="469">
          <cell r="W469">
            <v>137800000</v>
          </cell>
        </row>
        <row r="585">
          <cell r="P585">
            <v>102810569</v>
          </cell>
          <cell r="Q585">
            <v>219471348</v>
          </cell>
        </row>
        <row r="740">
          <cell r="W740">
            <v>15000000</v>
          </cell>
        </row>
        <row r="753">
          <cell r="W753">
            <v>15000000</v>
          </cell>
        </row>
        <row r="759">
          <cell r="W759">
            <v>15000000</v>
          </cell>
        </row>
        <row r="852">
          <cell r="X852">
            <v>50000000</v>
          </cell>
        </row>
        <row r="864">
          <cell r="X864">
            <v>170000000</v>
          </cell>
        </row>
        <row r="1086">
          <cell r="W1086">
            <v>10000000</v>
          </cell>
        </row>
        <row r="1134">
          <cell r="W1134">
            <v>10000000</v>
          </cell>
        </row>
        <row r="1154">
          <cell r="O1154">
            <v>300000000</v>
          </cell>
        </row>
        <row r="1182">
          <cell r="O1182">
            <v>100000000</v>
          </cell>
        </row>
        <row r="1235">
          <cell r="O1235">
            <v>23014856</v>
          </cell>
        </row>
        <row r="1245">
          <cell r="W1245">
            <v>10000000</v>
          </cell>
        </row>
        <row r="1280">
          <cell r="N1280">
            <v>15000000</v>
          </cell>
        </row>
        <row r="1285">
          <cell r="N1285">
            <v>30000000</v>
          </cell>
        </row>
        <row r="1302">
          <cell r="W1302">
            <v>10000000</v>
          </cell>
        </row>
        <row r="1309">
          <cell r="N1309">
            <v>89266667</v>
          </cell>
          <cell r="W1309">
            <v>10000000</v>
          </cell>
        </row>
      </sheetData>
      <sheetData sheetId="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IO 2015"/>
    </sheetNames>
    <sheetDataSet>
      <sheetData sheetId="0">
        <row r="31">
          <cell r="H31">
            <v>586355588</v>
          </cell>
        </row>
        <row r="171">
          <cell r="H171">
            <v>189556618</v>
          </cell>
        </row>
        <row r="180">
          <cell r="M180">
            <v>8300998</v>
          </cell>
          <cell r="U180">
            <v>40655038</v>
          </cell>
        </row>
        <row r="210">
          <cell r="H210">
            <v>186695</v>
          </cell>
        </row>
        <row r="212">
          <cell r="M212">
            <v>930000</v>
          </cell>
        </row>
        <row r="235">
          <cell r="M235">
            <v>239816980</v>
          </cell>
        </row>
        <row r="297">
          <cell r="O297">
            <v>210000000</v>
          </cell>
          <cell r="Y297">
            <v>25530452</v>
          </cell>
        </row>
        <row r="749">
          <cell r="W749">
            <v>282584300</v>
          </cell>
        </row>
        <row r="782">
          <cell r="H782">
            <v>3045000</v>
          </cell>
        </row>
        <row r="788">
          <cell r="W788">
            <v>52000000</v>
          </cell>
          <cell r="X788">
            <v>109019196</v>
          </cell>
          <cell r="Z788">
            <v>870000000</v>
          </cell>
        </row>
        <row r="866">
          <cell r="M866">
            <v>303820881</v>
          </cell>
          <cell r="O866">
            <v>40000000</v>
          </cell>
        </row>
        <row r="871">
          <cell r="H871">
            <v>300000000</v>
          </cell>
        </row>
        <row r="882">
          <cell r="H882">
            <v>3820881</v>
          </cell>
        </row>
        <row r="891">
          <cell r="K891">
            <v>7649518</v>
          </cell>
        </row>
        <row r="897">
          <cell r="K897">
            <v>61175928</v>
          </cell>
          <cell r="O897">
            <v>50000000</v>
          </cell>
        </row>
        <row r="898">
          <cell r="H898">
            <v>61175928</v>
          </cell>
        </row>
        <row r="924">
          <cell r="H924">
            <v>20000000</v>
          </cell>
        </row>
        <row r="956">
          <cell r="O956">
            <v>10000000</v>
          </cell>
        </row>
        <row r="970">
          <cell r="O970">
            <v>70000000</v>
          </cell>
        </row>
        <row r="1009">
          <cell r="K1009">
            <v>9546220</v>
          </cell>
          <cell r="P1009">
            <v>20000000</v>
          </cell>
        </row>
        <row r="1010">
          <cell r="H1010">
            <v>9546220</v>
          </cell>
        </row>
        <row r="1023">
          <cell r="K1023">
            <v>2081930</v>
          </cell>
          <cell r="P1023">
            <v>20000000</v>
          </cell>
        </row>
        <row r="1062">
          <cell r="K1062">
            <v>4881000</v>
          </cell>
          <cell r="O1062">
            <v>90000000</v>
          </cell>
          <cell r="P1062">
            <v>15000000</v>
          </cell>
          <cell r="W1062">
            <v>10000000</v>
          </cell>
          <cell r="X1062">
            <v>122718083</v>
          </cell>
          <cell r="Y1062">
            <v>50000000</v>
          </cell>
        </row>
        <row r="1093">
          <cell r="H1093">
            <v>102810569</v>
          </cell>
        </row>
        <row r="1243">
          <cell r="K1243">
            <v>47440037</v>
          </cell>
          <cell r="O1243">
            <v>50000000</v>
          </cell>
        </row>
        <row r="1391">
          <cell r="M1391">
            <v>343263290</v>
          </cell>
        </row>
        <row r="1412">
          <cell r="M1412">
            <v>128637860</v>
          </cell>
          <cell r="O1412">
            <v>94180877</v>
          </cell>
        </row>
        <row r="1453">
          <cell r="Y1453">
            <v>45000000</v>
          </cell>
        </row>
        <row r="1466">
          <cell r="W1466">
            <v>11280016</v>
          </cell>
        </row>
        <row r="1613">
          <cell r="X1613">
            <v>2068912</v>
          </cell>
        </row>
        <row r="1673">
          <cell r="W1673">
            <v>40000000</v>
          </cell>
          <cell r="X1673">
            <v>7640994</v>
          </cell>
        </row>
        <row r="1705">
          <cell r="O1705">
            <v>85000000</v>
          </cell>
          <cell r="Y1705">
            <v>1500000</v>
          </cell>
        </row>
        <row r="1939">
          <cell r="H1939">
            <v>12228000</v>
          </cell>
        </row>
        <row r="2022">
          <cell r="H2022">
            <v>4550000</v>
          </cell>
        </row>
        <row r="2249">
          <cell r="X2249">
            <v>10000000</v>
          </cell>
        </row>
        <row r="2252">
          <cell r="H2252">
            <v>40000000</v>
          </cell>
        </row>
        <row r="2333">
          <cell r="H2333">
            <v>10000000</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YO 2015"/>
    </sheetNames>
    <sheetDataSet>
      <sheetData sheetId="0">
        <row r="111">
          <cell r="H111">
            <v>435113123</v>
          </cell>
        </row>
        <row r="689">
          <cell r="H689">
            <v>2577400</v>
          </cell>
        </row>
        <row r="730">
          <cell r="H730">
            <v>100000000</v>
          </cell>
        </row>
        <row r="740">
          <cell r="H740">
            <v>180000000</v>
          </cell>
        </row>
        <row r="858">
          <cell r="H858">
            <v>2081930</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BRERO 2015"/>
      <sheetName val="NOTAS"/>
    </sheetNames>
    <sheetDataSet>
      <sheetData sheetId="0" refreshError="1">
        <row r="31">
          <cell r="H31">
            <v>123318794</v>
          </cell>
        </row>
        <row r="196">
          <cell r="G196">
            <v>37000000</v>
          </cell>
        </row>
        <row r="490">
          <cell r="N490">
            <v>10000000</v>
          </cell>
        </row>
        <row r="495">
          <cell r="N495">
            <v>20000000</v>
          </cell>
        </row>
        <row r="501">
          <cell r="N501">
            <v>10000000</v>
          </cell>
        </row>
        <row r="511">
          <cell r="N511">
            <v>50000000</v>
          </cell>
        </row>
        <row r="565">
          <cell r="AC565">
            <v>7500000</v>
          </cell>
        </row>
        <row r="571">
          <cell r="AC571">
            <v>2000000</v>
          </cell>
        </row>
        <row r="658">
          <cell r="N658">
            <v>35000000</v>
          </cell>
        </row>
        <row r="661">
          <cell r="G661">
            <v>15000000</v>
          </cell>
        </row>
        <row r="685">
          <cell r="AC685">
            <v>5000000</v>
          </cell>
        </row>
        <row r="695">
          <cell r="X695">
            <v>5000000</v>
          </cell>
        </row>
        <row r="1017">
          <cell r="N1017">
            <v>50000000</v>
          </cell>
        </row>
        <row r="1024">
          <cell r="N1024">
            <v>50000000</v>
          </cell>
        </row>
        <row r="1029">
          <cell r="N1029">
            <v>200000000</v>
          </cell>
        </row>
        <row r="1070">
          <cell r="N1070">
            <v>30000000</v>
          </cell>
        </row>
        <row r="1086">
          <cell r="H1086">
            <v>770398</v>
          </cell>
        </row>
        <row r="1088">
          <cell r="AC1088">
            <v>5000000</v>
          </cell>
        </row>
        <row r="1172">
          <cell r="N1172">
            <v>30000000</v>
          </cell>
        </row>
        <row r="1187">
          <cell r="N1187">
            <v>30000000</v>
          </cell>
        </row>
        <row r="1192">
          <cell r="G1192">
            <v>10000000</v>
          </cell>
        </row>
        <row r="1199">
          <cell r="N1199">
            <v>10000000</v>
          </cell>
        </row>
        <row r="1216">
          <cell r="N1216">
            <v>50000000</v>
          </cell>
        </row>
        <row r="1221">
          <cell r="N1221">
            <v>44180877</v>
          </cell>
        </row>
        <row r="1228">
          <cell r="N1228">
            <v>10000000</v>
          </cell>
        </row>
      </sheetData>
      <sheetData sheetId="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RO 2015"/>
      <sheetName val="CERTIF. VICEINVESTIGACIONES"/>
      <sheetName val="NOTAS"/>
    </sheetNames>
    <sheetDataSet>
      <sheetData sheetId="0">
        <row r="31">
          <cell r="H31">
            <v>87098666</v>
          </cell>
        </row>
        <row r="166">
          <cell r="AA166">
            <v>4200000</v>
          </cell>
        </row>
        <row r="295">
          <cell r="W295">
            <v>69014856</v>
          </cell>
        </row>
        <row r="301">
          <cell r="W301">
            <v>55000000</v>
          </cell>
        </row>
        <row r="305">
          <cell r="G305">
            <v>60000000</v>
          </cell>
        </row>
        <row r="326">
          <cell r="T326">
            <v>11406867</v>
          </cell>
          <cell r="W326">
            <v>73593133</v>
          </cell>
        </row>
        <row r="362">
          <cell r="W362">
            <v>15000000</v>
          </cell>
        </row>
        <row r="367">
          <cell r="W367">
            <v>15000000</v>
          </cell>
        </row>
        <row r="374">
          <cell r="T374">
            <v>50000000</v>
          </cell>
        </row>
        <row r="922">
          <cell r="L922">
            <v>20000000</v>
          </cell>
        </row>
      </sheetData>
      <sheetData sheetId="1" refreshError="1"/>
      <sheetData sheetId="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YO 2015"/>
    </sheetNames>
    <sheetDataSet>
      <sheetData sheetId="0">
        <row r="79">
          <cell r="L79">
            <v>375890110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NDICATIVO PD"/>
      <sheetName val="POAI 2010"/>
      <sheetName val="Hoja1"/>
    </sheetNames>
    <sheetDataSet>
      <sheetData sheetId="0">
        <row r="3">
          <cell r="X3">
            <v>5000000</v>
          </cell>
        </row>
        <row r="4">
          <cell r="X4">
            <v>0</v>
          </cell>
        </row>
        <row r="5">
          <cell r="X5">
            <v>240000000</v>
          </cell>
        </row>
        <row r="8">
          <cell r="X8">
            <v>50000000</v>
          </cell>
        </row>
        <row r="9">
          <cell r="X9">
            <v>100000000</v>
          </cell>
        </row>
        <row r="10">
          <cell r="X10">
            <v>190000000</v>
          </cell>
        </row>
        <row r="11">
          <cell r="X11">
            <v>0</v>
          </cell>
        </row>
        <row r="12">
          <cell r="X12">
            <v>80000000</v>
          </cell>
        </row>
        <row r="15">
          <cell r="X15">
            <v>210000000</v>
          </cell>
        </row>
        <row r="16">
          <cell r="X16">
            <v>135000000</v>
          </cell>
        </row>
        <row r="17">
          <cell r="X17">
            <v>30000000</v>
          </cell>
        </row>
        <row r="18">
          <cell r="X18">
            <v>40000000</v>
          </cell>
        </row>
        <row r="19">
          <cell r="X19">
            <v>20000000</v>
          </cell>
        </row>
        <row r="20">
          <cell r="X20">
            <v>5000000</v>
          </cell>
        </row>
        <row r="21">
          <cell r="X21">
            <v>80000000</v>
          </cell>
        </row>
        <row r="22">
          <cell r="X22">
            <v>0</v>
          </cell>
        </row>
        <row r="23">
          <cell r="X23">
            <v>10000000</v>
          </cell>
        </row>
        <row r="24">
          <cell r="X24">
            <v>480000000</v>
          </cell>
        </row>
        <row r="25">
          <cell r="X25">
            <v>936970754</v>
          </cell>
        </row>
        <row r="26">
          <cell r="X26">
            <v>260000000</v>
          </cell>
        </row>
        <row r="27">
          <cell r="X27">
            <v>70000000</v>
          </cell>
        </row>
        <row r="28">
          <cell r="X28">
            <v>20000000</v>
          </cell>
        </row>
        <row r="29">
          <cell r="X29">
            <v>40000000</v>
          </cell>
        </row>
        <row r="30">
          <cell r="X30">
            <v>20000000</v>
          </cell>
        </row>
        <row r="31">
          <cell r="X31">
            <v>1616800000</v>
          </cell>
        </row>
        <row r="32">
          <cell r="X32">
            <v>400000000</v>
          </cell>
        </row>
        <row r="33">
          <cell r="X33">
            <v>10000000</v>
          </cell>
        </row>
        <row r="34">
          <cell r="X34">
            <v>10000000</v>
          </cell>
        </row>
        <row r="35">
          <cell r="X35">
            <v>15000000</v>
          </cell>
        </row>
        <row r="36">
          <cell r="X36">
            <v>5000000</v>
          </cell>
        </row>
        <row r="37">
          <cell r="X37">
            <v>50000000</v>
          </cell>
        </row>
        <row r="40">
          <cell r="X40">
            <v>40000000</v>
          </cell>
        </row>
        <row r="41">
          <cell r="X41">
            <v>0</v>
          </cell>
        </row>
        <row r="42">
          <cell r="X42">
            <v>470133160</v>
          </cell>
        </row>
        <row r="43">
          <cell r="X43">
            <v>270271140</v>
          </cell>
        </row>
        <row r="44">
          <cell r="X44">
            <v>1577000000</v>
          </cell>
        </row>
        <row r="45">
          <cell r="X45">
            <v>0</v>
          </cell>
        </row>
        <row r="48">
          <cell r="X48">
            <v>35000000</v>
          </cell>
        </row>
        <row r="49">
          <cell r="X49">
            <v>0</v>
          </cell>
        </row>
        <row r="50">
          <cell r="X50">
            <v>0</v>
          </cell>
        </row>
        <row r="53">
          <cell r="X53">
            <v>150000000</v>
          </cell>
        </row>
        <row r="54">
          <cell r="X54">
            <v>0</v>
          </cell>
        </row>
        <row r="55">
          <cell r="X55">
            <v>60000000</v>
          </cell>
        </row>
        <row r="56">
          <cell r="X56">
            <v>80000000</v>
          </cell>
        </row>
        <row r="57">
          <cell r="X57">
            <v>38000000</v>
          </cell>
        </row>
        <row r="58">
          <cell r="X58">
            <v>11000000</v>
          </cell>
        </row>
        <row r="59">
          <cell r="X59">
            <v>15000000</v>
          </cell>
        </row>
        <row r="60">
          <cell r="X60">
            <v>600000000</v>
          </cell>
        </row>
        <row r="61">
          <cell r="X61">
            <v>70000000</v>
          </cell>
        </row>
        <row r="62">
          <cell r="X62">
            <v>150000000</v>
          </cell>
        </row>
        <row r="63">
          <cell r="X63">
            <v>331000000</v>
          </cell>
        </row>
        <row r="66">
          <cell r="X66">
            <v>0</v>
          </cell>
        </row>
        <row r="67">
          <cell r="X67">
            <v>0</v>
          </cell>
        </row>
        <row r="68">
          <cell r="X68">
            <v>100821516</v>
          </cell>
        </row>
        <row r="69">
          <cell r="X69">
            <v>0</v>
          </cell>
        </row>
        <row r="70">
          <cell r="X70">
            <v>0</v>
          </cell>
        </row>
        <row r="71">
          <cell r="X71">
            <v>45000000</v>
          </cell>
        </row>
      </sheetData>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AI2010"/>
      <sheetName val="NECES.PD"/>
      <sheetName val="INVERSION - 20"/>
      <sheetName val="ESTIM.PD"/>
      <sheetName val="ACT.FUN"/>
      <sheetName val="Consolidado exced usco x liq "/>
      <sheetName val="PRELIMINAR INGR. 2010"/>
      <sheetName val="PLAN INDICATIVO"/>
      <sheetName val="PLANINVERSIONES JUNIO"/>
      <sheetName val="PLANINVERSIONES SEPT 30"/>
      <sheetName val="PLANINVERSIONES OCTUBRE"/>
      <sheetName val="PLANINVERSIONES NOV"/>
      <sheetName val="PLANINVERSIONES DIC"/>
      <sheetName val="ACT.PY.421.3.21"/>
      <sheetName val="DESERCIÓN"/>
      <sheetName val="EJEC FTES. FIN"/>
      <sheetName val="AJUSTE EXCEDENTES"/>
      <sheetName val="POAI 2010"/>
      <sheetName val="EJECUCIÓN POAI"/>
      <sheetName val="FTES.2009"/>
      <sheetName val="CONTRUCC."/>
      <sheetName val="EQUIPOS"/>
      <sheetName val="BIENESTAR"/>
      <sheetName val="CAPACITAC"/>
      <sheetName val="INVESTIG"/>
      <sheetName val="PLANEACION"/>
      <sheetName val="Hoja1"/>
      <sheetName val="EXCEDU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4">
          <cell r="N4" t="str">
            <v>ACT-PY-111</v>
          </cell>
          <cell r="BG4">
            <v>5000000</v>
          </cell>
        </row>
        <row r="6">
          <cell r="BG6">
            <v>69501007</v>
          </cell>
        </row>
        <row r="7">
          <cell r="BG7">
            <v>5969680</v>
          </cell>
        </row>
        <row r="8">
          <cell r="BG8">
            <v>2582760</v>
          </cell>
        </row>
        <row r="12">
          <cell r="BG12">
            <v>0</v>
          </cell>
        </row>
        <row r="13">
          <cell r="BG13">
            <v>0</v>
          </cell>
        </row>
        <row r="14">
          <cell r="BG14">
            <v>2370501</v>
          </cell>
        </row>
        <row r="15">
          <cell r="BG15">
            <v>1286981</v>
          </cell>
        </row>
        <row r="16">
          <cell r="BG16">
            <v>2056870</v>
          </cell>
        </row>
        <row r="17">
          <cell r="BG17">
            <v>19026000</v>
          </cell>
        </row>
        <row r="18">
          <cell r="BG18">
            <v>26832272</v>
          </cell>
        </row>
        <row r="19">
          <cell r="BG19">
            <v>9517731</v>
          </cell>
        </row>
        <row r="20">
          <cell r="BG20">
            <v>0</v>
          </cell>
        </row>
        <row r="23">
          <cell r="BG23">
            <v>26977416</v>
          </cell>
        </row>
        <row r="24">
          <cell r="BG24">
            <v>56213373</v>
          </cell>
        </row>
        <row r="25">
          <cell r="BG25">
            <v>9000000</v>
          </cell>
        </row>
        <row r="26">
          <cell r="BG26">
            <v>106041700</v>
          </cell>
        </row>
        <row r="27">
          <cell r="BG27">
            <v>20000000</v>
          </cell>
        </row>
        <row r="28">
          <cell r="BG28">
            <v>25232411</v>
          </cell>
        </row>
        <row r="29">
          <cell r="BG29">
            <v>34173413</v>
          </cell>
        </row>
        <row r="30">
          <cell r="BG30">
            <v>0</v>
          </cell>
        </row>
        <row r="31">
          <cell r="BG31">
            <v>2400000</v>
          </cell>
        </row>
        <row r="32">
          <cell r="BG32">
            <v>157446280</v>
          </cell>
        </row>
        <row r="33">
          <cell r="BG33">
            <v>-12058200</v>
          </cell>
        </row>
        <row r="34">
          <cell r="BG34">
            <v>156000</v>
          </cell>
        </row>
        <row r="35">
          <cell r="BG35">
            <v>-146854</v>
          </cell>
        </row>
        <row r="36">
          <cell r="BG36">
            <v>1802500</v>
          </cell>
        </row>
        <row r="37">
          <cell r="BG37">
            <v>-3125168</v>
          </cell>
        </row>
        <row r="38">
          <cell r="BG38">
            <v>22035262</v>
          </cell>
        </row>
        <row r="39">
          <cell r="BG39">
            <v>8632451</v>
          </cell>
        </row>
        <row r="40">
          <cell r="BG40">
            <v>43407540</v>
          </cell>
        </row>
        <row r="41">
          <cell r="BG41">
            <v>15915416</v>
          </cell>
        </row>
        <row r="42">
          <cell r="BG42">
            <v>11462829</v>
          </cell>
        </row>
        <row r="43">
          <cell r="BG43">
            <v>9318450</v>
          </cell>
        </row>
        <row r="44">
          <cell r="BG44">
            <v>1000000</v>
          </cell>
        </row>
        <row r="45">
          <cell r="BG45">
            <v>6717984</v>
          </cell>
        </row>
        <row r="46">
          <cell r="BG46">
            <v>66531000</v>
          </cell>
        </row>
        <row r="47">
          <cell r="BG47">
            <v>208123315</v>
          </cell>
        </row>
        <row r="48">
          <cell r="BG48">
            <v>187359323</v>
          </cell>
        </row>
        <row r="49">
          <cell r="BG49">
            <v>5223763</v>
          </cell>
        </row>
        <row r="50">
          <cell r="BG50">
            <v>39700000</v>
          </cell>
        </row>
        <row r="51">
          <cell r="BG51">
            <v>9606897</v>
          </cell>
        </row>
        <row r="52">
          <cell r="BG52">
            <v>5000000</v>
          </cell>
        </row>
        <row r="53">
          <cell r="BG53">
            <v>25852320</v>
          </cell>
        </row>
        <row r="56">
          <cell r="BG56">
            <v>83490</v>
          </cell>
        </row>
        <row r="57">
          <cell r="BG57">
            <v>0</v>
          </cell>
        </row>
        <row r="63">
          <cell r="BG63">
            <v>60141899</v>
          </cell>
        </row>
        <row r="64">
          <cell r="BG64">
            <v>8832780</v>
          </cell>
        </row>
        <row r="65">
          <cell r="BG65">
            <v>38841249</v>
          </cell>
        </row>
        <row r="66">
          <cell r="BG66">
            <v>192175679</v>
          </cell>
        </row>
        <row r="67">
          <cell r="BG67">
            <v>20697000</v>
          </cell>
        </row>
        <row r="68">
          <cell r="BG68">
            <v>91936</v>
          </cell>
        </row>
        <row r="69">
          <cell r="BG69">
            <v>100000</v>
          </cell>
        </row>
        <row r="70">
          <cell r="BG70">
            <v>835180</v>
          </cell>
        </row>
        <row r="71">
          <cell r="BG71">
            <v>21070137</v>
          </cell>
        </row>
        <row r="72">
          <cell r="BG72">
            <v>44876236</v>
          </cell>
        </row>
        <row r="73">
          <cell r="BG73">
            <v>1328000</v>
          </cell>
        </row>
        <row r="74">
          <cell r="BG74">
            <v>9000000</v>
          </cell>
        </row>
        <row r="75">
          <cell r="BG75">
            <v>1309974</v>
          </cell>
        </row>
        <row r="76">
          <cell r="BG76">
            <v>2149970</v>
          </cell>
        </row>
        <row r="77">
          <cell r="BG77">
            <v>-847627</v>
          </cell>
        </row>
        <row r="78">
          <cell r="BG78">
            <v>13688302</v>
          </cell>
        </row>
        <row r="79">
          <cell r="BG79">
            <v>117100</v>
          </cell>
        </row>
        <row r="80">
          <cell r="BG80">
            <v>1621703</v>
          </cell>
        </row>
        <row r="81">
          <cell r="BG81">
            <v>105675324</v>
          </cell>
        </row>
        <row r="82">
          <cell r="BG82">
            <v>13533172</v>
          </cell>
        </row>
        <row r="83">
          <cell r="BG83">
            <v>1643000</v>
          </cell>
        </row>
        <row r="84">
          <cell r="BG84">
            <v>2399998</v>
          </cell>
        </row>
        <row r="85">
          <cell r="BG85">
            <v>12093511</v>
          </cell>
        </row>
        <row r="86">
          <cell r="BG86">
            <v>5000000</v>
          </cell>
        </row>
        <row r="87">
          <cell r="BG87">
            <v>9687880</v>
          </cell>
        </row>
        <row r="88">
          <cell r="BG88">
            <v>210206</v>
          </cell>
        </row>
        <row r="89">
          <cell r="BG89">
            <v>23480975</v>
          </cell>
        </row>
        <row r="90">
          <cell r="BG90">
            <v>500000</v>
          </cell>
        </row>
        <row r="93">
          <cell r="BG93">
            <v>517000</v>
          </cell>
        </row>
        <row r="94">
          <cell r="BG94">
            <v>1513334</v>
          </cell>
        </row>
        <row r="95">
          <cell r="BG95">
            <v>10300000</v>
          </cell>
        </row>
        <row r="98">
          <cell r="BG98">
            <v>36305486</v>
          </cell>
        </row>
        <row r="99">
          <cell r="BG99">
            <v>13701102</v>
          </cell>
        </row>
        <row r="100">
          <cell r="BG100">
            <v>11761700</v>
          </cell>
        </row>
        <row r="101">
          <cell r="BG101">
            <v>71995404</v>
          </cell>
        </row>
        <row r="102">
          <cell r="BG102">
            <v>19687114</v>
          </cell>
        </row>
        <row r="103">
          <cell r="BG103">
            <v>194328</v>
          </cell>
        </row>
        <row r="104">
          <cell r="BG104">
            <v>0</v>
          </cell>
        </row>
        <row r="105">
          <cell r="BG105">
            <v>179559544</v>
          </cell>
        </row>
        <row r="106">
          <cell r="BG106">
            <v>35000000</v>
          </cell>
        </row>
        <row r="107">
          <cell r="BG107">
            <v>21474934</v>
          </cell>
        </row>
        <row r="108">
          <cell r="BG108">
            <v>3134502</v>
          </cell>
        </row>
        <row r="109">
          <cell r="BG109">
            <v>25150632</v>
          </cell>
        </row>
        <row r="112">
          <cell r="BG112">
            <v>80639972</v>
          </cell>
        </row>
        <row r="113">
          <cell r="BG113">
            <v>7650000</v>
          </cell>
        </row>
        <row r="114">
          <cell r="BG114">
            <v>0</v>
          </cell>
        </row>
        <row r="115">
          <cell r="BG115">
            <v>0</v>
          </cell>
        </row>
        <row r="125">
          <cell r="BG125">
            <v>0</v>
          </cell>
        </row>
        <row r="126">
          <cell r="BG126">
            <v>0</v>
          </cell>
        </row>
        <row r="127">
          <cell r="BG127">
            <v>26193952</v>
          </cell>
        </row>
        <row r="128">
          <cell r="BG128">
            <v>50333908</v>
          </cell>
        </row>
        <row r="129">
          <cell r="BG129">
            <v>57198708</v>
          </cell>
        </row>
        <row r="130">
          <cell r="BG130">
            <v>32720362</v>
          </cell>
        </row>
        <row r="165">
          <cell r="X165">
            <v>20399850.333333254</v>
          </cell>
        </row>
        <row r="166">
          <cell r="X166">
            <v>197299253</v>
          </cell>
        </row>
        <row r="167">
          <cell r="X167">
            <v>50740516</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TAFISICA"/>
      <sheetName val="PLANTAFISICA REND. CTAS."/>
      <sheetName val="SGA"/>
      <sheetName val="SGC"/>
      <sheetName val="PLANTAFISICA SEGUIMIENTO"/>
    </sheetNames>
    <sheetDataSet>
      <sheetData sheetId="0">
        <row r="54">
          <cell r="M54">
            <v>2123567389.3333333</v>
          </cell>
        </row>
      </sheetData>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EXCEDENTES 2007"/>
      <sheetName val="EXCEDENTES 2008 CORREG X FAC"/>
      <sheetName val="VENTA  SERVICIOS yPOSTG I -VII"/>
      <sheetName val="PROPUESTA2"/>
    </sheetNames>
    <sheetDataSet>
      <sheetData sheetId="0"/>
      <sheetData sheetId="1"/>
      <sheetData sheetId="2"/>
      <sheetData sheetId="3"/>
      <sheetData sheetId="4">
        <row r="103">
          <cell r="G103">
            <v>52499658</v>
          </cell>
        </row>
        <row r="140">
          <cell r="R140">
            <v>366170365</v>
          </cell>
          <cell r="S140">
            <v>17760450</v>
          </cell>
          <cell r="T140">
            <v>63640803</v>
          </cell>
          <cell r="U140">
            <v>1503138</v>
          </cell>
          <cell r="V140">
            <v>3300000</v>
          </cell>
          <cell r="W140">
            <v>6500998</v>
          </cell>
        </row>
      </sheetData>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RZON"/>
      <sheetName val="LA PLATA"/>
      <sheetName val="PITALITO"/>
      <sheetName val="NEIVA"/>
      <sheetName val="DEPARTAMENTO"/>
      <sheetName val="RESUMEN AJUSTES"/>
    </sheetNames>
    <sheetDataSet>
      <sheetData sheetId="0">
        <row r="4">
          <cell r="F4">
            <v>48022050</v>
          </cell>
        </row>
        <row r="5">
          <cell r="E5">
            <v>170400</v>
          </cell>
        </row>
        <row r="6">
          <cell r="E6">
            <v>7366000</v>
          </cell>
        </row>
        <row r="7">
          <cell r="E7">
            <v>40485650</v>
          </cell>
        </row>
      </sheetData>
      <sheetData sheetId="1">
        <row r="4">
          <cell r="E4">
            <v>5945000</v>
          </cell>
        </row>
        <row r="5">
          <cell r="F5">
            <v>10695000</v>
          </cell>
        </row>
        <row r="6">
          <cell r="E6">
            <v>4750000</v>
          </cell>
        </row>
        <row r="7">
          <cell r="F7">
            <v>48344173</v>
          </cell>
        </row>
        <row r="8">
          <cell r="E8">
            <v>48344173</v>
          </cell>
        </row>
      </sheetData>
      <sheetData sheetId="2">
        <row r="4">
          <cell r="E4">
            <v>15500000</v>
          </cell>
        </row>
        <row r="5">
          <cell r="F5">
            <v>12500000</v>
          </cell>
        </row>
        <row r="6">
          <cell r="F6">
            <v>3000000</v>
          </cell>
        </row>
      </sheetData>
      <sheetData sheetId="3"/>
      <sheetData sheetId="4"/>
      <sheetData sheetId="5">
        <row r="3">
          <cell r="C3">
            <v>48022050</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OSTO 2015"/>
    </sheetNames>
    <sheetDataSet>
      <sheetData sheetId="0">
        <row r="33">
          <cell r="N33">
            <v>17503290</v>
          </cell>
        </row>
        <row r="34">
          <cell r="H34">
            <v>573913088</v>
          </cell>
        </row>
        <row r="43">
          <cell r="G43">
            <v>12442500</v>
          </cell>
        </row>
        <row r="45">
          <cell r="H45">
            <v>4948972</v>
          </cell>
        </row>
        <row r="47">
          <cell r="H47">
            <v>5160000</v>
          </cell>
        </row>
        <row r="50">
          <cell r="H50">
            <v>2441568</v>
          </cell>
        </row>
        <row r="156">
          <cell r="G156">
            <v>72115000</v>
          </cell>
        </row>
        <row r="214">
          <cell r="H214">
            <v>372698968</v>
          </cell>
        </row>
        <row r="231">
          <cell r="H231">
            <v>96000000</v>
          </cell>
        </row>
        <row r="233">
          <cell r="M233">
            <v>96000000</v>
          </cell>
        </row>
        <row r="284">
          <cell r="H284">
            <v>21204410</v>
          </cell>
        </row>
        <row r="305">
          <cell r="H305">
            <v>167851094</v>
          </cell>
        </row>
        <row r="322">
          <cell r="H322">
            <v>683305</v>
          </cell>
        </row>
        <row r="328">
          <cell r="H328">
            <v>40722000</v>
          </cell>
        </row>
        <row r="330">
          <cell r="H330">
            <v>104322000</v>
          </cell>
        </row>
        <row r="335">
          <cell r="H335">
            <v>3284000</v>
          </cell>
        </row>
        <row r="339">
          <cell r="AD339">
            <v>3525240</v>
          </cell>
        </row>
        <row r="401">
          <cell r="AC401">
            <v>92524043</v>
          </cell>
        </row>
        <row r="943">
          <cell r="W943">
            <v>298208000</v>
          </cell>
        </row>
        <row r="997">
          <cell r="AD997">
            <v>15200000</v>
          </cell>
        </row>
        <row r="1074">
          <cell r="H1074">
            <v>10435017</v>
          </cell>
        </row>
        <row r="1093">
          <cell r="H1093">
            <v>115983000</v>
          </cell>
        </row>
        <row r="1135">
          <cell r="H1135">
            <v>42473434</v>
          </cell>
        </row>
        <row r="1265">
          <cell r="H1265">
            <v>1064000</v>
          </cell>
        </row>
        <row r="1349">
          <cell r="H1349">
            <v>19911458</v>
          </cell>
        </row>
        <row r="1417">
          <cell r="H1417">
            <v>44239789</v>
          </cell>
        </row>
        <row r="1429">
          <cell r="H1429">
            <v>3795000</v>
          </cell>
        </row>
        <row r="1430">
          <cell r="H1430">
            <v>1086000</v>
          </cell>
        </row>
        <row r="1432">
          <cell r="H1432">
            <v>82718083</v>
          </cell>
        </row>
        <row r="1644">
          <cell r="H1644">
            <v>237292</v>
          </cell>
        </row>
        <row r="1852">
          <cell r="H1852">
            <v>128637860</v>
          </cell>
        </row>
        <row r="1942">
          <cell r="H1942">
            <v>6000000</v>
          </cell>
        </row>
        <row r="1944">
          <cell r="W1944">
            <v>6000000</v>
          </cell>
        </row>
        <row r="1999">
          <cell r="H1999">
            <v>800000</v>
          </cell>
        </row>
        <row r="2001">
          <cell r="O2001">
            <v>800000</v>
          </cell>
        </row>
        <row r="2113">
          <cell r="H2113">
            <v>13440000</v>
          </cell>
        </row>
        <row r="2115">
          <cell r="H2115">
            <v>12960000</v>
          </cell>
        </row>
        <row r="2117">
          <cell r="H2117">
            <v>14365428</v>
          </cell>
        </row>
        <row r="2119">
          <cell r="H2119">
            <v>8458333</v>
          </cell>
        </row>
        <row r="2121">
          <cell r="H2121">
            <v>25150000</v>
          </cell>
        </row>
        <row r="2243">
          <cell r="Y2243">
            <v>5703720</v>
          </cell>
        </row>
        <row r="2265">
          <cell r="H2265">
            <v>74061157</v>
          </cell>
        </row>
        <row r="2267">
          <cell r="O2267">
            <v>74061157</v>
          </cell>
        </row>
        <row r="2317">
          <cell r="H2317">
            <v>23930000</v>
          </cell>
        </row>
        <row r="2319">
          <cell r="O2319">
            <v>30000000</v>
          </cell>
        </row>
        <row r="2329">
          <cell r="G2329">
            <v>99940000</v>
          </cell>
        </row>
        <row r="2654">
          <cell r="AD2654">
            <v>4550000</v>
          </cell>
        </row>
        <row r="2737">
          <cell r="H2737">
            <v>4697418</v>
          </cell>
        </row>
        <row r="2909">
          <cell r="H2909">
            <v>3547686</v>
          </cell>
        </row>
        <row r="3027">
          <cell r="H3027">
            <v>646074</v>
          </cell>
        </row>
        <row r="3044">
          <cell r="H3044">
            <v>52139771</v>
          </cell>
        </row>
        <row r="3050">
          <cell r="H3050">
            <v>31830886</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PTIEMBRE 2015"/>
    </sheetNames>
    <sheetDataSet>
      <sheetData sheetId="0">
        <row r="28">
          <cell r="M28">
            <v>327000000</v>
          </cell>
          <cell r="Y28">
            <v>22661694</v>
          </cell>
        </row>
        <row r="30">
          <cell r="H30">
            <v>323400656</v>
          </cell>
        </row>
        <row r="32">
          <cell r="H32">
            <v>3598386</v>
          </cell>
        </row>
        <row r="33">
          <cell r="H33">
            <v>22661694</v>
          </cell>
        </row>
        <row r="38">
          <cell r="M38">
            <v>586355588</v>
          </cell>
        </row>
        <row r="128">
          <cell r="H128">
            <v>661861284</v>
          </cell>
        </row>
        <row r="130">
          <cell r="M130">
            <v>667109992</v>
          </cell>
        </row>
        <row r="152">
          <cell r="M152">
            <v>239600131</v>
          </cell>
        </row>
        <row r="162">
          <cell r="H162">
            <v>53155185</v>
          </cell>
        </row>
        <row r="271">
          <cell r="U271">
            <v>10200000</v>
          </cell>
        </row>
        <row r="291">
          <cell r="M291">
            <v>325102296</v>
          </cell>
        </row>
        <row r="292">
          <cell r="H292">
            <v>36999994</v>
          </cell>
        </row>
        <row r="303">
          <cell r="G303">
            <v>64690692</v>
          </cell>
        </row>
        <row r="327">
          <cell r="M327">
            <v>182250104</v>
          </cell>
        </row>
        <row r="341">
          <cell r="M341">
            <v>487458456</v>
          </cell>
          <cell r="AD341">
            <v>58516378</v>
          </cell>
        </row>
        <row r="344">
          <cell r="H344">
            <v>7989000</v>
          </cell>
        </row>
        <row r="346">
          <cell r="H346">
            <v>8515000</v>
          </cell>
        </row>
        <row r="354">
          <cell r="H354">
            <v>3080000</v>
          </cell>
        </row>
        <row r="371">
          <cell r="M371">
            <v>77325020</v>
          </cell>
        </row>
        <row r="400">
          <cell r="H400">
            <v>77280360</v>
          </cell>
        </row>
        <row r="409">
          <cell r="H409">
            <v>14364850</v>
          </cell>
        </row>
        <row r="411">
          <cell r="AD411">
            <v>24347924</v>
          </cell>
        </row>
        <row r="466">
          <cell r="H466">
            <v>278367754</v>
          </cell>
        </row>
        <row r="468">
          <cell r="O468">
            <v>217044496</v>
          </cell>
          <cell r="AD468">
            <v>92017141</v>
          </cell>
        </row>
        <row r="469">
          <cell r="H469">
            <v>23952631</v>
          </cell>
        </row>
        <row r="495">
          <cell r="H495">
            <v>12318625</v>
          </cell>
        </row>
        <row r="503">
          <cell r="H503">
            <v>11289654</v>
          </cell>
        </row>
        <row r="527">
          <cell r="H527">
            <v>7488056</v>
          </cell>
        </row>
        <row r="609">
          <cell r="H609">
            <v>1180770</v>
          </cell>
        </row>
        <row r="672">
          <cell r="H672">
            <v>830522</v>
          </cell>
        </row>
        <row r="723">
          <cell r="H723">
            <v>1783000</v>
          </cell>
        </row>
        <row r="729">
          <cell r="H729">
            <v>2482000</v>
          </cell>
        </row>
        <row r="742">
          <cell r="H742">
            <v>2998000</v>
          </cell>
        </row>
        <row r="752">
          <cell r="H752">
            <v>186409675</v>
          </cell>
        </row>
        <row r="754">
          <cell r="P754">
            <v>166740675</v>
          </cell>
        </row>
        <row r="755">
          <cell r="H755">
            <v>858690</v>
          </cell>
        </row>
        <row r="756">
          <cell r="H756">
            <v>2000000</v>
          </cell>
        </row>
        <row r="757">
          <cell r="H757">
            <v>1500000</v>
          </cell>
        </row>
        <row r="758">
          <cell r="H758">
            <v>16318500</v>
          </cell>
        </row>
        <row r="760">
          <cell r="H760">
            <v>1448735</v>
          </cell>
        </row>
        <row r="762">
          <cell r="H762">
            <v>7051825</v>
          </cell>
        </row>
        <row r="783">
          <cell r="H783">
            <v>76759184</v>
          </cell>
        </row>
        <row r="807">
          <cell r="H807">
            <v>180676074</v>
          </cell>
        </row>
        <row r="938">
          <cell r="H938">
            <v>11972498</v>
          </cell>
        </row>
        <row r="959">
          <cell r="H959">
            <v>35078248</v>
          </cell>
        </row>
        <row r="978">
          <cell r="H978">
            <v>52739455</v>
          </cell>
        </row>
        <row r="992">
          <cell r="H992">
            <v>57332905</v>
          </cell>
        </row>
        <row r="1006">
          <cell r="H1006">
            <v>21234417</v>
          </cell>
        </row>
        <row r="1045">
          <cell r="H1045">
            <v>18200000</v>
          </cell>
        </row>
        <row r="1051">
          <cell r="H1051">
            <v>34427044</v>
          </cell>
        </row>
        <row r="1088">
          <cell r="H1088">
            <v>239317227</v>
          </cell>
        </row>
        <row r="1144">
          <cell r="H1144">
            <v>1000000</v>
          </cell>
        </row>
        <row r="1149">
          <cell r="H1149">
            <v>133851634</v>
          </cell>
        </row>
        <row r="1152">
          <cell r="H1152">
            <v>1000000</v>
          </cell>
        </row>
        <row r="1179">
          <cell r="H1179">
            <v>1000000</v>
          </cell>
        </row>
        <row r="1182">
          <cell r="H1182">
            <v>1125000</v>
          </cell>
        </row>
        <row r="1187">
          <cell r="H1187">
            <v>1200000</v>
          </cell>
        </row>
        <row r="1193">
          <cell r="AD1193">
            <v>8000000</v>
          </cell>
        </row>
        <row r="1202">
          <cell r="J1202">
            <v>23245422</v>
          </cell>
          <cell r="Y1202">
            <v>60650110</v>
          </cell>
        </row>
        <row r="1208">
          <cell r="H1208">
            <v>8936592</v>
          </cell>
        </row>
        <row r="1210">
          <cell r="H1210">
            <v>108815808</v>
          </cell>
        </row>
        <row r="1215">
          <cell r="H1215">
            <v>7946612</v>
          </cell>
        </row>
        <row r="1217">
          <cell r="H1217">
            <v>33448902</v>
          </cell>
        </row>
        <row r="1219">
          <cell r="H1219">
            <v>29186886</v>
          </cell>
        </row>
        <row r="1220">
          <cell r="H1220">
            <v>18551098</v>
          </cell>
        </row>
        <row r="1222">
          <cell r="H1222">
            <v>5308830</v>
          </cell>
        </row>
        <row r="1224">
          <cell r="H1224">
            <v>9000000</v>
          </cell>
        </row>
        <row r="1226">
          <cell r="H1226">
            <v>1157000</v>
          </cell>
        </row>
        <row r="1228">
          <cell r="H1228">
            <v>18000000</v>
          </cell>
          <cell r="X1228">
            <v>203388</v>
          </cell>
        </row>
        <row r="1352">
          <cell r="Y1352">
            <v>63191895</v>
          </cell>
        </row>
        <row r="1368">
          <cell r="H1368">
            <v>50000000</v>
          </cell>
        </row>
        <row r="1381">
          <cell r="H1381">
            <v>13191895</v>
          </cell>
        </row>
        <row r="1384">
          <cell r="H1384">
            <v>17611508</v>
          </cell>
        </row>
        <row r="1403">
          <cell r="H1403">
            <v>23573252</v>
          </cell>
        </row>
        <row r="1412">
          <cell r="H1412">
            <v>18895744</v>
          </cell>
        </row>
        <row r="1417">
          <cell r="H1417">
            <v>30228561</v>
          </cell>
        </row>
        <row r="1448">
          <cell r="H1448">
            <v>42722628</v>
          </cell>
        </row>
        <row r="1465">
          <cell r="H1465">
            <v>69605000</v>
          </cell>
        </row>
        <row r="1542">
          <cell r="H1542">
            <v>9663868</v>
          </cell>
        </row>
        <row r="1555">
          <cell r="H1555">
            <v>20000000</v>
          </cell>
        </row>
        <row r="1582">
          <cell r="H1582">
            <v>2563471</v>
          </cell>
        </row>
        <row r="1588">
          <cell r="H1588">
            <v>6478000</v>
          </cell>
        </row>
        <row r="1680">
          <cell r="H1680">
            <v>129471348</v>
          </cell>
        </row>
        <row r="1734">
          <cell r="H1734">
            <v>89690665</v>
          </cell>
        </row>
        <row r="1771">
          <cell r="H1771">
            <v>35885531</v>
          </cell>
        </row>
        <row r="1790">
          <cell r="H1790">
            <v>15000000</v>
          </cell>
        </row>
        <row r="1812">
          <cell r="H1812">
            <v>4774500</v>
          </cell>
        </row>
        <row r="1829">
          <cell r="H1829">
            <v>478086868</v>
          </cell>
        </row>
        <row r="1939">
          <cell r="H1939">
            <v>777018788</v>
          </cell>
        </row>
        <row r="1941">
          <cell r="V1941">
            <v>1796751899</v>
          </cell>
        </row>
        <row r="2273">
          <cell r="H2273">
            <v>35000000</v>
          </cell>
        </row>
        <row r="2283">
          <cell r="H2283">
            <v>14594526</v>
          </cell>
        </row>
        <row r="2288">
          <cell r="H2288">
            <v>129011140</v>
          </cell>
        </row>
        <row r="2314">
          <cell r="H2314">
            <v>74180874</v>
          </cell>
        </row>
        <row r="2332">
          <cell r="H2332">
            <v>12095456</v>
          </cell>
        </row>
        <row r="2347">
          <cell r="Y2347">
            <v>68719000</v>
          </cell>
        </row>
        <row r="2348">
          <cell r="H2348">
            <v>31441999</v>
          </cell>
        </row>
        <row r="2368">
          <cell r="AD2368">
            <v>7271760</v>
          </cell>
        </row>
        <row r="2401">
          <cell r="H2401">
            <v>9466293</v>
          </cell>
        </row>
        <row r="2405">
          <cell r="H2405">
            <v>15000000</v>
          </cell>
        </row>
        <row r="2412">
          <cell r="H2412">
            <v>14389000</v>
          </cell>
        </row>
        <row r="2438">
          <cell r="H2438">
            <v>10507037</v>
          </cell>
        </row>
        <row r="2440">
          <cell r="W2440">
            <v>10507037</v>
          </cell>
        </row>
        <row r="2456">
          <cell r="H2456">
            <v>34542493</v>
          </cell>
        </row>
        <row r="2458">
          <cell r="W2458">
            <v>34542493</v>
          </cell>
        </row>
        <row r="2470">
          <cell r="H2470">
            <v>3977268</v>
          </cell>
        </row>
        <row r="2472">
          <cell r="AD2472">
            <v>17000000</v>
          </cell>
        </row>
        <row r="2493">
          <cell r="H2493">
            <v>6601149</v>
          </cell>
        </row>
        <row r="2495">
          <cell r="O2495">
            <v>8126749</v>
          </cell>
        </row>
        <row r="2528">
          <cell r="AD2528">
            <v>56296107</v>
          </cell>
        </row>
        <row r="2529">
          <cell r="H2529">
            <v>9998746</v>
          </cell>
        </row>
        <row r="2540">
          <cell r="H2540">
            <v>14000000</v>
          </cell>
        </row>
        <row r="2543">
          <cell r="H2543">
            <v>9756992</v>
          </cell>
        </row>
        <row r="2554">
          <cell r="H2554">
            <v>4799998</v>
          </cell>
        </row>
        <row r="2558">
          <cell r="H2558">
            <v>2000000</v>
          </cell>
        </row>
        <row r="2561">
          <cell r="H2561">
            <v>1493752</v>
          </cell>
        </row>
        <row r="2562">
          <cell r="H2562">
            <v>2566816</v>
          </cell>
        </row>
        <row r="2564">
          <cell r="H2564">
            <v>3235539</v>
          </cell>
        </row>
        <row r="2571">
          <cell r="H2571">
            <v>169611918</v>
          </cell>
        </row>
        <row r="2611">
          <cell r="O2611">
            <v>89647782</v>
          </cell>
        </row>
        <row r="2624">
          <cell r="H2624">
            <v>11870754</v>
          </cell>
        </row>
        <row r="2626">
          <cell r="O2626">
            <v>9801842</v>
          </cell>
        </row>
        <row r="2627">
          <cell r="H2627">
            <v>819958</v>
          </cell>
        </row>
        <row r="2628">
          <cell r="H2628">
            <v>678356</v>
          </cell>
        </row>
        <row r="2629">
          <cell r="H2629">
            <v>570598</v>
          </cell>
        </row>
        <row r="2669">
          <cell r="H2669">
            <v>25219875</v>
          </cell>
        </row>
        <row r="2671">
          <cell r="W2671">
            <v>37639542</v>
          </cell>
        </row>
        <row r="2704">
          <cell r="W2704">
            <v>4336100</v>
          </cell>
        </row>
        <row r="2748">
          <cell r="H2748">
            <v>5703720</v>
          </cell>
        </row>
        <row r="2795">
          <cell r="H2795">
            <v>61291800</v>
          </cell>
        </row>
        <row r="2797">
          <cell r="O2797">
            <v>70691800</v>
          </cell>
        </row>
        <row r="2839">
          <cell r="H2839">
            <v>80640865</v>
          </cell>
        </row>
        <row r="2914">
          <cell r="G2914">
            <v>2000000</v>
          </cell>
          <cell r="H2914">
            <v>1671542</v>
          </cell>
        </row>
        <row r="2922">
          <cell r="H2922">
            <v>18740479</v>
          </cell>
        </row>
        <row r="2949">
          <cell r="H2949">
            <v>5854838</v>
          </cell>
        </row>
        <row r="2955">
          <cell r="H2955">
            <v>10000000</v>
          </cell>
        </row>
        <row r="2960">
          <cell r="X2960">
            <v>6860700</v>
          </cell>
        </row>
        <row r="2961">
          <cell r="H2961">
            <v>815768</v>
          </cell>
        </row>
        <row r="2966">
          <cell r="H2966">
            <v>196216648</v>
          </cell>
        </row>
        <row r="3037">
          <cell r="H3037">
            <v>870000</v>
          </cell>
        </row>
        <row r="3040">
          <cell r="H3040">
            <v>2998000</v>
          </cell>
        </row>
        <row r="3041">
          <cell r="H3041">
            <v>1962700</v>
          </cell>
        </row>
        <row r="3042">
          <cell r="H3042">
            <v>1500000</v>
          </cell>
        </row>
        <row r="3043">
          <cell r="H3043">
            <v>400000</v>
          </cell>
        </row>
        <row r="3047">
          <cell r="H3047">
            <v>28906771</v>
          </cell>
        </row>
        <row r="3049">
          <cell r="AD3049">
            <v>29000000</v>
          </cell>
        </row>
        <row r="3080">
          <cell r="H3080">
            <v>20000000</v>
          </cell>
        </row>
        <row r="3083">
          <cell r="H3083">
            <v>7607364</v>
          </cell>
        </row>
        <row r="3110">
          <cell r="H3110">
            <v>266382870</v>
          </cell>
        </row>
        <row r="3212">
          <cell r="H3212">
            <v>241855029</v>
          </cell>
        </row>
        <row r="3327">
          <cell r="AD3327">
            <v>10399501</v>
          </cell>
        </row>
        <row r="3344">
          <cell r="H3344">
            <v>43517759</v>
          </cell>
        </row>
        <row r="3406">
          <cell r="H3406">
            <v>82284884</v>
          </cell>
        </row>
        <row r="3489">
          <cell r="H3489">
            <v>417668313</v>
          </cell>
        </row>
        <row r="3491">
          <cell r="AD3491">
            <v>446993833</v>
          </cell>
        </row>
        <row r="3573">
          <cell r="AD3573">
            <v>8118900</v>
          </cell>
        </row>
        <row r="3583">
          <cell r="H3583">
            <v>144717838</v>
          </cell>
        </row>
        <row r="3585">
          <cell r="V3585">
            <v>239671226</v>
          </cell>
        </row>
        <row r="3661">
          <cell r="H3661">
            <v>13269163</v>
          </cell>
        </row>
        <row r="3686">
          <cell r="H3686">
            <v>1000000</v>
          </cell>
        </row>
        <row r="3692">
          <cell r="H3692">
            <v>21818596</v>
          </cell>
        </row>
        <row r="3762">
          <cell r="H3762">
            <v>14400000</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RIL 2015"/>
    </sheetNames>
    <sheetDataSet>
      <sheetData sheetId="0">
        <row r="34">
          <cell r="H34">
            <v>359854078</v>
          </cell>
        </row>
        <row r="166">
          <cell r="H166">
            <v>8300998</v>
          </cell>
        </row>
        <row r="182">
          <cell r="G182">
            <v>244800000</v>
          </cell>
        </row>
        <row r="216">
          <cell r="H216">
            <v>239816980</v>
          </cell>
        </row>
        <row r="571">
          <cell r="H571">
            <v>100000000</v>
          </cell>
        </row>
        <row r="632">
          <cell r="H632">
            <v>870000000</v>
          </cell>
        </row>
        <row r="1101">
          <cell r="H1101">
            <v>15000000</v>
          </cell>
        </row>
        <row r="1104">
          <cell r="H1104">
            <v>3078500</v>
          </cell>
        </row>
        <row r="1115">
          <cell r="H1115">
            <v>3091000</v>
          </cell>
        </row>
        <row r="1193">
          <cell r="N1193">
            <v>10000000</v>
          </cell>
        </row>
        <row r="1194">
          <cell r="H1194">
            <v>10000000</v>
          </cell>
        </row>
        <row r="1316">
          <cell r="H1316">
            <v>949220</v>
          </cell>
        </row>
        <row r="1527">
          <cell r="H1527">
            <v>1764945</v>
          </cell>
        </row>
        <row r="1649">
          <cell r="O1649">
            <v>140000000</v>
          </cell>
        </row>
        <row r="1730">
          <cell r="L1730">
            <v>40000000</v>
          </cell>
        </row>
        <row r="1744">
          <cell r="L1744">
            <v>10000000</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hyperlink" Target="http://prueba.usco.edu.co:8080/sgad/reportes/reporte9.jsp?rubro=56" TargetMode="External"/><Relationship Id="rId13" Type="http://schemas.openxmlformats.org/officeDocument/2006/relationships/hyperlink" Target="http://prueba.usco.edu.co:8080/sgad/reportes/reporte10.jsp?rubro=59" TargetMode="External"/><Relationship Id="rId3" Type="http://schemas.openxmlformats.org/officeDocument/2006/relationships/hyperlink" Target="http://prueba.usco.edu.co:8080/sgad/reportes/reporte10.jsp?rubro=37" TargetMode="External"/><Relationship Id="rId7" Type="http://schemas.openxmlformats.org/officeDocument/2006/relationships/hyperlink" Target="http://prueba.usco.edu.co:8080/sgad/reportes/reporte10.jsp?rubro=56" TargetMode="External"/><Relationship Id="rId12" Type="http://schemas.openxmlformats.org/officeDocument/2006/relationships/hyperlink" Target="http://prueba.usco.edu.co:8080/sgad/reportes/reporte9.jsp?rubro=58" TargetMode="External"/><Relationship Id="rId17" Type="http://schemas.openxmlformats.org/officeDocument/2006/relationships/printerSettings" Target="../printerSettings/printerSettings2.bin"/><Relationship Id="rId2" Type="http://schemas.openxmlformats.org/officeDocument/2006/relationships/hyperlink" Target="http://prueba.usco.edu.co:8080/sgad/reportes/reporte9.jsp?rubro=52" TargetMode="External"/><Relationship Id="rId16" Type="http://schemas.openxmlformats.org/officeDocument/2006/relationships/hyperlink" Target="http://prueba.usco.edu.co:8080/sgad/reportes/reporte9.jsp?rubro=60" TargetMode="External"/><Relationship Id="rId1" Type="http://schemas.openxmlformats.org/officeDocument/2006/relationships/hyperlink" Target="http://prueba.usco.edu.co:8080/sgad/reportes/reporte10.jsp?rubro=52" TargetMode="External"/><Relationship Id="rId6" Type="http://schemas.openxmlformats.org/officeDocument/2006/relationships/hyperlink" Target="http://prueba.usco.edu.co:8080/sgad/reportes/reporte9.jsp?rubro=38" TargetMode="External"/><Relationship Id="rId11" Type="http://schemas.openxmlformats.org/officeDocument/2006/relationships/hyperlink" Target="http://prueba.usco.edu.co:8080/sgad/reportes/reporte10.jsp?rubro=58" TargetMode="External"/><Relationship Id="rId5" Type="http://schemas.openxmlformats.org/officeDocument/2006/relationships/hyperlink" Target="http://prueba.usco.edu.co:8080/sgad/reportes/reporte10.jsp?rubro=38" TargetMode="External"/><Relationship Id="rId15" Type="http://schemas.openxmlformats.org/officeDocument/2006/relationships/hyperlink" Target="http://prueba.usco.edu.co:8080/sgad/reportes/reporte10.jsp?rubro=60" TargetMode="External"/><Relationship Id="rId10" Type="http://schemas.openxmlformats.org/officeDocument/2006/relationships/hyperlink" Target="http://prueba.usco.edu.co:8080/sgad/reportes/reporte9.jsp?rubro=57" TargetMode="External"/><Relationship Id="rId4" Type="http://schemas.openxmlformats.org/officeDocument/2006/relationships/hyperlink" Target="http://prueba.usco.edu.co:8080/sgad/reportes/reporte9.jsp?rubro=37" TargetMode="External"/><Relationship Id="rId9" Type="http://schemas.openxmlformats.org/officeDocument/2006/relationships/hyperlink" Target="http://prueba.usco.edu.co:8080/sgad/reportes/reporte10.jsp?rubro=57" TargetMode="External"/><Relationship Id="rId14" Type="http://schemas.openxmlformats.org/officeDocument/2006/relationships/hyperlink" Target="http://prueba.usco.edu.co:8080/sgad/reportes/reporte9.jsp?rubro=59"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xml"/><Relationship Id="rId1" Type="http://schemas.openxmlformats.org/officeDocument/2006/relationships/printerSettings" Target="../printerSettings/printerSettings20.bin"/><Relationship Id="rId4"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89"/>
  <sheetViews>
    <sheetView workbookViewId="0">
      <selection activeCell="C6" sqref="C6"/>
    </sheetView>
  </sheetViews>
  <sheetFormatPr baseColWidth="10" defaultColWidth="11.42578125" defaultRowHeight="12.75" x14ac:dyDescent="0.2"/>
  <cols>
    <col min="1" max="1" width="5.5703125" style="45" customWidth="1"/>
    <col min="2" max="2" width="35.85546875" style="45" customWidth="1"/>
    <col min="3" max="3" width="23.5703125" style="45" customWidth="1"/>
    <col min="4" max="234" width="11.42578125" style="45"/>
    <col min="235" max="235" width="5.5703125" style="45" customWidth="1"/>
    <col min="236" max="236" width="35.85546875" style="45" customWidth="1"/>
    <col min="237" max="238" width="0" style="45" hidden="1" customWidth="1"/>
    <col min="239" max="239" width="17.140625" style="45" customWidth="1"/>
    <col min="240" max="241" width="17.85546875" style="45" customWidth="1"/>
    <col min="242" max="242" width="17.140625" style="45" customWidth="1"/>
    <col min="243" max="243" width="6.42578125" style="45" customWidth="1"/>
    <col min="244" max="244" width="15.85546875" style="45" customWidth="1"/>
    <col min="245" max="245" width="16" style="45" customWidth="1"/>
    <col min="246" max="246" width="15.7109375" style="45" customWidth="1"/>
    <col min="247" max="248" width="19.28515625" style="45" customWidth="1"/>
    <col min="249" max="249" width="18.140625" style="45" customWidth="1"/>
    <col min="250" max="250" width="16" style="45" customWidth="1"/>
    <col min="251" max="251" width="18" style="45" customWidth="1"/>
    <col min="252" max="252" width="17.85546875" style="45" customWidth="1"/>
    <col min="253" max="254" width="16.140625" style="45" customWidth="1"/>
    <col min="255" max="257" width="17.5703125" style="45" customWidth="1"/>
    <col min="258" max="258" width="13.7109375" style="45" customWidth="1"/>
    <col min="259" max="490" width="11.42578125" style="45"/>
    <col min="491" max="491" width="5.5703125" style="45" customWidth="1"/>
    <col min="492" max="492" width="35.85546875" style="45" customWidth="1"/>
    <col min="493" max="494" width="0" style="45" hidden="1" customWidth="1"/>
    <col min="495" max="495" width="17.140625" style="45" customWidth="1"/>
    <col min="496" max="497" width="17.85546875" style="45" customWidth="1"/>
    <col min="498" max="498" width="17.140625" style="45" customWidth="1"/>
    <col min="499" max="499" width="6.42578125" style="45" customWidth="1"/>
    <col min="500" max="500" width="15.85546875" style="45" customWidth="1"/>
    <col min="501" max="501" width="16" style="45" customWidth="1"/>
    <col min="502" max="502" width="15.7109375" style="45" customWidth="1"/>
    <col min="503" max="504" width="19.28515625" style="45" customWidth="1"/>
    <col min="505" max="505" width="18.140625" style="45" customWidth="1"/>
    <col min="506" max="506" width="16" style="45" customWidth="1"/>
    <col min="507" max="507" width="18" style="45" customWidth="1"/>
    <col min="508" max="508" width="17.85546875" style="45" customWidth="1"/>
    <col min="509" max="510" width="16.140625" style="45" customWidth="1"/>
    <col min="511" max="513" width="17.5703125" style="45" customWidth="1"/>
    <col min="514" max="514" width="13.7109375" style="45" customWidth="1"/>
    <col min="515" max="746" width="11.42578125" style="45"/>
    <col min="747" max="747" width="5.5703125" style="45" customWidth="1"/>
    <col min="748" max="748" width="35.85546875" style="45" customWidth="1"/>
    <col min="749" max="750" width="0" style="45" hidden="1" customWidth="1"/>
    <col min="751" max="751" width="17.140625" style="45" customWidth="1"/>
    <col min="752" max="753" width="17.85546875" style="45" customWidth="1"/>
    <col min="754" max="754" width="17.140625" style="45" customWidth="1"/>
    <col min="755" max="755" width="6.42578125" style="45" customWidth="1"/>
    <col min="756" max="756" width="15.85546875" style="45" customWidth="1"/>
    <col min="757" max="757" width="16" style="45" customWidth="1"/>
    <col min="758" max="758" width="15.7109375" style="45" customWidth="1"/>
    <col min="759" max="760" width="19.28515625" style="45" customWidth="1"/>
    <col min="761" max="761" width="18.140625" style="45" customWidth="1"/>
    <col min="762" max="762" width="16" style="45" customWidth="1"/>
    <col min="763" max="763" width="18" style="45" customWidth="1"/>
    <col min="764" max="764" width="17.85546875" style="45" customWidth="1"/>
    <col min="765" max="766" width="16.140625" style="45" customWidth="1"/>
    <col min="767" max="769" width="17.5703125" style="45" customWidth="1"/>
    <col min="770" max="770" width="13.7109375" style="45" customWidth="1"/>
    <col min="771" max="1002" width="11.42578125" style="45"/>
    <col min="1003" max="1003" width="5.5703125" style="45" customWidth="1"/>
    <col min="1004" max="1004" width="35.85546875" style="45" customWidth="1"/>
    <col min="1005" max="1006" width="0" style="45" hidden="1" customWidth="1"/>
    <col min="1007" max="1007" width="17.140625" style="45" customWidth="1"/>
    <col min="1008" max="1009" width="17.85546875" style="45" customWidth="1"/>
    <col min="1010" max="1010" width="17.140625" style="45" customWidth="1"/>
    <col min="1011" max="1011" width="6.42578125" style="45" customWidth="1"/>
    <col min="1012" max="1012" width="15.85546875" style="45" customWidth="1"/>
    <col min="1013" max="1013" width="16" style="45" customWidth="1"/>
    <col min="1014" max="1014" width="15.7109375" style="45" customWidth="1"/>
    <col min="1015" max="1016" width="19.28515625" style="45" customWidth="1"/>
    <col min="1017" max="1017" width="18.140625" style="45" customWidth="1"/>
    <col min="1018" max="1018" width="16" style="45" customWidth="1"/>
    <col min="1019" max="1019" width="18" style="45" customWidth="1"/>
    <col min="1020" max="1020" width="17.85546875" style="45" customWidth="1"/>
    <col min="1021" max="1022" width="16.140625" style="45" customWidth="1"/>
    <col min="1023" max="1025" width="17.5703125" style="45" customWidth="1"/>
    <col min="1026" max="1026" width="13.7109375" style="45" customWidth="1"/>
    <col min="1027" max="1258" width="11.42578125" style="45"/>
    <col min="1259" max="1259" width="5.5703125" style="45" customWidth="1"/>
    <col min="1260" max="1260" width="35.85546875" style="45" customWidth="1"/>
    <col min="1261" max="1262" width="0" style="45" hidden="1" customWidth="1"/>
    <col min="1263" max="1263" width="17.140625" style="45" customWidth="1"/>
    <col min="1264" max="1265" width="17.85546875" style="45" customWidth="1"/>
    <col min="1266" max="1266" width="17.140625" style="45" customWidth="1"/>
    <col min="1267" max="1267" width="6.42578125" style="45" customWidth="1"/>
    <col min="1268" max="1268" width="15.85546875" style="45" customWidth="1"/>
    <col min="1269" max="1269" width="16" style="45" customWidth="1"/>
    <col min="1270" max="1270" width="15.7109375" style="45" customWidth="1"/>
    <col min="1271" max="1272" width="19.28515625" style="45" customWidth="1"/>
    <col min="1273" max="1273" width="18.140625" style="45" customWidth="1"/>
    <col min="1274" max="1274" width="16" style="45" customWidth="1"/>
    <col min="1275" max="1275" width="18" style="45" customWidth="1"/>
    <col min="1276" max="1276" width="17.85546875" style="45" customWidth="1"/>
    <col min="1277" max="1278" width="16.140625" style="45" customWidth="1"/>
    <col min="1279" max="1281" width="17.5703125" style="45" customWidth="1"/>
    <col min="1282" max="1282" width="13.7109375" style="45" customWidth="1"/>
    <col min="1283" max="1514" width="11.42578125" style="45"/>
    <col min="1515" max="1515" width="5.5703125" style="45" customWidth="1"/>
    <col min="1516" max="1516" width="35.85546875" style="45" customWidth="1"/>
    <col min="1517" max="1518" width="0" style="45" hidden="1" customWidth="1"/>
    <col min="1519" max="1519" width="17.140625" style="45" customWidth="1"/>
    <col min="1520" max="1521" width="17.85546875" style="45" customWidth="1"/>
    <col min="1522" max="1522" width="17.140625" style="45" customWidth="1"/>
    <col min="1523" max="1523" width="6.42578125" style="45" customWidth="1"/>
    <col min="1524" max="1524" width="15.85546875" style="45" customWidth="1"/>
    <col min="1525" max="1525" width="16" style="45" customWidth="1"/>
    <col min="1526" max="1526" width="15.7109375" style="45" customWidth="1"/>
    <col min="1527" max="1528" width="19.28515625" style="45" customWidth="1"/>
    <col min="1529" max="1529" width="18.140625" style="45" customWidth="1"/>
    <col min="1530" max="1530" width="16" style="45" customWidth="1"/>
    <col min="1531" max="1531" width="18" style="45" customWidth="1"/>
    <col min="1532" max="1532" width="17.85546875" style="45" customWidth="1"/>
    <col min="1533" max="1534" width="16.140625" style="45" customWidth="1"/>
    <col min="1535" max="1537" width="17.5703125" style="45" customWidth="1"/>
    <col min="1538" max="1538" width="13.7109375" style="45" customWidth="1"/>
    <col min="1539" max="1770" width="11.42578125" style="45"/>
    <col min="1771" max="1771" width="5.5703125" style="45" customWidth="1"/>
    <col min="1772" max="1772" width="35.85546875" style="45" customWidth="1"/>
    <col min="1773" max="1774" width="0" style="45" hidden="1" customWidth="1"/>
    <col min="1775" max="1775" width="17.140625" style="45" customWidth="1"/>
    <col min="1776" max="1777" width="17.85546875" style="45" customWidth="1"/>
    <col min="1778" max="1778" width="17.140625" style="45" customWidth="1"/>
    <col min="1779" max="1779" width="6.42578125" style="45" customWidth="1"/>
    <col min="1780" max="1780" width="15.85546875" style="45" customWidth="1"/>
    <col min="1781" max="1781" width="16" style="45" customWidth="1"/>
    <col min="1782" max="1782" width="15.7109375" style="45" customWidth="1"/>
    <col min="1783" max="1784" width="19.28515625" style="45" customWidth="1"/>
    <col min="1785" max="1785" width="18.140625" style="45" customWidth="1"/>
    <col min="1786" max="1786" width="16" style="45" customWidth="1"/>
    <col min="1787" max="1787" width="18" style="45" customWidth="1"/>
    <col min="1788" max="1788" width="17.85546875" style="45" customWidth="1"/>
    <col min="1789" max="1790" width="16.140625" style="45" customWidth="1"/>
    <col min="1791" max="1793" width="17.5703125" style="45" customWidth="1"/>
    <col min="1794" max="1794" width="13.7109375" style="45" customWidth="1"/>
    <col min="1795" max="2026" width="11.42578125" style="45"/>
    <col min="2027" max="2027" width="5.5703125" style="45" customWidth="1"/>
    <col min="2028" max="2028" width="35.85546875" style="45" customWidth="1"/>
    <col min="2029" max="2030" width="0" style="45" hidden="1" customWidth="1"/>
    <col min="2031" max="2031" width="17.140625" style="45" customWidth="1"/>
    <col min="2032" max="2033" width="17.85546875" style="45" customWidth="1"/>
    <col min="2034" max="2034" width="17.140625" style="45" customWidth="1"/>
    <col min="2035" max="2035" width="6.42578125" style="45" customWidth="1"/>
    <col min="2036" max="2036" width="15.85546875" style="45" customWidth="1"/>
    <col min="2037" max="2037" width="16" style="45" customWidth="1"/>
    <col min="2038" max="2038" width="15.7109375" style="45" customWidth="1"/>
    <col min="2039" max="2040" width="19.28515625" style="45" customWidth="1"/>
    <col min="2041" max="2041" width="18.140625" style="45" customWidth="1"/>
    <col min="2042" max="2042" width="16" style="45" customWidth="1"/>
    <col min="2043" max="2043" width="18" style="45" customWidth="1"/>
    <col min="2044" max="2044" width="17.85546875" style="45" customWidth="1"/>
    <col min="2045" max="2046" width="16.140625" style="45" customWidth="1"/>
    <col min="2047" max="2049" width="17.5703125" style="45" customWidth="1"/>
    <col min="2050" max="2050" width="13.7109375" style="45" customWidth="1"/>
    <col min="2051" max="2282" width="11.42578125" style="45"/>
    <col min="2283" max="2283" width="5.5703125" style="45" customWidth="1"/>
    <col min="2284" max="2284" width="35.85546875" style="45" customWidth="1"/>
    <col min="2285" max="2286" width="0" style="45" hidden="1" customWidth="1"/>
    <col min="2287" max="2287" width="17.140625" style="45" customWidth="1"/>
    <col min="2288" max="2289" width="17.85546875" style="45" customWidth="1"/>
    <col min="2290" max="2290" width="17.140625" style="45" customWidth="1"/>
    <col min="2291" max="2291" width="6.42578125" style="45" customWidth="1"/>
    <col min="2292" max="2292" width="15.85546875" style="45" customWidth="1"/>
    <col min="2293" max="2293" width="16" style="45" customWidth="1"/>
    <col min="2294" max="2294" width="15.7109375" style="45" customWidth="1"/>
    <col min="2295" max="2296" width="19.28515625" style="45" customWidth="1"/>
    <col min="2297" max="2297" width="18.140625" style="45" customWidth="1"/>
    <col min="2298" max="2298" width="16" style="45" customWidth="1"/>
    <col min="2299" max="2299" width="18" style="45" customWidth="1"/>
    <col min="2300" max="2300" width="17.85546875" style="45" customWidth="1"/>
    <col min="2301" max="2302" width="16.140625" style="45" customWidth="1"/>
    <col min="2303" max="2305" width="17.5703125" style="45" customWidth="1"/>
    <col min="2306" max="2306" width="13.7109375" style="45" customWidth="1"/>
    <col min="2307" max="2538" width="11.42578125" style="45"/>
    <col min="2539" max="2539" width="5.5703125" style="45" customWidth="1"/>
    <col min="2540" max="2540" width="35.85546875" style="45" customWidth="1"/>
    <col min="2541" max="2542" width="0" style="45" hidden="1" customWidth="1"/>
    <col min="2543" max="2543" width="17.140625" style="45" customWidth="1"/>
    <col min="2544" max="2545" width="17.85546875" style="45" customWidth="1"/>
    <col min="2546" max="2546" width="17.140625" style="45" customWidth="1"/>
    <col min="2547" max="2547" width="6.42578125" style="45" customWidth="1"/>
    <col min="2548" max="2548" width="15.85546875" style="45" customWidth="1"/>
    <col min="2549" max="2549" width="16" style="45" customWidth="1"/>
    <col min="2550" max="2550" width="15.7109375" style="45" customWidth="1"/>
    <col min="2551" max="2552" width="19.28515625" style="45" customWidth="1"/>
    <col min="2553" max="2553" width="18.140625" style="45" customWidth="1"/>
    <col min="2554" max="2554" width="16" style="45" customWidth="1"/>
    <col min="2555" max="2555" width="18" style="45" customWidth="1"/>
    <col min="2556" max="2556" width="17.85546875" style="45" customWidth="1"/>
    <col min="2557" max="2558" width="16.140625" style="45" customWidth="1"/>
    <col min="2559" max="2561" width="17.5703125" style="45" customWidth="1"/>
    <col min="2562" max="2562" width="13.7109375" style="45" customWidth="1"/>
    <col min="2563" max="2794" width="11.42578125" style="45"/>
    <col min="2795" max="2795" width="5.5703125" style="45" customWidth="1"/>
    <col min="2796" max="2796" width="35.85546875" style="45" customWidth="1"/>
    <col min="2797" max="2798" width="0" style="45" hidden="1" customWidth="1"/>
    <col min="2799" max="2799" width="17.140625" style="45" customWidth="1"/>
    <col min="2800" max="2801" width="17.85546875" style="45" customWidth="1"/>
    <col min="2802" max="2802" width="17.140625" style="45" customWidth="1"/>
    <col min="2803" max="2803" width="6.42578125" style="45" customWidth="1"/>
    <col min="2804" max="2804" width="15.85546875" style="45" customWidth="1"/>
    <col min="2805" max="2805" width="16" style="45" customWidth="1"/>
    <col min="2806" max="2806" width="15.7109375" style="45" customWidth="1"/>
    <col min="2807" max="2808" width="19.28515625" style="45" customWidth="1"/>
    <col min="2809" max="2809" width="18.140625" style="45" customWidth="1"/>
    <col min="2810" max="2810" width="16" style="45" customWidth="1"/>
    <col min="2811" max="2811" width="18" style="45" customWidth="1"/>
    <col min="2812" max="2812" width="17.85546875" style="45" customWidth="1"/>
    <col min="2813" max="2814" width="16.140625" style="45" customWidth="1"/>
    <col min="2815" max="2817" width="17.5703125" style="45" customWidth="1"/>
    <col min="2818" max="2818" width="13.7109375" style="45" customWidth="1"/>
    <col min="2819" max="3050" width="11.42578125" style="45"/>
    <col min="3051" max="3051" width="5.5703125" style="45" customWidth="1"/>
    <col min="3052" max="3052" width="35.85546875" style="45" customWidth="1"/>
    <col min="3053" max="3054" width="0" style="45" hidden="1" customWidth="1"/>
    <col min="3055" max="3055" width="17.140625" style="45" customWidth="1"/>
    <col min="3056" max="3057" width="17.85546875" style="45" customWidth="1"/>
    <col min="3058" max="3058" width="17.140625" style="45" customWidth="1"/>
    <col min="3059" max="3059" width="6.42578125" style="45" customWidth="1"/>
    <col min="3060" max="3060" width="15.85546875" style="45" customWidth="1"/>
    <col min="3061" max="3061" width="16" style="45" customWidth="1"/>
    <col min="3062" max="3062" width="15.7109375" style="45" customWidth="1"/>
    <col min="3063" max="3064" width="19.28515625" style="45" customWidth="1"/>
    <col min="3065" max="3065" width="18.140625" style="45" customWidth="1"/>
    <col min="3066" max="3066" width="16" style="45" customWidth="1"/>
    <col min="3067" max="3067" width="18" style="45" customWidth="1"/>
    <col min="3068" max="3068" width="17.85546875" style="45" customWidth="1"/>
    <col min="3069" max="3070" width="16.140625" style="45" customWidth="1"/>
    <col min="3071" max="3073" width="17.5703125" style="45" customWidth="1"/>
    <col min="3074" max="3074" width="13.7109375" style="45" customWidth="1"/>
    <col min="3075" max="3306" width="11.42578125" style="45"/>
    <col min="3307" max="3307" width="5.5703125" style="45" customWidth="1"/>
    <col min="3308" max="3308" width="35.85546875" style="45" customWidth="1"/>
    <col min="3309" max="3310" width="0" style="45" hidden="1" customWidth="1"/>
    <col min="3311" max="3311" width="17.140625" style="45" customWidth="1"/>
    <col min="3312" max="3313" width="17.85546875" style="45" customWidth="1"/>
    <col min="3314" max="3314" width="17.140625" style="45" customWidth="1"/>
    <col min="3315" max="3315" width="6.42578125" style="45" customWidth="1"/>
    <col min="3316" max="3316" width="15.85546875" style="45" customWidth="1"/>
    <col min="3317" max="3317" width="16" style="45" customWidth="1"/>
    <col min="3318" max="3318" width="15.7109375" style="45" customWidth="1"/>
    <col min="3319" max="3320" width="19.28515625" style="45" customWidth="1"/>
    <col min="3321" max="3321" width="18.140625" style="45" customWidth="1"/>
    <col min="3322" max="3322" width="16" style="45" customWidth="1"/>
    <col min="3323" max="3323" width="18" style="45" customWidth="1"/>
    <col min="3324" max="3324" width="17.85546875" style="45" customWidth="1"/>
    <col min="3325" max="3326" width="16.140625" style="45" customWidth="1"/>
    <col min="3327" max="3329" width="17.5703125" style="45" customWidth="1"/>
    <col min="3330" max="3330" width="13.7109375" style="45" customWidth="1"/>
    <col min="3331" max="3562" width="11.42578125" style="45"/>
    <col min="3563" max="3563" width="5.5703125" style="45" customWidth="1"/>
    <col min="3564" max="3564" width="35.85546875" style="45" customWidth="1"/>
    <col min="3565" max="3566" width="0" style="45" hidden="1" customWidth="1"/>
    <col min="3567" max="3567" width="17.140625" style="45" customWidth="1"/>
    <col min="3568" max="3569" width="17.85546875" style="45" customWidth="1"/>
    <col min="3570" max="3570" width="17.140625" style="45" customWidth="1"/>
    <col min="3571" max="3571" width="6.42578125" style="45" customWidth="1"/>
    <col min="3572" max="3572" width="15.85546875" style="45" customWidth="1"/>
    <col min="3573" max="3573" width="16" style="45" customWidth="1"/>
    <col min="3574" max="3574" width="15.7109375" style="45" customWidth="1"/>
    <col min="3575" max="3576" width="19.28515625" style="45" customWidth="1"/>
    <col min="3577" max="3577" width="18.140625" style="45" customWidth="1"/>
    <col min="3578" max="3578" width="16" style="45" customWidth="1"/>
    <col min="3579" max="3579" width="18" style="45" customWidth="1"/>
    <col min="3580" max="3580" width="17.85546875" style="45" customWidth="1"/>
    <col min="3581" max="3582" width="16.140625" style="45" customWidth="1"/>
    <col min="3583" max="3585" width="17.5703125" style="45" customWidth="1"/>
    <col min="3586" max="3586" width="13.7109375" style="45" customWidth="1"/>
    <col min="3587" max="3818" width="11.42578125" style="45"/>
    <col min="3819" max="3819" width="5.5703125" style="45" customWidth="1"/>
    <col min="3820" max="3820" width="35.85546875" style="45" customWidth="1"/>
    <col min="3821" max="3822" width="0" style="45" hidden="1" customWidth="1"/>
    <col min="3823" max="3823" width="17.140625" style="45" customWidth="1"/>
    <col min="3824" max="3825" width="17.85546875" style="45" customWidth="1"/>
    <col min="3826" max="3826" width="17.140625" style="45" customWidth="1"/>
    <col min="3827" max="3827" width="6.42578125" style="45" customWidth="1"/>
    <col min="3828" max="3828" width="15.85546875" style="45" customWidth="1"/>
    <col min="3829" max="3829" width="16" style="45" customWidth="1"/>
    <col min="3830" max="3830" width="15.7109375" style="45" customWidth="1"/>
    <col min="3831" max="3832" width="19.28515625" style="45" customWidth="1"/>
    <col min="3833" max="3833" width="18.140625" style="45" customWidth="1"/>
    <col min="3834" max="3834" width="16" style="45" customWidth="1"/>
    <col min="3835" max="3835" width="18" style="45" customWidth="1"/>
    <col min="3836" max="3836" width="17.85546875" style="45" customWidth="1"/>
    <col min="3837" max="3838" width="16.140625" style="45" customWidth="1"/>
    <col min="3839" max="3841" width="17.5703125" style="45" customWidth="1"/>
    <col min="3842" max="3842" width="13.7109375" style="45" customWidth="1"/>
    <col min="3843" max="4074" width="11.42578125" style="45"/>
    <col min="4075" max="4075" width="5.5703125" style="45" customWidth="1"/>
    <col min="4076" max="4076" width="35.85546875" style="45" customWidth="1"/>
    <col min="4077" max="4078" width="0" style="45" hidden="1" customWidth="1"/>
    <col min="4079" max="4079" width="17.140625" style="45" customWidth="1"/>
    <col min="4080" max="4081" width="17.85546875" style="45" customWidth="1"/>
    <col min="4082" max="4082" width="17.140625" style="45" customWidth="1"/>
    <col min="4083" max="4083" width="6.42578125" style="45" customWidth="1"/>
    <col min="4084" max="4084" width="15.85546875" style="45" customWidth="1"/>
    <col min="4085" max="4085" width="16" style="45" customWidth="1"/>
    <col min="4086" max="4086" width="15.7109375" style="45" customWidth="1"/>
    <col min="4087" max="4088" width="19.28515625" style="45" customWidth="1"/>
    <col min="4089" max="4089" width="18.140625" style="45" customWidth="1"/>
    <col min="4090" max="4090" width="16" style="45" customWidth="1"/>
    <col min="4091" max="4091" width="18" style="45" customWidth="1"/>
    <col min="4092" max="4092" width="17.85546875" style="45" customWidth="1"/>
    <col min="4093" max="4094" width="16.140625" style="45" customWidth="1"/>
    <col min="4095" max="4097" width="17.5703125" style="45" customWidth="1"/>
    <col min="4098" max="4098" width="13.7109375" style="45" customWidth="1"/>
    <col min="4099" max="4330" width="11.42578125" style="45"/>
    <col min="4331" max="4331" width="5.5703125" style="45" customWidth="1"/>
    <col min="4332" max="4332" width="35.85546875" style="45" customWidth="1"/>
    <col min="4333" max="4334" width="0" style="45" hidden="1" customWidth="1"/>
    <col min="4335" max="4335" width="17.140625" style="45" customWidth="1"/>
    <col min="4336" max="4337" width="17.85546875" style="45" customWidth="1"/>
    <col min="4338" max="4338" width="17.140625" style="45" customWidth="1"/>
    <col min="4339" max="4339" width="6.42578125" style="45" customWidth="1"/>
    <col min="4340" max="4340" width="15.85546875" style="45" customWidth="1"/>
    <col min="4341" max="4341" width="16" style="45" customWidth="1"/>
    <col min="4342" max="4342" width="15.7109375" style="45" customWidth="1"/>
    <col min="4343" max="4344" width="19.28515625" style="45" customWidth="1"/>
    <col min="4345" max="4345" width="18.140625" style="45" customWidth="1"/>
    <col min="4346" max="4346" width="16" style="45" customWidth="1"/>
    <col min="4347" max="4347" width="18" style="45" customWidth="1"/>
    <col min="4348" max="4348" width="17.85546875" style="45" customWidth="1"/>
    <col min="4349" max="4350" width="16.140625" style="45" customWidth="1"/>
    <col min="4351" max="4353" width="17.5703125" style="45" customWidth="1"/>
    <col min="4354" max="4354" width="13.7109375" style="45" customWidth="1"/>
    <col min="4355" max="4586" width="11.42578125" style="45"/>
    <col min="4587" max="4587" width="5.5703125" style="45" customWidth="1"/>
    <col min="4588" max="4588" width="35.85546875" style="45" customWidth="1"/>
    <col min="4589" max="4590" width="0" style="45" hidden="1" customWidth="1"/>
    <col min="4591" max="4591" width="17.140625" style="45" customWidth="1"/>
    <col min="4592" max="4593" width="17.85546875" style="45" customWidth="1"/>
    <col min="4594" max="4594" width="17.140625" style="45" customWidth="1"/>
    <col min="4595" max="4595" width="6.42578125" style="45" customWidth="1"/>
    <col min="4596" max="4596" width="15.85546875" style="45" customWidth="1"/>
    <col min="4597" max="4597" width="16" style="45" customWidth="1"/>
    <col min="4598" max="4598" width="15.7109375" style="45" customWidth="1"/>
    <col min="4599" max="4600" width="19.28515625" style="45" customWidth="1"/>
    <col min="4601" max="4601" width="18.140625" style="45" customWidth="1"/>
    <col min="4602" max="4602" width="16" style="45" customWidth="1"/>
    <col min="4603" max="4603" width="18" style="45" customWidth="1"/>
    <col min="4604" max="4604" width="17.85546875" style="45" customWidth="1"/>
    <col min="4605" max="4606" width="16.140625" style="45" customWidth="1"/>
    <col min="4607" max="4609" width="17.5703125" style="45" customWidth="1"/>
    <col min="4610" max="4610" width="13.7109375" style="45" customWidth="1"/>
    <col min="4611" max="4842" width="11.42578125" style="45"/>
    <col min="4843" max="4843" width="5.5703125" style="45" customWidth="1"/>
    <col min="4844" max="4844" width="35.85546875" style="45" customWidth="1"/>
    <col min="4845" max="4846" width="0" style="45" hidden="1" customWidth="1"/>
    <col min="4847" max="4847" width="17.140625" style="45" customWidth="1"/>
    <col min="4848" max="4849" width="17.85546875" style="45" customWidth="1"/>
    <col min="4850" max="4850" width="17.140625" style="45" customWidth="1"/>
    <col min="4851" max="4851" width="6.42578125" style="45" customWidth="1"/>
    <col min="4852" max="4852" width="15.85546875" style="45" customWidth="1"/>
    <col min="4853" max="4853" width="16" style="45" customWidth="1"/>
    <col min="4854" max="4854" width="15.7109375" style="45" customWidth="1"/>
    <col min="4855" max="4856" width="19.28515625" style="45" customWidth="1"/>
    <col min="4857" max="4857" width="18.140625" style="45" customWidth="1"/>
    <col min="4858" max="4858" width="16" style="45" customWidth="1"/>
    <col min="4859" max="4859" width="18" style="45" customWidth="1"/>
    <col min="4860" max="4860" width="17.85546875" style="45" customWidth="1"/>
    <col min="4861" max="4862" width="16.140625" style="45" customWidth="1"/>
    <col min="4863" max="4865" width="17.5703125" style="45" customWidth="1"/>
    <col min="4866" max="4866" width="13.7109375" style="45" customWidth="1"/>
    <col min="4867" max="5098" width="11.42578125" style="45"/>
    <col min="5099" max="5099" width="5.5703125" style="45" customWidth="1"/>
    <col min="5100" max="5100" width="35.85546875" style="45" customWidth="1"/>
    <col min="5101" max="5102" width="0" style="45" hidden="1" customWidth="1"/>
    <col min="5103" max="5103" width="17.140625" style="45" customWidth="1"/>
    <col min="5104" max="5105" width="17.85546875" style="45" customWidth="1"/>
    <col min="5106" max="5106" width="17.140625" style="45" customWidth="1"/>
    <col min="5107" max="5107" width="6.42578125" style="45" customWidth="1"/>
    <col min="5108" max="5108" width="15.85546875" style="45" customWidth="1"/>
    <col min="5109" max="5109" width="16" style="45" customWidth="1"/>
    <col min="5110" max="5110" width="15.7109375" style="45" customWidth="1"/>
    <col min="5111" max="5112" width="19.28515625" style="45" customWidth="1"/>
    <col min="5113" max="5113" width="18.140625" style="45" customWidth="1"/>
    <col min="5114" max="5114" width="16" style="45" customWidth="1"/>
    <col min="5115" max="5115" width="18" style="45" customWidth="1"/>
    <col min="5116" max="5116" width="17.85546875" style="45" customWidth="1"/>
    <col min="5117" max="5118" width="16.140625" style="45" customWidth="1"/>
    <col min="5119" max="5121" width="17.5703125" style="45" customWidth="1"/>
    <col min="5122" max="5122" width="13.7109375" style="45" customWidth="1"/>
    <col min="5123" max="5354" width="11.42578125" style="45"/>
    <col min="5355" max="5355" width="5.5703125" style="45" customWidth="1"/>
    <col min="5356" max="5356" width="35.85546875" style="45" customWidth="1"/>
    <col min="5357" max="5358" width="0" style="45" hidden="1" customWidth="1"/>
    <col min="5359" max="5359" width="17.140625" style="45" customWidth="1"/>
    <col min="5360" max="5361" width="17.85546875" style="45" customWidth="1"/>
    <col min="5362" max="5362" width="17.140625" style="45" customWidth="1"/>
    <col min="5363" max="5363" width="6.42578125" style="45" customWidth="1"/>
    <col min="5364" max="5364" width="15.85546875" style="45" customWidth="1"/>
    <col min="5365" max="5365" width="16" style="45" customWidth="1"/>
    <col min="5366" max="5366" width="15.7109375" style="45" customWidth="1"/>
    <col min="5367" max="5368" width="19.28515625" style="45" customWidth="1"/>
    <col min="5369" max="5369" width="18.140625" style="45" customWidth="1"/>
    <col min="5370" max="5370" width="16" style="45" customWidth="1"/>
    <col min="5371" max="5371" width="18" style="45" customWidth="1"/>
    <col min="5372" max="5372" width="17.85546875" style="45" customWidth="1"/>
    <col min="5373" max="5374" width="16.140625" style="45" customWidth="1"/>
    <col min="5375" max="5377" width="17.5703125" style="45" customWidth="1"/>
    <col min="5378" max="5378" width="13.7109375" style="45" customWidth="1"/>
    <col min="5379" max="5610" width="11.42578125" style="45"/>
    <col min="5611" max="5611" width="5.5703125" style="45" customWidth="1"/>
    <col min="5612" max="5612" width="35.85546875" style="45" customWidth="1"/>
    <col min="5613" max="5614" width="0" style="45" hidden="1" customWidth="1"/>
    <col min="5615" max="5615" width="17.140625" style="45" customWidth="1"/>
    <col min="5616" max="5617" width="17.85546875" style="45" customWidth="1"/>
    <col min="5618" max="5618" width="17.140625" style="45" customWidth="1"/>
    <col min="5619" max="5619" width="6.42578125" style="45" customWidth="1"/>
    <col min="5620" max="5620" width="15.85546875" style="45" customWidth="1"/>
    <col min="5621" max="5621" width="16" style="45" customWidth="1"/>
    <col min="5622" max="5622" width="15.7109375" style="45" customWidth="1"/>
    <col min="5623" max="5624" width="19.28515625" style="45" customWidth="1"/>
    <col min="5625" max="5625" width="18.140625" style="45" customWidth="1"/>
    <col min="5626" max="5626" width="16" style="45" customWidth="1"/>
    <col min="5627" max="5627" width="18" style="45" customWidth="1"/>
    <col min="5628" max="5628" width="17.85546875" style="45" customWidth="1"/>
    <col min="5629" max="5630" width="16.140625" style="45" customWidth="1"/>
    <col min="5631" max="5633" width="17.5703125" style="45" customWidth="1"/>
    <col min="5634" max="5634" width="13.7109375" style="45" customWidth="1"/>
    <col min="5635" max="5866" width="11.42578125" style="45"/>
    <col min="5867" max="5867" width="5.5703125" style="45" customWidth="1"/>
    <col min="5868" max="5868" width="35.85546875" style="45" customWidth="1"/>
    <col min="5869" max="5870" width="0" style="45" hidden="1" customWidth="1"/>
    <col min="5871" max="5871" width="17.140625" style="45" customWidth="1"/>
    <col min="5872" max="5873" width="17.85546875" style="45" customWidth="1"/>
    <col min="5874" max="5874" width="17.140625" style="45" customWidth="1"/>
    <col min="5875" max="5875" width="6.42578125" style="45" customWidth="1"/>
    <col min="5876" max="5876" width="15.85546875" style="45" customWidth="1"/>
    <col min="5877" max="5877" width="16" style="45" customWidth="1"/>
    <col min="5878" max="5878" width="15.7109375" style="45" customWidth="1"/>
    <col min="5879" max="5880" width="19.28515625" style="45" customWidth="1"/>
    <col min="5881" max="5881" width="18.140625" style="45" customWidth="1"/>
    <col min="5882" max="5882" width="16" style="45" customWidth="1"/>
    <col min="5883" max="5883" width="18" style="45" customWidth="1"/>
    <col min="5884" max="5884" width="17.85546875" style="45" customWidth="1"/>
    <col min="5885" max="5886" width="16.140625" style="45" customWidth="1"/>
    <col min="5887" max="5889" width="17.5703125" style="45" customWidth="1"/>
    <col min="5890" max="5890" width="13.7109375" style="45" customWidth="1"/>
    <col min="5891" max="6122" width="11.42578125" style="45"/>
    <col min="6123" max="6123" width="5.5703125" style="45" customWidth="1"/>
    <col min="6124" max="6124" width="35.85546875" style="45" customWidth="1"/>
    <col min="6125" max="6126" width="0" style="45" hidden="1" customWidth="1"/>
    <col min="6127" max="6127" width="17.140625" style="45" customWidth="1"/>
    <col min="6128" max="6129" width="17.85546875" style="45" customWidth="1"/>
    <col min="6130" max="6130" width="17.140625" style="45" customWidth="1"/>
    <col min="6131" max="6131" width="6.42578125" style="45" customWidth="1"/>
    <col min="6132" max="6132" width="15.85546875" style="45" customWidth="1"/>
    <col min="6133" max="6133" width="16" style="45" customWidth="1"/>
    <col min="6134" max="6134" width="15.7109375" style="45" customWidth="1"/>
    <col min="6135" max="6136" width="19.28515625" style="45" customWidth="1"/>
    <col min="6137" max="6137" width="18.140625" style="45" customWidth="1"/>
    <col min="6138" max="6138" width="16" style="45" customWidth="1"/>
    <col min="6139" max="6139" width="18" style="45" customWidth="1"/>
    <col min="6140" max="6140" width="17.85546875" style="45" customWidth="1"/>
    <col min="6141" max="6142" width="16.140625" style="45" customWidth="1"/>
    <col min="6143" max="6145" width="17.5703125" style="45" customWidth="1"/>
    <col min="6146" max="6146" width="13.7109375" style="45" customWidth="1"/>
    <col min="6147" max="6378" width="11.42578125" style="45"/>
    <col min="6379" max="6379" width="5.5703125" style="45" customWidth="1"/>
    <col min="6380" max="6380" width="35.85546875" style="45" customWidth="1"/>
    <col min="6381" max="6382" width="0" style="45" hidden="1" customWidth="1"/>
    <col min="6383" max="6383" width="17.140625" style="45" customWidth="1"/>
    <col min="6384" max="6385" width="17.85546875" style="45" customWidth="1"/>
    <col min="6386" max="6386" width="17.140625" style="45" customWidth="1"/>
    <col min="6387" max="6387" width="6.42578125" style="45" customWidth="1"/>
    <col min="6388" max="6388" width="15.85546875" style="45" customWidth="1"/>
    <col min="6389" max="6389" width="16" style="45" customWidth="1"/>
    <col min="6390" max="6390" width="15.7109375" style="45" customWidth="1"/>
    <col min="6391" max="6392" width="19.28515625" style="45" customWidth="1"/>
    <col min="6393" max="6393" width="18.140625" style="45" customWidth="1"/>
    <col min="6394" max="6394" width="16" style="45" customWidth="1"/>
    <col min="6395" max="6395" width="18" style="45" customWidth="1"/>
    <col min="6396" max="6396" width="17.85546875" style="45" customWidth="1"/>
    <col min="6397" max="6398" width="16.140625" style="45" customWidth="1"/>
    <col min="6399" max="6401" width="17.5703125" style="45" customWidth="1"/>
    <col min="6402" max="6402" width="13.7109375" style="45" customWidth="1"/>
    <col min="6403" max="6634" width="11.42578125" style="45"/>
    <col min="6635" max="6635" width="5.5703125" style="45" customWidth="1"/>
    <col min="6636" max="6636" width="35.85546875" style="45" customWidth="1"/>
    <col min="6637" max="6638" width="0" style="45" hidden="1" customWidth="1"/>
    <col min="6639" max="6639" width="17.140625" style="45" customWidth="1"/>
    <col min="6640" max="6641" width="17.85546875" style="45" customWidth="1"/>
    <col min="6642" max="6642" width="17.140625" style="45" customWidth="1"/>
    <col min="6643" max="6643" width="6.42578125" style="45" customWidth="1"/>
    <col min="6644" max="6644" width="15.85546875" style="45" customWidth="1"/>
    <col min="6645" max="6645" width="16" style="45" customWidth="1"/>
    <col min="6646" max="6646" width="15.7109375" style="45" customWidth="1"/>
    <col min="6647" max="6648" width="19.28515625" style="45" customWidth="1"/>
    <col min="6649" max="6649" width="18.140625" style="45" customWidth="1"/>
    <col min="6650" max="6650" width="16" style="45" customWidth="1"/>
    <col min="6651" max="6651" width="18" style="45" customWidth="1"/>
    <col min="6652" max="6652" width="17.85546875" style="45" customWidth="1"/>
    <col min="6653" max="6654" width="16.140625" style="45" customWidth="1"/>
    <col min="6655" max="6657" width="17.5703125" style="45" customWidth="1"/>
    <col min="6658" max="6658" width="13.7109375" style="45" customWidth="1"/>
    <col min="6659" max="6890" width="11.42578125" style="45"/>
    <col min="6891" max="6891" width="5.5703125" style="45" customWidth="1"/>
    <col min="6892" max="6892" width="35.85546875" style="45" customWidth="1"/>
    <col min="6893" max="6894" width="0" style="45" hidden="1" customWidth="1"/>
    <col min="6895" max="6895" width="17.140625" style="45" customWidth="1"/>
    <col min="6896" max="6897" width="17.85546875" style="45" customWidth="1"/>
    <col min="6898" max="6898" width="17.140625" style="45" customWidth="1"/>
    <col min="6899" max="6899" width="6.42578125" style="45" customWidth="1"/>
    <col min="6900" max="6900" width="15.85546875" style="45" customWidth="1"/>
    <col min="6901" max="6901" width="16" style="45" customWidth="1"/>
    <col min="6902" max="6902" width="15.7109375" style="45" customWidth="1"/>
    <col min="6903" max="6904" width="19.28515625" style="45" customWidth="1"/>
    <col min="6905" max="6905" width="18.140625" style="45" customWidth="1"/>
    <col min="6906" max="6906" width="16" style="45" customWidth="1"/>
    <col min="6907" max="6907" width="18" style="45" customWidth="1"/>
    <col min="6908" max="6908" width="17.85546875" style="45" customWidth="1"/>
    <col min="6909" max="6910" width="16.140625" style="45" customWidth="1"/>
    <col min="6911" max="6913" width="17.5703125" style="45" customWidth="1"/>
    <col min="6914" max="6914" width="13.7109375" style="45" customWidth="1"/>
    <col min="6915" max="7146" width="11.42578125" style="45"/>
    <col min="7147" max="7147" width="5.5703125" style="45" customWidth="1"/>
    <col min="7148" max="7148" width="35.85546875" style="45" customWidth="1"/>
    <col min="7149" max="7150" width="0" style="45" hidden="1" customWidth="1"/>
    <col min="7151" max="7151" width="17.140625" style="45" customWidth="1"/>
    <col min="7152" max="7153" width="17.85546875" style="45" customWidth="1"/>
    <col min="7154" max="7154" width="17.140625" style="45" customWidth="1"/>
    <col min="7155" max="7155" width="6.42578125" style="45" customWidth="1"/>
    <col min="7156" max="7156" width="15.85546875" style="45" customWidth="1"/>
    <col min="7157" max="7157" width="16" style="45" customWidth="1"/>
    <col min="7158" max="7158" width="15.7109375" style="45" customWidth="1"/>
    <col min="7159" max="7160" width="19.28515625" style="45" customWidth="1"/>
    <col min="7161" max="7161" width="18.140625" style="45" customWidth="1"/>
    <col min="7162" max="7162" width="16" style="45" customWidth="1"/>
    <col min="7163" max="7163" width="18" style="45" customWidth="1"/>
    <col min="7164" max="7164" width="17.85546875" style="45" customWidth="1"/>
    <col min="7165" max="7166" width="16.140625" style="45" customWidth="1"/>
    <col min="7167" max="7169" width="17.5703125" style="45" customWidth="1"/>
    <col min="7170" max="7170" width="13.7109375" style="45" customWidth="1"/>
    <col min="7171" max="7402" width="11.42578125" style="45"/>
    <col min="7403" max="7403" width="5.5703125" style="45" customWidth="1"/>
    <col min="7404" max="7404" width="35.85546875" style="45" customWidth="1"/>
    <col min="7405" max="7406" width="0" style="45" hidden="1" customWidth="1"/>
    <col min="7407" max="7407" width="17.140625" style="45" customWidth="1"/>
    <col min="7408" max="7409" width="17.85546875" style="45" customWidth="1"/>
    <col min="7410" max="7410" width="17.140625" style="45" customWidth="1"/>
    <col min="7411" max="7411" width="6.42578125" style="45" customWidth="1"/>
    <col min="7412" max="7412" width="15.85546875" style="45" customWidth="1"/>
    <col min="7413" max="7413" width="16" style="45" customWidth="1"/>
    <col min="7414" max="7414" width="15.7109375" style="45" customWidth="1"/>
    <col min="7415" max="7416" width="19.28515625" style="45" customWidth="1"/>
    <col min="7417" max="7417" width="18.140625" style="45" customWidth="1"/>
    <col min="7418" max="7418" width="16" style="45" customWidth="1"/>
    <col min="7419" max="7419" width="18" style="45" customWidth="1"/>
    <col min="7420" max="7420" width="17.85546875" style="45" customWidth="1"/>
    <col min="7421" max="7422" width="16.140625" style="45" customWidth="1"/>
    <col min="7423" max="7425" width="17.5703125" style="45" customWidth="1"/>
    <col min="7426" max="7426" width="13.7109375" style="45" customWidth="1"/>
    <col min="7427" max="7658" width="11.42578125" style="45"/>
    <col min="7659" max="7659" width="5.5703125" style="45" customWidth="1"/>
    <col min="7660" max="7660" width="35.85546875" style="45" customWidth="1"/>
    <col min="7661" max="7662" width="0" style="45" hidden="1" customWidth="1"/>
    <col min="7663" max="7663" width="17.140625" style="45" customWidth="1"/>
    <col min="7664" max="7665" width="17.85546875" style="45" customWidth="1"/>
    <col min="7666" max="7666" width="17.140625" style="45" customWidth="1"/>
    <col min="7667" max="7667" width="6.42578125" style="45" customWidth="1"/>
    <col min="7668" max="7668" width="15.85546875" style="45" customWidth="1"/>
    <col min="7669" max="7669" width="16" style="45" customWidth="1"/>
    <col min="7670" max="7670" width="15.7109375" style="45" customWidth="1"/>
    <col min="7671" max="7672" width="19.28515625" style="45" customWidth="1"/>
    <col min="7673" max="7673" width="18.140625" style="45" customWidth="1"/>
    <col min="7674" max="7674" width="16" style="45" customWidth="1"/>
    <col min="7675" max="7675" width="18" style="45" customWidth="1"/>
    <col min="7676" max="7676" width="17.85546875" style="45" customWidth="1"/>
    <col min="7677" max="7678" width="16.140625" style="45" customWidth="1"/>
    <col min="7679" max="7681" width="17.5703125" style="45" customWidth="1"/>
    <col min="7682" max="7682" width="13.7109375" style="45" customWidth="1"/>
    <col min="7683" max="7914" width="11.42578125" style="45"/>
    <col min="7915" max="7915" width="5.5703125" style="45" customWidth="1"/>
    <col min="7916" max="7916" width="35.85546875" style="45" customWidth="1"/>
    <col min="7917" max="7918" width="0" style="45" hidden="1" customWidth="1"/>
    <col min="7919" max="7919" width="17.140625" style="45" customWidth="1"/>
    <col min="7920" max="7921" width="17.85546875" style="45" customWidth="1"/>
    <col min="7922" max="7922" width="17.140625" style="45" customWidth="1"/>
    <col min="7923" max="7923" width="6.42578125" style="45" customWidth="1"/>
    <col min="7924" max="7924" width="15.85546875" style="45" customWidth="1"/>
    <col min="7925" max="7925" width="16" style="45" customWidth="1"/>
    <col min="7926" max="7926" width="15.7109375" style="45" customWidth="1"/>
    <col min="7927" max="7928" width="19.28515625" style="45" customWidth="1"/>
    <col min="7929" max="7929" width="18.140625" style="45" customWidth="1"/>
    <col min="7930" max="7930" width="16" style="45" customWidth="1"/>
    <col min="7931" max="7931" width="18" style="45" customWidth="1"/>
    <col min="7932" max="7932" width="17.85546875" style="45" customWidth="1"/>
    <col min="7933" max="7934" width="16.140625" style="45" customWidth="1"/>
    <col min="7935" max="7937" width="17.5703125" style="45" customWidth="1"/>
    <col min="7938" max="7938" width="13.7109375" style="45" customWidth="1"/>
    <col min="7939" max="8170" width="11.42578125" style="45"/>
    <col min="8171" max="8171" width="5.5703125" style="45" customWidth="1"/>
    <col min="8172" max="8172" width="35.85546875" style="45" customWidth="1"/>
    <col min="8173" max="8174" width="0" style="45" hidden="1" customWidth="1"/>
    <col min="8175" max="8175" width="17.140625" style="45" customWidth="1"/>
    <col min="8176" max="8177" width="17.85546875" style="45" customWidth="1"/>
    <col min="8178" max="8178" width="17.140625" style="45" customWidth="1"/>
    <col min="8179" max="8179" width="6.42578125" style="45" customWidth="1"/>
    <col min="8180" max="8180" width="15.85546875" style="45" customWidth="1"/>
    <col min="8181" max="8181" width="16" style="45" customWidth="1"/>
    <col min="8182" max="8182" width="15.7109375" style="45" customWidth="1"/>
    <col min="8183" max="8184" width="19.28515625" style="45" customWidth="1"/>
    <col min="8185" max="8185" width="18.140625" style="45" customWidth="1"/>
    <col min="8186" max="8186" width="16" style="45" customWidth="1"/>
    <col min="8187" max="8187" width="18" style="45" customWidth="1"/>
    <col min="8188" max="8188" width="17.85546875" style="45" customWidth="1"/>
    <col min="8189" max="8190" width="16.140625" style="45" customWidth="1"/>
    <col min="8191" max="8193" width="17.5703125" style="45" customWidth="1"/>
    <col min="8194" max="8194" width="13.7109375" style="45" customWidth="1"/>
    <col min="8195" max="8426" width="11.42578125" style="45"/>
    <col min="8427" max="8427" width="5.5703125" style="45" customWidth="1"/>
    <col min="8428" max="8428" width="35.85546875" style="45" customWidth="1"/>
    <col min="8429" max="8430" width="0" style="45" hidden="1" customWidth="1"/>
    <col min="8431" max="8431" width="17.140625" style="45" customWidth="1"/>
    <col min="8432" max="8433" width="17.85546875" style="45" customWidth="1"/>
    <col min="8434" max="8434" width="17.140625" style="45" customWidth="1"/>
    <col min="8435" max="8435" width="6.42578125" style="45" customWidth="1"/>
    <col min="8436" max="8436" width="15.85546875" style="45" customWidth="1"/>
    <col min="8437" max="8437" width="16" style="45" customWidth="1"/>
    <col min="8438" max="8438" width="15.7109375" style="45" customWidth="1"/>
    <col min="8439" max="8440" width="19.28515625" style="45" customWidth="1"/>
    <col min="8441" max="8441" width="18.140625" style="45" customWidth="1"/>
    <col min="8442" max="8442" width="16" style="45" customWidth="1"/>
    <col min="8443" max="8443" width="18" style="45" customWidth="1"/>
    <col min="8444" max="8444" width="17.85546875" style="45" customWidth="1"/>
    <col min="8445" max="8446" width="16.140625" style="45" customWidth="1"/>
    <col min="8447" max="8449" width="17.5703125" style="45" customWidth="1"/>
    <col min="8450" max="8450" width="13.7109375" style="45" customWidth="1"/>
    <col min="8451" max="8682" width="11.42578125" style="45"/>
    <col min="8683" max="8683" width="5.5703125" style="45" customWidth="1"/>
    <col min="8684" max="8684" width="35.85546875" style="45" customWidth="1"/>
    <col min="8685" max="8686" width="0" style="45" hidden="1" customWidth="1"/>
    <col min="8687" max="8687" width="17.140625" style="45" customWidth="1"/>
    <col min="8688" max="8689" width="17.85546875" style="45" customWidth="1"/>
    <col min="8690" max="8690" width="17.140625" style="45" customWidth="1"/>
    <col min="8691" max="8691" width="6.42578125" style="45" customWidth="1"/>
    <col min="8692" max="8692" width="15.85546875" style="45" customWidth="1"/>
    <col min="8693" max="8693" width="16" style="45" customWidth="1"/>
    <col min="8694" max="8694" width="15.7109375" style="45" customWidth="1"/>
    <col min="8695" max="8696" width="19.28515625" style="45" customWidth="1"/>
    <col min="8697" max="8697" width="18.140625" style="45" customWidth="1"/>
    <col min="8698" max="8698" width="16" style="45" customWidth="1"/>
    <col min="8699" max="8699" width="18" style="45" customWidth="1"/>
    <col min="8700" max="8700" width="17.85546875" style="45" customWidth="1"/>
    <col min="8701" max="8702" width="16.140625" style="45" customWidth="1"/>
    <col min="8703" max="8705" width="17.5703125" style="45" customWidth="1"/>
    <col min="8706" max="8706" width="13.7109375" style="45" customWidth="1"/>
    <col min="8707" max="8938" width="11.42578125" style="45"/>
    <col min="8939" max="8939" width="5.5703125" style="45" customWidth="1"/>
    <col min="8940" max="8940" width="35.85546875" style="45" customWidth="1"/>
    <col min="8941" max="8942" width="0" style="45" hidden="1" customWidth="1"/>
    <col min="8943" max="8943" width="17.140625" style="45" customWidth="1"/>
    <col min="8944" max="8945" width="17.85546875" style="45" customWidth="1"/>
    <col min="8946" max="8946" width="17.140625" style="45" customWidth="1"/>
    <col min="8947" max="8947" width="6.42578125" style="45" customWidth="1"/>
    <col min="8948" max="8948" width="15.85546875" style="45" customWidth="1"/>
    <col min="8949" max="8949" width="16" style="45" customWidth="1"/>
    <col min="8950" max="8950" width="15.7109375" style="45" customWidth="1"/>
    <col min="8951" max="8952" width="19.28515625" style="45" customWidth="1"/>
    <col min="8953" max="8953" width="18.140625" style="45" customWidth="1"/>
    <col min="8954" max="8954" width="16" style="45" customWidth="1"/>
    <col min="8955" max="8955" width="18" style="45" customWidth="1"/>
    <col min="8956" max="8956" width="17.85546875" style="45" customWidth="1"/>
    <col min="8957" max="8958" width="16.140625" style="45" customWidth="1"/>
    <col min="8959" max="8961" width="17.5703125" style="45" customWidth="1"/>
    <col min="8962" max="8962" width="13.7109375" style="45" customWidth="1"/>
    <col min="8963" max="9194" width="11.42578125" style="45"/>
    <col min="9195" max="9195" width="5.5703125" style="45" customWidth="1"/>
    <col min="9196" max="9196" width="35.85546875" style="45" customWidth="1"/>
    <col min="9197" max="9198" width="0" style="45" hidden="1" customWidth="1"/>
    <col min="9199" max="9199" width="17.140625" style="45" customWidth="1"/>
    <col min="9200" max="9201" width="17.85546875" style="45" customWidth="1"/>
    <col min="9202" max="9202" width="17.140625" style="45" customWidth="1"/>
    <col min="9203" max="9203" width="6.42578125" style="45" customWidth="1"/>
    <col min="9204" max="9204" width="15.85546875" style="45" customWidth="1"/>
    <col min="9205" max="9205" width="16" style="45" customWidth="1"/>
    <col min="9206" max="9206" width="15.7109375" style="45" customWidth="1"/>
    <col min="9207" max="9208" width="19.28515625" style="45" customWidth="1"/>
    <col min="9209" max="9209" width="18.140625" style="45" customWidth="1"/>
    <col min="9210" max="9210" width="16" style="45" customWidth="1"/>
    <col min="9211" max="9211" width="18" style="45" customWidth="1"/>
    <col min="9212" max="9212" width="17.85546875" style="45" customWidth="1"/>
    <col min="9213" max="9214" width="16.140625" style="45" customWidth="1"/>
    <col min="9215" max="9217" width="17.5703125" style="45" customWidth="1"/>
    <col min="9218" max="9218" width="13.7109375" style="45" customWidth="1"/>
    <col min="9219" max="9450" width="11.42578125" style="45"/>
    <col min="9451" max="9451" width="5.5703125" style="45" customWidth="1"/>
    <col min="9452" max="9452" width="35.85546875" style="45" customWidth="1"/>
    <col min="9453" max="9454" width="0" style="45" hidden="1" customWidth="1"/>
    <col min="9455" max="9455" width="17.140625" style="45" customWidth="1"/>
    <col min="9456" max="9457" width="17.85546875" style="45" customWidth="1"/>
    <col min="9458" max="9458" width="17.140625" style="45" customWidth="1"/>
    <col min="9459" max="9459" width="6.42578125" style="45" customWidth="1"/>
    <col min="9460" max="9460" width="15.85546875" style="45" customWidth="1"/>
    <col min="9461" max="9461" width="16" style="45" customWidth="1"/>
    <col min="9462" max="9462" width="15.7109375" style="45" customWidth="1"/>
    <col min="9463" max="9464" width="19.28515625" style="45" customWidth="1"/>
    <col min="9465" max="9465" width="18.140625" style="45" customWidth="1"/>
    <col min="9466" max="9466" width="16" style="45" customWidth="1"/>
    <col min="9467" max="9467" width="18" style="45" customWidth="1"/>
    <col min="9468" max="9468" width="17.85546875" style="45" customWidth="1"/>
    <col min="9469" max="9470" width="16.140625" style="45" customWidth="1"/>
    <col min="9471" max="9473" width="17.5703125" style="45" customWidth="1"/>
    <col min="9474" max="9474" width="13.7109375" style="45" customWidth="1"/>
    <col min="9475" max="9706" width="11.42578125" style="45"/>
    <col min="9707" max="9707" width="5.5703125" style="45" customWidth="1"/>
    <col min="9708" max="9708" width="35.85546875" style="45" customWidth="1"/>
    <col min="9709" max="9710" width="0" style="45" hidden="1" customWidth="1"/>
    <col min="9711" max="9711" width="17.140625" style="45" customWidth="1"/>
    <col min="9712" max="9713" width="17.85546875" style="45" customWidth="1"/>
    <col min="9714" max="9714" width="17.140625" style="45" customWidth="1"/>
    <col min="9715" max="9715" width="6.42578125" style="45" customWidth="1"/>
    <col min="9716" max="9716" width="15.85546875" style="45" customWidth="1"/>
    <col min="9717" max="9717" width="16" style="45" customWidth="1"/>
    <col min="9718" max="9718" width="15.7109375" style="45" customWidth="1"/>
    <col min="9719" max="9720" width="19.28515625" style="45" customWidth="1"/>
    <col min="9721" max="9721" width="18.140625" style="45" customWidth="1"/>
    <col min="9722" max="9722" width="16" style="45" customWidth="1"/>
    <col min="9723" max="9723" width="18" style="45" customWidth="1"/>
    <col min="9724" max="9724" width="17.85546875" style="45" customWidth="1"/>
    <col min="9725" max="9726" width="16.140625" style="45" customWidth="1"/>
    <col min="9727" max="9729" width="17.5703125" style="45" customWidth="1"/>
    <col min="9730" max="9730" width="13.7109375" style="45" customWidth="1"/>
    <col min="9731" max="9962" width="11.42578125" style="45"/>
    <col min="9963" max="9963" width="5.5703125" style="45" customWidth="1"/>
    <col min="9964" max="9964" width="35.85546875" style="45" customWidth="1"/>
    <col min="9965" max="9966" width="0" style="45" hidden="1" customWidth="1"/>
    <col min="9967" max="9967" width="17.140625" style="45" customWidth="1"/>
    <col min="9968" max="9969" width="17.85546875" style="45" customWidth="1"/>
    <col min="9970" max="9970" width="17.140625" style="45" customWidth="1"/>
    <col min="9971" max="9971" width="6.42578125" style="45" customWidth="1"/>
    <col min="9972" max="9972" width="15.85546875" style="45" customWidth="1"/>
    <col min="9973" max="9973" width="16" style="45" customWidth="1"/>
    <col min="9974" max="9974" width="15.7109375" style="45" customWidth="1"/>
    <col min="9975" max="9976" width="19.28515625" style="45" customWidth="1"/>
    <col min="9977" max="9977" width="18.140625" style="45" customWidth="1"/>
    <col min="9978" max="9978" width="16" style="45" customWidth="1"/>
    <col min="9979" max="9979" width="18" style="45" customWidth="1"/>
    <col min="9980" max="9980" width="17.85546875" style="45" customWidth="1"/>
    <col min="9981" max="9982" width="16.140625" style="45" customWidth="1"/>
    <col min="9983" max="9985" width="17.5703125" style="45" customWidth="1"/>
    <col min="9986" max="9986" width="13.7109375" style="45" customWidth="1"/>
    <col min="9987" max="10218" width="11.42578125" style="45"/>
    <col min="10219" max="10219" width="5.5703125" style="45" customWidth="1"/>
    <col min="10220" max="10220" width="35.85546875" style="45" customWidth="1"/>
    <col min="10221" max="10222" width="0" style="45" hidden="1" customWidth="1"/>
    <col min="10223" max="10223" width="17.140625" style="45" customWidth="1"/>
    <col min="10224" max="10225" width="17.85546875" style="45" customWidth="1"/>
    <col min="10226" max="10226" width="17.140625" style="45" customWidth="1"/>
    <col min="10227" max="10227" width="6.42578125" style="45" customWidth="1"/>
    <col min="10228" max="10228" width="15.85546875" style="45" customWidth="1"/>
    <col min="10229" max="10229" width="16" style="45" customWidth="1"/>
    <col min="10230" max="10230" width="15.7109375" style="45" customWidth="1"/>
    <col min="10231" max="10232" width="19.28515625" style="45" customWidth="1"/>
    <col min="10233" max="10233" width="18.140625" style="45" customWidth="1"/>
    <col min="10234" max="10234" width="16" style="45" customWidth="1"/>
    <col min="10235" max="10235" width="18" style="45" customWidth="1"/>
    <col min="10236" max="10236" width="17.85546875" style="45" customWidth="1"/>
    <col min="10237" max="10238" width="16.140625" style="45" customWidth="1"/>
    <col min="10239" max="10241" width="17.5703125" style="45" customWidth="1"/>
    <col min="10242" max="10242" width="13.7109375" style="45" customWidth="1"/>
    <col min="10243" max="10474" width="11.42578125" style="45"/>
    <col min="10475" max="10475" width="5.5703125" style="45" customWidth="1"/>
    <col min="10476" max="10476" width="35.85546875" style="45" customWidth="1"/>
    <col min="10477" max="10478" width="0" style="45" hidden="1" customWidth="1"/>
    <col min="10479" max="10479" width="17.140625" style="45" customWidth="1"/>
    <col min="10480" max="10481" width="17.85546875" style="45" customWidth="1"/>
    <col min="10482" max="10482" width="17.140625" style="45" customWidth="1"/>
    <col min="10483" max="10483" width="6.42578125" style="45" customWidth="1"/>
    <col min="10484" max="10484" width="15.85546875" style="45" customWidth="1"/>
    <col min="10485" max="10485" width="16" style="45" customWidth="1"/>
    <col min="10486" max="10486" width="15.7109375" style="45" customWidth="1"/>
    <col min="10487" max="10488" width="19.28515625" style="45" customWidth="1"/>
    <col min="10489" max="10489" width="18.140625" style="45" customWidth="1"/>
    <col min="10490" max="10490" width="16" style="45" customWidth="1"/>
    <col min="10491" max="10491" width="18" style="45" customWidth="1"/>
    <col min="10492" max="10492" width="17.85546875" style="45" customWidth="1"/>
    <col min="10493" max="10494" width="16.140625" style="45" customWidth="1"/>
    <col min="10495" max="10497" width="17.5703125" style="45" customWidth="1"/>
    <col min="10498" max="10498" width="13.7109375" style="45" customWidth="1"/>
    <col min="10499" max="10730" width="11.42578125" style="45"/>
    <col min="10731" max="10731" width="5.5703125" style="45" customWidth="1"/>
    <col min="10732" max="10732" width="35.85546875" style="45" customWidth="1"/>
    <col min="10733" max="10734" width="0" style="45" hidden="1" customWidth="1"/>
    <col min="10735" max="10735" width="17.140625" style="45" customWidth="1"/>
    <col min="10736" max="10737" width="17.85546875" style="45" customWidth="1"/>
    <col min="10738" max="10738" width="17.140625" style="45" customWidth="1"/>
    <col min="10739" max="10739" width="6.42578125" style="45" customWidth="1"/>
    <col min="10740" max="10740" width="15.85546875" style="45" customWidth="1"/>
    <col min="10741" max="10741" width="16" style="45" customWidth="1"/>
    <col min="10742" max="10742" width="15.7109375" style="45" customWidth="1"/>
    <col min="10743" max="10744" width="19.28515625" style="45" customWidth="1"/>
    <col min="10745" max="10745" width="18.140625" style="45" customWidth="1"/>
    <col min="10746" max="10746" width="16" style="45" customWidth="1"/>
    <col min="10747" max="10747" width="18" style="45" customWidth="1"/>
    <col min="10748" max="10748" width="17.85546875" style="45" customWidth="1"/>
    <col min="10749" max="10750" width="16.140625" style="45" customWidth="1"/>
    <col min="10751" max="10753" width="17.5703125" style="45" customWidth="1"/>
    <col min="10754" max="10754" width="13.7109375" style="45" customWidth="1"/>
    <col min="10755" max="10986" width="11.42578125" style="45"/>
    <col min="10987" max="10987" width="5.5703125" style="45" customWidth="1"/>
    <col min="10988" max="10988" width="35.85546875" style="45" customWidth="1"/>
    <col min="10989" max="10990" width="0" style="45" hidden="1" customWidth="1"/>
    <col min="10991" max="10991" width="17.140625" style="45" customWidth="1"/>
    <col min="10992" max="10993" width="17.85546875" style="45" customWidth="1"/>
    <col min="10994" max="10994" width="17.140625" style="45" customWidth="1"/>
    <col min="10995" max="10995" width="6.42578125" style="45" customWidth="1"/>
    <col min="10996" max="10996" width="15.85546875" style="45" customWidth="1"/>
    <col min="10997" max="10997" width="16" style="45" customWidth="1"/>
    <col min="10998" max="10998" width="15.7109375" style="45" customWidth="1"/>
    <col min="10999" max="11000" width="19.28515625" style="45" customWidth="1"/>
    <col min="11001" max="11001" width="18.140625" style="45" customWidth="1"/>
    <col min="11002" max="11002" width="16" style="45" customWidth="1"/>
    <col min="11003" max="11003" width="18" style="45" customWidth="1"/>
    <col min="11004" max="11004" width="17.85546875" style="45" customWidth="1"/>
    <col min="11005" max="11006" width="16.140625" style="45" customWidth="1"/>
    <col min="11007" max="11009" width="17.5703125" style="45" customWidth="1"/>
    <col min="11010" max="11010" width="13.7109375" style="45" customWidth="1"/>
    <col min="11011" max="11242" width="11.42578125" style="45"/>
    <col min="11243" max="11243" width="5.5703125" style="45" customWidth="1"/>
    <col min="11244" max="11244" width="35.85546875" style="45" customWidth="1"/>
    <col min="11245" max="11246" width="0" style="45" hidden="1" customWidth="1"/>
    <col min="11247" max="11247" width="17.140625" style="45" customWidth="1"/>
    <col min="11248" max="11249" width="17.85546875" style="45" customWidth="1"/>
    <col min="11250" max="11250" width="17.140625" style="45" customWidth="1"/>
    <col min="11251" max="11251" width="6.42578125" style="45" customWidth="1"/>
    <col min="11252" max="11252" width="15.85546875" style="45" customWidth="1"/>
    <col min="11253" max="11253" width="16" style="45" customWidth="1"/>
    <col min="11254" max="11254" width="15.7109375" style="45" customWidth="1"/>
    <col min="11255" max="11256" width="19.28515625" style="45" customWidth="1"/>
    <col min="11257" max="11257" width="18.140625" style="45" customWidth="1"/>
    <col min="11258" max="11258" width="16" style="45" customWidth="1"/>
    <col min="11259" max="11259" width="18" style="45" customWidth="1"/>
    <col min="11260" max="11260" width="17.85546875" style="45" customWidth="1"/>
    <col min="11261" max="11262" width="16.140625" style="45" customWidth="1"/>
    <col min="11263" max="11265" width="17.5703125" style="45" customWidth="1"/>
    <col min="11266" max="11266" width="13.7109375" style="45" customWidth="1"/>
    <col min="11267" max="11498" width="11.42578125" style="45"/>
    <col min="11499" max="11499" width="5.5703125" style="45" customWidth="1"/>
    <col min="11500" max="11500" width="35.85546875" style="45" customWidth="1"/>
    <col min="11501" max="11502" width="0" style="45" hidden="1" customWidth="1"/>
    <col min="11503" max="11503" width="17.140625" style="45" customWidth="1"/>
    <col min="11504" max="11505" width="17.85546875" style="45" customWidth="1"/>
    <col min="11506" max="11506" width="17.140625" style="45" customWidth="1"/>
    <col min="11507" max="11507" width="6.42578125" style="45" customWidth="1"/>
    <col min="11508" max="11508" width="15.85546875" style="45" customWidth="1"/>
    <col min="11509" max="11509" width="16" style="45" customWidth="1"/>
    <col min="11510" max="11510" width="15.7109375" style="45" customWidth="1"/>
    <col min="11511" max="11512" width="19.28515625" style="45" customWidth="1"/>
    <col min="11513" max="11513" width="18.140625" style="45" customWidth="1"/>
    <col min="11514" max="11514" width="16" style="45" customWidth="1"/>
    <col min="11515" max="11515" width="18" style="45" customWidth="1"/>
    <col min="11516" max="11516" width="17.85546875" style="45" customWidth="1"/>
    <col min="11517" max="11518" width="16.140625" style="45" customWidth="1"/>
    <col min="11519" max="11521" width="17.5703125" style="45" customWidth="1"/>
    <col min="11522" max="11522" width="13.7109375" style="45" customWidth="1"/>
    <col min="11523" max="11754" width="11.42578125" style="45"/>
    <col min="11755" max="11755" width="5.5703125" style="45" customWidth="1"/>
    <col min="11756" max="11756" width="35.85546875" style="45" customWidth="1"/>
    <col min="11757" max="11758" width="0" style="45" hidden="1" customWidth="1"/>
    <col min="11759" max="11759" width="17.140625" style="45" customWidth="1"/>
    <col min="11760" max="11761" width="17.85546875" style="45" customWidth="1"/>
    <col min="11762" max="11762" width="17.140625" style="45" customWidth="1"/>
    <col min="11763" max="11763" width="6.42578125" style="45" customWidth="1"/>
    <col min="11764" max="11764" width="15.85546875" style="45" customWidth="1"/>
    <col min="11765" max="11765" width="16" style="45" customWidth="1"/>
    <col min="11766" max="11766" width="15.7109375" style="45" customWidth="1"/>
    <col min="11767" max="11768" width="19.28515625" style="45" customWidth="1"/>
    <col min="11769" max="11769" width="18.140625" style="45" customWidth="1"/>
    <col min="11770" max="11770" width="16" style="45" customWidth="1"/>
    <col min="11771" max="11771" width="18" style="45" customWidth="1"/>
    <col min="11772" max="11772" width="17.85546875" style="45" customWidth="1"/>
    <col min="11773" max="11774" width="16.140625" style="45" customWidth="1"/>
    <col min="11775" max="11777" width="17.5703125" style="45" customWidth="1"/>
    <col min="11778" max="11778" width="13.7109375" style="45" customWidth="1"/>
    <col min="11779" max="12010" width="11.42578125" style="45"/>
    <col min="12011" max="12011" width="5.5703125" style="45" customWidth="1"/>
    <col min="12012" max="12012" width="35.85546875" style="45" customWidth="1"/>
    <col min="12013" max="12014" width="0" style="45" hidden="1" customWidth="1"/>
    <col min="12015" max="12015" width="17.140625" style="45" customWidth="1"/>
    <col min="12016" max="12017" width="17.85546875" style="45" customWidth="1"/>
    <col min="12018" max="12018" width="17.140625" style="45" customWidth="1"/>
    <col min="12019" max="12019" width="6.42578125" style="45" customWidth="1"/>
    <col min="12020" max="12020" width="15.85546875" style="45" customWidth="1"/>
    <col min="12021" max="12021" width="16" style="45" customWidth="1"/>
    <col min="12022" max="12022" width="15.7109375" style="45" customWidth="1"/>
    <col min="12023" max="12024" width="19.28515625" style="45" customWidth="1"/>
    <col min="12025" max="12025" width="18.140625" style="45" customWidth="1"/>
    <col min="12026" max="12026" width="16" style="45" customWidth="1"/>
    <col min="12027" max="12027" width="18" style="45" customWidth="1"/>
    <col min="12028" max="12028" width="17.85546875" style="45" customWidth="1"/>
    <col min="12029" max="12030" width="16.140625" style="45" customWidth="1"/>
    <col min="12031" max="12033" width="17.5703125" style="45" customWidth="1"/>
    <col min="12034" max="12034" width="13.7109375" style="45" customWidth="1"/>
    <col min="12035" max="12266" width="11.42578125" style="45"/>
    <col min="12267" max="12267" width="5.5703125" style="45" customWidth="1"/>
    <col min="12268" max="12268" width="35.85546875" style="45" customWidth="1"/>
    <col min="12269" max="12270" width="0" style="45" hidden="1" customWidth="1"/>
    <col min="12271" max="12271" width="17.140625" style="45" customWidth="1"/>
    <col min="12272" max="12273" width="17.85546875" style="45" customWidth="1"/>
    <col min="12274" max="12274" width="17.140625" style="45" customWidth="1"/>
    <col min="12275" max="12275" width="6.42578125" style="45" customWidth="1"/>
    <col min="12276" max="12276" width="15.85546875" style="45" customWidth="1"/>
    <col min="12277" max="12277" width="16" style="45" customWidth="1"/>
    <col min="12278" max="12278" width="15.7109375" style="45" customWidth="1"/>
    <col min="12279" max="12280" width="19.28515625" style="45" customWidth="1"/>
    <col min="12281" max="12281" width="18.140625" style="45" customWidth="1"/>
    <col min="12282" max="12282" width="16" style="45" customWidth="1"/>
    <col min="12283" max="12283" width="18" style="45" customWidth="1"/>
    <col min="12284" max="12284" width="17.85546875" style="45" customWidth="1"/>
    <col min="12285" max="12286" width="16.140625" style="45" customWidth="1"/>
    <col min="12287" max="12289" width="17.5703125" style="45" customWidth="1"/>
    <col min="12290" max="12290" width="13.7109375" style="45" customWidth="1"/>
    <col min="12291" max="12522" width="11.42578125" style="45"/>
    <col min="12523" max="12523" width="5.5703125" style="45" customWidth="1"/>
    <col min="12524" max="12524" width="35.85546875" style="45" customWidth="1"/>
    <col min="12525" max="12526" width="0" style="45" hidden="1" customWidth="1"/>
    <col min="12527" max="12527" width="17.140625" style="45" customWidth="1"/>
    <col min="12528" max="12529" width="17.85546875" style="45" customWidth="1"/>
    <col min="12530" max="12530" width="17.140625" style="45" customWidth="1"/>
    <col min="12531" max="12531" width="6.42578125" style="45" customWidth="1"/>
    <col min="12532" max="12532" width="15.85546875" style="45" customWidth="1"/>
    <col min="12533" max="12533" width="16" style="45" customWidth="1"/>
    <col min="12534" max="12534" width="15.7109375" style="45" customWidth="1"/>
    <col min="12535" max="12536" width="19.28515625" style="45" customWidth="1"/>
    <col min="12537" max="12537" width="18.140625" style="45" customWidth="1"/>
    <col min="12538" max="12538" width="16" style="45" customWidth="1"/>
    <col min="12539" max="12539" width="18" style="45" customWidth="1"/>
    <col min="12540" max="12540" width="17.85546875" style="45" customWidth="1"/>
    <col min="12541" max="12542" width="16.140625" style="45" customWidth="1"/>
    <col min="12543" max="12545" width="17.5703125" style="45" customWidth="1"/>
    <col min="12546" max="12546" width="13.7109375" style="45" customWidth="1"/>
    <col min="12547" max="12778" width="11.42578125" style="45"/>
    <col min="12779" max="12779" width="5.5703125" style="45" customWidth="1"/>
    <col min="12780" max="12780" width="35.85546875" style="45" customWidth="1"/>
    <col min="12781" max="12782" width="0" style="45" hidden="1" customWidth="1"/>
    <col min="12783" max="12783" width="17.140625" style="45" customWidth="1"/>
    <col min="12784" max="12785" width="17.85546875" style="45" customWidth="1"/>
    <col min="12786" max="12786" width="17.140625" style="45" customWidth="1"/>
    <col min="12787" max="12787" width="6.42578125" style="45" customWidth="1"/>
    <col min="12788" max="12788" width="15.85546875" style="45" customWidth="1"/>
    <col min="12789" max="12789" width="16" style="45" customWidth="1"/>
    <col min="12790" max="12790" width="15.7109375" style="45" customWidth="1"/>
    <col min="12791" max="12792" width="19.28515625" style="45" customWidth="1"/>
    <col min="12793" max="12793" width="18.140625" style="45" customWidth="1"/>
    <col min="12794" max="12794" width="16" style="45" customWidth="1"/>
    <col min="12795" max="12795" width="18" style="45" customWidth="1"/>
    <col min="12796" max="12796" width="17.85546875" style="45" customWidth="1"/>
    <col min="12797" max="12798" width="16.140625" style="45" customWidth="1"/>
    <col min="12799" max="12801" width="17.5703125" style="45" customWidth="1"/>
    <col min="12802" max="12802" width="13.7109375" style="45" customWidth="1"/>
    <col min="12803" max="13034" width="11.42578125" style="45"/>
    <col min="13035" max="13035" width="5.5703125" style="45" customWidth="1"/>
    <col min="13036" max="13036" width="35.85546875" style="45" customWidth="1"/>
    <col min="13037" max="13038" width="0" style="45" hidden="1" customWidth="1"/>
    <col min="13039" max="13039" width="17.140625" style="45" customWidth="1"/>
    <col min="13040" max="13041" width="17.85546875" style="45" customWidth="1"/>
    <col min="13042" max="13042" width="17.140625" style="45" customWidth="1"/>
    <col min="13043" max="13043" width="6.42578125" style="45" customWidth="1"/>
    <col min="13044" max="13044" width="15.85546875" style="45" customWidth="1"/>
    <col min="13045" max="13045" width="16" style="45" customWidth="1"/>
    <col min="13046" max="13046" width="15.7109375" style="45" customWidth="1"/>
    <col min="13047" max="13048" width="19.28515625" style="45" customWidth="1"/>
    <col min="13049" max="13049" width="18.140625" style="45" customWidth="1"/>
    <col min="13050" max="13050" width="16" style="45" customWidth="1"/>
    <col min="13051" max="13051" width="18" style="45" customWidth="1"/>
    <col min="13052" max="13052" width="17.85546875" style="45" customWidth="1"/>
    <col min="13053" max="13054" width="16.140625" style="45" customWidth="1"/>
    <col min="13055" max="13057" width="17.5703125" style="45" customWidth="1"/>
    <col min="13058" max="13058" width="13.7109375" style="45" customWidth="1"/>
    <col min="13059" max="13290" width="11.42578125" style="45"/>
    <col min="13291" max="13291" width="5.5703125" style="45" customWidth="1"/>
    <col min="13292" max="13292" width="35.85546875" style="45" customWidth="1"/>
    <col min="13293" max="13294" width="0" style="45" hidden="1" customWidth="1"/>
    <col min="13295" max="13295" width="17.140625" style="45" customWidth="1"/>
    <col min="13296" max="13297" width="17.85546875" style="45" customWidth="1"/>
    <col min="13298" max="13298" width="17.140625" style="45" customWidth="1"/>
    <col min="13299" max="13299" width="6.42578125" style="45" customWidth="1"/>
    <col min="13300" max="13300" width="15.85546875" style="45" customWidth="1"/>
    <col min="13301" max="13301" width="16" style="45" customWidth="1"/>
    <col min="13302" max="13302" width="15.7109375" style="45" customWidth="1"/>
    <col min="13303" max="13304" width="19.28515625" style="45" customWidth="1"/>
    <col min="13305" max="13305" width="18.140625" style="45" customWidth="1"/>
    <col min="13306" max="13306" width="16" style="45" customWidth="1"/>
    <col min="13307" max="13307" width="18" style="45" customWidth="1"/>
    <col min="13308" max="13308" width="17.85546875" style="45" customWidth="1"/>
    <col min="13309" max="13310" width="16.140625" style="45" customWidth="1"/>
    <col min="13311" max="13313" width="17.5703125" style="45" customWidth="1"/>
    <col min="13314" max="13314" width="13.7109375" style="45" customWidth="1"/>
    <col min="13315" max="13546" width="11.42578125" style="45"/>
    <col min="13547" max="13547" width="5.5703125" style="45" customWidth="1"/>
    <col min="13548" max="13548" width="35.85546875" style="45" customWidth="1"/>
    <col min="13549" max="13550" width="0" style="45" hidden="1" customWidth="1"/>
    <col min="13551" max="13551" width="17.140625" style="45" customWidth="1"/>
    <col min="13552" max="13553" width="17.85546875" style="45" customWidth="1"/>
    <col min="13554" max="13554" width="17.140625" style="45" customWidth="1"/>
    <col min="13555" max="13555" width="6.42578125" style="45" customWidth="1"/>
    <col min="13556" max="13556" width="15.85546875" style="45" customWidth="1"/>
    <col min="13557" max="13557" width="16" style="45" customWidth="1"/>
    <col min="13558" max="13558" width="15.7109375" style="45" customWidth="1"/>
    <col min="13559" max="13560" width="19.28515625" style="45" customWidth="1"/>
    <col min="13561" max="13561" width="18.140625" style="45" customWidth="1"/>
    <col min="13562" max="13562" width="16" style="45" customWidth="1"/>
    <col min="13563" max="13563" width="18" style="45" customWidth="1"/>
    <col min="13564" max="13564" width="17.85546875" style="45" customWidth="1"/>
    <col min="13565" max="13566" width="16.140625" style="45" customWidth="1"/>
    <col min="13567" max="13569" width="17.5703125" style="45" customWidth="1"/>
    <col min="13570" max="13570" width="13.7109375" style="45" customWidth="1"/>
    <col min="13571" max="13802" width="11.42578125" style="45"/>
    <col min="13803" max="13803" width="5.5703125" style="45" customWidth="1"/>
    <col min="13804" max="13804" width="35.85546875" style="45" customWidth="1"/>
    <col min="13805" max="13806" width="0" style="45" hidden="1" customWidth="1"/>
    <col min="13807" max="13807" width="17.140625" style="45" customWidth="1"/>
    <col min="13808" max="13809" width="17.85546875" style="45" customWidth="1"/>
    <col min="13810" max="13810" width="17.140625" style="45" customWidth="1"/>
    <col min="13811" max="13811" width="6.42578125" style="45" customWidth="1"/>
    <col min="13812" max="13812" width="15.85546875" style="45" customWidth="1"/>
    <col min="13813" max="13813" width="16" style="45" customWidth="1"/>
    <col min="13814" max="13814" width="15.7109375" style="45" customWidth="1"/>
    <col min="13815" max="13816" width="19.28515625" style="45" customWidth="1"/>
    <col min="13817" max="13817" width="18.140625" style="45" customWidth="1"/>
    <col min="13818" max="13818" width="16" style="45" customWidth="1"/>
    <col min="13819" max="13819" width="18" style="45" customWidth="1"/>
    <col min="13820" max="13820" width="17.85546875" style="45" customWidth="1"/>
    <col min="13821" max="13822" width="16.140625" style="45" customWidth="1"/>
    <col min="13823" max="13825" width="17.5703125" style="45" customWidth="1"/>
    <col min="13826" max="13826" width="13.7109375" style="45" customWidth="1"/>
    <col min="13827" max="14058" width="11.42578125" style="45"/>
    <col min="14059" max="14059" width="5.5703125" style="45" customWidth="1"/>
    <col min="14060" max="14060" width="35.85546875" style="45" customWidth="1"/>
    <col min="14061" max="14062" width="0" style="45" hidden="1" customWidth="1"/>
    <col min="14063" max="14063" width="17.140625" style="45" customWidth="1"/>
    <col min="14064" max="14065" width="17.85546875" style="45" customWidth="1"/>
    <col min="14066" max="14066" width="17.140625" style="45" customWidth="1"/>
    <col min="14067" max="14067" width="6.42578125" style="45" customWidth="1"/>
    <col min="14068" max="14068" width="15.85546875" style="45" customWidth="1"/>
    <col min="14069" max="14069" width="16" style="45" customWidth="1"/>
    <col min="14070" max="14070" width="15.7109375" style="45" customWidth="1"/>
    <col min="14071" max="14072" width="19.28515625" style="45" customWidth="1"/>
    <col min="14073" max="14073" width="18.140625" style="45" customWidth="1"/>
    <col min="14074" max="14074" width="16" style="45" customWidth="1"/>
    <col min="14075" max="14075" width="18" style="45" customWidth="1"/>
    <col min="14076" max="14076" width="17.85546875" style="45" customWidth="1"/>
    <col min="14077" max="14078" width="16.140625" style="45" customWidth="1"/>
    <col min="14079" max="14081" width="17.5703125" style="45" customWidth="1"/>
    <col min="14082" max="14082" width="13.7109375" style="45" customWidth="1"/>
    <col min="14083" max="14314" width="11.42578125" style="45"/>
    <col min="14315" max="14315" width="5.5703125" style="45" customWidth="1"/>
    <col min="14316" max="14316" width="35.85546875" style="45" customWidth="1"/>
    <col min="14317" max="14318" width="0" style="45" hidden="1" customWidth="1"/>
    <col min="14319" max="14319" width="17.140625" style="45" customWidth="1"/>
    <col min="14320" max="14321" width="17.85546875" style="45" customWidth="1"/>
    <col min="14322" max="14322" width="17.140625" style="45" customWidth="1"/>
    <col min="14323" max="14323" width="6.42578125" style="45" customWidth="1"/>
    <col min="14324" max="14324" width="15.85546875" style="45" customWidth="1"/>
    <col min="14325" max="14325" width="16" style="45" customWidth="1"/>
    <col min="14326" max="14326" width="15.7109375" style="45" customWidth="1"/>
    <col min="14327" max="14328" width="19.28515625" style="45" customWidth="1"/>
    <col min="14329" max="14329" width="18.140625" style="45" customWidth="1"/>
    <col min="14330" max="14330" width="16" style="45" customWidth="1"/>
    <col min="14331" max="14331" width="18" style="45" customWidth="1"/>
    <col min="14332" max="14332" width="17.85546875" style="45" customWidth="1"/>
    <col min="14333" max="14334" width="16.140625" style="45" customWidth="1"/>
    <col min="14335" max="14337" width="17.5703125" style="45" customWidth="1"/>
    <col min="14338" max="14338" width="13.7109375" style="45" customWidth="1"/>
    <col min="14339" max="14570" width="11.42578125" style="45"/>
    <col min="14571" max="14571" width="5.5703125" style="45" customWidth="1"/>
    <col min="14572" max="14572" width="35.85546875" style="45" customWidth="1"/>
    <col min="14573" max="14574" width="0" style="45" hidden="1" customWidth="1"/>
    <col min="14575" max="14575" width="17.140625" style="45" customWidth="1"/>
    <col min="14576" max="14577" width="17.85546875" style="45" customWidth="1"/>
    <col min="14578" max="14578" width="17.140625" style="45" customWidth="1"/>
    <col min="14579" max="14579" width="6.42578125" style="45" customWidth="1"/>
    <col min="14580" max="14580" width="15.85546875" style="45" customWidth="1"/>
    <col min="14581" max="14581" width="16" style="45" customWidth="1"/>
    <col min="14582" max="14582" width="15.7109375" style="45" customWidth="1"/>
    <col min="14583" max="14584" width="19.28515625" style="45" customWidth="1"/>
    <col min="14585" max="14585" width="18.140625" style="45" customWidth="1"/>
    <col min="14586" max="14586" width="16" style="45" customWidth="1"/>
    <col min="14587" max="14587" width="18" style="45" customWidth="1"/>
    <col min="14588" max="14588" width="17.85546875" style="45" customWidth="1"/>
    <col min="14589" max="14590" width="16.140625" style="45" customWidth="1"/>
    <col min="14591" max="14593" width="17.5703125" style="45" customWidth="1"/>
    <col min="14594" max="14594" width="13.7109375" style="45" customWidth="1"/>
    <col min="14595" max="14826" width="11.42578125" style="45"/>
    <col min="14827" max="14827" width="5.5703125" style="45" customWidth="1"/>
    <col min="14828" max="14828" width="35.85546875" style="45" customWidth="1"/>
    <col min="14829" max="14830" width="0" style="45" hidden="1" customWidth="1"/>
    <col min="14831" max="14831" width="17.140625" style="45" customWidth="1"/>
    <col min="14832" max="14833" width="17.85546875" style="45" customWidth="1"/>
    <col min="14834" max="14834" width="17.140625" style="45" customWidth="1"/>
    <col min="14835" max="14835" width="6.42578125" style="45" customWidth="1"/>
    <col min="14836" max="14836" width="15.85546875" style="45" customWidth="1"/>
    <col min="14837" max="14837" width="16" style="45" customWidth="1"/>
    <col min="14838" max="14838" width="15.7109375" style="45" customWidth="1"/>
    <col min="14839" max="14840" width="19.28515625" style="45" customWidth="1"/>
    <col min="14841" max="14841" width="18.140625" style="45" customWidth="1"/>
    <col min="14842" max="14842" width="16" style="45" customWidth="1"/>
    <col min="14843" max="14843" width="18" style="45" customWidth="1"/>
    <col min="14844" max="14844" width="17.85546875" style="45" customWidth="1"/>
    <col min="14845" max="14846" width="16.140625" style="45" customWidth="1"/>
    <col min="14847" max="14849" width="17.5703125" style="45" customWidth="1"/>
    <col min="14850" max="14850" width="13.7109375" style="45" customWidth="1"/>
    <col min="14851" max="15082" width="11.42578125" style="45"/>
    <col min="15083" max="15083" width="5.5703125" style="45" customWidth="1"/>
    <col min="15084" max="15084" width="35.85546875" style="45" customWidth="1"/>
    <col min="15085" max="15086" width="0" style="45" hidden="1" customWidth="1"/>
    <col min="15087" max="15087" width="17.140625" style="45" customWidth="1"/>
    <col min="15088" max="15089" width="17.85546875" style="45" customWidth="1"/>
    <col min="15090" max="15090" width="17.140625" style="45" customWidth="1"/>
    <col min="15091" max="15091" width="6.42578125" style="45" customWidth="1"/>
    <col min="15092" max="15092" width="15.85546875" style="45" customWidth="1"/>
    <col min="15093" max="15093" width="16" style="45" customWidth="1"/>
    <col min="15094" max="15094" width="15.7109375" style="45" customWidth="1"/>
    <col min="15095" max="15096" width="19.28515625" style="45" customWidth="1"/>
    <col min="15097" max="15097" width="18.140625" style="45" customWidth="1"/>
    <col min="15098" max="15098" width="16" style="45" customWidth="1"/>
    <col min="15099" max="15099" width="18" style="45" customWidth="1"/>
    <col min="15100" max="15100" width="17.85546875" style="45" customWidth="1"/>
    <col min="15101" max="15102" width="16.140625" style="45" customWidth="1"/>
    <col min="15103" max="15105" width="17.5703125" style="45" customWidth="1"/>
    <col min="15106" max="15106" width="13.7109375" style="45" customWidth="1"/>
    <col min="15107" max="15338" width="11.42578125" style="45"/>
    <col min="15339" max="15339" width="5.5703125" style="45" customWidth="1"/>
    <col min="15340" max="15340" width="35.85546875" style="45" customWidth="1"/>
    <col min="15341" max="15342" width="0" style="45" hidden="1" customWidth="1"/>
    <col min="15343" max="15343" width="17.140625" style="45" customWidth="1"/>
    <col min="15344" max="15345" width="17.85546875" style="45" customWidth="1"/>
    <col min="15346" max="15346" width="17.140625" style="45" customWidth="1"/>
    <col min="15347" max="15347" width="6.42578125" style="45" customWidth="1"/>
    <col min="15348" max="15348" width="15.85546875" style="45" customWidth="1"/>
    <col min="15349" max="15349" width="16" style="45" customWidth="1"/>
    <col min="15350" max="15350" width="15.7109375" style="45" customWidth="1"/>
    <col min="15351" max="15352" width="19.28515625" style="45" customWidth="1"/>
    <col min="15353" max="15353" width="18.140625" style="45" customWidth="1"/>
    <col min="15354" max="15354" width="16" style="45" customWidth="1"/>
    <col min="15355" max="15355" width="18" style="45" customWidth="1"/>
    <col min="15356" max="15356" width="17.85546875" style="45" customWidth="1"/>
    <col min="15357" max="15358" width="16.140625" style="45" customWidth="1"/>
    <col min="15359" max="15361" width="17.5703125" style="45" customWidth="1"/>
    <col min="15362" max="15362" width="13.7109375" style="45" customWidth="1"/>
    <col min="15363" max="15594" width="11.42578125" style="45"/>
    <col min="15595" max="15595" width="5.5703125" style="45" customWidth="1"/>
    <col min="15596" max="15596" width="35.85546875" style="45" customWidth="1"/>
    <col min="15597" max="15598" width="0" style="45" hidden="1" customWidth="1"/>
    <col min="15599" max="15599" width="17.140625" style="45" customWidth="1"/>
    <col min="15600" max="15601" width="17.85546875" style="45" customWidth="1"/>
    <col min="15602" max="15602" width="17.140625" style="45" customWidth="1"/>
    <col min="15603" max="15603" width="6.42578125" style="45" customWidth="1"/>
    <col min="15604" max="15604" width="15.85546875" style="45" customWidth="1"/>
    <col min="15605" max="15605" width="16" style="45" customWidth="1"/>
    <col min="15606" max="15606" width="15.7109375" style="45" customWidth="1"/>
    <col min="15607" max="15608" width="19.28515625" style="45" customWidth="1"/>
    <col min="15609" max="15609" width="18.140625" style="45" customWidth="1"/>
    <col min="15610" max="15610" width="16" style="45" customWidth="1"/>
    <col min="15611" max="15611" width="18" style="45" customWidth="1"/>
    <col min="15612" max="15612" width="17.85546875" style="45" customWidth="1"/>
    <col min="15613" max="15614" width="16.140625" style="45" customWidth="1"/>
    <col min="15615" max="15617" width="17.5703125" style="45" customWidth="1"/>
    <col min="15618" max="15618" width="13.7109375" style="45" customWidth="1"/>
    <col min="15619" max="15850" width="11.42578125" style="45"/>
    <col min="15851" max="15851" width="5.5703125" style="45" customWidth="1"/>
    <col min="15852" max="15852" width="35.85546875" style="45" customWidth="1"/>
    <col min="15853" max="15854" width="0" style="45" hidden="1" customWidth="1"/>
    <col min="15855" max="15855" width="17.140625" style="45" customWidth="1"/>
    <col min="15856" max="15857" width="17.85546875" style="45" customWidth="1"/>
    <col min="15858" max="15858" width="17.140625" style="45" customWidth="1"/>
    <col min="15859" max="15859" width="6.42578125" style="45" customWidth="1"/>
    <col min="15860" max="15860" width="15.85546875" style="45" customWidth="1"/>
    <col min="15861" max="15861" width="16" style="45" customWidth="1"/>
    <col min="15862" max="15862" width="15.7109375" style="45" customWidth="1"/>
    <col min="15863" max="15864" width="19.28515625" style="45" customWidth="1"/>
    <col min="15865" max="15865" width="18.140625" style="45" customWidth="1"/>
    <col min="15866" max="15866" width="16" style="45" customWidth="1"/>
    <col min="15867" max="15867" width="18" style="45" customWidth="1"/>
    <col min="15868" max="15868" width="17.85546875" style="45" customWidth="1"/>
    <col min="15869" max="15870" width="16.140625" style="45" customWidth="1"/>
    <col min="15871" max="15873" width="17.5703125" style="45" customWidth="1"/>
    <col min="15874" max="15874" width="13.7109375" style="45" customWidth="1"/>
    <col min="15875" max="16106" width="11.42578125" style="45"/>
    <col min="16107" max="16107" width="5.5703125" style="45" customWidth="1"/>
    <col min="16108" max="16108" width="35.85546875" style="45" customWidth="1"/>
    <col min="16109" max="16110" width="0" style="45" hidden="1" customWidth="1"/>
    <col min="16111" max="16111" width="17.140625" style="45" customWidth="1"/>
    <col min="16112" max="16113" width="17.85546875" style="45" customWidth="1"/>
    <col min="16114" max="16114" width="17.140625" style="45" customWidth="1"/>
    <col min="16115" max="16115" width="6.42578125" style="45" customWidth="1"/>
    <col min="16116" max="16116" width="15.85546875" style="45" customWidth="1"/>
    <col min="16117" max="16117" width="16" style="45" customWidth="1"/>
    <col min="16118" max="16118" width="15.7109375" style="45" customWidth="1"/>
    <col min="16119" max="16120" width="19.28515625" style="45" customWidth="1"/>
    <col min="16121" max="16121" width="18.140625" style="45" customWidth="1"/>
    <col min="16122" max="16122" width="16" style="45" customWidth="1"/>
    <col min="16123" max="16123" width="18" style="45" customWidth="1"/>
    <col min="16124" max="16124" width="17.85546875" style="45" customWidth="1"/>
    <col min="16125" max="16126" width="16.140625" style="45" customWidth="1"/>
    <col min="16127" max="16129" width="17.5703125" style="45" customWidth="1"/>
    <col min="16130" max="16130" width="13.7109375" style="45" customWidth="1"/>
    <col min="16131" max="16384" width="11.42578125" style="45"/>
  </cols>
  <sheetData>
    <row r="1" spans="1:3" ht="23.25" customHeight="1" thickBot="1" x14ac:dyDescent="0.3">
      <c r="A1" s="1153" t="s">
        <v>2732</v>
      </c>
      <c r="B1" s="1153"/>
      <c r="C1" s="1153"/>
    </row>
    <row r="2" spans="1:3" ht="51" customHeight="1" x14ac:dyDescent="0.2">
      <c r="A2" s="1154" t="s">
        <v>447</v>
      </c>
      <c r="B2" s="1156" t="s">
        <v>2733</v>
      </c>
      <c r="C2" s="1158" t="s">
        <v>2808</v>
      </c>
    </row>
    <row r="3" spans="1:3" ht="22.5" customHeight="1" thickBot="1" x14ac:dyDescent="0.25">
      <c r="A3" s="1155"/>
      <c r="B3" s="1157"/>
      <c r="C3" s="1159"/>
    </row>
    <row r="4" spans="1:3" ht="39" customHeight="1" thickBot="1" x14ac:dyDescent="0.25">
      <c r="A4" s="47"/>
      <c r="B4" s="48" t="s">
        <v>2734</v>
      </c>
      <c r="C4" s="49">
        <f>+C5</f>
        <v>0</v>
      </c>
    </row>
    <row r="5" spans="1:3" ht="39" customHeight="1" thickBot="1" x14ac:dyDescent="0.25">
      <c r="A5" s="46"/>
      <c r="B5" s="50" t="s">
        <v>2735</v>
      </c>
      <c r="C5" s="51">
        <f>SUM(C6:C8)</f>
        <v>0</v>
      </c>
    </row>
    <row r="6" spans="1:3" ht="39" customHeight="1" thickBot="1" x14ac:dyDescent="0.25">
      <c r="A6" s="46">
        <v>510</v>
      </c>
      <c r="B6" s="52" t="s">
        <v>2736</v>
      </c>
      <c r="C6" s="53"/>
    </row>
    <row r="7" spans="1:3" ht="48" customHeight="1" thickBot="1" x14ac:dyDescent="0.25">
      <c r="A7" s="46">
        <v>510</v>
      </c>
      <c r="B7" s="52" t="s">
        <v>2737</v>
      </c>
      <c r="C7" s="53"/>
    </row>
    <row r="8" spans="1:3" ht="39" customHeight="1" thickBot="1" x14ac:dyDescent="0.25">
      <c r="A8" s="46">
        <v>510</v>
      </c>
      <c r="B8" s="54" t="s">
        <v>2738</v>
      </c>
      <c r="C8" s="53"/>
    </row>
    <row r="9" spans="1:3" ht="39" customHeight="1" thickBot="1" x14ac:dyDescent="0.25">
      <c r="A9" s="46"/>
      <c r="B9" s="48" t="s">
        <v>2739</v>
      </c>
      <c r="C9" s="49">
        <f>+C10</f>
        <v>0</v>
      </c>
    </row>
    <row r="10" spans="1:3" ht="39" customHeight="1" thickBot="1" x14ac:dyDescent="0.25">
      <c r="A10" s="46"/>
      <c r="B10" s="50" t="s">
        <v>2740</v>
      </c>
      <c r="C10" s="51">
        <f>SUM(C11:C12)</f>
        <v>0</v>
      </c>
    </row>
    <row r="11" spans="1:3" ht="29.25" customHeight="1" thickBot="1" x14ac:dyDescent="0.25">
      <c r="A11" s="46">
        <v>520</v>
      </c>
      <c r="B11" s="55" t="s">
        <v>2741</v>
      </c>
      <c r="C11" s="53"/>
    </row>
    <row r="12" spans="1:3" ht="30" customHeight="1" thickBot="1" x14ac:dyDescent="0.25">
      <c r="A12" s="46">
        <v>520</v>
      </c>
      <c r="B12" s="55" t="s">
        <v>2742</v>
      </c>
      <c r="C12" s="53"/>
    </row>
    <row r="13" spans="1:3" ht="39" customHeight="1" thickBot="1" x14ac:dyDescent="0.25">
      <c r="A13" s="46"/>
      <c r="B13" s="48" t="s">
        <v>2743</v>
      </c>
      <c r="C13" s="49">
        <f>+C14+C18+C23+C31</f>
        <v>0</v>
      </c>
    </row>
    <row r="14" spans="1:3" ht="39" customHeight="1" thickBot="1" x14ac:dyDescent="0.25">
      <c r="A14" s="47"/>
      <c r="B14" s="50" t="s">
        <v>2744</v>
      </c>
      <c r="C14" s="51">
        <f>SUM(C15:C17)</f>
        <v>0</v>
      </c>
    </row>
    <row r="15" spans="1:3" ht="39" customHeight="1" thickBot="1" x14ac:dyDescent="0.25">
      <c r="A15" s="46">
        <v>510</v>
      </c>
      <c r="B15" s="56" t="s">
        <v>2745</v>
      </c>
      <c r="C15" s="53"/>
    </row>
    <row r="16" spans="1:3" ht="33" customHeight="1" thickBot="1" x14ac:dyDescent="0.25">
      <c r="A16" s="46">
        <v>510</v>
      </c>
      <c r="B16" s="54" t="s">
        <v>2746</v>
      </c>
      <c r="C16" s="53"/>
    </row>
    <row r="17" spans="1:3" ht="27.75" customHeight="1" thickBot="1" x14ac:dyDescent="0.25">
      <c r="A17" s="46">
        <v>510</v>
      </c>
      <c r="B17" s="55" t="s">
        <v>2747</v>
      </c>
      <c r="C17" s="53"/>
    </row>
    <row r="18" spans="1:3" ht="28.5" customHeight="1" thickBot="1" x14ac:dyDescent="0.25">
      <c r="A18" s="46"/>
      <c r="B18" s="50" t="s">
        <v>2748</v>
      </c>
      <c r="C18" s="51">
        <f>SUM(C19:C22)</f>
        <v>0</v>
      </c>
    </row>
    <row r="19" spans="1:3" ht="30" customHeight="1" thickBot="1" x14ac:dyDescent="0.25">
      <c r="A19" s="46">
        <v>510</v>
      </c>
      <c r="B19" s="56" t="s">
        <v>2749</v>
      </c>
      <c r="C19" s="53"/>
    </row>
    <row r="20" spans="1:3" ht="38.25" customHeight="1" thickBot="1" x14ac:dyDescent="0.25">
      <c r="A20" s="46">
        <v>510</v>
      </c>
      <c r="B20" s="54" t="s">
        <v>2750</v>
      </c>
      <c r="C20" s="53"/>
    </row>
    <row r="21" spans="1:3" ht="39" customHeight="1" thickBot="1" x14ac:dyDescent="0.25">
      <c r="A21" s="46">
        <v>310</v>
      </c>
      <c r="B21" s="55" t="s">
        <v>2751</v>
      </c>
      <c r="C21" s="53"/>
    </row>
    <row r="22" spans="1:3" ht="27" customHeight="1" thickBot="1" x14ac:dyDescent="0.25">
      <c r="A22" s="46">
        <v>310</v>
      </c>
      <c r="B22" s="55" t="s">
        <v>2752</v>
      </c>
      <c r="C22" s="53"/>
    </row>
    <row r="23" spans="1:3" ht="39" customHeight="1" thickBot="1" x14ac:dyDescent="0.25">
      <c r="A23" s="46"/>
      <c r="B23" s="50" t="s">
        <v>2753</v>
      </c>
      <c r="C23" s="51">
        <f>SUM(C24:C30)</f>
        <v>0</v>
      </c>
    </row>
    <row r="24" spans="1:3" ht="48" customHeight="1" thickBot="1" x14ac:dyDescent="0.25">
      <c r="A24" s="46">
        <v>310</v>
      </c>
      <c r="B24" s="56" t="s">
        <v>2754</v>
      </c>
      <c r="C24" s="53"/>
    </row>
    <row r="25" spans="1:3" ht="30" customHeight="1" thickBot="1" x14ac:dyDescent="0.25">
      <c r="A25" s="46">
        <v>410</v>
      </c>
      <c r="B25" s="56" t="s">
        <v>2755</v>
      </c>
      <c r="C25" s="53"/>
    </row>
    <row r="26" spans="1:3" ht="30.75" customHeight="1" thickBot="1" x14ac:dyDescent="0.25">
      <c r="A26" s="46">
        <v>410</v>
      </c>
      <c r="B26" s="56" t="s">
        <v>2756</v>
      </c>
      <c r="C26" s="53"/>
    </row>
    <row r="27" spans="1:3" ht="27.75" customHeight="1" thickBot="1" x14ac:dyDescent="0.25">
      <c r="A27" s="46">
        <v>410</v>
      </c>
      <c r="B27" s="56" t="s">
        <v>2757</v>
      </c>
      <c r="C27" s="53"/>
    </row>
    <row r="28" spans="1:3" ht="28.5" customHeight="1" thickBot="1" x14ac:dyDescent="0.25">
      <c r="A28" s="46">
        <v>410</v>
      </c>
      <c r="B28" s="56" t="s">
        <v>2758</v>
      </c>
      <c r="C28" s="53"/>
    </row>
    <row r="29" spans="1:3" ht="27.75" customHeight="1" thickBot="1" x14ac:dyDescent="0.25">
      <c r="A29" s="46">
        <v>410</v>
      </c>
      <c r="B29" s="56" t="s">
        <v>2759</v>
      </c>
      <c r="C29" s="53"/>
    </row>
    <row r="30" spans="1:3" ht="30" customHeight="1" thickBot="1" x14ac:dyDescent="0.25">
      <c r="A30" s="46">
        <v>410</v>
      </c>
      <c r="B30" s="57" t="s">
        <v>2760</v>
      </c>
      <c r="C30" s="53"/>
    </row>
    <row r="31" spans="1:3" ht="39" customHeight="1" thickBot="1" x14ac:dyDescent="0.25">
      <c r="A31" s="46"/>
      <c r="B31" s="50" t="s">
        <v>2761</v>
      </c>
      <c r="C31" s="51">
        <f>SUM(C32:C33)</f>
        <v>0</v>
      </c>
    </row>
    <row r="32" spans="1:3" ht="36" customHeight="1" thickBot="1" x14ac:dyDescent="0.25">
      <c r="A32" s="46">
        <v>510</v>
      </c>
      <c r="B32" s="56" t="s">
        <v>2762</v>
      </c>
      <c r="C32" s="53"/>
    </row>
    <row r="33" spans="1:3" ht="50.25" customHeight="1" thickBot="1" x14ac:dyDescent="0.25">
      <c r="A33" s="46">
        <v>510</v>
      </c>
      <c r="B33" s="58" t="s">
        <v>2763</v>
      </c>
      <c r="C33" s="53"/>
    </row>
    <row r="34" spans="1:3" ht="39" customHeight="1" thickBot="1" x14ac:dyDescent="0.25">
      <c r="A34" s="46"/>
      <c r="B34" s="48" t="s">
        <v>2764</v>
      </c>
      <c r="C34" s="49">
        <f>+C35+C38</f>
        <v>0</v>
      </c>
    </row>
    <row r="35" spans="1:3" ht="39" customHeight="1" thickBot="1" x14ac:dyDescent="0.25">
      <c r="A35" s="46"/>
      <c r="B35" s="50" t="s">
        <v>2765</v>
      </c>
      <c r="C35" s="51">
        <f>SUM(C36:C37)</f>
        <v>0</v>
      </c>
    </row>
    <row r="36" spans="1:3" ht="29.25" customHeight="1" thickBot="1" x14ac:dyDescent="0.25">
      <c r="A36" s="46">
        <v>510</v>
      </c>
      <c r="B36" s="58" t="s">
        <v>2766</v>
      </c>
      <c r="C36" s="53"/>
    </row>
    <row r="37" spans="1:3" ht="31.5" customHeight="1" thickBot="1" x14ac:dyDescent="0.25">
      <c r="A37" s="46">
        <v>510</v>
      </c>
      <c r="B37" s="55" t="s">
        <v>2767</v>
      </c>
      <c r="C37" s="53"/>
    </row>
    <row r="38" spans="1:3" ht="39" customHeight="1" thickBot="1" x14ac:dyDescent="0.25">
      <c r="A38" s="46"/>
      <c r="B38" s="50" t="s">
        <v>2768</v>
      </c>
      <c r="C38" s="51">
        <f>SUM(C39:C42)</f>
        <v>0</v>
      </c>
    </row>
    <row r="39" spans="1:3" ht="49.5" customHeight="1" thickBot="1" x14ac:dyDescent="0.25">
      <c r="A39" s="46">
        <v>111</v>
      </c>
      <c r="B39" s="56" t="s">
        <v>2769</v>
      </c>
      <c r="C39" s="53"/>
    </row>
    <row r="40" spans="1:3" ht="39" customHeight="1" thickBot="1" x14ac:dyDescent="0.25">
      <c r="A40" s="46">
        <v>211</v>
      </c>
      <c r="B40" s="56" t="s">
        <v>2770</v>
      </c>
      <c r="C40" s="53"/>
    </row>
    <row r="41" spans="1:3" ht="39" customHeight="1" thickBot="1" x14ac:dyDescent="0.25">
      <c r="A41" s="46">
        <v>211</v>
      </c>
      <c r="B41" s="56" t="s">
        <v>2771</v>
      </c>
      <c r="C41" s="53"/>
    </row>
    <row r="42" spans="1:3" ht="24" customHeight="1" thickBot="1" x14ac:dyDescent="0.25">
      <c r="A42" s="46">
        <v>111</v>
      </c>
      <c r="B42" s="58" t="s">
        <v>2772</v>
      </c>
      <c r="C42" s="53"/>
    </row>
    <row r="43" spans="1:3" ht="39" customHeight="1" thickBot="1" x14ac:dyDescent="0.25">
      <c r="A43" s="46"/>
      <c r="B43" s="48" t="s">
        <v>2773</v>
      </c>
      <c r="C43" s="49">
        <f>+C44</f>
        <v>0</v>
      </c>
    </row>
    <row r="44" spans="1:3" ht="39" customHeight="1" thickBot="1" x14ac:dyDescent="0.25">
      <c r="A44" s="46"/>
      <c r="B44" s="50" t="s">
        <v>2774</v>
      </c>
      <c r="C44" s="51">
        <f>SUM(C45:C47)</f>
        <v>0</v>
      </c>
    </row>
    <row r="45" spans="1:3" ht="30" customHeight="1" thickBot="1" x14ac:dyDescent="0.25">
      <c r="A45" s="46">
        <v>510</v>
      </c>
      <c r="B45" s="56" t="s">
        <v>2775</v>
      </c>
      <c r="C45" s="53"/>
    </row>
    <row r="46" spans="1:3" ht="29.25" customHeight="1" thickBot="1" x14ac:dyDescent="0.25">
      <c r="A46" s="46">
        <v>510</v>
      </c>
      <c r="B46" s="56" t="s">
        <v>2776</v>
      </c>
      <c r="C46" s="53"/>
    </row>
    <row r="47" spans="1:3" ht="34.5" customHeight="1" thickBot="1" x14ac:dyDescent="0.25">
      <c r="A47" s="46">
        <v>510</v>
      </c>
      <c r="B47" s="56" t="s">
        <v>2777</v>
      </c>
      <c r="C47" s="53"/>
    </row>
    <row r="48" spans="1:3" ht="29.25" customHeight="1" thickBot="1" x14ac:dyDescent="0.25">
      <c r="A48" s="46"/>
      <c r="B48" s="59" t="s">
        <v>2778</v>
      </c>
      <c r="C48" s="49">
        <f>+C49+C52</f>
        <v>0</v>
      </c>
    </row>
    <row r="49" spans="1:3" ht="29.25" customHeight="1" thickBot="1" x14ac:dyDescent="0.25">
      <c r="A49" s="46"/>
      <c r="B49" s="50" t="s">
        <v>2779</v>
      </c>
      <c r="C49" s="51">
        <f>SUM(C50:C51)</f>
        <v>0</v>
      </c>
    </row>
    <row r="50" spans="1:3" ht="29.25" customHeight="1" thickBot="1" x14ac:dyDescent="0.25">
      <c r="A50" s="46">
        <v>310</v>
      </c>
      <c r="B50" s="56" t="s">
        <v>2780</v>
      </c>
      <c r="C50" s="53"/>
    </row>
    <row r="51" spans="1:3" ht="29.25" customHeight="1" thickBot="1" x14ac:dyDescent="0.25">
      <c r="A51" s="46">
        <v>510</v>
      </c>
      <c r="B51" s="57" t="s">
        <v>2781</v>
      </c>
      <c r="C51" s="53"/>
    </row>
    <row r="52" spans="1:3" ht="29.25" customHeight="1" thickBot="1" x14ac:dyDescent="0.25">
      <c r="A52" s="46"/>
      <c r="B52" s="50" t="s">
        <v>2782</v>
      </c>
      <c r="C52" s="51">
        <f>SUM(C53:C55)</f>
        <v>0</v>
      </c>
    </row>
    <row r="53" spans="1:3" ht="25.5" customHeight="1" thickBot="1" x14ac:dyDescent="0.25">
      <c r="A53" s="46">
        <v>301</v>
      </c>
      <c r="B53" s="56" t="s">
        <v>2783</v>
      </c>
      <c r="C53" s="53"/>
    </row>
    <row r="54" spans="1:3" ht="36.75" customHeight="1" thickBot="1" x14ac:dyDescent="0.25">
      <c r="A54" s="46">
        <v>301</v>
      </c>
      <c r="B54" s="56" t="s">
        <v>2784</v>
      </c>
      <c r="C54" s="53"/>
    </row>
    <row r="55" spans="1:3" ht="26.25" customHeight="1" thickBot="1" x14ac:dyDescent="0.25">
      <c r="A55" s="46">
        <v>301</v>
      </c>
      <c r="B55" s="56" t="s">
        <v>2785</v>
      </c>
      <c r="C55" s="53"/>
    </row>
    <row r="56" spans="1:3" ht="30" customHeight="1" thickBot="1" x14ac:dyDescent="0.25">
      <c r="A56" s="46"/>
      <c r="B56" s="59" t="s">
        <v>2786</v>
      </c>
      <c r="C56" s="49">
        <f>+C57+C59</f>
        <v>0</v>
      </c>
    </row>
    <row r="57" spans="1:3" ht="26.25" customHeight="1" thickBot="1" x14ac:dyDescent="0.25">
      <c r="A57" s="46"/>
      <c r="B57" s="50" t="s">
        <v>2787</v>
      </c>
      <c r="C57" s="51">
        <f>+C58</f>
        <v>0</v>
      </c>
    </row>
    <row r="58" spans="1:3" ht="37.5" customHeight="1" thickBot="1" x14ac:dyDescent="0.25">
      <c r="A58" s="46">
        <v>510</v>
      </c>
      <c r="B58" s="57" t="s">
        <v>2788</v>
      </c>
      <c r="C58" s="53"/>
    </row>
    <row r="59" spans="1:3" ht="42.75" thickBot="1" x14ac:dyDescent="0.25">
      <c r="A59" s="46"/>
      <c r="B59" s="60" t="s">
        <v>2789</v>
      </c>
      <c r="C59" s="51">
        <f>SUM(C60:C65)</f>
        <v>0</v>
      </c>
    </row>
    <row r="60" spans="1:3" ht="28.5" customHeight="1" thickBot="1" x14ac:dyDescent="0.25">
      <c r="A60" s="46">
        <v>111</v>
      </c>
      <c r="B60" s="56" t="s">
        <v>2790</v>
      </c>
      <c r="C60" s="53"/>
    </row>
    <row r="61" spans="1:3" ht="27" customHeight="1" thickBot="1" x14ac:dyDescent="0.25">
      <c r="A61" s="46">
        <v>211</v>
      </c>
      <c r="B61" s="56" t="s">
        <v>2791</v>
      </c>
      <c r="C61" s="53"/>
    </row>
    <row r="62" spans="1:3" ht="35.25" customHeight="1" thickBot="1" x14ac:dyDescent="0.25">
      <c r="A62" s="46">
        <v>510</v>
      </c>
      <c r="B62" s="56" t="s">
        <v>2792</v>
      </c>
      <c r="C62" s="53"/>
    </row>
    <row r="63" spans="1:3" ht="33" thickBot="1" x14ac:dyDescent="0.25">
      <c r="A63" s="46">
        <v>111</v>
      </c>
      <c r="B63" s="56" t="s">
        <v>2793</v>
      </c>
      <c r="C63" s="53"/>
    </row>
    <row r="64" spans="1:3" ht="27" customHeight="1" thickBot="1" x14ac:dyDescent="0.25">
      <c r="A64" s="46">
        <v>211</v>
      </c>
      <c r="B64" s="56" t="s">
        <v>2794</v>
      </c>
      <c r="C64" s="53"/>
    </row>
    <row r="65" spans="1:3" ht="48" customHeight="1" thickBot="1" x14ac:dyDescent="0.25">
      <c r="A65" s="46">
        <v>211</v>
      </c>
      <c r="B65" s="57" t="s">
        <v>2795</v>
      </c>
      <c r="C65" s="53"/>
    </row>
    <row r="66" spans="1:3" ht="14.25" customHeight="1" thickBot="1" x14ac:dyDescent="0.25">
      <c r="B66" s="61" t="s">
        <v>2796</v>
      </c>
      <c r="C66" s="62">
        <f>+C56+C48+C43+C34+C13+C9+C4</f>
        <v>0</v>
      </c>
    </row>
    <row r="67" spans="1:3" ht="14.25" customHeight="1" x14ac:dyDescent="0.2">
      <c r="B67" s="63"/>
      <c r="C67" s="64"/>
    </row>
    <row r="68" spans="1:3" ht="24" customHeight="1" x14ac:dyDescent="0.2">
      <c r="B68" s="72" t="s">
        <v>2797</v>
      </c>
      <c r="C68" s="65" t="s">
        <v>2798</v>
      </c>
    </row>
    <row r="69" spans="1:3" x14ac:dyDescent="0.2">
      <c r="B69" s="66" t="s">
        <v>2799</v>
      </c>
      <c r="C69" s="67">
        <f>SUMIF($A$4:$A$66,"111",$C$4:$C$66)</f>
        <v>0</v>
      </c>
    </row>
    <row r="70" spans="1:3" x14ac:dyDescent="0.2">
      <c r="B70" s="66" t="s">
        <v>2800</v>
      </c>
      <c r="C70" s="67">
        <f>SUMIF($A$4:$A$66,"211",$C$4:$C$66)</f>
        <v>0</v>
      </c>
    </row>
    <row r="71" spans="1:3" x14ac:dyDescent="0.2">
      <c r="B71" s="66" t="s">
        <v>2801</v>
      </c>
      <c r="C71" s="67">
        <f>SUMIF($A$4:$A$66,"310",$C$4:$C$66)</f>
        <v>0</v>
      </c>
    </row>
    <row r="72" spans="1:3" x14ac:dyDescent="0.2">
      <c r="B72" s="66" t="s">
        <v>2802</v>
      </c>
      <c r="C72" s="67">
        <f>SUMIF($A$4:$A$66,"410",$C$4:$C$66)</f>
        <v>0</v>
      </c>
    </row>
    <row r="73" spans="1:3" x14ac:dyDescent="0.2">
      <c r="B73" s="66" t="s">
        <v>2803</v>
      </c>
      <c r="C73" s="67">
        <f>SUMIF($A$4:$A$66,"510",$C$4:$C$66)</f>
        <v>0</v>
      </c>
    </row>
    <row r="74" spans="1:3" x14ac:dyDescent="0.2">
      <c r="B74" s="66" t="s">
        <v>2804</v>
      </c>
      <c r="C74" s="67">
        <f>SUMIF($A$4:$A$66,"520",$C$4:$C$66)</f>
        <v>0</v>
      </c>
    </row>
    <row r="75" spans="1:3" ht="18" customHeight="1" x14ac:dyDescent="0.2">
      <c r="B75" s="68" t="s">
        <v>2805</v>
      </c>
      <c r="C75" s="69">
        <f>SUM(C69:C74)</f>
        <v>0</v>
      </c>
    </row>
    <row r="76" spans="1:3" x14ac:dyDescent="0.2">
      <c r="B76" s="70" t="s">
        <v>2806</v>
      </c>
      <c r="C76" s="67">
        <f>SUMIF($A$4:$A$66,"301",$C$4:$C$66)</f>
        <v>0</v>
      </c>
    </row>
    <row r="77" spans="1:3" x14ac:dyDescent="0.2">
      <c r="B77" s="68" t="s">
        <v>2807</v>
      </c>
      <c r="C77" s="69">
        <f>+C75+C76</f>
        <v>0</v>
      </c>
    </row>
    <row r="89" spans="2:2" x14ac:dyDescent="0.2">
      <c r="B89" s="71"/>
    </row>
  </sheetData>
  <mergeCells count="4">
    <mergeCell ref="A1:C1"/>
    <mergeCell ref="A2:A3"/>
    <mergeCell ref="B2:B3"/>
    <mergeCell ref="C2:C3"/>
  </mergeCells>
  <pageMargins left="0.86614173228346458" right="0.43307086614173229" top="0.70866141732283472" bottom="0.51181102362204722" header="0" footer="0"/>
  <pageSetup scale="70" orientation="landscape" r:id="rId1"/>
  <headerFooter alignWithMargins="0">
    <oddFooter>&amp;L&amp;8UNIDAD DE PLANEAMIENTO ECONÓMICO Y ADMINISTRATIVO&amp;COFICINA DE PLANEACIÓN&amp;R&amp;D</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dimension ref="A1:BR86"/>
  <sheetViews>
    <sheetView topLeftCell="M1" zoomScale="80" zoomScaleNormal="80" zoomScaleSheetLayoutView="80" workbookViewId="0">
      <pane ySplit="2" topLeftCell="A72" activePane="bottomLeft" state="frozen"/>
      <selection activeCell="G1" sqref="G1"/>
      <selection pane="bottomLeft" activeCell="T75" sqref="T75"/>
    </sheetView>
  </sheetViews>
  <sheetFormatPr baseColWidth="10" defaultColWidth="11.42578125" defaultRowHeight="12.75" x14ac:dyDescent="0.2"/>
  <cols>
    <col min="1" max="1" width="4" style="8" customWidth="1"/>
    <col min="2" max="2" width="6.85546875" style="8" customWidth="1"/>
    <col min="3" max="3" width="18" style="8" customWidth="1"/>
    <col min="4" max="4" width="12" style="8" customWidth="1"/>
    <col min="5" max="5" width="8.140625" style="8" customWidth="1"/>
    <col min="6" max="6" width="17.42578125" style="8" customWidth="1"/>
    <col min="7" max="7" width="16.7109375" style="8" customWidth="1"/>
    <col min="8" max="8" width="16.85546875" style="8" customWidth="1"/>
    <col min="9" max="9" width="18.85546875" style="8" customWidth="1"/>
    <col min="10" max="10" width="24.28515625" style="8" customWidth="1"/>
    <col min="11" max="11" width="15.28515625" style="8" customWidth="1"/>
    <col min="12" max="12" width="19.140625" style="8" customWidth="1"/>
    <col min="13" max="13" width="6.7109375" style="8" customWidth="1"/>
    <col min="14" max="15" width="6" style="8" customWidth="1"/>
    <col min="16" max="16" width="8.7109375" style="8" customWidth="1"/>
    <col min="17" max="17" width="6.7109375" style="8" customWidth="1"/>
    <col min="18" max="18" width="6.28515625" style="8" customWidth="1"/>
    <col min="19" max="19" width="6.5703125" style="8" customWidth="1"/>
    <col min="20" max="20" width="7.28515625" style="8" customWidth="1"/>
    <col min="21" max="21" width="9.140625" style="393" customWidth="1"/>
    <col min="22" max="22" width="8" style="393" customWidth="1"/>
    <col min="23" max="24" width="13.28515625" style="573" customWidth="1"/>
    <col min="25" max="25" width="13.85546875" style="573" customWidth="1"/>
    <col min="26" max="26" width="12.7109375" style="573" customWidth="1"/>
    <col min="27" max="29" width="14" style="573" customWidth="1"/>
    <col min="30" max="30" width="9.5703125" style="573" customWidth="1"/>
    <col min="31" max="31" width="1.5703125" style="8" customWidth="1"/>
    <col min="32" max="32" width="15" style="8" customWidth="1"/>
    <col min="33" max="33" width="13.5703125" style="8" customWidth="1"/>
    <col min="34" max="34" width="12" style="8" customWidth="1"/>
    <col min="35" max="37" width="11.42578125" style="8" customWidth="1"/>
    <col min="38" max="38" width="15.140625" style="8" customWidth="1"/>
    <col min="39" max="40" width="12" style="8" customWidth="1"/>
    <col min="41" max="43" width="13.5703125" style="8" customWidth="1"/>
    <col min="44" max="44" width="5.7109375" style="8" customWidth="1"/>
    <col min="45" max="46" width="14.7109375" style="8" customWidth="1"/>
    <col min="47" max="47" width="15.42578125" style="8" customWidth="1"/>
    <col min="48" max="48" width="14.7109375" style="8" customWidth="1"/>
    <col min="49" max="49" width="13.42578125" style="8" customWidth="1"/>
    <col min="50" max="52" width="14.7109375" style="8" customWidth="1"/>
    <col min="53" max="54" width="13.5703125" style="8" customWidth="1"/>
    <col min="55" max="55" width="11.5703125" style="8" customWidth="1"/>
    <col min="56" max="56" width="13.28515625" style="8" customWidth="1"/>
    <col min="57" max="57" width="11.5703125" style="8" customWidth="1"/>
    <col min="58" max="58" width="14.140625" style="8" customWidth="1"/>
    <col min="59" max="59" width="12.28515625" style="8" customWidth="1"/>
    <col min="60" max="62" width="11.5703125" style="8" customWidth="1"/>
    <col min="63" max="63" width="14.140625" style="8" customWidth="1"/>
    <col min="64" max="64" width="11.5703125" style="8" customWidth="1"/>
    <col min="65" max="65" width="12.5703125" style="8" customWidth="1"/>
    <col min="66" max="66" width="11.140625" style="8" customWidth="1"/>
    <col min="67" max="67" width="11.5703125" style="8" customWidth="1"/>
    <col min="68" max="68" width="12.28515625" style="8" customWidth="1"/>
    <col min="69" max="69" width="14.28515625" style="8" customWidth="1"/>
    <col min="70" max="70" width="14.7109375" style="8" customWidth="1"/>
    <col min="71" max="87" width="11.5703125" style="8" customWidth="1"/>
    <col min="88" max="269" width="11.5703125" style="8"/>
    <col min="270" max="270" width="5.28515625" style="8" customWidth="1"/>
    <col min="271" max="271" width="6.85546875" style="8" customWidth="1"/>
    <col min="272" max="272" width="18" style="8" customWidth="1"/>
    <col min="273" max="273" width="12" style="8" customWidth="1"/>
    <col min="274" max="274" width="11.28515625" style="8" customWidth="1"/>
    <col min="275" max="275" width="22.140625" style="8" customWidth="1"/>
    <col min="276" max="276" width="20.5703125" style="8" customWidth="1"/>
    <col min="277" max="277" width="20" style="8" customWidth="1"/>
    <col min="278" max="278" width="11.85546875" style="8" customWidth="1"/>
    <col min="279" max="279" width="11.42578125" style="8" customWidth="1"/>
    <col min="280" max="280" width="24.28515625" style="8" customWidth="1"/>
    <col min="281" max="281" width="15.28515625" style="8" customWidth="1"/>
    <col min="282" max="282" width="23.42578125" style="8" customWidth="1"/>
    <col min="283" max="283" width="8.42578125" style="8" customWidth="1"/>
    <col min="284" max="284" width="8.140625" style="8" customWidth="1"/>
    <col min="285" max="286" width="8.7109375" style="8" customWidth="1"/>
    <col min="287" max="290" width="7.28515625" style="8" bestFit="1" customWidth="1"/>
    <col min="291" max="291" width="11.5703125" style="8" customWidth="1"/>
    <col min="292" max="292" width="9.140625" style="8" bestFit="1" customWidth="1"/>
    <col min="293" max="525" width="11.5703125" style="8"/>
    <col min="526" max="526" width="5.28515625" style="8" customWidth="1"/>
    <col min="527" max="527" width="6.85546875" style="8" customWidth="1"/>
    <col min="528" max="528" width="18" style="8" customWidth="1"/>
    <col min="529" max="529" width="12" style="8" customWidth="1"/>
    <col min="530" max="530" width="11.28515625" style="8" customWidth="1"/>
    <col min="531" max="531" width="22.140625" style="8" customWidth="1"/>
    <col min="532" max="532" width="20.5703125" style="8" customWidth="1"/>
    <col min="533" max="533" width="20" style="8" customWidth="1"/>
    <col min="534" max="534" width="11.85546875" style="8" customWidth="1"/>
    <col min="535" max="535" width="11.42578125" style="8" customWidth="1"/>
    <col min="536" max="536" width="24.28515625" style="8" customWidth="1"/>
    <col min="537" max="537" width="15.28515625" style="8" customWidth="1"/>
    <col min="538" max="538" width="23.42578125" style="8" customWidth="1"/>
    <col min="539" max="539" width="8.42578125" style="8" customWidth="1"/>
    <col min="540" max="540" width="8.140625" style="8" customWidth="1"/>
    <col min="541" max="542" width="8.7109375" style="8" customWidth="1"/>
    <col min="543" max="546" width="7.28515625" style="8" bestFit="1" customWidth="1"/>
    <col min="547" max="547" width="11.5703125" style="8" customWidth="1"/>
    <col min="548" max="548" width="9.140625" style="8" bestFit="1" customWidth="1"/>
    <col min="549" max="781" width="11.5703125" style="8"/>
    <col min="782" max="782" width="5.28515625" style="8" customWidth="1"/>
    <col min="783" max="783" width="6.85546875" style="8" customWidth="1"/>
    <col min="784" max="784" width="18" style="8" customWidth="1"/>
    <col min="785" max="785" width="12" style="8" customWidth="1"/>
    <col min="786" max="786" width="11.28515625" style="8" customWidth="1"/>
    <col min="787" max="787" width="22.140625" style="8" customWidth="1"/>
    <col min="788" max="788" width="20.5703125" style="8" customWidth="1"/>
    <col min="789" max="789" width="20" style="8" customWidth="1"/>
    <col min="790" max="790" width="11.85546875" style="8" customWidth="1"/>
    <col min="791" max="791" width="11.42578125" style="8" customWidth="1"/>
    <col min="792" max="792" width="24.28515625" style="8" customWidth="1"/>
    <col min="793" max="793" width="15.28515625" style="8" customWidth="1"/>
    <col min="794" max="794" width="23.42578125" style="8" customWidth="1"/>
    <col min="795" max="795" width="8.42578125" style="8" customWidth="1"/>
    <col min="796" max="796" width="8.140625" style="8" customWidth="1"/>
    <col min="797" max="798" width="8.7109375" style="8" customWidth="1"/>
    <col min="799" max="802" width="7.28515625" style="8" bestFit="1" customWidth="1"/>
    <col min="803" max="803" width="11.5703125" style="8" customWidth="1"/>
    <col min="804" max="804" width="9.140625" style="8" bestFit="1" customWidth="1"/>
    <col min="805" max="1037" width="11.5703125" style="8"/>
    <col min="1038" max="1038" width="5.28515625" style="8" customWidth="1"/>
    <col min="1039" max="1039" width="6.85546875" style="8" customWidth="1"/>
    <col min="1040" max="1040" width="18" style="8" customWidth="1"/>
    <col min="1041" max="1041" width="12" style="8" customWidth="1"/>
    <col min="1042" max="1042" width="11.28515625" style="8" customWidth="1"/>
    <col min="1043" max="1043" width="22.140625" style="8" customWidth="1"/>
    <col min="1044" max="1044" width="20.5703125" style="8" customWidth="1"/>
    <col min="1045" max="1045" width="20" style="8" customWidth="1"/>
    <col min="1046" max="1046" width="11.85546875" style="8" customWidth="1"/>
    <col min="1047" max="1047" width="11.42578125" style="8" customWidth="1"/>
    <col min="1048" max="1048" width="24.28515625" style="8" customWidth="1"/>
    <col min="1049" max="1049" width="15.28515625" style="8" customWidth="1"/>
    <col min="1050" max="1050" width="23.42578125" style="8" customWidth="1"/>
    <col min="1051" max="1051" width="8.42578125" style="8" customWidth="1"/>
    <col min="1052" max="1052" width="8.140625" style="8" customWidth="1"/>
    <col min="1053" max="1054" width="8.7109375" style="8" customWidth="1"/>
    <col min="1055" max="1058" width="7.28515625" style="8" bestFit="1" customWidth="1"/>
    <col min="1059" max="1059" width="11.5703125" style="8" customWidth="1"/>
    <col min="1060" max="1060" width="9.140625" style="8" bestFit="1" customWidth="1"/>
    <col min="1061" max="1293" width="11.5703125" style="8"/>
    <col min="1294" max="1294" width="5.28515625" style="8" customWidth="1"/>
    <col min="1295" max="1295" width="6.85546875" style="8" customWidth="1"/>
    <col min="1296" max="1296" width="18" style="8" customWidth="1"/>
    <col min="1297" max="1297" width="12" style="8" customWidth="1"/>
    <col min="1298" max="1298" width="11.28515625" style="8" customWidth="1"/>
    <col min="1299" max="1299" width="22.140625" style="8" customWidth="1"/>
    <col min="1300" max="1300" width="20.5703125" style="8" customWidth="1"/>
    <col min="1301" max="1301" width="20" style="8" customWidth="1"/>
    <col min="1302" max="1302" width="11.85546875" style="8" customWidth="1"/>
    <col min="1303" max="1303" width="11.42578125" style="8" customWidth="1"/>
    <col min="1304" max="1304" width="24.28515625" style="8" customWidth="1"/>
    <col min="1305" max="1305" width="15.28515625" style="8" customWidth="1"/>
    <col min="1306" max="1306" width="23.42578125" style="8" customWidth="1"/>
    <col min="1307" max="1307" width="8.42578125" style="8" customWidth="1"/>
    <col min="1308" max="1308" width="8.140625" style="8" customWidth="1"/>
    <col min="1309" max="1310" width="8.7109375" style="8" customWidth="1"/>
    <col min="1311" max="1314" width="7.28515625" style="8" bestFit="1" customWidth="1"/>
    <col min="1315" max="1315" width="11.5703125" style="8" customWidth="1"/>
    <col min="1316" max="1316" width="9.140625" style="8" bestFit="1" customWidth="1"/>
    <col min="1317" max="1549" width="11.5703125" style="8"/>
    <col min="1550" max="1550" width="5.28515625" style="8" customWidth="1"/>
    <col min="1551" max="1551" width="6.85546875" style="8" customWidth="1"/>
    <col min="1552" max="1552" width="18" style="8" customWidth="1"/>
    <col min="1553" max="1553" width="12" style="8" customWidth="1"/>
    <col min="1554" max="1554" width="11.28515625" style="8" customWidth="1"/>
    <col min="1555" max="1555" width="22.140625" style="8" customWidth="1"/>
    <col min="1556" max="1556" width="20.5703125" style="8" customWidth="1"/>
    <col min="1557" max="1557" width="20" style="8" customWidth="1"/>
    <col min="1558" max="1558" width="11.85546875" style="8" customWidth="1"/>
    <col min="1559" max="1559" width="11.42578125" style="8" customWidth="1"/>
    <col min="1560" max="1560" width="24.28515625" style="8" customWidth="1"/>
    <col min="1561" max="1561" width="15.28515625" style="8" customWidth="1"/>
    <col min="1562" max="1562" width="23.42578125" style="8" customWidth="1"/>
    <col min="1563" max="1563" width="8.42578125" style="8" customWidth="1"/>
    <col min="1564" max="1564" width="8.140625" style="8" customWidth="1"/>
    <col min="1565" max="1566" width="8.7109375" style="8" customWidth="1"/>
    <col min="1567" max="1570" width="7.28515625" style="8" bestFit="1" customWidth="1"/>
    <col min="1571" max="1571" width="11.5703125" style="8" customWidth="1"/>
    <col min="1572" max="1572" width="9.140625" style="8" bestFit="1" customWidth="1"/>
    <col min="1573" max="1805" width="11.5703125" style="8"/>
    <col min="1806" max="1806" width="5.28515625" style="8" customWidth="1"/>
    <col min="1807" max="1807" width="6.85546875" style="8" customWidth="1"/>
    <col min="1808" max="1808" width="18" style="8" customWidth="1"/>
    <col min="1809" max="1809" width="12" style="8" customWidth="1"/>
    <col min="1810" max="1810" width="11.28515625" style="8" customWidth="1"/>
    <col min="1811" max="1811" width="22.140625" style="8" customWidth="1"/>
    <col min="1812" max="1812" width="20.5703125" style="8" customWidth="1"/>
    <col min="1813" max="1813" width="20" style="8" customWidth="1"/>
    <col min="1814" max="1814" width="11.85546875" style="8" customWidth="1"/>
    <col min="1815" max="1815" width="11.42578125" style="8" customWidth="1"/>
    <col min="1816" max="1816" width="24.28515625" style="8" customWidth="1"/>
    <col min="1817" max="1817" width="15.28515625" style="8" customWidth="1"/>
    <col min="1818" max="1818" width="23.42578125" style="8" customWidth="1"/>
    <col min="1819" max="1819" width="8.42578125" style="8" customWidth="1"/>
    <col min="1820" max="1820" width="8.140625" style="8" customWidth="1"/>
    <col min="1821" max="1822" width="8.7109375" style="8" customWidth="1"/>
    <col min="1823" max="1826" width="7.28515625" style="8" bestFit="1" customWidth="1"/>
    <col min="1827" max="1827" width="11.5703125" style="8" customWidth="1"/>
    <col min="1828" max="1828" width="9.140625" style="8" bestFit="1" customWidth="1"/>
    <col min="1829" max="2061" width="11.5703125" style="8"/>
    <col min="2062" max="2062" width="5.28515625" style="8" customWidth="1"/>
    <col min="2063" max="2063" width="6.85546875" style="8" customWidth="1"/>
    <col min="2064" max="2064" width="18" style="8" customWidth="1"/>
    <col min="2065" max="2065" width="12" style="8" customWidth="1"/>
    <col min="2066" max="2066" width="11.28515625" style="8" customWidth="1"/>
    <col min="2067" max="2067" width="22.140625" style="8" customWidth="1"/>
    <col min="2068" max="2068" width="20.5703125" style="8" customWidth="1"/>
    <col min="2069" max="2069" width="20" style="8" customWidth="1"/>
    <col min="2070" max="2070" width="11.85546875" style="8" customWidth="1"/>
    <col min="2071" max="2071" width="11.42578125" style="8" customWidth="1"/>
    <col min="2072" max="2072" width="24.28515625" style="8" customWidth="1"/>
    <col min="2073" max="2073" width="15.28515625" style="8" customWidth="1"/>
    <col min="2074" max="2074" width="23.42578125" style="8" customWidth="1"/>
    <col min="2075" max="2075" width="8.42578125" style="8" customWidth="1"/>
    <col min="2076" max="2076" width="8.140625" style="8" customWidth="1"/>
    <col min="2077" max="2078" width="8.7109375" style="8" customWidth="1"/>
    <col min="2079" max="2082" width="7.28515625" style="8" bestFit="1" customWidth="1"/>
    <col min="2083" max="2083" width="11.5703125" style="8" customWidth="1"/>
    <col min="2084" max="2084" width="9.140625" style="8" bestFit="1" customWidth="1"/>
    <col min="2085" max="2317" width="11.5703125" style="8"/>
    <col min="2318" max="2318" width="5.28515625" style="8" customWidth="1"/>
    <col min="2319" max="2319" width="6.85546875" style="8" customWidth="1"/>
    <col min="2320" max="2320" width="18" style="8" customWidth="1"/>
    <col min="2321" max="2321" width="12" style="8" customWidth="1"/>
    <col min="2322" max="2322" width="11.28515625" style="8" customWidth="1"/>
    <col min="2323" max="2323" width="22.140625" style="8" customWidth="1"/>
    <col min="2324" max="2324" width="20.5703125" style="8" customWidth="1"/>
    <col min="2325" max="2325" width="20" style="8" customWidth="1"/>
    <col min="2326" max="2326" width="11.85546875" style="8" customWidth="1"/>
    <col min="2327" max="2327" width="11.42578125" style="8" customWidth="1"/>
    <col min="2328" max="2328" width="24.28515625" style="8" customWidth="1"/>
    <col min="2329" max="2329" width="15.28515625" style="8" customWidth="1"/>
    <col min="2330" max="2330" width="23.42578125" style="8" customWidth="1"/>
    <col min="2331" max="2331" width="8.42578125" style="8" customWidth="1"/>
    <col min="2332" max="2332" width="8.140625" style="8" customWidth="1"/>
    <col min="2333" max="2334" width="8.7109375" style="8" customWidth="1"/>
    <col min="2335" max="2338" width="7.28515625" style="8" bestFit="1" customWidth="1"/>
    <col min="2339" max="2339" width="11.5703125" style="8" customWidth="1"/>
    <col min="2340" max="2340" width="9.140625" style="8" bestFit="1" customWidth="1"/>
    <col min="2341" max="2573" width="11.5703125" style="8"/>
    <col min="2574" max="2574" width="5.28515625" style="8" customWidth="1"/>
    <col min="2575" max="2575" width="6.85546875" style="8" customWidth="1"/>
    <col min="2576" max="2576" width="18" style="8" customWidth="1"/>
    <col min="2577" max="2577" width="12" style="8" customWidth="1"/>
    <col min="2578" max="2578" width="11.28515625" style="8" customWidth="1"/>
    <col min="2579" max="2579" width="22.140625" style="8" customWidth="1"/>
    <col min="2580" max="2580" width="20.5703125" style="8" customWidth="1"/>
    <col min="2581" max="2581" width="20" style="8" customWidth="1"/>
    <col min="2582" max="2582" width="11.85546875" style="8" customWidth="1"/>
    <col min="2583" max="2583" width="11.42578125" style="8" customWidth="1"/>
    <col min="2584" max="2584" width="24.28515625" style="8" customWidth="1"/>
    <col min="2585" max="2585" width="15.28515625" style="8" customWidth="1"/>
    <col min="2586" max="2586" width="23.42578125" style="8" customWidth="1"/>
    <col min="2587" max="2587" width="8.42578125" style="8" customWidth="1"/>
    <col min="2588" max="2588" width="8.140625" style="8" customWidth="1"/>
    <col min="2589" max="2590" width="8.7109375" style="8" customWidth="1"/>
    <col min="2591" max="2594" width="7.28515625" style="8" bestFit="1" customWidth="1"/>
    <col min="2595" max="2595" width="11.5703125" style="8" customWidth="1"/>
    <col min="2596" max="2596" width="9.140625" style="8" bestFit="1" customWidth="1"/>
    <col min="2597" max="2829" width="11.5703125" style="8"/>
    <col min="2830" max="2830" width="5.28515625" style="8" customWidth="1"/>
    <col min="2831" max="2831" width="6.85546875" style="8" customWidth="1"/>
    <col min="2832" max="2832" width="18" style="8" customWidth="1"/>
    <col min="2833" max="2833" width="12" style="8" customWidth="1"/>
    <col min="2834" max="2834" width="11.28515625" style="8" customWidth="1"/>
    <col min="2835" max="2835" width="22.140625" style="8" customWidth="1"/>
    <col min="2836" max="2836" width="20.5703125" style="8" customWidth="1"/>
    <col min="2837" max="2837" width="20" style="8" customWidth="1"/>
    <col min="2838" max="2838" width="11.85546875" style="8" customWidth="1"/>
    <col min="2839" max="2839" width="11.42578125" style="8" customWidth="1"/>
    <col min="2840" max="2840" width="24.28515625" style="8" customWidth="1"/>
    <col min="2841" max="2841" width="15.28515625" style="8" customWidth="1"/>
    <col min="2842" max="2842" width="23.42578125" style="8" customWidth="1"/>
    <col min="2843" max="2843" width="8.42578125" style="8" customWidth="1"/>
    <col min="2844" max="2844" width="8.140625" style="8" customWidth="1"/>
    <col min="2845" max="2846" width="8.7109375" style="8" customWidth="1"/>
    <col min="2847" max="2850" width="7.28515625" style="8" bestFit="1" customWidth="1"/>
    <col min="2851" max="2851" width="11.5703125" style="8" customWidth="1"/>
    <col min="2852" max="2852" width="9.140625" style="8" bestFit="1" customWidth="1"/>
    <col min="2853" max="3085" width="11.5703125" style="8"/>
    <col min="3086" max="3086" width="5.28515625" style="8" customWidth="1"/>
    <col min="3087" max="3087" width="6.85546875" style="8" customWidth="1"/>
    <col min="3088" max="3088" width="18" style="8" customWidth="1"/>
    <col min="3089" max="3089" width="12" style="8" customWidth="1"/>
    <col min="3090" max="3090" width="11.28515625" style="8" customWidth="1"/>
    <col min="3091" max="3091" width="22.140625" style="8" customWidth="1"/>
    <col min="3092" max="3092" width="20.5703125" style="8" customWidth="1"/>
    <col min="3093" max="3093" width="20" style="8" customWidth="1"/>
    <col min="3094" max="3094" width="11.85546875" style="8" customWidth="1"/>
    <col min="3095" max="3095" width="11.42578125" style="8" customWidth="1"/>
    <col min="3096" max="3096" width="24.28515625" style="8" customWidth="1"/>
    <col min="3097" max="3097" width="15.28515625" style="8" customWidth="1"/>
    <col min="3098" max="3098" width="23.42578125" style="8" customWidth="1"/>
    <col min="3099" max="3099" width="8.42578125" style="8" customWidth="1"/>
    <col min="3100" max="3100" width="8.140625" style="8" customWidth="1"/>
    <col min="3101" max="3102" width="8.7109375" style="8" customWidth="1"/>
    <col min="3103" max="3106" width="7.28515625" style="8" bestFit="1" customWidth="1"/>
    <col min="3107" max="3107" width="11.5703125" style="8" customWidth="1"/>
    <col min="3108" max="3108" width="9.140625" style="8" bestFit="1" customWidth="1"/>
    <col min="3109" max="3341" width="11.5703125" style="8"/>
    <col min="3342" max="3342" width="5.28515625" style="8" customWidth="1"/>
    <col min="3343" max="3343" width="6.85546875" style="8" customWidth="1"/>
    <col min="3344" max="3344" width="18" style="8" customWidth="1"/>
    <col min="3345" max="3345" width="12" style="8" customWidth="1"/>
    <col min="3346" max="3346" width="11.28515625" style="8" customWidth="1"/>
    <col min="3347" max="3347" width="22.140625" style="8" customWidth="1"/>
    <col min="3348" max="3348" width="20.5703125" style="8" customWidth="1"/>
    <col min="3349" max="3349" width="20" style="8" customWidth="1"/>
    <col min="3350" max="3350" width="11.85546875" style="8" customWidth="1"/>
    <col min="3351" max="3351" width="11.42578125" style="8" customWidth="1"/>
    <col min="3352" max="3352" width="24.28515625" style="8" customWidth="1"/>
    <col min="3353" max="3353" width="15.28515625" style="8" customWidth="1"/>
    <col min="3354" max="3354" width="23.42578125" style="8" customWidth="1"/>
    <col min="3355" max="3355" width="8.42578125" style="8" customWidth="1"/>
    <col min="3356" max="3356" width="8.140625" style="8" customWidth="1"/>
    <col min="3357" max="3358" width="8.7109375" style="8" customWidth="1"/>
    <col min="3359" max="3362" width="7.28515625" style="8" bestFit="1" customWidth="1"/>
    <col min="3363" max="3363" width="11.5703125" style="8" customWidth="1"/>
    <col min="3364" max="3364" width="9.140625" style="8" bestFit="1" customWidth="1"/>
    <col min="3365" max="3597" width="11.5703125" style="8"/>
    <col min="3598" max="3598" width="5.28515625" style="8" customWidth="1"/>
    <col min="3599" max="3599" width="6.85546875" style="8" customWidth="1"/>
    <col min="3600" max="3600" width="18" style="8" customWidth="1"/>
    <col min="3601" max="3601" width="12" style="8" customWidth="1"/>
    <col min="3602" max="3602" width="11.28515625" style="8" customWidth="1"/>
    <col min="3603" max="3603" width="22.140625" style="8" customWidth="1"/>
    <col min="3604" max="3604" width="20.5703125" style="8" customWidth="1"/>
    <col min="3605" max="3605" width="20" style="8" customWidth="1"/>
    <col min="3606" max="3606" width="11.85546875" style="8" customWidth="1"/>
    <col min="3607" max="3607" width="11.42578125" style="8" customWidth="1"/>
    <col min="3608" max="3608" width="24.28515625" style="8" customWidth="1"/>
    <col min="3609" max="3609" width="15.28515625" style="8" customWidth="1"/>
    <col min="3610" max="3610" width="23.42578125" style="8" customWidth="1"/>
    <col min="3611" max="3611" width="8.42578125" style="8" customWidth="1"/>
    <col min="3612" max="3612" width="8.140625" style="8" customWidth="1"/>
    <col min="3613" max="3614" width="8.7109375" style="8" customWidth="1"/>
    <col min="3615" max="3618" width="7.28515625" style="8" bestFit="1" customWidth="1"/>
    <col min="3619" max="3619" width="11.5703125" style="8" customWidth="1"/>
    <col min="3620" max="3620" width="9.140625" style="8" bestFit="1" customWidth="1"/>
    <col min="3621" max="3853" width="11.5703125" style="8"/>
    <col min="3854" max="3854" width="5.28515625" style="8" customWidth="1"/>
    <col min="3855" max="3855" width="6.85546875" style="8" customWidth="1"/>
    <col min="3856" max="3856" width="18" style="8" customWidth="1"/>
    <col min="3857" max="3857" width="12" style="8" customWidth="1"/>
    <col min="3858" max="3858" width="11.28515625" style="8" customWidth="1"/>
    <col min="3859" max="3859" width="22.140625" style="8" customWidth="1"/>
    <col min="3860" max="3860" width="20.5703125" style="8" customWidth="1"/>
    <col min="3861" max="3861" width="20" style="8" customWidth="1"/>
    <col min="3862" max="3862" width="11.85546875" style="8" customWidth="1"/>
    <col min="3863" max="3863" width="11.42578125" style="8" customWidth="1"/>
    <col min="3864" max="3864" width="24.28515625" style="8" customWidth="1"/>
    <col min="3865" max="3865" width="15.28515625" style="8" customWidth="1"/>
    <col min="3866" max="3866" width="23.42578125" style="8" customWidth="1"/>
    <col min="3867" max="3867" width="8.42578125" style="8" customWidth="1"/>
    <col min="3868" max="3868" width="8.140625" style="8" customWidth="1"/>
    <col min="3869" max="3870" width="8.7109375" style="8" customWidth="1"/>
    <col min="3871" max="3874" width="7.28515625" style="8" bestFit="1" customWidth="1"/>
    <col min="3875" max="3875" width="11.5703125" style="8" customWidth="1"/>
    <col min="3876" max="3876" width="9.140625" style="8" bestFit="1" customWidth="1"/>
    <col min="3877" max="4109" width="11.5703125" style="8"/>
    <col min="4110" max="4110" width="5.28515625" style="8" customWidth="1"/>
    <col min="4111" max="4111" width="6.85546875" style="8" customWidth="1"/>
    <col min="4112" max="4112" width="18" style="8" customWidth="1"/>
    <col min="4113" max="4113" width="12" style="8" customWidth="1"/>
    <col min="4114" max="4114" width="11.28515625" style="8" customWidth="1"/>
    <col min="4115" max="4115" width="22.140625" style="8" customWidth="1"/>
    <col min="4116" max="4116" width="20.5703125" style="8" customWidth="1"/>
    <col min="4117" max="4117" width="20" style="8" customWidth="1"/>
    <col min="4118" max="4118" width="11.85546875" style="8" customWidth="1"/>
    <col min="4119" max="4119" width="11.42578125" style="8" customWidth="1"/>
    <col min="4120" max="4120" width="24.28515625" style="8" customWidth="1"/>
    <col min="4121" max="4121" width="15.28515625" style="8" customWidth="1"/>
    <col min="4122" max="4122" width="23.42578125" style="8" customWidth="1"/>
    <col min="4123" max="4123" width="8.42578125" style="8" customWidth="1"/>
    <col min="4124" max="4124" width="8.140625" style="8" customWidth="1"/>
    <col min="4125" max="4126" width="8.7109375" style="8" customWidth="1"/>
    <col min="4127" max="4130" width="7.28515625" style="8" bestFit="1" customWidth="1"/>
    <col min="4131" max="4131" width="11.5703125" style="8" customWidth="1"/>
    <col min="4132" max="4132" width="9.140625" style="8" bestFit="1" customWidth="1"/>
    <col min="4133" max="4365" width="11.5703125" style="8"/>
    <col min="4366" max="4366" width="5.28515625" style="8" customWidth="1"/>
    <col min="4367" max="4367" width="6.85546875" style="8" customWidth="1"/>
    <col min="4368" max="4368" width="18" style="8" customWidth="1"/>
    <col min="4369" max="4369" width="12" style="8" customWidth="1"/>
    <col min="4370" max="4370" width="11.28515625" style="8" customWidth="1"/>
    <col min="4371" max="4371" width="22.140625" style="8" customWidth="1"/>
    <col min="4372" max="4372" width="20.5703125" style="8" customWidth="1"/>
    <col min="4373" max="4373" width="20" style="8" customWidth="1"/>
    <col min="4374" max="4374" width="11.85546875" style="8" customWidth="1"/>
    <col min="4375" max="4375" width="11.42578125" style="8" customWidth="1"/>
    <col min="4376" max="4376" width="24.28515625" style="8" customWidth="1"/>
    <col min="4377" max="4377" width="15.28515625" style="8" customWidth="1"/>
    <col min="4378" max="4378" width="23.42578125" style="8" customWidth="1"/>
    <col min="4379" max="4379" width="8.42578125" style="8" customWidth="1"/>
    <col min="4380" max="4380" width="8.140625" style="8" customWidth="1"/>
    <col min="4381" max="4382" width="8.7109375" style="8" customWidth="1"/>
    <col min="4383" max="4386" width="7.28515625" style="8" bestFit="1" customWidth="1"/>
    <col min="4387" max="4387" width="11.5703125" style="8" customWidth="1"/>
    <col min="4388" max="4388" width="9.140625" style="8" bestFit="1" customWidth="1"/>
    <col min="4389" max="4621" width="11.5703125" style="8"/>
    <col min="4622" max="4622" width="5.28515625" style="8" customWidth="1"/>
    <col min="4623" max="4623" width="6.85546875" style="8" customWidth="1"/>
    <col min="4624" max="4624" width="18" style="8" customWidth="1"/>
    <col min="4625" max="4625" width="12" style="8" customWidth="1"/>
    <col min="4626" max="4626" width="11.28515625" style="8" customWidth="1"/>
    <col min="4627" max="4627" width="22.140625" style="8" customWidth="1"/>
    <col min="4628" max="4628" width="20.5703125" style="8" customWidth="1"/>
    <col min="4629" max="4629" width="20" style="8" customWidth="1"/>
    <col min="4630" max="4630" width="11.85546875" style="8" customWidth="1"/>
    <col min="4631" max="4631" width="11.42578125" style="8" customWidth="1"/>
    <col min="4632" max="4632" width="24.28515625" style="8" customWidth="1"/>
    <col min="4633" max="4633" width="15.28515625" style="8" customWidth="1"/>
    <col min="4634" max="4634" width="23.42578125" style="8" customWidth="1"/>
    <col min="4635" max="4635" width="8.42578125" style="8" customWidth="1"/>
    <col min="4636" max="4636" width="8.140625" style="8" customWidth="1"/>
    <col min="4637" max="4638" width="8.7109375" style="8" customWidth="1"/>
    <col min="4639" max="4642" width="7.28515625" style="8" bestFit="1" customWidth="1"/>
    <col min="4643" max="4643" width="11.5703125" style="8" customWidth="1"/>
    <col min="4644" max="4644" width="9.140625" style="8" bestFit="1" customWidth="1"/>
    <col min="4645" max="4877" width="11.5703125" style="8"/>
    <col min="4878" max="4878" width="5.28515625" style="8" customWidth="1"/>
    <col min="4879" max="4879" width="6.85546875" style="8" customWidth="1"/>
    <col min="4880" max="4880" width="18" style="8" customWidth="1"/>
    <col min="4881" max="4881" width="12" style="8" customWidth="1"/>
    <col min="4882" max="4882" width="11.28515625" style="8" customWidth="1"/>
    <col min="4883" max="4883" width="22.140625" style="8" customWidth="1"/>
    <col min="4884" max="4884" width="20.5703125" style="8" customWidth="1"/>
    <col min="4885" max="4885" width="20" style="8" customWidth="1"/>
    <col min="4886" max="4886" width="11.85546875" style="8" customWidth="1"/>
    <col min="4887" max="4887" width="11.42578125" style="8" customWidth="1"/>
    <col min="4888" max="4888" width="24.28515625" style="8" customWidth="1"/>
    <col min="4889" max="4889" width="15.28515625" style="8" customWidth="1"/>
    <col min="4890" max="4890" width="23.42578125" style="8" customWidth="1"/>
    <col min="4891" max="4891" width="8.42578125" style="8" customWidth="1"/>
    <col min="4892" max="4892" width="8.140625" style="8" customWidth="1"/>
    <col min="4893" max="4894" width="8.7109375" style="8" customWidth="1"/>
    <col min="4895" max="4898" width="7.28515625" style="8" bestFit="1" customWidth="1"/>
    <col min="4899" max="4899" width="11.5703125" style="8" customWidth="1"/>
    <col min="4900" max="4900" width="9.140625" style="8" bestFit="1" customWidth="1"/>
    <col min="4901" max="5133" width="11.5703125" style="8"/>
    <col min="5134" max="5134" width="5.28515625" style="8" customWidth="1"/>
    <col min="5135" max="5135" width="6.85546875" style="8" customWidth="1"/>
    <col min="5136" max="5136" width="18" style="8" customWidth="1"/>
    <col min="5137" max="5137" width="12" style="8" customWidth="1"/>
    <col min="5138" max="5138" width="11.28515625" style="8" customWidth="1"/>
    <col min="5139" max="5139" width="22.140625" style="8" customWidth="1"/>
    <col min="5140" max="5140" width="20.5703125" style="8" customWidth="1"/>
    <col min="5141" max="5141" width="20" style="8" customWidth="1"/>
    <col min="5142" max="5142" width="11.85546875" style="8" customWidth="1"/>
    <col min="5143" max="5143" width="11.42578125" style="8" customWidth="1"/>
    <col min="5144" max="5144" width="24.28515625" style="8" customWidth="1"/>
    <col min="5145" max="5145" width="15.28515625" style="8" customWidth="1"/>
    <col min="5146" max="5146" width="23.42578125" style="8" customWidth="1"/>
    <col min="5147" max="5147" width="8.42578125" style="8" customWidth="1"/>
    <col min="5148" max="5148" width="8.140625" style="8" customWidth="1"/>
    <col min="5149" max="5150" width="8.7109375" style="8" customWidth="1"/>
    <col min="5151" max="5154" width="7.28515625" style="8" bestFit="1" customWidth="1"/>
    <col min="5155" max="5155" width="11.5703125" style="8" customWidth="1"/>
    <col min="5156" max="5156" width="9.140625" style="8" bestFit="1" customWidth="1"/>
    <col min="5157" max="5389" width="11.5703125" style="8"/>
    <col min="5390" max="5390" width="5.28515625" style="8" customWidth="1"/>
    <col min="5391" max="5391" width="6.85546875" style="8" customWidth="1"/>
    <col min="5392" max="5392" width="18" style="8" customWidth="1"/>
    <col min="5393" max="5393" width="12" style="8" customWidth="1"/>
    <col min="5394" max="5394" width="11.28515625" style="8" customWidth="1"/>
    <col min="5395" max="5395" width="22.140625" style="8" customWidth="1"/>
    <col min="5396" max="5396" width="20.5703125" style="8" customWidth="1"/>
    <col min="5397" max="5397" width="20" style="8" customWidth="1"/>
    <col min="5398" max="5398" width="11.85546875" style="8" customWidth="1"/>
    <col min="5399" max="5399" width="11.42578125" style="8" customWidth="1"/>
    <col min="5400" max="5400" width="24.28515625" style="8" customWidth="1"/>
    <col min="5401" max="5401" width="15.28515625" style="8" customWidth="1"/>
    <col min="5402" max="5402" width="23.42578125" style="8" customWidth="1"/>
    <col min="5403" max="5403" width="8.42578125" style="8" customWidth="1"/>
    <col min="5404" max="5404" width="8.140625" style="8" customWidth="1"/>
    <col min="5405" max="5406" width="8.7109375" style="8" customWidth="1"/>
    <col min="5407" max="5410" width="7.28515625" style="8" bestFit="1" customWidth="1"/>
    <col min="5411" max="5411" width="11.5703125" style="8" customWidth="1"/>
    <col min="5412" max="5412" width="9.140625" style="8" bestFit="1" customWidth="1"/>
    <col min="5413" max="5645" width="11.5703125" style="8"/>
    <col min="5646" max="5646" width="5.28515625" style="8" customWidth="1"/>
    <col min="5647" max="5647" width="6.85546875" style="8" customWidth="1"/>
    <col min="5648" max="5648" width="18" style="8" customWidth="1"/>
    <col min="5649" max="5649" width="12" style="8" customWidth="1"/>
    <col min="5650" max="5650" width="11.28515625" style="8" customWidth="1"/>
    <col min="5651" max="5651" width="22.140625" style="8" customWidth="1"/>
    <col min="5652" max="5652" width="20.5703125" style="8" customWidth="1"/>
    <col min="5653" max="5653" width="20" style="8" customWidth="1"/>
    <col min="5654" max="5654" width="11.85546875" style="8" customWidth="1"/>
    <col min="5655" max="5655" width="11.42578125" style="8" customWidth="1"/>
    <col min="5656" max="5656" width="24.28515625" style="8" customWidth="1"/>
    <col min="5657" max="5657" width="15.28515625" style="8" customWidth="1"/>
    <col min="5658" max="5658" width="23.42578125" style="8" customWidth="1"/>
    <col min="5659" max="5659" width="8.42578125" style="8" customWidth="1"/>
    <col min="5660" max="5660" width="8.140625" style="8" customWidth="1"/>
    <col min="5661" max="5662" width="8.7109375" style="8" customWidth="1"/>
    <col min="5663" max="5666" width="7.28515625" style="8" bestFit="1" customWidth="1"/>
    <col min="5667" max="5667" width="11.5703125" style="8" customWidth="1"/>
    <col min="5668" max="5668" width="9.140625" style="8" bestFit="1" customWidth="1"/>
    <col min="5669" max="5901" width="11.5703125" style="8"/>
    <col min="5902" max="5902" width="5.28515625" style="8" customWidth="1"/>
    <col min="5903" max="5903" width="6.85546875" style="8" customWidth="1"/>
    <col min="5904" max="5904" width="18" style="8" customWidth="1"/>
    <col min="5905" max="5905" width="12" style="8" customWidth="1"/>
    <col min="5906" max="5906" width="11.28515625" style="8" customWidth="1"/>
    <col min="5907" max="5907" width="22.140625" style="8" customWidth="1"/>
    <col min="5908" max="5908" width="20.5703125" style="8" customWidth="1"/>
    <col min="5909" max="5909" width="20" style="8" customWidth="1"/>
    <col min="5910" max="5910" width="11.85546875" style="8" customWidth="1"/>
    <col min="5911" max="5911" width="11.42578125" style="8" customWidth="1"/>
    <col min="5912" max="5912" width="24.28515625" style="8" customWidth="1"/>
    <col min="5913" max="5913" width="15.28515625" style="8" customWidth="1"/>
    <col min="5914" max="5914" width="23.42578125" style="8" customWidth="1"/>
    <col min="5915" max="5915" width="8.42578125" style="8" customWidth="1"/>
    <col min="5916" max="5916" width="8.140625" style="8" customWidth="1"/>
    <col min="5917" max="5918" width="8.7109375" style="8" customWidth="1"/>
    <col min="5919" max="5922" width="7.28515625" style="8" bestFit="1" customWidth="1"/>
    <col min="5923" max="5923" width="11.5703125" style="8" customWidth="1"/>
    <col min="5924" max="5924" width="9.140625" style="8" bestFit="1" customWidth="1"/>
    <col min="5925" max="6157" width="11.5703125" style="8"/>
    <col min="6158" max="6158" width="5.28515625" style="8" customWidth="1"/>
    <col min="6159" max="6159" width="6.85546875" style="8" customWidth="1"/>
    <col min="6160" max="6160" width="18" style="8" customWidth="1"/>
    <col min="6161" max="6161" width="12" style="8" customWidth="1"/>
    <col min="6162" max="6162" width="11.28515625" style="8" customWidth="1"/>
    <col min="6163" max="6163" width="22.140625" style="8" customWidth="1"/>
    <col min="6164" max="6164" width="20.5703125" style="8" customWidth="1"/>
    <col min="6165" max="6165" width="20" style="8" customWidth="1"/>
    <col min="6166" max="6166" width="11.85546875" style="8" customWidth="1"/>
    <col min="6167" max="6167" width="11.42578125" style="8" customWidth="1"/>
    <col min="6168" max="6168" width="24.28515625" style="8" customWidth="1"/>
    <col min="6169" max="6169" width="15.28515625" style="8" customWidth="1"/>
    <col min="6170" max="6170" width="23.42578125" style="8" customWidth="1"/>
    <col min="6171" max="6171" width="8.42578125" style="8" customWidth="1"/>
    <col min="6172" max="6172" width="8.140625" style="8" customWidth="1"/>
    <col min="6173" max="6174" width="8.7109375" style="8" customWidth="1"/>
    <col min="6175" max="6178" width="7.28515625" style="8" bestFit="1" customWidth="1"/>
    <col min="6179" max="6179" width="11.5703125" style="8" customWidth="1"/>
    <col min="6180" max="6180" width="9.140625" style="8" bestFit="1" customWidth="1"/>
    <col min="6181" max="6413" width="11.5703125" style="8"/>
    <col min="6414" max="6414" width="5.28515625" style="8" customWidth="1"/>
    <col min="6415" max="6415" width="6.85546875" style="8" customWidth="1"/>
    <col min="6416" max="6416" width="18" style="8" customWidth="1"/>
    <col min="6417" max="6417" width="12" style="8" customWidth="1"/>
    <col min="6418" max="6418" width="11.28515625" style="8" customWidth="1"/>
    <col min="6419" max="6419" width="22.140625" style="8" customWidth="1"/>
    <col min="6420" max="6420" width="20.5703125" style="8" customWidth="1"/>
    <col min="6421" max="6421" width="20" style="8" customWidth="1"/>
    <col min="6422" max="6422" width="11.85546875" style="8" customWidth="1"/>
    <col min="6423" max="6423" width="11.42578125" style="8" customWidth="1"/>
    <col min="6424" max="6424" width="24.28515625" style="8" customWidth="1"/>
    <col min="6425" max="6425" width="15.28515625" style="8" customWidth="1"/>
    <col min="6426" max="6426" width="23.42578125" style="8" customWidth="1"/>
    <col min="6427" max="6427" width="8.42578125" style="8" customWidth="1"/>
    <col min="6428" max="6428" width="8.140625" style="8" customWidth="1"/>
    <col min="6429" max="6430" width="8.7109375" style="8" customWidth="1"/>
    <col min="6431" max="6434" width="7.28515625" style="8" bestFit="1" customWidth="1"/>
    <col min="6435" max="6435" width="11.5703125" style="8" customWidth="1"/>
    <col min="6436" max="6436" width="9.140625" style="8" bestFit="1" customWidth="1"/>
    <col min="6437" max="6669" width="11.5703125" style="8"/>
    <col min="6670" max="6670" width="5.28515625" style="8" customWidth="1"/>
    <col min="6671" max="6671" width="6.85546875" style="8" customWidth="1"/>
    <col min="6672" max="6672" width="18" style="8" customWidth="1"/>
    <col min="6673" max="6673" width="12" style="8" customWidth="1"/>
    <col min="6674" max="6674" width="11.28515625" style="8" customWidth="1"/>
    <col min="6675" max="6675" width="22.140625" style="8" customWidth="1"/>
    <col min="6676" max="6676" width="20.5703125" style="8" customWidth="1"/>
    <col min="6677" max="6677" width="20" style="8" customWidth="1"/>
    <col min="6678" max="6678" width="11.85546875" style="8" customWidth="1"/>
    <col min="6679" max="6679" width="11.42578125" style="8" customWidth="1"/>
    <col min="6680" max="6680" width="24.28515625" style="8" customWidth="1"/>
    <col min="6681" max="6681" width="15.28515625" style="8" customWidth="1"/>
    <col min="6682" max="6682" width="23.42578125" style="8" customWidth="1"/>
    <col min="6683" max="6683" width="8.42578125" style="8" customWidth="1"/>
    <col min="6684" max="6684" width="8.140625" style="8" customWidth="1"/>
    <col min="6685" max="6686" width="8.7109375" style="8" customWidth="1"/>
    <col min="6687" max="6690" width="7.28515625" style="8" bestFit="1" customWidth="1"/>
    <col min="6691" max="6691" width="11.5703125" style="8" customWidth="1"/>
    <col min="6692" max="6692" width="9.140625" style="8" bestFit="1" customWidth="1"/>
    <col min="6693" max="6925" width="11.5703125" style="8"/>
    <col min="6926" max="6926" width="5.28515625" style="8" customWidth="1"/>
    <col min="6927" max="6927" width="6.85546875" style="8" customWidth="1"/>
    <col min="6928" max="6928" width="18" style="8" customWidth="1"/>
    <col min="6929" max="6929" width="12" style="8" customWidth="1"/>
    <col min="6930" max="6930" width="11.28515625" style="8" customWidth="1"/>
    <col min="6931" max="6931" width="22.140625" style="8" customWidth="1"/>
    <col min="6932" max="6932" width="20.5703125" style="8" customWidth="1"/>
    <col min="6933" max="6933" width="20" style="8" customWidth="1"/>
    <col min="6934" max="6934" width="11.85546875" style="8" customWidth="1"/>
    <col min="6935" max="6935" width="11.42578125" style="8" customWidth="1"/>
    <col min="6936" max="6936" width="24.28515625" style="8" customWidth="1"/>
    <col min="6937" max="6937" width="15.28515625" style="8" customWidth="1"/>
    <col min="6938" max="6938" width="23.42578125" style="8" customWidth="1"/>
    <col min="6939" max="6939" width="8.42578125" style="8" customWidth="1"/>
    <col min="6940" max="6940" width="8.140625" style="8" customWidth="1"/>
    <col min="6941" max="6942" width="8.7109375" style="8" customWidth="1"/>
    <col min="6943" max="6946" width="7.28515625" style="8" bestFit="1" customWidth="1"/>
    <col min="6947" max="6947" width="11.5703125" style="8" customWidth="1"/>
    <col min="6948" max="6948" width="9.140625" style="8" bestFit="1" customWidth="1"/>
    <col min="6949" max="7181" width="11.5703125" style="8"/>
    <col min="7182" max="7182" width="5.28515625" style="8" customWidth="1"/>
    <col min="7183" max="7183" width="6.85546875" style="8" customWidth="1"/>
    <col min="7184" max="7184" width="18" style="8" customWidth="1"/>
    <col min="7185" max="7185" width="12" style="8" customWidth="1"/>
    <col min="7186" max="7186" width="11.28515625" style="8" customWidth="1"/>
    <col min="7187" max="7187" width="22.140625" style="8" customWidth="1"/>
    <col min="7188" max="7188" width="20.5703125" style="8" customWidth="1"/>
    <col min="7189" max="7189" width="20" style="8" customWidth="1"/>
    <col min="7190" max="7190" width="11.85546875" style="8" customWidth="1"/>
    <col min="7191" max="7191" width="11.42578125" style="8" customWidth="1"/>
    <col min="7192" max="7192" width="24.28515625" style="8" customWidth="1"/>
    <col min="7193" max="7193" width="15.28515625" style="8" customWidth="1"/>
    <col min="7194" max="7194" width="23.42578125" style="8" customWidth="1"/>
    <col min="7195" max="7195" width="8.42578125" style="8" customWidth="1"/>
    <col min="7196" max="7196" width="8.140625" style="8" customWidth="1"/>
    <col min="7197" max="7198" width="8.7109375" style="8" customWidth="1"/>
    <col min="7199" max="7202" width="7.28515625" style="8" bestFit="1" customWidth="1"/>
    <col min="7203" max="7203" width="11.5703125" style="8" customWidth="1"/>
    <col min="7204" max="7204" width="9.140625" style="8" bestFit="1" customWidth="1"/>
    <col min="7205" max="7437" width="11.5703125" style="8"/>
    <col min="7438" max="7438" width="5.28515625" style="8" customWidth="1"/>
    <col min="7439" max="7439" width="6.85546875" style="8" customWidth="1"/>
    <col min="7440" max="7440" width="18" style="8" customWidth="1"/>
    <col min="7441" max="7441" width="12" style="8" customWidth="1"/>
    <col min="7442" max="7442" width="11.28515625" style="8" customWidth="1"/>
    <col min="7443" max="7443" width="22.140625" style="8" customWidth="1"/>
    <col min="7444" max="7444" width="20.5703125" style="8" customWidth="1"/>
    <col min="7445" max="7445" width="20" style="8" customWidth="1"/>
    <col min="7446" max="7446" width="11.85546875" style="8" customWidth="1"/>
    <col min="7447" max="7447" width="11.42578125" style="8" customWidth="1"/>
    <col min="7448" max="7448" width="24.28515625" style="8" customWidth="1"/>
    <col min="7449" max="7449" width="15.28515625" style="8" customWidth="1"/>
    <col min="7450" max="7450" width="23.42578125" style="8" customWidth="1"/>
    <col min="7451" max="7451" width="8.42578125" style="8" customWidth="1"/>
    <col min="7452" max="7452" width="8.140625" style="8" customWidth="1"/>
    <col min="7453" max="7454" width="8.7109375" style="8" customWidth="1"/>
    <col min="7455" max="7458" width="7.28515625" style="8" bestFit="1" customWidth="1"/>
    <col min="7459" max="7459" width="11.5703125" style="8" customWidth="1"/>
    <col min="7460" max="7460" width="9.140625" style="8" bestFit="1" customWidth="1"/>
    <col min="7461" max="7693" width="11.5703125" style="8"/>
    <col min="7694" max="7694" width="5.28515625" style="8" customWidth="1"/>
    <col min="7695" max="7695" width="6.85546875" style="8" customWidth="1"/>
    <col min="7696" max="7696" width="18" style="8" customWidth="1"/>
    <col min="7697" max="7697" width="12" style="8" customWidth="1"/>
    <col min="7698" max="7698" width="11.28515625" style="8" customWidth="1"/>
    <col min="7699" max="7699" width="22.140625" style="8" customWidth="1"/>
    <col min="7700" max="7700" width="20.5703125" style="8" customWidth="1"/>
    <col min="7701" max="7701" width="20" style="8" customWidth="1"/>
    <col min="7702" max="7702" width="11.85546875" style="8" customWidth="1"/>
    <col min="7703" max="7703" width="11.42578125" style="8" customWidth="1"/>
    <col min="7704" max="7704" width="24.28515625" style="8" customWidth="1"/>
    <col min="7705" max="7705" width="15.28515625" style="8" customWidth="1"/>
    <col min="7706" max="7706" width="23.42578125" style="8" customWidth="1"/>
    <col min="7707" max="7707" width="8.42578125" style="8" customWidth="1"/>
    <col min="7708" max="7708" width="8.140625" style="8" customWidth="1"/>
    <col min="7709" max="7710" width="8.7109375" style="8" customWidth="1"/>
    <col min="7711" max="7714" width="7.28515625" style="8" bestFit="1" customWidth="1"/>
    <col min="7715" max="7715" width="11.5703125" style="8" customWidth="1"/>
    <col min="7716" max="7716" width="9.140625" style="8" bestFit="1" customWidth="1"/>
    <col min="7717" max="7949" width="11.5703125" style="8"/>
    <col min="7950" max="7950" width="5.28515625" style="8" customWidth="1"/>
    <col min="7951" max="7951" width="6.85546875" style="8" customWidth="1"/>
    <col min="7952" max="7952" width="18" style="8" customWidth="1"/>
    <col min="7953" max="7953" width="12" style="8" customWidth="1"/>
    <col min="7954" max="7954" width="11.28515625" style="8" customWidth="1"/>
    <col min="7955" max="7955" width="22.140625" style="8" customWidth="1"/>
    <col min="7956" max="7956" width="20.5703125" style="8" customWidth="1"/>
    <col min="7957" max="7957" width="20" style="8" customWidth="1"/>
    <col min="7958" max="7958" width="11.85546875" style="8" customWidth="1"/>
    <col min="7959" max="7959" width="11.42578125" style="8" customWidth="1"/>
    <col min="7960" max="7960" width="24.28515625" style="8" customWidth="1"/>
    <col min="7961" max="7961" width="15.28515625" style="8" customWidth="1"/>
    <col min="7962" max="7962" width="23.42578125" style="8" customWidth="1"/>
    <col min="7963" max="7963" width="8.42578125" style="8" customWidth="1"/>
    <col min="7964" max="7964" width="8.140625" style="8" customWidth="1"/>
    <col min="7965" max="7966" width="8.7109375" style="8" customWidth="1"/>
    <col min="7967" max="7970" width="7.28515625" style="8" bestFit="1" customWidth="1"/>
    <col min="7971" max="7971" width="11.5703125" style="8" customWidth="1"/>
    <col min="7972" max="7972" width="9.140625" style="8" bestFit="1" customWidth="1"/>
    <col min="7973" max="8205" width="11.5703125" style="8"/>
    <col min="8206" max="8206" width="5.28515625" style="8" customWidth="1"/>
    <col min="8207" max="8207" width="6.85546875" style="8" customWidth="1"/>
    <col min="8208" max="8208" width="18" style="8" customWidth="1"/>
    <col min="8209" max="8209" width="12" style="8" customWidth="1"/>
    <col min="8210" max="8210" width="11.28515625" style="8" customWidth="1"/>
    <col min="8211" max="8211" width="22.140625" style="8" customWidth="1"/>
    <col min="8212" max="8212" width="20.5703125" style="8" customWidth="1"/>
    <col min="8213" max="8213" width="20" style="8" customWidth="1"/>
    <col min="8214" max="8214" width="11.85546875" style="8" customWidth="1"/>
    <col min="8215" max="8215" width="11.42578125" style="8" customWidth="1"/>
    <col min="8216" max="8216" width="24.28515625" style="8" customWidth="1"/>
    <col min="8217" max="8217" width="15.28515625" style="8" customWidth="1"/>
    <col min="8218" max="8218" width="23.42578125" style="8" customWidth="1"/>
    <col min="8219" max="8219" width="8.42578125" style="8" customWidth="1"/>
    <col min="8220" max="8220" width="8.140625" style="8" customWidth="1"/>
    <col min="8221" max="8222" width="8.7109375" style="8" customWidth="1"/>
    <col min="8223" max="8226" width="7.28515625" style="8" bestFit="1" customWidth="1"/>
    <col min="8227" max="8227" width="11.5703125" style="8" customWidth="1"/>
    <col min="8228" max="8228" width="9.140625" style="8" bestFit="1" customWidth="1"/>
    <col min="8229" max="8461" width="11.5703125" style="8"/>
    <col min="8462" max="8462" width="5.28515625" style="8" customWidth="1"/>
    <col min="8463" max="8463" width="6.85546875" style="8" customWidth="1"/>
    <col min="8464" max="8464" width="18" style="8" customWidth="1"/>
    <col min="8465" max="8465" width="12" style="8" customWidth="1"/>
    <col min="8466" max="8466" width="11.28515625" style="8" customWidth="1"/>
    <col min="8467" max="8467" width="22.140625" style="8" customWidth="1"/>
    <col min="8468" max="8468" width="20.5703125" style="8" customWidth="1"/>
    <col min="8469" max="8469" width="20" style="8" customWidth="1"/>
    <col min="8470" max="8470" width="11.85546875" style="8" customWidth="1"/>
    <col min="8471" max="8471" width="11.42578125" style="8" customWidth="1"/>
    <col min="8472" max="8472" width="24.28515625" style="8" customWidth="1"/>
    <col min="8473" max="8473" width="15.28515625" style="8" customWidth="1"/>
    <col min="8474" max="8474" width="23.42578125" style="8" customWidth="1"/>
    <col min="8475" max="8475" width="8.42578125" style="8" customWidth="1"/>
    <col min="8476" max="8476" width="8.140625" style="8" customWidth="1"/>
    <col min="8477" max="8478" width="8.7109375" style="8" customWidth="1"/>
    <col min="8479" max="8482" width="7.28515625" style="8" bestFit="1" customWidth="1"/>
    <col min="8483" max="8483" width="11.5703125" style="8" customWidth="1"/>
    <col min="8484" max="8484" width="9.140625" style="8" bestFit="1" customWidth="1"/>
    <col min="8485" max="8717" width="11.5703125" style="8"/>
    <col min="8718" max="8718" width="5.28515625" style="8" customWidth="1"/>
    <col min="8719" max="8719" width="6.85546875" style="8" customWidth="1"/>
    <col min="8720" max="8720" width="18" style="8" customWidth="1"/>
    <col min="8721" max="8721" width="12" style="8" customWidth="1"/>
    <col min="8722" max="8722" width="11.28515625" style="8" customWidth="1"/>
    <col min="8723" max="8723" width="22.140625" style="8" customWidth="1"/>
    <col min="8724" max="8724" width="20.5703125" style="8" customWidth="1"/>
    <col min="8725" max="8725" width="20" style="8" customWidth="1"/>
    <col min="8726" max="8726" width="11.85546875" style="8" customWidth="1"/>
    <col min="8727" max="8727" width="11.42578125" style="8" customWidth="1"/>
    <col min="8728" max="8728" width="24.28515625" style="8" customWidth="1"/>
    <col min="8729" max="8729" width="15.28515625" style="8" customWidth="1"/>
    <col min="8730" max="8730" width="23.42578125" style="8" customWidth="1"/>
    <col min="8731" max="8731" width="8.42578125" style="8" customWidth="1"/>
    <col min="8732" max="8732" width="8.140625" style="8" customWidth="1"/>
    <col min="8733" max="8734" width="8.7109375" style="8" customWidth="1"/>
    <col min="8735" max="8738" width="7.28515625" style="8" bestFit="1" customWidth="1"/>
    <col min="8739" max="8739" width="11.5703125" style="8" customWidth="1"/>
    <col min="8740" max="8740" width="9.140625" style="8" bestFit="1" customWidth="1"/>
    <col min="8741" max="8973" width="11.5703125" style="8"/>
    <col min="8974" max="8974" width="5.28515625" style="8" customWidth="1"/>
    <col min="8975" max="8975" width="6.85546875" style="8" customWidth="1"/>
    <col min="8976" max="8976" width="18" style="8" customWidth="1"/>
    <col min="8977" max="8977" width="12" style="8" customWidth="1"/>
    <col min="8978" max="8978" width="11.28515625" style="8" customWidth="1"/>
    <col min="8979" max="8979" width="22.140625" style="8" customWidth="1"/>
    <col min="8980" max="8980" width="20.5703125" style="8" customWidth="1"/>
    <col min="8981" max="8981" width="20" style="8" customWidth="1"/>
    <col min="8982" max="8982" width="11.85546875" style="8" customWidth="1"/>
    <col min="8983" max="8983" width="11.42578125" style="8" customWidth="1"/>
    <col min="8984" max="8984" width="24.28515625" style="8" customWidth="1"/>
    <col min="8985" max="8985" width="15.28515625" style="8" customWidth="1"/>
    <col min="8986" max="8986" width="23.42578125" style="8" customWidth="1"/>
    <col min="8987" max="8987" width="8.42578125" style="8" customWidth="1"/>
    <col min="8988" max="8988" width="8.140625" style="8" customWidth="1"/>
    <col min="8989" max="8990" width="8.7109375" style="8" customWidth="1"/>
    <col min="8991" max="8994" width="7.28515625" style="8" bestFit="1" customWidth="1"/>
    <col min="8995" max="8995" width="11.5703125" style="8" customWidth="1"/>
    <col min="8996" max="8996" width="9.140625" style="8" bestFit="1" customWidth="1"/>
    <col min="8997" max="9229" width="11.5703125" style="8"/>
    <col min="9230" max="9230" width="5.28515625" style="8" customWidth="1"/>
    <col min="9231" max="9231" width="6.85546875" style="8" customWidth="1"/>
    <col min="9232" max="9232" width="18" style="8" customWidth="1"/>
    <col min="9233" max="9233" width="12" style="8" customWidth="1"/>
    <col min="9234" max="9234" width="11.28515625" style="8" customWidth="1"/>
    <col min="9235" max="9235" width="22.140625" style="8" customWidth="1"/>
    <col min="9236" max="9236" width="20.5703125" style="8" customWidth="1"/>
    <col min="9237" max="9237" width="20" style="8" customWidth="1"/>
    <col min="9238" max="9238" width="11.85546875" style="8" customWidth="1"/>
    <col min="9239" max="9239" width="11.42578125" style="8" customWidth="1"/>
    <col min="9240" max="9240" width="24.28515625" style="8" customWidth="1"/>
    <col min="9241" max="9241" width="15.28515625" style="8" customWidth="1"/>
    <col min="9242" max="9242" width="23.42578125" style="8" customWidth="1"/>
    <col min="9243" max="9243" width="8.42578125" style="8" customWidth="1"/>
    <col min="9244" max="9244" width="8.140625" style="8" customWidth="1"/>
    <col min="9245" max="9246" width="8.7109375" style="8" customWidth="1"/>
    <col min="9247" max="9250" width="7.28515625" style="8" bestFit="1" customWidth="1"/>
    <col min="9251" max="9251" width="11.5703125" style="8" customWidth="1"/>
    <col min="9252" max="9252" width="9.140625" style="8" bestFit="1" customWidth="1"/>
    <col min="9253" max="9485" width="11.5703125" style="8"/>
    <col min="9486" max="9486" width="5.28515625" style="8" customWidth="1"/>
    <col min="9487" max="9487" width="6.85546875" style="8" customWidth="1"/>
    <col min="9488" max="9488" width="18" style="8" customWidth="1"/>
    <col min="9489" max="9489" width="12" style="8" customWidth="1"/>
    <col min="9490" max="9490" width="11.28515625" style="8" customWidth="1"/>
    <col min="9491" max="9491" width="22.140625" style="8" customWidth="1"/>
    <col min="9492" max="9492" width="20.5703125" style="8" customWidth="1"/>
    <col min="9493" max="9493" width="20" style="8" customWidth="1"/>
    <col min="9494" max="9494" width="11.85546875" style="8" customWidth="1"/>
    <col min="9495" max="9495" width="11.42578125" style="8" customWidth="1"/>
    <col min="9496" max="9496" width="24.28515625" style="8" customWidth="1"/>
    <col min="9497" max="9497" width="15.28515625" style="8" customWidth="1"/>
    <col min="9498" max="9498" width="23.42578125" style="8" customWidth="1"/>
    <col min="9499" max="9499" width="8.42578125" style="8" customWidth="1"/>
    <col min="9500" max="9500" width="8.140625" style="8" customWidth="1"/>
    <col min="9501" max="9502" width="8.7109375" style="8" customWidth="1"/>
    <col min="9503" max="9506" width="7.28515625" style="8" bestFit="1" customWidth="1"/>
    <col min="9507" max="9507" width="11.5703125" style="8" customWidth="1"/>
    <col min="9508" max="9508" width="9.140625" style="8" bestFit="1" customWidth="1"/>
    <col min="9509" max="9741" width="11.5703125" style="8"/>
    <col min="9742" max="9742" width="5.28515625" style="8" customWidth="1"/>
    <col min="9743" max="9743" width="6.85546875" style="8" customWidth="1"/>
    <col min="9744" max="9744" width="18" style="8" customWidth="1"/>
    <col min="9745" max="9745" width="12" style="8" customWidth="1"/>
    <col min="9746" max="9746" width="11.28515625" style="8" customWidth="1"/>
    <col min="9747" max="9747" width="22.140625" style="8" customWidth="1"/>
    <col min="9748" max="9748" width="20.5703125" style="8" customWidth="1"/>
    <col min="9749" max="9749" width="20" style="8" customWidth="1"/>
    <col min="9750" max="9750" width="11.85546875" style="8" customWidth="1"/>
    <col min="9751" max="9751" width="11.42578125" style="8" customWidth="1"/>
    <col min="9752" max="9752" width="24.28515625" style="8" customWidth="1"/>
    <col min="9753" max="9753" width="15.28515625" style="8" customWidth="1"/>
    <col min="9754" max="9754" width="23.42578125" style="8" customWidth="1"/>
    <col min="9755" max="9755" width="8.42578125" style="8" customWidth="1"/>
    <col min="9756" max="9756" width="8.140625" style="8" customWidth="1"/>
    <col min="9757" max="9758" width="8.7109375" style="8" customWidth="1"/>
    <col min="9759" max="9762" width="7.28515625" style="8" bestFit="1" customWidth="1"/>
    <col min="9763" max="9763" width="11.5703125" style="8" customWidth="1"/>
    <col min="9764" max="9764" width="9.140625" style="8" bestFit="1" customWidth="1"/>
    <col min="9765" max="9997" width="11.5703125" style="8"/>
    <col min="9998" max="9998" width="5.28515625" style="8" customWidth="1"/>
    <col min="9999" max="9999" width="6.85546875" style="8" customWidth="1"/>
    <col min="10000" max="10000" width="18" style="8" customWidth="1"/>
    <col min="10001" max="10001" width="12" style="8" customWidth="1"/>
    <col min="10002" max="10002" width="11.28515625" style="8" customWidth="1"/>
    <col min="10003" max="10003" width="22.140625" style="8" customWidth="1"/>
    <col min="10004" max="10004" width="20.5703125" style="8" customWidth="1"/>
    <col min="10005" max="10005" width="20" style="8" customWidth="1"/>
    <col min="10006" max="10006" width="11.85546875" style="8" customWidth="1"/>
    <col min="10007" max="10007" width="11.42578125" style="8" customWidth="1"/>
    <col min="10008" max="10008" width="24.28515625" style="8" customWidth="1"/>
    <col min="10009" max="10009" width="15.28515625" style="8" customWidth="1"/>
    <col min="10010" max="10010" width="23.42578125" style="8" customWidth="1"/>
    <col min="10011" max="10011" width="8.42578125" style="8" customWidth="1"/>
    <col min="10012" max="10012" width="8.140625" style="8" customWidth="1"/>
    <col min="10013" max="10014" width="8.7109375" style="8" customWidth="1"/>
    <col min="10015" max="10018" width="7.28515625" style="8" bestFit="1" customWidth="1"/>
    <col min="10019" max="10019" width="11.5703125" style="8" customWidth="1"/>
    <col min="10020" max="10020" width="9.140625" style="8" bestFit="1" customWidth="1"/>
    <col min="10021" max="10253" width="11.5703125" style="8"/>
    <col min="10254" max="10254" width="5.28515625" style="8" customWidth="1"/>
    <col min="10255" max="10255" width="6.85546875" style="8" customWidth="1"/>
    <col min="10256" max="10256" width="18" style="8" customWidth="1"/>
    <col min="10257" max="10257" width="12" style="8" customWidth="1"/>
    <col min="10258" max="10258" width="11.28515625" style="8" customWidth="1"/>
    <col min="10259" max="10259" width="22.140625" style="8" customWidth="1"/>
    <col min="10260" max="10260" width="20.5703125" style="8" customWidth="1"/>
    <col min="10261" max="10261" width="20" style="8" customWidth="1"/>
    <col min="10262" max="10262" width="11.85546875" style="8" customWidth="1"/>
    <col min="10263" max="10263" width="11.42578125" style="8" customWidth="1"/>
    <col min="10264" max="10264" width="24.28515625" style="8" customWidth="1"/>
    <col min="10265" max="10265" width="15.28515625" style="8" customWidth="1"/>
    <col min="10266" max="10266" width="23.42578125" style="8" customWidth="1"/>
    <col min="10267" max="10267" width="8.42578125" style="8" customWidth="1"/>
    <col min="10268" max="10268" width="8.140625" style="8" customWidth="1"/>
    <col min="10269" max="10270" width="8.7109375" style="8" customWidth="1"/>
    <col min="10271" max="10274" width="7.28515625" style="8" bestFit="1" customWidth="1"/>
    <col min="10275" max="10275" width="11.5703125" style="8" customWidth="1"/>
    <col min="10276" max="10276" width="9.140625" style="8" bestFit="1" customWidth="1"/>
    <col min="10277" max="10509" width="11.5703125" style="8"/>
    <col min="10510" max="10510" width="5.28515625" style="8" customWidth="1"/>
    <col min="10511" max="10511" width="6.85546875" style="8" customWidth="1"/>
    <col min="10512" max="10512" width="18" style="8" customWidth="1"/>
    <col min="10513" max="10513" width="12" style="8" customWidth="1"/>
    <col min="10514" max="10514" width="11.28515625" style="8" customWidth="1"/>
    <col min="10515" max="10515" width="22.140625" style="8" customWidth="1"/>
    <col min="10516" max="10516" width="20.5703125" style="8" customWidth="1"/>
    <col min="10517" max="10517" width="20" style="8" customWidth="1"/>
    <col min="10518" max="10518" width="11.85546875" style="8" customWidth="1"/>
    <col min="10519" max="10519" width="11.42578125" style="8" customWidth="1"/>
    <col min="10520" max="10520" width="24.28515625" style="8" customWidth="1"/>
    <col min="10521" max="10521" width="15.28515625" style="8" customWidth="1"/>
    <col min="10522" max="10522" width="23.42578125" style="8" customWidth="1"/>
    <col min="10523" max="10523" width="8.42578125" style="8" customWidth="1"/>
    <col min="10524" max="10524" width="8.140625" style="8" customWidth="1"/>
    <col min="10525" max="10526" width="8.7109375" style="8" customWidth="1"/>
    <col min="10527" max="10530" width="7.28515625" style="8" bestFit="1" customWidth="1"/>
    <col min="10531" max="10531" width="11.5703125" style="8" customWidth="1"/>
    <col min="10532" max="10532" width="9.140625" style="8" bestFit="1" customWidth="1"/>
    <col min="10533" max="10765" width="11.5703125" style="8"/>
    <col min="10766" max="10766" width="5.28515625" style="8" customWidth="1"/>
    <col min="10767" max="10767" width="6.85546875" style="8" customWidth="1"/>
    <col min="10768" max="10768" width="18" style="8" customWidth="1"/>
    <col min="10769" max="10769" width="12" style="8" customWidth="1"/>
    <col min="10770" max="10770" width="11.28515625" style="8" customWidth="1"/>
    <col min="10771" max="10771" width="22.140625" style="8" customWidth="1"/>
    <col min="10772" max="10772" width="20.5703125" style="8" customWidth="1"/>
    <col min="10773" max="10773" width="20" style="8" customWidth="1"/>
    <col min="10774" max="10774" width="11.85546875" style="8" customWidth="1"/>
    <col min="10775" max="10775" width="11.42578125" style="8" customWidth="1"/>
    <col min="10776" max="10776" width="24.28515625" style="8" customWidth="1"/>
    <col min="10777" max="10777" width="15.28515625" style="8" customWidth="1"/>
    <col min="10778" max="10778" width="23.42578125" style="8" customWidth="1"/>
    <col min="10779" max="10779" width="8.42578125" style="8" customWidth="1"/>
    <col min="10780" max="10780" width="8.140625" style="8" customWidth="1"/>
    <col min="10781" max="10782" width="8.7109375" style="8" customWidth="1"/>
    <col min="10783" max="10786" width="7.28515625" style="8" bestFit="1" customWidth="1"/>
    <col min="10787" max="10787" width="11.5703125" style="8" customWidth="1"/>
    <col min="10788" max="10788" width="9.140625" style="8" bestFit="1" customWidth="1"/>
    <col min="10789" max="11021" width="11.5703125" style="8"/>
    <col min="11022" max="11022" width="5.28515625" style="8" customWidth="1"/>
    <col min="11023" max="11023" width="6.85546875" style="8" customWidth="1"/>
    <col min="11024" max="11024" width="18" style="8" customWidth="1"/>
    <col min="11025" max="11025" width="12" style="8" customWidth="1"/>
    <col min="11026" max="11026" width="11.28515625" style="8" customWidth="1"/>
    <col min="11027" max="11027" width="22.140625" style="8" customWidth="1"/>
    <col min="11028" max="11028" width="20.5703125" style="8" customWidth="1"/>
    <col min="11029" max="11029" width="20" style="8" customWidth="1"/>
    <col min="11030" max="11030" width="11.85546875" style="8" customWidth="1"/>
    <col min="11031" max="11031" width="11.42578125" style="8" customWidth="1"/>
    <col min="11032" max="11032" width="24.28515625" style="8" customWidth="1"/>
    <col min="11033" max="11033" width="15.28515625" style="8" customWidth="1"/>
    <col min="11034" max="11034" width="23.42578125" style="8" customWidth="1"/>
    <col min="11035" max="11035" width="8.42578125" style="8" customWidth="1"/>
    <col min="11036" max="11036" width="8.140625" style="8" customWidth="1"/>
    <col min="11037" max="11038" width="8.7109375" style="8" customWidth="1"/>
    <col min="11039" max="11042" width="7.28515625" style="8" bestFit="1" customWidth="1"/>
    <col min="11043" max="11043" width="11.5703125" style="8" customWidth="1"/>
    <col min="11044" max="11044" width="9.140625" style="8" bestFit="1" customWidth="1"/>
    <col min="11045" max="11277" width="11.5703125" style="8"/>
    <col min="11278" max="11278" width="5.28515625" style="8" customWidth="1"/>
    <col min="11279" max="11279" width="6.85546875" style="8" customWidth="1"/>
    <col min="11280" max="11280" width="18" style="8" customWidth="1"/>
    <col min="11281" max="11281" width="12" style="8" customWidth="1"/>
    <col min="11282" max="11282" width="11.28515625" style="8" customWidth="1"/>
    <col min="11283" max="11283" width="22.140625" style="8" customWidth="1"/>
    <col min="11284" max="11284" width="20.5703125" style="8" customWidth="1"/>
    <col min="11285" max="11285" width="20" style="8" customWidth="1"/>
    <col min="11286" max="11286" width="11.85546875" style="8" customWidth="1"/>
    <col min="11287" max="11287" width="11.42578125" style="8" customWidth="1"/>
    <col min="11288" max="11288" width="24.28515625" style="8" customWidth="1"/>
    <col min="11289" max="11289" width="15.28515625" style="8" customWidth="1"/>
    <col min="11290" max="11290" width="23.42578125" style="8" customWidth="1"/>
    <col min="11291" max="11291" width="8.42578125" style="8" customWidth="1"/>
    <col min="11292" max="11292" width="8.140625" style="8" customWidth="1"/>
    <col min="11293" max="11294" width="8.7109375" style="8" customWidth="1"/>
    <col min="11295" max="11298" width="7.28515625" style="8" bestFit="1" customWidth="1"/>
    <col min="11299" max="11299" width="11.5703125" style="8" customWidth="1"/>
    <col min="11300" max="11300" width="9.140625" style="8" bestFit="1" customWidth="1"/>
    <col min="11301" max="11533" width="11.5703125" style="8"/>
    <col min="11534" max="11534" width="5.28515625" style="8" customWidth="1"/>
    <col min="11535" max="11535" width="6.85546875" style="8" customWidth="1"/>
    <col min="11536" max="11536" width="18" style="8" customWidth="1"/>
    <col min="11537" max="11537" width="12" style="8" customWidth="1"/>
    <col min="11538" max="11538" width="11.28515625" style="8" customWidth="1"/>
    <col min="11539" max="11539" width="22.140625" style="8" customWidth="1"/>
    <col min="11540" max="11540" width="20.5703125" style="8" customWidth="1"/>
    <col min="11541" max="11541" width="20" style="8" customWidth="1"/>
    <col min="11542" max="11542" width="11.85546875" style="8" customWidth="1"/>
    <col min="11543" max="11543" width="11.42578125" style="8" customWidth="1"/>
    <col min="11544" max="11544" width="24.28515625" style="8" customWidth="1"/>
    <col min="11545" max="11545" width="15.28515625" style="8" customWidth="1"/>
    <col min="11546" max="11546" width="23.42578125" style="8" customWidth="1"/>
    <col min="11547" max="11547" width="8.42578125" style="8" customWidth="1"/>
    <col min="11548" max="11548" width="8.140625" style="8" customWidth="1"/>
    <col min="11549" max="11550" width="8.7109375" style="8" customWidth="1"/>
    <col min="11551" max="11554" width="7.28515625" style="8" bestFit="1" customWidth="1"/>
    <col min="11555" max="11555" width="11.5703125" style="8" customWidth="1"/>
    <col min="11556" max="11556" width="9.140625" style="8" bestFit="1" customWidth="1"/>
    <col min="11557" max="11789" width="11.5703125" style="8"/>
    <col min="11790" max="11790" width="5.28515625" style="8" customWidth="1"/>
    <col min="11791" max="11791" width="6.85546875" style="8" customWidth="1"/>
    <col min="11792" max="11792" width="18" style="8" customWidth="1"/>
    <col min="11793" max="11793" width="12" style="8" customWidth="1"/>
    <col min="11794" max="11794" width="11.28515625" style="8" customWidth="1"/>
    <col min="11795" max="11795" width="22.140625" style="8" customWidth="1"/>
    <col min="11796" max="11796" width="20.5703125" style="8" customWidth="1"/>
    <col min="11797" max="11797" width="20" style="8" customWidth="1"/>
    <col min="11798" max="11798" width="11.85546875" style="8" customWidth="1"/>
    <col min="11799" max="11799" width="11.42578125" style="8" customWidth="1"/>
    <col min="11800" max="11800" width="24.28515625" style="8" customWidth="1"/>
    <col min="11801" max="11801" width="15.28515625" style="8" customWidth="1"/>
    <col min="11802" max="11802" width="23.42578125" style="8" customWidth="1"/>
    <col min="11803" max="11803" width="8.42578125" style="8" customWidth="1"/>
    <col min="11804" max="11804" width="8.140625" style="8" customWidth="1"/>
    <col min="11805" max="11806" width="8.7109375" style="8" customWidth="1"/>
    <col min="11807" max="11810" width="7.28515625" style="8" bestFit="1" customWidth="1"/>
    <col min="11811" max="11811" width="11.5703125" style="8" customWidth="1"/>
    <col min="11812" max="11812" width="9.140625" style="8" bestFit="1" customWidth="1"/>
    <col min="11813" max="12045" width="11.5703125" style="8"/>
    <col min="12046" max="12046" width="5.28515625" style="8" customWidth="1"/>
    <col min="12047" max="12047" width="6.85546875" style="8" customWidth="1"/>
    <col min="12048" max="12048" width="18" style="8" customWidth="1"/>
    <col min="12049" max="12049" width="12" style="8" customWidth="1"/>
    <col min="12050" max="12050" width="11.28515625" style="8" customWidth="1"/>
    <col min="12051" max="12051" width="22.140625" style="8" customWidth="1"/>
    <col min="12052" max="12052" width="20.5703125" style="8" customWidth="1"/>
    <col min="12053" max="12053" width="20" style="8" customWidth="1"/>
    <col min="12054" max="12054" width="11.85546875" style="8" customWidth="1"/>
    <col min="12055" max="12055" width="11.42578125" style="8" customWidth="1"/>
    <col min="12056" max="12056" width="24.28515625" style="8" customWidth="1"/>
    <col min="12057" max="12057" width="15.28515625" style="8" customWidth="1"/>
    <col min="12058" max="12058" width="23.42578125" style="8" customWidth="1"/>
    <col min="12059" max="12059" width="8.42578125" style="8" customWidth="1"/>
    <col min="12060" max="12060" width="8.140625" style="8" customWidth="1"/>
    <col min="12061" max="12062" width="8.7109375" style="8" customWidth="1"/>
    <col min="12063" max="12066" width="7.28515625" style="8" bestFit="1" customWidth="1"/>
    <col min="12067" max="12067" width="11.5703125" style="8" customWidth="1"/>
    <col min="12068" max="12068" width="9.140625" style="8" bestFit="1" customWidth="1"/>
    <col min="12069" max="12301" width="11.5703125" style="8"/>
    <col min="12302" max="12302" width="5.28515625" style="8" customWidth="1"/>
    <col min="12303" max="12303" width="6.85546875" style="8" customWidth="1"/>
    <col min="12304" max="12304" width="18" style="8" customWidth="1"/>
    <col min="12305" max="12305" width="12" style="8" customWidth="1"/>
    <col min="12306" max="12306" width="11.28515625" style="8" customWidth="1"/>
    <col min="12307" max="12307" width="22.140625" style="8" customWidth="1"/>
    <col min="12308" max="12308" width="20.5703125" style="8" customWidth="1"/>
    <col min="12309" max="12309" width="20" style="8" customWidth="1"/>
    <col min="12310" max="12310" width="11.85546875" style="8" customWidth="1"/>
    <col min="12311" max="12311" width="11.42578125" style="8" customWidth="1"/>
    <col min="12312" max="12312" width="24.28515625" style="8" customWidth="1"/>
    <col min="12313" max="12313" width="15.28515625" style="8" customWidth="1"/>
    <col min="12314" max="12314" width="23.42578125" style="8" customWidth="1"/>
    <col min="12315" max="12315" width="8.42578125" style="8" customWidth="1"/>
    <col min="12316" max="12316" width="8.140625" style="8" customWidth="1"/>
    <col min="12317" max="12318" width="8.7109375" style="8" customWidth="1"/>
    <col min="12319" max="12322" width="7.28515625" style="8" bestFit="1" customWidth="1"/>
    <col min="12323" max="12323" width="11.5703125" style="8" customWidth="1"/>
    <col min="12324" max="12324" width="9.140625" style="8" bestFit="1" customWidth="1"/>
    <col min="12325" max="12557" width="11.5703125" style="8"/>
    <col min="12558" max="12558" width="5.28515625" style="8" customWidth="1"/>
    <col min="12559" max="12559" width="6.85546875" style="8" customWidth="1"/>
    <col min="12560" max="12560" width="18" style="8" customWidth="1"/>
    <col min="12561" max="12561" width="12" style="8" customWidth="1"/>
    <col min="12562" max="12562" width="11.28515625" style="8" customWidth="1"/>
    <col min="12563" max="12563" width="22.140625" style="8" customWidth="1"/>
    <col min="12564" max="12564" width="20.5703125" style="8" customWidth="1"/>
    <col min="12565" max="12565" width="20" style="8" customWidth="1"/>
    <col min="12566" max="12566" width="11.85546875" style="8" customWidth="1"/>
    <col min="12567" max="12567" width="11.42578125" style="8" customWidth="1"/>
    <col min="12568" max="12568" width="24.28515625" style="8" customWidth="1"/>
    <col min="12569" max="12569" width="15.28515625" style="8" customWidth="1"/>
    <col min="12570" max="12570" width="23.42578125" style="8" customWidth="1"/>
    <col min="12571" max="12571" width="8.42578125" style="8" customWidth="1"/>
    <col min="12572" max="12572" width="8.140625" style="8" customWidth="1"/>
    <col min="12573" max="12574" width="8.7109375" style="8" customWidth="1"/>
    <col min="12575" max="12578" width="7.28515625" style="8" bestFit="1" customWidth="1"/>
    <col min="12579" max="12579" width="11.5703125" style="8" customWidth="1"/>
    <col min="12580" max="12580" width="9.140625" style="8" bestFit="1" customWidth="1"/>
    <col min="12581" max="12813" width="11.5703125" style="8"/>
    <col min="12814" max="12814" width="5.28515625" style="8" customWidth="1"/>
    <col min="12815" max="12815" width="6.85546875" style="8" customWidth="1"/>
    <col min="12816" max="12816" width="18" style="8" customWidth="1"/>
    <col min="12817" max="12817" width="12" style="8" customWidth="1"/>
    <col min="12818" max="12818" width="11.28515625" style="8" customWidth="1"/>
    <col min="12819" max="12819" width="22.140625" style="8" customWidth="1"/>
    <col min="12820" max="12820" width="20.5703125" style="8" customWidth="1"/>
    <col min="12821" max="12821" width="20" style="8" customWidth="1"/>
    <col min="12822" max="12822" width="11.85546875" style="8" customWidth="1"/>
    <col min="12823" max="12823" width="11.42578125" style="8" customWidth="1"/>
    <col min="12824" max="12824" width="24.28515625" style="8" customWidth="1"/>
    <col min="12825" max="12825" width="15.28515625" style="8" customWidth="1"/>
    <col min="12826" max="12826" width="23.42578125" style="8" customWidth="1"/>
    <col min="12827" max="12827" width="8.42578125" style="8" customWidth="1"/>
    <col min="12828" max="12828" width="8.140625" style="8" customWidth="1"/>
    <col min="12829" max="12830" width="8.7109375" style="8" customWidth="1"/>
    <col min="12831" max="12834" width="7.28515625" style="8" bestFit="1" customWidth="1"/>
    <col min="12835" max="12835" width="11.5703125" style="8" customWidth="1"/>
    <col min="12836" max="12836" width="9.140625" style="8" bestFit="1" customWidth="1"/>
    <col min="12837" max="13069" width="11.5703125" style="8"/>
    <col min="13070" max="13070" width="5.28515625" style="8" customWidth="1"/>
    <col min="13071" max="13071" width="6.85546875" style="8" customWidth="1"/>
    <col min="13072" max="13072" width="18" style="8" customWidth="1"/>
    <col min="13073" max="13073" width="12" style="8" customWidth="1"/>
    <col min="13074" max="13074" width="11.28515625" style="8" customWidth="1"/>
    <col min="13075" max="13075" width="22.140625" style="8" customWidth="1"/>
    <col min="13076" max="13076" width="20.5703125" style="8" customWidth="1"/>
    <col min="13077" max="13077" width="20" style="8" customWidth="1"/>
    <col min="13078" max="13078" width="11.85546875" style="8" customWidth="1"/>
    <col min="13079" max="13079" width="11.42578125" style="8" customWidth="1"/>
    <col min="13080" max="13080" width="24.28515625" style="8" customWidth="1"/>
    <col min="13081" max="13081" width="15.28515625" style="8" customWidth="1"/>
    <col min="13082" max="13082" width="23.42578125" style="8" customWidth="1"/>
    <col min="13083" max="13083" width="8.42578125" style="8" customWidth="1"/>
    <col min="13084" max="13084" width="8.140625" style="8" customWidth="1"/>
    <col min="13085" max="13086" width="8.7109375" style="8" customWidth="1"/>
    <col min="13087" max="13090" width="7.28515625" style="8" bestFit="1" customWidth="1"/>
    <col min="13091" max="13091" width="11.5703125" style="8" customWidth="1"/>
    <col min="13092" max="13092" width="9.140625" style="8" bestFit="1" customWidth="1"/>
    <col min="13093" max="13325" width="11.5703125" style="8"/>
    <col min="13326" max="13326" width="5.28515625" style="8" customWidth="1"/>
    <col min="13327" max="13327" width="6.85546875" style="8" customWidth="1"/>
    <col min="13328" max="13328" width="18" style="8" customWidth="1"/>
    <col min="13329" max="13329" width="12" style="8" customWidth="1"/>
    <col min="13330" max="13330" width="11.28515625" style="8" customWidth="1"/>
    <col min="13331" max="13331" width="22.140625" style="8" customWidth="1"/>
    <col min="13332" max="13332" width="20.5703125" style="8" customWidth="1"/>
    <col min="13333" max="13333" width="20" style="8" customWidth="1"/>
    <col min="13334" max="13334" width="11.85546875" style="8" customWidth="1"/>
    <col min="13335" max="13335" width="11.42578125" style="8" customWidth="1"/>
    <col min="13336" max="13336" width="24.28515625" style="8" customWidth="1"/>
    <col min="13337" max="13337" width="15.28515625" style="8" customWidth="1"/>
    <col min="13338" max="13338" width="23.42578125" style="8" customWidth="1"/>
    <col min="13339" max="13339" width="8.42578125" style="8" customWidth="1"/>
    <col min="13340" max="13340" width="8.140625" style="8" customWidth="1"/>
    <col min="13341" max="13342" width="8.7109375" style="8" customWidth="1"/>
    <col min="13343" max="13346" width="7.28515625" style="8" bestFit="1" customWidth="1"/>
    <col min="13347" max="13347" width="11.5703125" style="8" customWidth="1"/>
    <col min="13348" max="13348" width="9.140625" style="8" bestFit="1" customWidth="1"/>
    <col min="13349" max="13581" width="11.5703125" style="8"/>
    <col min="13582" max="13582" width="5.28515625" style="8" customWidth="1"/>
    <col min="13583" max="13583" width="6.85546875" style="8" customWidth="1"/>
    <col min="13584" max="13584" width="18" style="8" customWidth="1"/>
    <col min="13585" max="13585" width="12" style="8" customWidth="1"/>
    <col min="13586" max="13586" width="11.28515625" style="8" customWidth="1"/>
    <col min="13587" max="13587" width="22.140625" style="8" customWidth="1"/>
    <col min="13588" max="13588" width="20.5703125" style="8" customWidth="1"/>
    <col min="13589" max="13589" width="20" style="8" customWidth="1"/>
    <col min="13590" max="13590" width="11.85546875" style="8" customWidth="1"/>
    <col min="13591" max="13591" width="11.42578125" style="8" customWidth="1"/>
    <col min="13592" max="13592" width="24.28515625" style="8" customWidth="1"/>
    <col min="13593" max="13593" width="15.28515625" style="8" customWidth="1"/>
    <col min="13594" max="13594" width="23.42578125" style="8" customWidth="1"/>
    <col min="13595" max="13595" width="8.42578125" style="8" customWidth="1"/>
    <col min="13596" max="13596" width="8.140625" style="8" customWidth="1"/>
    <col min="13597" max="13598" width="8.7109375" style="8" customWidth="1"/>
    <col min="13599" max="13602" width="7.28515625" style="8" bestFit="1" customWidth="1"/>
    <col min="13603" max="13603" width="11.5703125" style="8" customWidth="1"/>
    <col min="13604" max="13604" width="9.140625" style="8" bestFit="1" customWidth="1"/>
    <col min="13605" max="13837" width="11.5703125" style="8"/>
    <col min="13838" max="13838" width="5.28515625" style="8" customWidth="1"/>
    <col min="13839" max="13839" width="6.85546875" style="8" customWidth="1"/>
    <col min="13840" max="13840" width="18" style="8" customWidth="1"/>
    <col min="13841" max="13841" width="12" style="8" customWidth="1"/>
    <col min="13842" max="13842" width="11.28515625" style="8" customWidth="1"/>
    <col min="13843" max="13843" width="22.140625" style="8" customWidth="1"/>
    <col min="13844" max="13844" width="20.5703125" style="8" customWidth="1"/>
    <col min="13845" max="13845" width="20" style="8" customWidth="1"/>
    <col min="13846" max="13846" width="11.85546875" style="8" customWidth="1"/>
    <col min="13847" max="13847" width="11.42578125" style="8" customWidth="1"/>
    <col min="13848" max="13848" width="24.28515625" style="8" customWidth="1"/>
    <col min="13849" max="13849" width="15.28515625" style="8" customWidth="1"/>
    <col min="13850" max="13850" width="23.42578125" style="8" customWidth="1"/>
    <col min="13851" max="13851" width="8.42578125" style="8" customWidth="1"/>
    <col min="13852" max="13852" width="8.140625" style="8" customWidth="1"/>
    <col min="13853" max="13854" width="8.7109375" style="8" customWidth="1"/>
    <col min="13855" max="13858" width="7.28515625" style="8" bestFit="1" customWidth="1"/>
    <col min="13859" max="13859" width="11.5703125" style="8" customWidth="1"/>
    <col min="13860" max="13860" width="9.140625" style="8" bestFit="1" customWidth="1"/>
    <col min="13861" max="14093" width="11.5703125" style="8"/>
    <col min="14094" max="14094" width="5.28515625" style="8" customWidth="1"/>
    <col min="14095" max="14095" width="6.85546875" style="8" customWidth="1"/>
    <col min="14096" max="14096" width="18" style="8" customWidth="1"/>
    <col min="14097" max="14097" width="12" style="8" customWidth="1"/>
    <col min="14098" max="14098" width="11.28515625" style="8" customWidth="1"/>
    <col min="14099" max="14099" width="22.140625" style="8" customWidth="1"/>
    <col min="14100" max="14100" width="20.5703125" style="8" customWidth="1"/>
    <col min="14101" max="14101" width="20" style="8" customWidth="1"/>
    <col min="14102" max="14102" width="11.85546875" style="8" customWidth="1"/>
    <col min="14103" max="14103" width="11.42578125" style="8" customWidth="1"/>
    <col min="14104" max="14104" width="24.28515625" style="8" customWidth="1"/>
    <col min="14105" max="14105" width="15.28515625" style="8" customWidth="1"/>
    <col min="14106" max="14106" width="23.42578125" style="8" customWidth="1"/>
    <col min="14107" max="14107" width="8.42578125" style="8" customWidth="1"/>
    <col min="14108" max="14108" width="8.140625" style="8" customWidth="1"/>
    <col min="14109" max="14110" width="8.7109375" style="8" customWidth="1"/>
    <col min="14111" max="14114" width="7.28515625" style="8" bestFit="1" customWidth="1"/>
    <col min="14115" max="14115" width="11.5703125" style="8" customWidth="1"/>
    <col min="14116" max="14116" width="9.140625" style="8" bestFit="1" customWidth="1"/>
    <col min="14117" max="14349" width="11.5703125" style="8"/>
    <col min="14350" max="14350" width="5.28515625" style="8" customWidth="1"/>
    <col min="14351" max="14351" width="6.85546875" style="8" customWidth="1"/>
    <col min="14352" max="14352" width="18" style="8" customWidth="1"/>
    <col min="14353" max="14353" width="12" style="8" customWidth="1"/>
    <col min="14354" max="14354" width="11.28515625" style="8" customWidth="1"/>
    <col min="14355" max="14355" width="22.140625" style="8" customWidth="1"/>
    <col min="14356" max="14356" width="20.5703125" style="8" customWidth="1"/>
    <col min="14357" max="14357" width="20" style="8" customWidth="1"/>
    <col min="14358" max="14358" width="11.85546875" style="8" customWidth="1"/>
    <col min="14359" max="14359" width="11.42578125" style="8" customWidth="1"/>
    <col min="14360" max="14360" width="24.28515625" style="8" customWidth="1"/>
    <col min="14361" max="14361" width="15.28515625" style="8" customWidth="1"/>
    <col min="14362" max="14362" width="23.42578125" style="8" customWidth="1"/>
    <col min="14363" max="14363" width="8.42578125" style="8" customWidth="1"/>
    <col min="14364" max="14364" width="8.140625" style="8" customWidth="1"/>
    <col min="14365" max="14366" width="8.7109375" style="8" customWidth="1"/>
    <col min="14367" max="14370" width="7.28515625" style="8" bestFit="1" customWidth="1"/>
    <col min="14371" max="14371" width="11.5703125" style="8" customWidth="1"/>
    <col min="14372" max="14372" width="9.140625" style="8" bestFit="1" customWidth="1"/>
    <col min="14373" max="14605" width="11.5703125" style="8"/>
    <col min="14606" max="14606" width="5.28515625" style="8" customWidth="1"/>
    <col min="14607" max="14607" width="6.85546875" style="8" customWidth="1"/>
    <col min="14608" max="14608" width="18" style="8" customWidth="1"/>
    <col min="14609" max="14609" width="12" style="8" customWidth="1"/>
    <col min="14610" max="14610" width="11.28515625" style="8" customWidth="1"/>
    <col min="14611" max="14611" width="22.140625" style="8" customWidth="1"/>
    <col min="14612" max="14612" width="20.5703125" style="8" customWidth="1"/>
    <col min="14613" max="14613" width="20" style="8" customWidth="1"/>
    <col min="14614" max="14614" width="11.85546875" style="8" customWidth="1"/>
    <col min="14615" max="14615" width="11.42578125" style="8" customWidth="1"/>
    <col min="14616" max="14616" width="24.28515625" style="8" customWidth="1"/>
    <col min="14617" max="14617" width="15.28515625" style="8" customWidth="1"/>
    <col min="14618" max="14618" width="23.42578125" style="8" customWidth="1"/>
    <col min="14619" max="14619" width="8.42578125" style="8" customWidth="1"/>
    <col min="14620" max="14620" width="8.140625" style="8" customWidth="1"/>
    <col min="14621" max="14622" width="8.7109375" style="8" customWidth="1"/>
    <col min="14623" max="14626" width="7.28515625" style="8" bestFit="1" customWidth="1"/>
    <col min="14627" max="14627" width="11.5703125" style="8" customWidth="1"/>
    <col min="14628" max="14628" width="9.140625" style="8" bestFit="1" customWidth="1"/>
    <col min="14629" max="14861" width="11.5703125" style="8"/>
    <col min="14862" max="14862" width="5.28515625" style="8" customWidth="1"/>
    <col min="14863" max="14863" width="6.85546875" style="8" customWidth="1"/>
    <col min="14864" max="14864" width="18" style="8" customWidth="1"/>
    <col min="14865" max="14865" width="12" style="8" customWidth="1"/>
    <col min="14866" max="14866" width="11.28515625" style="8" customWidth="1"/>
    <col min="14867" max="14867" width="22.140625" style="8" customWidth="1"/>
    <col min="14868" max="14868" width="20.5703125" style="8" customWidth="1"/>
    <col min="14869" max="14869" width="20" style="8" customWidth="1"/>
    <col min="14870" max="14870" width="11.85546875" style="8" customWidth="1"/>
    <col min="14871" max="14871" width="11.42578125" style="8" customWidth="1"/>
    <col min="14872" max="14872" width="24.28515625" style="8" customWidth="1"/>
    <col min="14873" max="14873" width="15.28515625" style="8" customWidth="1"/>
    <col min="14874" max="14874" width="23.42578125" style="8" customWidth="1"/>
    <col min="14875" max="14875" width="8.42578125" style="8" customWidth="1"/>
    <col min="14876" max="14876" width="8.140625" style="8" customWidth="1"/>
    <col min="14877" max="14878" width="8.7109375" style="8" customWidth="1"/>
    <col min="14879" max="14882" width="7.28515625" style="8" bestFit="1" customWidth="1"/>
    <col min="14883" max="14883" width="11.5703125" style="8" customWidth="1"/>
    <col min="14884" max="14884" width="9.140625" style="8" bestFit="1" customWidth="1"/>
    <col min="14885" max="15117" width="11.5703125" style="8"/>
    <col min="15118" max="15118" width="5.28515625" style="8" customWidth="1"/>
    <col min="15119" max="15119" width="6.85546875" style="8" customWidth="1"/>
    <col min="15120" max="15120" width="18" style="8" customWidth="1"/>
    <col min="15121" max="15121" width="12" style="8" customWidth="1"/>
    <col min="15122" max="15122" width="11.28515625" style="8" customWidth="1"/>
    <col min="15123" max="15123" width="22.140625" style="8" customWidth="1"/>
    <col min="15124" max="15124" width="20.5703125" style="8" customWidth="1"/>
    <col min="15125" max="15125" width="20" style="8" customWidth="1"/>
    <col min="15126" max="15126" width="11.85546875" style="8" customWidth="1"/>
    <col min="15127" max="15127" width="11.42578125" style="8" customWidth="1"/>
    <col min="15128" max="15128" width="24.28515625" style="8" customWidth="1"/>
    <col min="15129" max="15129" width="15.28515625" style="8" customWidth="1"/>
    <col min="15130" max="15130" width="23.42578125" style="8" customWidth="1"/>
    <col min="15131" max="15131" width="8.42578125" style="8" customWidth="1"/>
    <col min="15132" max="15132" width="8.140625" style="8" customWidth="1"/>
    <col min="15133" max="15134" width="8.7109375" style="8" customWidth="1"/>
    <col min="15135" max="15138" width="7.28515625" style="8" bestFit="1" customWidth="1"/>
    <col min="15139" max="15139" width="11.5703125" style="8" customWidth="1"/>
    <col min="15140" max="15140" width="9.140625" style="8" bestFit="1" customWidth="1"/>
    <col min="15141" max="15373" width="11.5703125" style="8"/>
    <col min="15374" max="15374" width="5.28515625" style="8" customWidth="1"/>
    <col min="15375" max="15375" width="6.85546875" style="8" customWidth="1"/>
    <col min="15376" max="15376" width="18" style="8" customWidth="1"/>
    <col min="15377" max="15377" width="12" style="8" customWidth="1"/>
    <col min="15378" max="15378" width="11.28515625" style="8" customWidth="1"/>
    <col min="15379" max="15379" width="22.140625" style="8" customWidth="1"/>
    <col min="15380" max="15380" width="20.5703125" style="8" customWidth="1"/>
    <col min="15381" max="15381" width="20" style="8" customWidth="1"/>
    <col min="15382" max="15382" width="11.85546875" style="8" customWidth="1"/>
    <col min="15383" max="15383" width="11.42578125" style="8" customWidth="1"/>
    <col min="15384" max="15384" width="24.28515625" style="8" customWidth="1"/>
    <col min="15385" max="15385" width="15.28515625" style="8" customWidth="1"/>
    <col min="15386" max="15386" width="23.42578125" style="8" customWidth="1"/>
    <col min="15387" max="15387" width="8.42578125" style="8" customWidth="1"/>
    <col min="15388" max="15388" width="8.140625" style="8" customWidth="1"/>
    <col min="15389" max="15390" width="8.7109375" style="8" customWidth="1"/>
    <col min="15391" max="15394" width="7.28515625" style="8" bestFit="1" customWidth="1"/>
    <col min="15395" max="15395" width="11.5703125" style="8" customWidth="1"/>
    <col min="15396" max="15396" width="9.140625" style="8" bestFit="1" customWidth="1"/>
    <col min="15397" max="15629" width="11.5703125" style="8"/>
    <col min="15630" max="15630" width="5.28515625" style="8" customWidth="1"/>
    <col min="15631" max="15631" width="6.85546875" style="8" customWidth="1"/>
    <col min="15632" max="15632" width="18" style="8" customWidth="1"/>
    <col min="15633" max="15633" width="12" style="8" customWidth="1"/>
    <col min="15634" max="15634" width="11.28515625" style="8" customWidth="1"/>
    <col min="15635" max="15635" width="22.140625" style="8" customWidth="1"/>
    <col min="15636" max="15636" width="20.5703125" style="8" customWidth="1"/>
    <col min="15637" max="15637" width="20" style="8" customWidth="1"/>
    <col min="15638" max="15638" width="11.85546875" style="8" customWidth="1"/>
    <col min="15639" max="15639" width="11.42578125" style="8" customWidth="1"/>
    <col min="15640" max="15640" width="24.28515625" style="8" customWidth="1"/>
    <col min="15641" max="15641" width="15.28515625" style="8" customWidth="1"/>
    <col min="15642" max="15642" width="23.42578125" style="8" customWidth="1"/>
    <col min="15643" max="15643" width="8.42578125" style="8" customWidth="1"/>
    <col min="15644" max="15644" width="8.140625" style="8" customWidth="1"/>
    <col min="15645" max="15646" width="8.7109375" style="8" customWidth="1"/>
    <col min="15647" max="15650" width="7.28515625" style="8" bestFit="1" customWidth="1"/>
    <col min="15651" max="15651" width="11.5703125" style="8" customWidth="1"/>
    <col min="15652" max="15652" width="9.140625" style="8" bestFit="1" customWidth="1"/>
    <col min="15653" max="15885" width="11.5703125" style="8"/>
    <col min="15886" max="15886" width="5.28515625" style="8" customWidth="1"/>
    <col min="15887" max="15887" width="6.85546875" style="8" customWidth="1"/>
    <col min="15888" max="15888" width="18" style="8" customWidth="1"/>
    <col min="15889" max="15889" width="12" style="8" customWidth="1"/>
    <col min="15890" max="15890" width="11.28515625" style="8" customWidth="1"/>
    <col min="15891" max="15891" width="22.140625" style="8" customWidth="1"/>
    <col min="15892" max="15892" width="20.5703125" style="8" customWidth="1"/>
    <col min="15893" max="15893" width="20" style="8" customWidth="1"/>
    <col min="15894" max="15894" width="11.85546875" style="8" customWidth="1"/>
    <col min="15895" max="15895" width="11.42578125" style="8" customWidth="1"/>
    <col min="15896" max="15896" width="24.28515625" style="8" customWidth="1"/>
    <col min="15897" max="15897" width="15.28515625" style="8" customWidth="1"/>
    <col min="15898" max="15898" width="23.42578125" style="8" customWidth="1"/>
    <col min="15899" max="15899" width="8.42578125" style="8" customWidth="1"/>
    <col min="15900" max="15900" width="8.140625" style="8" customWidth="1"/>
    <col min="15901" max="15902" width="8.7109375" style="8" customWidth="1"/>
    <col min="15903" max="15906" width="7.28515625" style="8" bestFit="1" customWidth="1"/>
    <col min="15907" max="15907" width="11.5703125" style="8" customWidth="1"/>
    <col min="15908" max="15908" width="9.140625" style="8" bestFit="1" customWidth="1"/>
    <col min="15909" max="16141" width="11.5703125" style="8"/>
    <col min="16142" max="16142" width="5.28515625" style="8" customWidth="1"/>
    <col min="16143" max="16143" width="6.85546875" style="8" customWidth="1"/>
    <col min="16144" max="16144" width="18" style="8" customWidth="1"/>
    <col min="16145" max="16145" width="12" style="8" customWidth="1"/>
    <col min="16146" max="16146" width="11.28515625" style="8" customWidth="1"/>
    <col min="16147" max="16147" width="22.140625" style="8" customWidth="1"/>
    <col min="16148" max="16148" width="20.5703125" style="8" customWidth="1"/>
    <col min="16149" max="16149" width="20" style="8" customWidth="1"/>
    <col min="16150" max="16150" width="11.85546875" style="8" customWidth="1"/>
    <col min="16151" max="16151" width="11.42578125" style="8" customWidth="1"/>
    <col min="16152" max="16152" width="24.28515625" style="8" customWidth="1"/>
    <col min="16153" max="16153" width="15.28515625" style="8" customWidth="1"/>
    <col min="16154" max="16154" width="23.42578125" style="8" customWidth="1"/>
    <col min="16155" max="16155" width="8.42578125" style="8" customWidth="1"/>
    <col min="16156" max="16156" width="8.140625" style="8" customWidth="1"/>
    <col min="16157" max="16158" width="8.7109375" style="8" customWidth="1"/>
    <col min="16159" max="16162" width="7.28515625" style="8" bestFit="1" customWidth="1"/>
    <col min="16163" max="16163" width="11.5703125" style="8" customWidth="1"/>
    <col min="16164" max="16164" width="9.140625" style="8" bestFit="1" customWidth="1"/>
    <col min="16165" max="16384" width="11.5703125" style="8"/>
  </cols>
  <sheetData>
    <row r="1" spans="1:69" ht="42" customHeight="1" x14ac:dyDescent="0.2">
      <c r="A1" s="1352" t="s">
        <v>3471</v>
      </c>
      <c r="B1" s="1354" t="s">
        <v>3472</v>
      </c>
      <c r="C1" s="1193" t="s">
        <v>3473</v>
      </c>
      <c r="D1" s="1356" t="s">
        <v>3283</v>
      </c>
      <c r="E1" s="1358" t="s">
        <v>3347</v>
      </c>
      <c r="F1" s="1193" t="s">
        <v>3474</v>
      </c>
      <c r="G1" s="1193" t="s">
        <v>3475</v>
      </c>
      <c r="H1" s="1193" t="s">
        <v>3476</v>
      </c>
      <c r="I1" s="1193" t="s">
        <v>3139</v>
      </c>
      <c r="J1" s="1193" t="s">
        <v>3477</v>
      </c>
      <c r="K1" s="1193" t="s">
        <v>3478</v>
      </c>
      <c r="L1" s="1193" t="s">
        <v>3479</v>
      </c>
      <c r="M1" s="1389" t="s">
        <v>3480</v>
      </c>
      <c r="N1" s="1389"/>
      <c r="O1" s="1389"/>
      <c r="P1" s="1389"/>
      <c r="Q1" s="1389" t="s">
        <v>3481</v>
      </c>
      <c r="R1" s="1389"/>
      <c r="S1" s="1389"/>
      <c r="T1" s="1389"/>
      <c r="U1" s="1390"/>
      <c r="V1" s="1343" t="s">
        <v>3637</v>
      </c>
      <c r="W1" s="1371" t="s">
        <v>4125</v>
      </c>
      <c r="X1" s="1455" t="s">
        <v>4159</v>
      </c>
      <c r="Y1" s="1371" t="s">
        <v>4096</v>
      </c>
      <c r="Z1" s="1457" t="s">
        <v>4123</v>
      </c>
      <c r="AA1" s="1371" t="s">
        <v>4096</v>
      </c>
      <c r="AB1" s="1453" t="s">
        <v>4124</v>
      </c>
      <c r="AC1" s="1371" t="s">
        <v>4096</v>
      </c>
      <c r="AD1" s="1371" t="s">
        <v>447</v>
      </c>
      <c r="AE1" s="1385"/>
      <c r="AF1" s="1348" t="s">
        <v>3425</v>
      </c>
      <c r="AG1" s="1348"/>
      <c r="AH1" s="1348"/>
      <c r="AI1" s="1348"/>
      <c r="AJ1" s="1348"/>
      <c r="AK1" s="1348"/>
      <c r="AL1" s="1348"/>
      <c r="AM1" s="1348"/>
      <c r="AN1" s="1348"/>
      <c r="AO1" s="1348"/>
      <c r="AP1" s="1348"/>
      <c r="AQ1" s="1348"/>
      <c r="AS1" s="1343" t="s">
        <v>4021</v>
      </c>
      <c r="AT1" s="1343" t="s">
        <v>4023</v>
      </c>
      <c r="AU1" s="1343"/>
      <c r="AV1" s="1343" t="s">
        <v>4025</v>
      </c>
      <c r="AW1" s="1343" t="s">
        <v>4026</v>
      </c>
      <c r="AX1" s="1343" t="s">
        <v>4027</v>
      </c>
      <c r="AY1" s="1343" t="s">
        <v>4028</v>
      </c>
      <c r="AZ1" s="1343" t="s">
        <v>4029</v>
      </c>
      <c r="BA1" s="1343" t="s">
        <v>4022</v>
      </c>
      <c r="BB1" s="1343"/>
      <c r="BD1" s="1343" t="s">
        <v>4044</v>
      </c>
      <c r="BE1" s="1348" t="s">
        <v>3425</v>
      </c>
      <c r="BF1" s="1348"/>
      <c r="BG1" s="1348"/>
      <c r="BH1" s="1348"/>
      <c r="BI1" s="1348"/>
      <c r="BJ1" s="1348"/>
      <c r="BK1" s="1348"/>
      <c r="BL1" s="1348"/>
      <c r="BM1" s="1348"/>
      <c r="BN1" s="1348"/>
      <c r="BO1" s="1348"/>
      <c r="BP1" s="1348"/>
      <c r="BQ1" s="1348"/>
    </row>
    <row r="2" spans="1:69" ht="64.150000000000006" customHeight="1" x14ac:dyDescent="0.2">
      <c r="A2" s="1353"/>
      <c r="B2" s="1355"/>
      <c r="C2" s="1194"/>
      <c r="D2" s="1357"/>
      <c r="E2" s="1359"/>
      <c r="F2" s="1194"/>
      <c r="G2" s="1195"/>
      <c r="H2" s="1194"/>
      <c r="I2" s="1194"/>
      <c r="J2" s="1194"/>
      <c r="K2" s="1195"/>
      <c r="L2" s="1195"/>
      <c r="M2" s="760">
        <v>2009</v>
      </c>
      <c r="N2" s="760">
        <v>2010</v>
      </c>
      <c r="O2" s="760">
        <v>2011</v>
      </c>
      <c r="P2" s="760">
        <v>2012</v>
      </c>
      <c r="Q2" s="760">
        <v>2009</v>
      </c>
      <c r="R2" s="760">
        <v>2010</v>
      </c>
      <c r="S2" s="760">
        <v>2011</v>
      </c>
      <c r="T2" s="760">
        <v>2012</v>
      </c>
      <c r="U2" s="436" t="s">
        <v>695</v>
      </c>
      <c r="V2" s="1343"/>
      <c r="W2" s="1371"/>
      <c r="X2" s="1456"/>
      <c r="Y2" s="1371"/>
      <c r="Z2" s="1458"/>
      <c r="AA2" s="1371"/>
      <c r="AB2" s="1454"/>
      <c r="AC2" s="1371"/>
      <c r="AD2" s="1371"/>
      <c r="AE2" s="1385"/>
      <c r="AF2" s="482" t="s">
        <v>3310</v>
      </c>
      <c r="AG2" s="482" t="s">
        <v>3731</v>
      </c>
      <c r="AH2" s="482" t="s">
        <v>3732</v>
      </c>
      <c r="AI2" s="482" t="s">
        <v>3313</v>
      </c>
      <c r="AJ2" s="482" t="s">
        <v>3314</v>
      </c>
      <c r="AK2" s="482" t="s">
        <v>3315</v>
      </c>
      <c r="AL2" s="482" t="s">
        <v>3316</v>
      </c>
      <c r="AM2" s="482" t="s">
        <v>3317</v>
      </c>
      <c r="AN2" s="482" t="s">
        <v>3756</v>
      </c>
      <c r="AO2" s="482" t="s">
        <v>3733</v>
      </c>
      <c r="AP2" s="482" t="s">
        <v>3319</v>
      </c>
      <c r="AQ2" s="482" t="s">
        <v>695</v>
      </c>
      <c r="AS2" s="1343"/>
      <c r="AT2" s="584" t="s">
        <v>4032</v>
      </c>
      <c r="AU2" s="579" t="s">
        <v>4024</v>
      </c>
      <c r="AV2" s="1343"/>
      <c r="AW2" s="1343"/>
      <c r="AX2" s="1343"/>
      <c r="AY2" s="1343"/>
      <c r="AZ2" s="1343"/>
      <c r="BA2" s="755" t="s">
        <v>3422</v>
      </c>
      <c r="BB2" s="443" t="s">
        <v>433</v>
      </c>
      <c r="BD2" s="1343"/>
      <c r="BE2" s="482" t="s">
        <v>3310</v>
      </c>
      <c r="BF2" s="482" t="s">
        <v>3731</v>
      </c>
      <c r="BG2" s="482" t="s">
        <v>3732</v>
      </c>
      <c r="BH2" s="482" t="s">
        <v>3313</v>
      </c>
      <c r="BI2" s="482" t="s">
        <v>3314</v>
      </c>
      <c r="BJ2" s="482" t="s">
        <v>3315</v>
      </c>
      <c r="BK2" s="482" t="s">
        <v>3316</v>
      </c>
      <c r="BL2" s="482" t="s">
        <v>3317</v>
      </c>
      <c r="BM2" s="482" t="s">
        <v>3346</v>
      </c>
      <c r="BN2" s="482" t="s">
        <v>3756</v>
      </c>
      <c r="BO2" s="482" t="s">
        <v>3733</v>
      </c>
      <c r="BP2" s="482" t="s">
        <v>3319</v>
      </c>
      <c r="BQ2" s="482" t="s">
        <v>695</v>
      </c>
    </row>
    <row r="3" spans="1:69" ht="90" x14ac:dyDescent="0.2">
      <c r="A3" s="1185">
        <v>1</v>
      </c>
      <c r="B3" s="1363" t="s">
        <v>3080</v>
      </c>
      <c r="C3" s="1189" t="s">
        <v>3482</v>
      </c>
      <c r="D3" s="1363" t="s">
        <v>3704</v>
      </c>
      <c r="E3" s="1362" t="s">
        <v>3483</v>
      </c>
      <c r="F3" s="1188" t="s">
        <v>3484</v>
      </c>
      <c r="G3" s="1188" t="s">
        <v>3485</v>
      </c>
      <c r="H3" s="1188" t="s">
        <v>3486</v>
      </c>
      <c r="I3" s="401" t="s">
        <v>3699</v>
      </c>
      <c r="J3" s="754" t="s">
        <v>3487</v>
      </c>
      <c r="K3" s="403">
        <v>0</v>
      </c>
      <c r="L3" s="754" t="s">
        <v>3488</v>
      </c>
      <c r="M3" s="413">
        <v>0.5</v>
      </c>
      <c r="N3" s="413">
        <v>0.1</v>
      </c>
      <c r="O3" s="413">
        <v>0.4</v>
      </c>
      <c r="P3" s="413">
        <v>0</v>
      </c>
      <c r="Q3" s="414">
        <v>200</v>
      </c>
      <c r="R3" s="414">
        <v>5</v>
      </c>
      <c r="S3" s="414">
        <v>5</v>
      </c>
      <c r="T3" s="414">
        <v>0</v>
      </c>
      <c r="U3" s="437">
        <f>Q3+R3+S3+T3</f>
        <v>210</v>
      </c>
      <c r="V3" s="549">
        <v>111</v>
      </c>
      <c r="W3" s="566" t="e">
        <f>+#REF!+#REF!</f>
        <v>#REF!</v>
      </c>
      <c r="X3" s="566"/>
      <c r="Y3" s="763" t="e">
        <f>+S3*1000000-W3-X3</f>
        <v>#REF!</v>
      </c>
      <c r="Z3" s="763" t="e">
        <f>SUM(#REF!)</f>
        <v>#REF!</v>
      </c>
      <c r="AA3" s="763" t="e">
        <f>+S3*1000000-W3-X3-Z3</f>
        <v>#REF!</v>
      </c>
      <c r="AB3" s="763"/>
      <c r="AC3" s="763" t="e">
        <f>+S3*1000000-W3-X3-Z3-AB3</f>
        <v>#REF!</v>
      </c>
      <c r="AD3" s="549">
        <v>510</v>
      </c>
      <c r="AF3" s="449"/>
      <c r="AG3" s="449"/>
      <c r="AH3" s="449"/>
      <c r="AI3" s="449"/>
      <c r="AJ3" s="449"/>
      <c r="AK3" s="449"/>
      <c r="AL3" s="449"/>
      <c r="AM3" s="449" t="e">
        <f>+W3</f>
        <v>#REF!</v>
      </c>
      <c r="AN3" s="449"/>
      <c r="AO3" s="449"/>
      <c r="AP3" s="449"/>
      <c r="AQ3" s="449" t="e">
        <f>SUM(AF3:AO3)</f>
        <v>#REF!</v>
      </c>
      <c r="AS3" s="444" t="e">
        <f>+S3*1000000-W3</f>
        <v>#REF!</v>
      </c>
      <c r="AT3" s="444">
        <f>+'[3]PLANINVERSIONES DIC'!$BG$4</f>
        <v>5000000</v>
      </c>
      <c r="AU3" s="444"/>
      <c r="AV3" s="444"/>
      <c r="AW3" s="444">
        <f>+AU3+AV3</f>
        <v>0</v>
      </c>
      <c r="AX3" s="444"/>
      <c r="AY3" s="444" t="e">
        <f>+W3+AW3+AX3</f>
        <v>#REF!</v>
      </c>
      <c r="AZ3" s="444" t="e">
        <f>+AY3-S3*1000000</f>
        <v>#REF!</v>
      </c>
      <c r="BA3" s="442"/>
      <c r="BB3" s="444"/>
      <c r="BD3" s="444"/>
      <c r="BE3" s="449"/>
      <c r="BF3" s="449"/>
      <c r="BG3" s="449"/>
      <c r="BH3" s="449"/>
      <c r="BI3" s="449"/>
      <c r="BJ3" s="449"/>
      <c r="BK3" s="449"/>
      <c r="BL3" s="449"/>
      <c r="BM3" s="449"/>
      <c r="BN3" s="449"/>
      <c r="BO3" s="449"/>
      <c r="BP3" s="449"/>
      <c r="BQ3" s="449">
        <f>SUM(BE3:BO3)</f>
        <v>0</v>
      </c>
    </row>
    <row r="4" spans="1:69" ht="120" x14ac:dyDescent="0.2">
      <c r="A4" s="1186"/>
      <c r="B4" s="1364"/>
      <c r="C4" s="1191"/>
      <c r="D4" s="1364"/>
      <c r="E4" s="1360"/>
      <c r="F4" s="1188"/>
      <c r="G4" s="1188"/>
      <c r="H4" s="1188"/>
      <c r="I4" s="401" t="s">
        <v>3265</v>
      </c>
      <c r="J4" s="754" t="s">
        <v>3489</v>
      </c>
      <c r="K4" s="403">
        <v>0</v>
      </c>
      <c r="L4" s="754" t="s">
        <v>3279</v>
      </c>
      <c r="M4" s="409">
        <v>1</v>
      </c>
      <c r="N4" s="413">
        <v>0</v>
      </c>
      <c r="O4" s="413">
        <v>0</v>
      </c>
      <c r="P4" s="413">
        <v>0</v>
      </c>
      <c r="Q4" s="414">
        <v>50</v>
      </c>
      <c r="R4" s="414">
        <v>0</v>
      </c>
      <c r="S4" s="414">
        <v>0</v>
      </c>
      <c r="T4" s="414">
        <v>0</v>
      </c>
      <c r="U4" s="437">
        <f>Q4+R4+S4+T4</f>
        <v>50</v>
      </c>
      <c r="V4" s="550">
        <v>112</v>
      </c>
      <c r="W4" s="566">
        <v>0</v>
      </c>
      <c r="X4" s="566"/>
      <c r="Y4" s="763">
        <f>+S4*1000000-W4-X4</f>
        <v>0</v>
      </c>
      <c r="Z4" s="763"/>
      <c r="AA4" s="763">
        <f>+S4*1000000-W4-X4-Z4</f>
        <v>0</v>
      </c>
      <c r="AB4" s="763"/>
      <c r="AC4" s="763">
        <f>+S4*1000000-W4-X4-Z4-AB4</f>
        <v>0</v>
      </c>
      <c r="AD4" s="549">
        <v>510</v>
      </c>
      <c r="AF4" s="449"/>
      <c r="AG4" s="449"/>
      <c r="AH4" s="449"/>
      <c r="AI4" s="449"/>
      <c r="AJ4" s="449"/>
      <c r="AK4" s="449"/>
      <c r="AL4" s="449"/>
      <c r="AM4" s="449"/>
      <c r="AN4" s="449"/>
      <c r="AO4" s="449"/>
      <c r="AP4" s="449"/>
      <c r="AQ4" s="449">
        <f>SUM(AF4:AO4)</f>
        <v>0</v>
      </c>
      <c r="AS4" s="444">
        <f>+S4*1000000-W4</f>
        <v>0</v>
      </c>
      <c r="AT4" s="444"/>
      <c r="AU4" s="444"/>
      <c r="AV4" s="444"/>
      <c r="AW4" s="444">
        <f>+AU4+AV4</f>
        <v>0</v>
      </c>
      <c r="AX4" s="444"/>
      <c r="AY4" s="444">
        <f>+W4+AW4+AX4</f>
        <v>0</v>
      </c>
      <c r="AZ4" s="444">
        <f>+AY4-S4*1000000</f>
        <v>0</v>
      </c>
      <c r="BA4" s="442"/>
      <c r="BB4" s="444"/>
      <c r="BD4" s="444"/>
      <c r="BE4" s="449"/>
      <c r="BF4" s="449"/>
      <c r="BG4" s="449"/>
      <c r="BH4" s="449"/>
      <c r="BI4" s="449"/>
      <c r="BJ4" s="449"/>
      <c r="BK4" s="449"/>
      <c r="BL4" s="449"/>
      <c r="BM4" s="449"/>
      <c r="BN4" s="449"/>
      <c r="BO4" s="449"/>
      <c r="BP4" s="449"/>
      <c r="BQ4" s="449">
        <f>SUM(BE4:BO4)</f>
        <v>0</v>
      </c>
    </row>
    <row r="5" spans="1:69" ht="105" x14ac:dyDescent="0.2">
      <c r="A5" s="1186"/>
      <c r="B5" s="1364"/>
      <c r="C5" s="1191"/>
      <c r="D5" s="1364"/>
      <c r="E5" s="1360"/>
      <c r="F5" s="1188"/>
      <c r="G5" s="1188"/>
      <c r="H5" s="1188"/>
      <c r="I5" s="754" t="s">
        <v>3092</v>
      </c>
      <c r="J5" s="754" t="s">
        <v>3490</v>
      </c>
      <c r="K5" s="403">
        <v>0</v>
      </c>
      <c r="L5" s="754" t="s">
        <v>3276</v>
      </c>
      <c r="M5" s="409">
        <v>0.3</v>
      </c>
      <c r="N5" s="413">
        <v>0.2</v>
      </c>
      <c r="O5" s="413">
        <v>0.2</v>
      </c>
      <c r="P5" s="413">
        <v>0.3</v>
      </c>
      <c r="Q5" s="414">
        <v>75</v>
      </c>
      <c r="R5" s="414">
        <v>200</v>
      </c>
      <c r="S5" s="414">
        <v>240</v>
      </c>
      <c r="T5" s="414">
        <v>280</v>
      </c>
      <c r="U5" s="437">
        <f>Q5+R5+S5+T5</f>
        <v>795</v>
      </c>
      <c r="V5" s="550">
        <v>113</v>
      </c>
      <c r="W5" s="566" t="e">
        <f>SUM(#REF!)</f>
        <v>#REF!</v>
      </c>
      <c r="X5" s="566"/>
      <c r="Y5" s="763" t="e">
        <f>+S5*1000000-W5-X5</f>
        <v>#REF!</v>
      </c>
      <c r="Z5" s="763" t="e">
        <f>SUM(#REF!)</f>
        <v>#REF!</v>
      </c>
      <c r="AA5" s="763" t="e">
        <f>+S5*1000000-W5-X5-Z5</f>
        <v>#REF!</v>
      </c>
      <c r="AB5" s="763"/>
      <c r="AC5" s="763" t="e">
        <f>+S5*1000000-W5-X5-Z5-AB5</f>
        <v>#REF!</v>
      </c>
      <c r="AD5" s="549">
        <v>510</v>
      </c>
      <c r="AF5" s="449">
        <v>120000000</v>
      </c>
      <c r="AG5" s="449"/>
      <c r="AH5" s="449"/>
      <c r="AI5" s="449"/>
      <c r="AJ5" s="449"/>
      <c r="AK5" s="449"/>
      <c r="AL5" s="449"/>
      <c r="AM5" s="449" t="e">
        <f>+W5-AF5</f>
        <v>#REF!</v>
      </c>
      <c r="AN5" s="449"/>
      <c r="AO5" s="449"/>
      <c r="AP5" s="449"/>
      <c r="AQ5" s="449" t="e">
        <f>SUM(AF5:AO5)</f>
        <v>#REF!</v>
      </c>
      <c r="AS5" s="444" t="e">
        <f>+S5*1000000-W5</f>
        <v>#REF!</v>
      </c>
      <c r="AT5" s="444">
        <f>SUM('[3]PLANINVERSIONES DIC'!$BG$6:$BG$8)</f>
        <v>78053447</v>
      </c>
      <c r="AU5" s="444"/>
      <c r="AV5" s="444"/>
      <c r="AW5" s="444">
        <f>+AU5+AV5</f>
        <v>0</v>
      </c>
      <c r="AX5" s="444"/>
      <c r="AY5" s="444" t="e">
        <f>+W5+AW5+AX5</f>
        <v>#REF!</v>
      </c>
      <c r="AZ5" s="444" t="e">
        <f>+AY5-S5*1000000</f>
        <v>#REF!</v>
      </c>
      <c r="BA5" s="442"/>
      <c r="BB5" s="444"/>
      <c r="BD5" s="444"/>
      <c r="BE5" s="449"/>
      <c r="BF5" s="449"/>
      <c r="BG5" s="449"/>
      <c r="BH5" s="449"/>
      <c r="BI5" s="449"/>
      <c r="BJ5" s="449"/>
      <c r="BK5" s="449"/>
      <c r="BL5" s="449"/>
      <c r="BM5" s="449"/>
      <c r="BN5" s="449"/>
      <c r="BO5" s="449"/>
      <c r="BP5" s="449"/>
      <c r="BQ5" s="449">
        <f>SUM(BE5:BO5)</f>
        <v>0</v>
      </c>
    </row>
    <row r="6" spans="1:69" ht="15" x14ac:dyDescent="0.25">
      <c r="A6" s="1186"/>
      <c r="B6" s="1364"/>
      <c r="C6" s="1191"/>
      <c r="D6" s="1364"/>
      <c r="E6" s="1360"/>
      <c r="F6" s="1188"/>
      <c r="G6" s="1188"/>
      <c r="H6" s="1188"/>
      <c r="I6" s="754"/>
      <c r="J6" s="468"/>
      <c r="K6" s="469"/>
      <c r="L6" s="470"/>
      <c r="M6" s="1345" t="s">
        <v>695</v>
      </c>
      <c r="N6" s="1346"/>
      <c r="O6" s="1346"/>
      <c r="P6" s="1347"/>
      <c r="Q6" s="395">
        <f>SUM(Q3:Q5)</f>
        <v>325</v>
      </c>
      <c r="R6" s="395">
        <f>SUM(R3:R5)</f>
        <v>205</v>
      </c>
      <c r="S6" s="395">
        <f>SUM(S3:S5)</f>
        <v>245</v>
      </c>
      <c r="T6" s="395">
        <f>SUM(T3:T5)</f>
        <v>280</v>
      </c>
      <c r="U6" s="437">
        <f>SUM(U3:U5)</f>
        <v>1055</v>
      </c>
      <c r="V6" s="550"/>
      <c r="W6" s="481" t="e">
        <f t="shared" ref="W6:AC6" si="0">SUM(W3:W5)</f>
        <v>#REF!</v>
      </c>
      <c r="X6" s="481">
        <f t="shared" si="0"/>
        <v>0</v>
      </c>
      <c r="Y6" s="481" t="e">
        <f t="shared" si="0"/>
        <v>#REF!</v>
      </c>
      <c r="Z6" s="481" t="e">
        <f t="shared" si="0"/>
        <v>#REF!</v>
      </c>
      <c r="AA6" s="764" t="e">
        <f t="shared" si="0"/>
        <v>#REF!</v>
      </c>
      <c r="AB6" s="481">
        <f t="shared" si="0"/>
        <v>0</v>
      </c>
      <c r="AC6" s="764" t="e">
        <f t="shared" si="0"/>
        <v>#REF!</v>
      </c>
      <c r="AD6" s="549"/>
      <c r="AF6" s="481">
        <f>SUM(AF3:AF5)</f>
        <v>120000000</v>
      </c>
      <c r="AG6" s="481">
        <f t="shared" ref="AG6:AQ6" si="1">SUM(AG3:AG5)</f>
        <v>0</v>
      </c>
      <c r="AH6" s="481">
        <f t="shared" si="1"/>
        <v>0</v>
      </c>
      <c r="AI6" s="481">
        <f t="shared" si="1"/>
        <v>0</v>
      </c>
      <c r="AJ6" s="481">
        <f t="shared" si="1"/>
        <v>0</v>
      </c>
      <c r="AK6" s="481">
        <f t="shared" si="1"/>
        <v>0</v>
      </c>
      <c r="AL6" s="481">
        <f t="shared" si="1"/>
        <v>0</v>
      </c>
      <c r="AM6" s="481" t="e">
        <f t="shared" si="1"/>
        <v>#REF!</v>
      </c>
      <c r="AN6" s="481"/>
      <c r="AO6" s="481">
        <f t="shared" si="1"/>
        <v>0</v>
      </c>
      <c r="AP6" s="481"/>
      <c r="AQ6" s="481" t="e">
        <f t="shared" si="1"/>
        <v>#REF!</v>
      </c>
      <c r="AS6" s="481" t="e">
        <f t="shared" ref="AS6:AZ6" si="2">SUM(AS3:AS5)</f>
        <v>#REF!</v>
      </c>
      <c r="AT6" s="481">
        <f t="shared" si="2"/>
        <v>83053447</v>
      </c>
      <c r="AU6" s="481">
        <f t="shared" si="2"/>
        <v>0</v>
      </c>
      <c r="AV6" s="481">
        <f t="shared" si="2"/>
        <v>0</v>
      </c>
      <c r="AW6" s="481">
        <f t="shared" si="2"/>
        <v>0</v>
      </c>
      <c r="AX6" s="481">
        <f t="shared" si="2"/>
        <v>0</v>
      </c>
      <c r="AY6" s="481" t="e">
        <f t="shared" si="2"/>
        <v>#REF!</v>
      </c>
      <c r="AZ6" s="481" t="e">
        <f t="shared" si="2"/>
        <v>#REF!</v>
      </c>
      <c r="BA6" s="442"/>
      <c r="BB6" s="481">
        <f>SUM(BB3:BB5)</f>
        <v>0</v>
      </c>
      <c r="BD6" s="481">
        <f>SUM(BD3:BD5)</f>
        <v>0</v>
      </c>
      <c r="BE6" s="481">
        <f>SUM(BE3:BE5)</f>
        <v>0</v>
      </c>
      <c r="BF6" s="481">
        <f t="shared" ref="BF6:BQ6" si="3">SUM(BF3:BF5)</f>
        <v>0</v>
      </c>
      <c r="BG6" s="481">
        <f t="shared" si="3"/>
        <v>0</v>
      </c>
      <c r="BH6" s="481">
        <f t="shared" si="3"/>
        <v>0</v>
      </c>
      <c r="BI6" s="481">
        <f t="shared" si="3"/>
        <v>0</v>
      </c>
      <c r="BJ6" s="481">
        <f t="shared" si="3"/>
        <v>0</v>
      </c>
      <c r="BK6" s="481">
        <f t="shared" si="3"/>
        <v>0</v>
      </c>
      <c r="BL6" s="481">
        <f t="shared" si="3"/>
        <v>0</v>
      </c>
      <c r="BM6" s="481">
        <f t="shared" si="3"/>
        <v>0</v>
      </c>
      <c r="BN6" s="481">
        <f t="shared" si="3"/>
        <v>0</v>
      </c>
      <c r="BO6" s="481">
        <f t="shared" si="3"/>
        <v>0</v>
      </c>
      <c r="BP6" s="481">
        <f t="shared" si="3"/>
        <v>0</v>
      </c>
      <c r="BQ6" s="481">
        <f t="shared" si="3"/>
        <v>0</v>
      </c>
    </row>
    <row r="7" spans="1:69" ht="15" customHeight="1" x14ac:dyDescent="0.25">
      <c r="A7" s="396"/>
      <c r="B7" s="398"/>
      <c r="C7" s="456"/>
      <c r="D7" s="398"/>
      <c r="E7" s="396"/>
      <c r="F7" s="396"/>
      <c r="G7" s="396"/>
      <c r="H7" s="396"/>
      <c r="I7" s="396"/>
      <c r="J7" s="396"/>
      <c r="K7" s="396"/>
      <c r="L7" s="396"/>
      <c r="M7" s="416"/>
      <c r="N7" s="416"/>
      <c r="O7" s="416"/>
      <c r="P7" s="416"/>
      <c r="Q7" s="417"/>
      <c r="R7" s="417"/>
      <c r="S7" s="417"/>
      <c r="T7" s="417"/>
      <c r="U7" s="399"/>
      <c r="V7" s="551"/>
      <c r="W7" s="567"/>
      <c r="X7" s="567"/>
      <c r="Y7" s="765"/>
      <c r="Z7" s="765"/>
      <c r="AA7" s="765"/>
      <c r="AB7" s="765"/>
      <c r="AC7" s="765"/>
      <c r="AD7" s="568"/>
      <c r="AE7" s="487"/>
      <c r="AF7" s="488"/>
      <c r="AG7" s="488"/>
      <c r="AH7" s="488"/>
      <c r="AI7" s="488"/>
      <c r="AJ7" s="488"/>
      <c r="AK7" s="488"/>
      <c r="AL7" s="488"/>
      <c r="AM7" s="488"/>
      <c r="AN7" s="488"/>
      <c r="AO7" s="488"/>
      <c r="AP7" s="488"/>
      <c r="AQ7" s="488"/>
      <c r="AS7" s="478"/>
      <c r="AT7" s="478"/>
      <c r="AU7" s="478"/>
      <c r="AV7" s="478"/>
      <c r="AW7" s="478"/>
      <c r="AX7" s="478"/>
      <c r="AY7" s="478"/>
      <c r="AZ7" s="478"/>
      <c r="BB7" s="478"/>
      <c r="BD7" s="478"/>
      <c r="BE7" s="488"/>
      <c r="BF7" s="488"/>
      <c r="BG7" s="488"/>
      <c r="BH7" s="488"/>
      <c r="BI7" s="488"/>
      <c r="BJ7" s="488"/>
      <c r="BK7" s="488"/>
      <c r="BL7" s="488"/>
      <c r="BM7" s="488"/>
      <c r="BN7" s="488"/>
      <c r="BO7" s="488"/>
      <c r="BP7" s="488"/>
      <c r="BQ7" s="488"/>
    </row>
    <row r="8" spans="1:69" ht="105" x14ac:dyDescent="0.2">
      <c r="A8" s="1186">
        <v>2</v>
      </c>
      <c r="B8" s="1364" t="s">
        <v>648</v>
      </c>
      <c r="C8" s="1186" t="s">
        <v>3656</v>
      </c>
      <c r="D8" s="1363" t="s">
        <v>3736</v>
      </c>
      <c r="E8" s="1360" t="s">
        <v>3483</v>
      </c>
      <c r="F8" s="1186" t="s">
        <v>3737</v>
      </c>
      <c r="G8" s="1186" t="s">
        <v>3738</v>
      </c>
      <c r="H8" s="1186" t="s">
        <v>3657</v>
      </c>
      <c r="I8" s="822" t="s">
        <v>3700</v>
      </c>
      <c r="J8" s="754" t="s">
        <v>3432</v>
      </c>
      <c r="K8" s="754">
        <v>0</v>
      </c>
      <c r="L8" s="822" t="s">
        <v>3638</v>
      </c>
      <c r="M8" s="418">
        <v>2</v>
      </c>
      <c r="N8" s="418">
        <v>7</v>
      </c>
      <c r="O8" s="418">
        <v>7</v>
      </c>
      <c r="P8" s="418">
        <v>7</v>
      </c>
      <c r="Q8" s="420">
        <v>10</v>
      </c>
      <c r="R8" s="420">
        <v>85</v>
      </c>
      <c r="S8" s="420">
        <v>85</v>
      </c>
      <c r="T8" s="420">
        <v>35</v>
      </c>
      <c r="U8" s="437">
        <f>Q8+R8+S8+T8</f>
        <v>215</v>
      </c>
      <c r="V8" s="550">
        <v>211</v>
      </c>
      <c r="W8" s="566" t="e">
        <f>SUM(#REF!)</f>
        <v>#REF!</v>
      </c>
      <c r="X8" s="566"/>
      <c r="Y8" s="763" t="e">
        <f>+S8*1000000-W8-X8</f>
        <v>#REF!</v>
      </c>
      <c r="Z8" s="763" t="e">
        <f>SUM(#REF!)</f>
        <v>#REF!</v>
      </c>
      <c r="AA8" s="763" t="e">
        <f>+S8*1000000-W8-X8-Z8</f>
        <v>#REF!</v>
      </c>
      <c r="AB8" s="763"/>
      <c r="AC8" s="763" t="e">
        <f>+S8*1000000-W8-X8-Z8-AB8</f>
        <v>#REF!</v>
      </c>
      <c r="AD8" s="549">
        <v>520</v>
      </c>
      <c r="AF8" s="449">
        <v>25000000</v>
      </c>
      <c r="AG8" s="449"/>
      <c r="AH8" s="449"/>
      <c r="AI8" s="449"/>
      <c r="AJ8" s="449"/>
      <c r="AK8" s="449"/>
      <c r="AL8" s="449"/>
      <c r="AM8" s="449" t="e">
        <f>+W8-AF8</f>
        <v>#REF!</v>
      </c>
      <c r="AN8" s="449"/>
      <c r="AO8" s="449"/>
      <c r="AP8" s="449"/>
      <c r="AQ8" s="449" t="e">
        <f>SUM(AF8:AO8)</f>
        <v>#REF!</v>
      </c>
      <c r="AS8" s="444" t="e">
        <f>+S8*1000000-W8</f>
        <v>#REF!</v>
      </c>
      <c r="AT8" s="444">
        <f>SUM('[3]PLANINVERSIONES DIC'!$BG$12:$BG$16)</f>
        <v>5714352</v>
      </c>
      <c r="AU8" s="587">
        <v>15000000</v>
      </c>
      <c r="AV8" s="444"/>
      <c r="AW8" s="444">
        <f>+AU8+AV8</f>
        <v>15000000</v>
      </c>
      <c r="AX8" s="444"/>
      <c r="AY8" s="444" t="e">
        <f>+W8+AW8+AX8</f>
        <v>#REF!</v>
      </c>
      <c r="AZ8" s="444" t="e">
        <f>+AY8-S8*1000000</f>
        <v>#REF!</v>
      </c>
      <c r="BA8" s="442"/>
      <c r="BB8" s="444"/>
      <c r="BD8" s="444"/>
      <c r="BE8" s="449"/>
      <c r="BF8" s="449"/>
      <c r="BG8" s="449"/>
      <c r="BH8" s="449"/>
      <c r="BI8" s="449"/>
      <c r="BJ8" s="449"/>
      <c r="BK8" s="449"/>
      <c r="BL8" s="449"/>
      <c r="BM8" s="449">
        <f>+AW8</f>
        <v>15000000</v>
      </c>
      <c r="BN8" s="449"/>
      <c r="BO8" s="449"/>
      <c r="BP8" s="449"/>
      <c r="BQ8" s="449">
        <f>SUM(BE8:BO8)</f>
        <v>15000000</v>
      </c>
    </row>
    <row r="9" spans="1:69" ht="120" x14ac:dyDescent="0.2">
      <c r="A9" s="1186"/>
      <c r="B9" s="1364"/>
      <c r="C9" s="1186"/>
      <c r="D9" s="1364"/>
      <c r="E9" s="1360"/>
      <c r="F9" s="1186"/>
      <c r="G9" s="1186"/>
      <c r="H9" s="1186"/>
      <c r="I9" s="1185" t="s">
        <v>3701</v>
      </c>
      <c r="J9" s="455" t="s">
        <v>3682</v>
      </c>
      <c r="K9" s="754">
        <v>111</v>
      </c>
      <c r="L9" s="754" t="s">
        <v>3287</v>
      </c>
      <c r="M9" s="418">
        <v>111</v>
      </c>
      <c r="N9" s="418">
        <v>50</v>
      </c>
      <c r="O9" s="418">
        <v>50</v>
      </c>
      <c r="P9" s="418">
        <v>50</v>
      </c>
      <c r="Q9" s="420">
        <v>100</v>
      </c>
      <c r="R9" s="420">
        <v>50</v>
      </c>
      <c r="S9" s="420">
        <v>100</v>
      </c>
      <c r="T9" s="414">
        <v>100</v>
      </c>
      <c r="U9" s="437">
        <f>Q9+R9+S9+T9</f>
        <v>350</v>
      </c>
      <c r="V9" s="550" t="s">
        <v>3612</v>
      </c>
      <c r="W9" s="569" t="e">
        <f>SUM(#REF!)</f>
        <v>#REF!</v>
      </c>
      <c r="X9" s="569"/>
      <c r="Y9" s="763" t="e">
        <f>+S9*1000000-W9-X9</f>
        <v>#REF!</v>
      </c>
      <c r="Z9" s="763" t="e">
        <f>+#REF!</f>
        <v>#REF!</v>
      </c>
      <c r="AA9" s="763" t="e">
        <f>+S9*1000000-W9-X9-Z9</f>
        <v>#REF!</v>
      </c>
      <c r="AB9" s="763"/>
      <c r="AC9" s="763" t="e">
        <f>+S9*1000000-W9-X9-Z9-AB9</f>
        <v>#REF!</v>
      </c>
      <c r="AD9" s="549">
        <v>520</v>
      </c>
      <c r="AF9" s="449">
        <v>50000000</v>
      </c>
      <c r="AG9" s="449"/>
      <c r="AH9" s="449"/>
      <c r="AI9" s="449"/>
      <c r="AJ9" s="449"/>
      <c r="AK9" s="449"/>
      <c r="AL9" s="449">
        <v>50000000</v>
      </c>
      <c r="AM9" s="545"/>
      <c r="AN9" s="545"/>
      <c r="AO9" s="449"/>
      <c r="AP9" s="449"/>
      <c r="AQ9" s="449">
        <f>SUM(AF9:AO9)</f>
        <v>100000000</v>
      </c>
      <c r="AS9" s="444" t="e">
        <f>+S9*1000000-W9</f>
        <v>#REF!</v>
      </c>
      <c r="AT9" s="444">
        <f>+'[3]PLANINVERSIONES DIC'!$BG$17</f>
        <v>19026000</v>
      </c>
      <c r="AU9" s="444"/>
      <c r="AV9" s="444"/>
      <c r="AW9" s="444">
        <f>+AU9+AV9</f>
        <v>0</v>
      </c>
      <c r="AX9" s="444"/>
      <c r="AY9" s="444" t="e">
        <f>+W9+AW9+AX9</f>
        <v>#REF!</v>
      </c>
      <c r="AZ9" s="444" t="e">
        <f>+AY9-S9*1000000</f>
        <v>#REF!</v>
      </c>
      <c r="BA9" s="442"/>
      <c r="BB9" s="444"/>
      <c r="BD9" s="444"/>
      <c r="BE9" s="449"/>
      <c r="BF9" s="449"/>
      <c r="BG9" s="449"/>
      <c r="BH9" s="449"/>
      <c r="BI9" s="449"/>
      <c r="BJ9" s="449"/>
      <c r="BK9" s="449"/>
      <c r="BL9" s="545"/>
      <c r="BM9" s="545"/>
      <c r="BN9" s="545"/>
      <c r="BO9" s="449"/>
      <c r="BP9" s="449"/>
      <c r="BQ9" s="449">
        <f>SUM(BE9:BO9)</f>
        <v>0</v>
      </c>
    </row>
    <row r="10" spans="1:69" ht="90" x14ac:dyDescent="0.2">
      <c r="A10" s="1186"/>
      <c r="B10" s="1364"/>
      <c r="C10" s="1186"/>
      <c r="D10" s="1364"/>
      <c r="E10" s="1360"/>
      <c r="F10" s="1186"/>
      <c r="G10" s="1186"/>
      <c r="H10" s="1186"/>
      <c r="I10" s="1186"/>
      <c r="J10" s="455" t="s">
        <v>3681</v>
      </c>
      <c r="K10" s="754">
        <v>9</v>
      </c>
      <c r="L10" s="754" t="s">
        <v>3288</v>
      </c>
      <c r="M10" s="418">
        <v>10</v>
      </c>
      <c r="N10" s="418">
        <v>11</v>
      </c>
      <c r="O10" s="418">
        <v>11</v>
      </c>
      <c r="P10" s="418">
        <v>12</v>
      </c>
      <c r="Q10" s="420">
        <v>150</v>
      </c>
      <c r="R10" s="420">
        <v>191</v>
      </c>
      <c r="S10" s="420">
        <v>190</v>
      </c>
      <c r="T10" s="414">
        <v>180</v>
      </c>
      <c r="U10" s="437">
        <f>Q10+R10+S10+T10</f>
        <v>711</v>
      </c>
      <c r="V10" s="550" t="s">
        <v>3611</v>
      </c>
      <c r="W10" s="569" t="e">
        <f>SUM(#REF!)</f>
        <v>#REF!</v>
      </c>
      <c r="X10" s="569"/>
      <c r="Y10" s="763" t="e">
        <f>+S10*1000000-W10-X10</f>
        <v>#REF!</v>
      </c>
      <c r="Z10" s="763" t="e">
        <f>+#REF!</f>
        <v>#REF!</v>
      </c>
      <c r="AA10" s="763" t="e">
        <f>+S10*1000000-W10-X10-Z10</f>
        <v>#REF!</v>
      </c>
      <c r="AB10" s="763"/>
      <c r="AC10" s="763" t="e">
        <f>+S10*1000000-W10-X10-Z10-AB10</f>
        <v>#REF!</v>
      </c>
      <c r="AD10" s="549">
        <v>520</v>
      </c>
      <c r="AF10" s="449">
        <v>100000000</v>
      </c>
      <c r="AG10" s="449"/>
      <c r="AH10" s="449"/>
      <c r="AI10" s="449"/>
      <c r="AJ10" s="449"/>
      <c r="AK10" s="449"/>
      <c r="AL10" s="449">
        <v>50000000</v>
      </c>
      <c r="AM10" s="545">
        <v>40000000</v>
      </c>
      <c r="AN10" s="545"/>
      <c r="AO10" s="449"/>
      <c r="AP10" s="449"/>
      <c r="AQ10" s="449">
        <f>SUM(AF10:AO10)</f>
        <v>190000000</v>
      </c>
      <c r="AS10" s="444" t="e">
        <f>+S10*1000000-W10</f>
        <v>#REF!</v>
      </c>
      <c r="AT10" s="444">
        <f>+'[3]PLANINVERSIONES DIC'!$BG$18</f>
        <v>26832272</v>
      </c>
      <c r="AU10" s="444"/>
      <c r="AV10" s="444"/>
      <c r="AW10" s="444">
        <f>+AU10+AV10</f>
        <v>0</v>
      </c>
      <c r="AX10" s="444"/>
      <c r="AY10" s="444" t="e">
        <f>+W10+AW10+AX10</f>
        <v>#REF!</v>
      </c>
      <c r="AZ10" s="444" t="e">
        <f>+AY10-S10*1000000</f>
        <v>#REF!</v>
      </c>
      <c r="BA10" s="442"/>
      <c r="BB10" s="444"/>
      <c r="BD10" s="444"/>
      <c r="BE10" s="449"/>
      <c r="BF10" s="449"/>
      <c r="BG10" s="449"/>
      <c r="BH10" s="449"/>
      <c r="BI10" s="449"/>
      <c r="BJ10" s="449"/>
      <c r="BK10" s="449"/>
      <c r="BL10" s="545"/>
      <c r="BM10" s="545"/>
      <c r="BN10" s="545"/>
      <c r="BO10" s="449"/>
      <c r="BP10" s="449"/>
      <c r="BQ10" s="449">
        <f>SUM(BE10:BO10)</f>
        <v>0</v>
      </c>
    </row>
    <row r="11" spans="1:69" ht="60" x14ac:dyDescent="0.2">
      <c r="A11" s="1186"/>
      <c r="B11" s="1364"/>
      <c r="C11" s="1186"/>
      <c r="D11" s="1364"/>
      <c r="E11" s="1360"/>
      <c r="F11" s="1186"/>
      <c r="G11" s="1186"/>
      <c r="H11" s="1186"/>
      <c r="I11" s="1186"/>
      <c r="J11" s="754" t="s">
        <v>3491</v>
      </c>
      <c r="K11" s="754">
        <v>3</v>
      </c>
      <c r="L11" s="754" t="s">
        <v>3492</v>
      </c>
      <c r="M11" s="418">
        <v>5</v>
      </c>
      <c r="N11" s="418">
        <v>0</v>
      </c>
      <c r="O11" s="418">
        <v>0</v>
      </c>
      <c r="P11" s="418">
        <v>0</v>
      </c>
      <c r="Q11" s="414">
        <v>25</v>
      </c>
      <c r="R11" s="414">
        <v>10</v>
      </c>
      <c r="S11" s="414">
        <v>0</v>
      </c>
      <c r="T11" s="414">
        <v>0</v>
      </c>
      <c r="U11" s="437">
        <f>Q11+R11+S11+T11</f>
        <v>35</v>
      </c>
      <c r="V11" s="550"/>
      <c r="W11" s="566">
        <v>0</v>
      </c>
      <c r="X11" s="566"/>
      <c r="Y11" s="763">
        <f>+S11*1000000-W11-X11</f>
        <v>0</v>
      </c>
      <c r="Z11" s="763"/>
      <c r="AA11" s="763">
        <f>+S11*1000000-W11-X11-Z11</f>
        <v>0</v>
      </c>
      <c r="AB11" s="763"/>
      <c r="AC11" s="763">
        <f>+S11*1000000-W11-X11-Z11-AB11</f>
        <v>0</v>
      </c>
      <c r="AD11" s="549">
        <v>520</v>
      </c>
      <c r="AF11" s="449"/>
      <c r="AG11" s="449"/>
      <c r="AH11" s="449"/>
      <c r="AI11" s="449"/>
      <c r="AJ11" s="449"/>
      <c r="AK11" s="449"/>
      <c r="AL11" s="449"/>
      <c r="AM11" s="449"/>
      <c r="AN11" s="449"/>
      <c r="AO11" s="449"/>
      <c r="AP11" s="449"/>
      <c r="AQ11" s="449">
        <f>SUM(AF11:AO11)</f>
        <v>0</v>
      </c>
      <c r="AS11" s="444">
        <f>+S11*1000000-W11</f>
        <v>0</v>
      </c>
      <c r="AT11" s="444">
        <f>+'[3]PLANINVERSIONES DIC'!$BG$19</f>
        <v>9517731</v>
      </c>
      <c r="AU11" s="444"/>
      <c r="AV11" s="444"/>
      <c r="AW11" s="444">
        <f>+AU11+AV11</f>
        <v>0</v>
      </c>
      <c r="AX11" s="444"/>
      <c r="AY11" s="444">
        <f>+W11+AW11+AX11</f>
        <v>0</v>
      </c>
      <c r="AZ11" s="444">
        <f>+AY11-S11*1000000</f>
        <v>0</v>
      </c>
      <c r="BA11" s="442"/>
      <c r="BB11" s="444"/>
      <c r="BD11" s="444"/>
      <c r="BE11" s="449"/>
      <c r="BF11" s="449"/>
      <c r="BG11" s="449"/>
      <c r="BH11" s="449"/>
      <c r="BI11" s="449"/>
      <c r="BJ11" s="449"/>
      <c r="BK11" s="449"/>
      <c r="BL11" s="449"/>
      <c r="BM11" s="449"/>
      <c r="BN11" s="449"/>
      <c r="BO11" s="449"/>
      <c r="BP11" s="449"/>
      <c r="BQ11" s="449">
        <f>SUM(BE11:BO11)</f>
        <v>0</v>
      </c>
    </row>
    <row r="12" spans="1:69" ht="120" x14ac:dyDescent="0.2">
      <c r="A12" s="1186"/>
      <c r="B12" s="1364"/>
      <c r="C12" s="1186"/>
      <c r="D12" s="1364"/>
      <c r="E12" s="1360"/>
      <c r="F12" s="1186"/>
      <c r="G12" s="1186"/>
      <c r="H12" s="1186"/>
      <c r="I12" s="1187"/>
      <c r="J12" s="754" t="s">
        <v>3641</v>
      </c>
      <c r="K12" s="754">
        <v>0</v>
      </c>
      <c r="L12" s="754" t="s">
        <v>3642</v>
      </c>
      <c r="M12" s="418"/>
      <c r="N12" s="413">
        <v>0.1</v>
      </c>
      <c r="O12" s="413">
        <v>0.5</v>
      </c>
      <c r="P12" s="413">
        <v>0.4</v>
      </c>
      <c r="Q12" s="420"/>
      <c r="R12" s="420">
        <v>30</v>
      </c>
      <c r="S12" s="420">
        <v>80</v>
      </c>
      <c r="T12" s="414">
        <v>70</v>
      </c>
      <c r="U12" s="437">
        <f>Q12+R12+S12+T12</f>
        <v>180</v>
      </c>
      <c r="V12" s="550" t="s">
        <v>3610</v>
      </c>
      <c r="W12" s="566" t="e">
        <f>SUM(#REF!)</f>
        <v>#REF!</v>
      </c>
      <c r="X12" s="566"/>
      <c r="Y12" s="763" t="e">
        <f>+S12*1000000-W12-X12</f>
        <v>#REF!</v>
      </c>
      <c r="Z12" s="763" t="e">
        <f>+#REF!</f>
        <v>#REF!</v>
      </c>
      <c r="AA12" s="763" t="e">
        <f>+S12*1000000-W12-X12-Z12</f>
        <v>#REF!</v>
      </c>
      <c r="AB12" s="763"/>
      <c r="AC12" s="763" t="e">
        <f>+S12*1000000-W12-X12-Z12-AB12</f>
        <v>#REF!</v>
      </c>
      <c r="AD12" s="549">
        <v>520</v>
      </c>
      <c r="AF12" s="449">
        <v>40000000</v>
      </c>
      <c r="AG12" s="449"/>
      <c r="AH12" s="449"/>
      <c r="AI12" s="449"/>
      <c r="AJ12" s="449"/>
      <c r="AK12" s="449"/>
      <c r="AL12" s="449"/>
      <c r="AM12" s="449" t="e">
        <f>+W12-AF12</f>
        <v>#REF!</v>
      </c>
      <c r="AN12" s="449"/>
      <c r="AO12" s="449"/>
      <c r="AP12" s="449"/>
      <c r="AQ12" s="449" t="e">
        <f>SUM(AF12:AO12)</f>
        <v>#REF!</v>
      </c>
      <c r="AS12" s="444" t="e">
        <f>+S12*1000000-W12</f>
        <v>#REF!</v>
      </c>
      <c r="AT12" s="444">
        <f>+'[3]PLANINVERSIONES DIC'!$BG$20</f>
        <v>0</v>
      </c>
      <c r="AU12" s="444"/>
      <c r="AV12" s="444"/>
      <c r="AW12" s="444">
        <f>+AU12+AV12</f>
        <v>0</v>
      </c>
      <c r="AX12" s="444"/>
      <c r="AY12" s="444" t="e">
        <f>+W12+AW12+AX12</f>
        <v>#REF!</v>
      </c>
      <c r="AZ12" s="444" t="e">
        <f>+AY12-S12*1000000</f>
        <v>#REF!</v>
      </c>
      <c r="BA12" s="442"/>
      <c r="BB12" s="444"/>
      <c r="BD12" s="444"/>
      <c r="BE12" s="449"/>
      <c r="BF12" s="449"/>
      <c r="BG12" s="449"/>
      <c r="BH12" s="449"/>
      <c r="BI12" s="449"/>
      <c r="BJ12" s="449"/>
      <c r="BK12" s="449"/>
      <c r="BL12" s="449"/>
      <c r="BM12" s="449"/>
      <c r="BN12" s="449"/>
      <c r="BO12" s="449"/>
      <c r="BP12" s="449"/>
      <c r="BQ12" s="449">
        <f>SUM(BE12:BO12)</f>
        <v>0</v>
      </c>
    </row>
    <row r="13" spans="1:69" ht="15" x14ac:dyDescent="0.2">
      <c r="A13" s="1187"/>
      <c r="B13" s="1373"/>
      <c r="C13" s="1187"/>
      <c r="D13" s="1373"/>
      <c r="E13" s="1361"/>
      <c r="F13" s="1187"/>
      <c r="G13" s="1187"/>
      <c r="H13" s="753"/>
      <c r="I13" s="753"/>
      <c r="J13" s="754"/>
      <c r="K13" s="754"/>
      <c r="L13" s="754"/>
      <c r="M13" s="1349"/>
      <c r="N13" s="1350"/>
      <c r="O13" s="1350"/>
      <c r="P13" s="1351"/>
      <c r="Q13" s="411">
        <f>SUM(Q8:Q12)</f>
        <v>285</v>
      </c>
      <c r="R13" s="411">
        <f>SUM(R8:R12)</f>
        <v>366</v>
      </c>
      <c r="S13" s="411">
        <f>SUM(S8:S12)</f>
        <v>455</v>
      </c>
      <c r="T13" s="411">
        <f>SUM(T8:T12)</f>
        <v>385</v>
      </c>
      <c r="U13" s="411">
        <f>SUM(U8:U12)</f>
        <v>1491</v>
      </c>
      <c r="V13" s="550"/>
      <c r="W13" s="446" t="e">
        <f t="shared" ref="W13:AC13" si="4">SUM(W8:W12)</f>
        <v>#REF!</v>
      </c>
      <c r="X13" s="446">
        <f t="shared" si="4"/>
        <v>0</v>
      </c>
      <c r="Y13" s="446" t="e">
        <f t="shared" si="4"/>
        <v>#REF!</v>
      </c>
      <c r="Z13" s="446" t="e">
        <f t="shared" si="4"/>
        <v>#REF!</v>
      </c>
      <c r="AA13" s="764" t="e">
        <f t="shared" si="4"/>
        <v>#REF!</v>
      </c>
      <c r="AB13" s="446">
        <f t="shared" si="4"/>
        <v>0</v>
      </c>
      <c r="AC13" s="764" t="e">
        <f t="shared" si="4"/>
        <v>#REF!</v>
      </c>
      <c r="AD13" s="549"/>
      <c r="AF13" s="446">
        <f>SUM(AF8:AF12)</f>
        <v>215000000</v>
      </c>
      <c r="AG13" s="446">
        <f t="shared" ref="AG13:AQ13" si="5">SUM(AG8:AG12)</f>
        <v>0</v>
      </c>
      <c r="AH13" s="446">
        <f t="shared" si="5"/>
        <v>0</v>
      </c>
      <c r="AI13" s="446">
        <f t="shared" si="5"/>
        <v>0</v>
      </c>
      <c r="AJ13" s="446">
        <f t="shared" si="5"/>
        <v>0</v>
      </c>
      <c r="AK13" s="446">
        <f t="shared" si="5"/>
        <v>0</v>
      </c>
      <c r="AL13" s="446">
        <f t="shared" si="5"/>
        <v>100000000</v>
      </c>
      <c r="AM13" s="446" t="e">
        <f t="shared" si="5"/>
        <v>#REF!</v>
      </c>
      <c r="AN13" s="446"/>
      <c r="AO13" s="446">
        <f t="shared" si="5"/>
        <v>0</v>
      </c>
      <c r="AP13" s="446"/>
      <c r="AQ13" s="446" t="e">
        <f t="shared" si="5"/>
        <v>#REF!</v>
      </c>
      <c r="AS13" s="446" t="e">
        <f t="shared" ref="AS13:AZ13" si="6">SUM(AS8:AS12)</f>
        <v>#REF!</v>
      </c>
      <c r="AT13" s="446">
        <f t="shared" si="6"/>
        <v>61090355</v>
      </c>
      <c r="AU13" s="446">
        <f t="shared" si="6"/>
        <v>15000000</v>
      </c>
      <c r="AV13" s="446">
        <f t="shared" si="6"/>
        <v>0</v>
      </c>
      <c r="AW13" s="446">
        <f t="shared" si="6"/>
        <v>15000000</v>
      </c>
      <c r="AX13" s="446">
        <f t="shared" si="6"/>
        <v>0</v>
      </c>
      <c r="AY13" s="446" t="e">
        <f t="shared" si="6"/>
        <v>#REF!</v>
      </c>
      <c r="AZ13" s="446" t="e">
        <f t="shared" si="6"/>
        <v>#REF!</v>
      </c>
      <c r="BA13" s="442"/>
      <c r="BB13" s="446">
        <f>SUM(BB8:BB12)</f>
        <v>0</v>
      </c>
      <c r="BD13" s="446">
        <f>SUM(BD8:BD12)</f>
        <v>0</v>
      </c>
      <c r="BE13" s="446">
        <f>SUM(BE8:BE12)</f>
        <v>0</v>
      </c>
      <c r="BF13" s="446">
        <f t="shared" ref="BF13:BQ13" si="7">SUM(BF8:BF12)</f>
        <v>0</v>
      </c>
      <c r="BG13" s="446">
        <f t="shared" si="7"/>
        <v>0</v>
      </c>
      <c r="BH13" s="446">
        <f t="shared" si="7"/>
        <v>0</v>
      </c>
      <c r="BI13" s="446">
        <f t="shared" si="7"/>
        <v>0</v>
      </c>
      <c r="BJ13" s="446">
        <f t="shared" si="7"/>
        <v>0</v>
      </c>
      <c r="BK13" s="446">
        <f t="shared" si="7"/>
        <v>0</v>
      </c>
      <c r="BL13" s="446">
        <f t="shared" si="7"/>
        <v>0</v>
      </c>
      <c r="BM13" s="446">
        <f t="shared" si="7"/>
        <v>15000000</v>
      </c>
      <c r="BN13" s="446">
        <f t="shared" si="7"/>
        <v>0</v>
      </c>
      <c r="BO13" s="446">
        <f t="shared" si="7"/>
        <v>0</v>
      </c>
      <c r="BP13" s="446">
        <f t="shared" si="7"/>
        <v>0</v>
      </c>
      <c r="BQ13" s="446">
        <f t="shared" si="7"/>
        <v>15000000</v>
      </c>
    </row>
    <row r="14" spans="1:69" ht="24.75" customHeight="1" x14ac:dyDescent="0.25">
      <c r="A14" s="398"/>
      <c r="B14" s="456"/>
      <c r="C14" s="398"/>
      <c r="D14" s="396"/>
      <c r="E14" s="396"/>
      <c r="F14" s="396"/>
      <c r="G14" s="396"/>
      <c r="H14" s="398"/>
      <c r="I14" s="398"/>
      <c r="J14" s="396"/>
      <c r="K14" s="396"/>
      <c r="L14" s="457"/>
      <c r="M14" s="416"/>
      <c r="N14" s="416"/>
      <c r="O14" s="416"/>
      <c r="P14" s="417"/>
      <c r="Q14" s="417"/>
      <c r="R14" s="417"/>
      <c r="S14" s="417"/>
      <c r="T14" s="416"/>
      <c r="U14" s="397"/>
      <c r="V14" s="551"/>
      <c r="W14" s="567"/>
      <c r="X14" s="567"/>
      <c r="Y14" s="765"/>
      <c r="Z14" s="765"/>
      <c r="AA14" s="765"/>
      <c r="AB14" s="765"/>
      <c r="AC14" s="765"/>
      <c r="AD14" s="568"/>
      <c r="AE14" s="487"/>
      <c r="AF14" s="488"/>
      <c r="AG14" s="488"/>
      <c r="AH14" s="488"/>
      <c r="AI14" s="488"/>
      <c r="AJ14" s="488"/>
      <c r="AK14" s="488"/>
      <c r="AL14" s="488"/>
      <c r="AM14" s="488"/>
      <c r="AN14" s="488"/>
      <c r="AO14" s="488"/>
      <c r="AP14" s="488"/>
      <c r="AQ14" s="488"/>
      <c r="AS14" s="478"/>
      <c r="AT14" s="478"/>
      <c r="AU14" s="478"/>
      <c r="AV14" s="478"/>
      <c r="AW14" s="478"/>
      <c r="AX14" s="478"/>
      <c r="AY14" s="478"/>
      <c r="AZ14" s="478"/>
      <c r="BB14" s="478"/>
      <c r="BD14" s="478"/>
      <c r="BE14" s="488"/>
      <c r="BF14" s="488"/>
      <c r="BG14" s="488"/>
      <c r="BH14" s="488"/>
      <c r="BI14" s="488"/>
      <c r="BJ14" s="488"/>
      <c r="BK14" s="488"/>
      <c r="BL14" s="488"/>
      <c r="BM14" s="488"/>
      <c r="BN14" s="488"/>
      <c r="BO14" s="488"/>
      <c r="BP14" s="488"/>
      <c r="BQ14" s="488"/>
    </row>
    <row r="15" spans="1:69" ht="45" x14ac:dyDescent="0.2">
      <c r="A15" s="1188">
        <v>3</v>
      </c>
      <c r="B15" s="1365" t="s">
        <v>3162</v>
      </c>
      <c r="C15" s="1185" t="s">
        <v>3493</v>
      </c>
      <c r="D15" s="1365" t="s">
        <v>3494</v>
      </c>
      <c r="E15" s="1362" t="s">
        <v>3495</v>
      </c>
      <c r="F15" s="1188" t="s">
        <v>3484</v>
      </c>
      <c r="G15" s="1185" t="s">
        <v>3485</v>
      </c>
      <c r="H15" s="1188" t="s">
        <v>3486</v>
      </c>
      <c r="I15" s="1185" t="s">
        <v>3702</v>
      </c>
      <c r="J15" s="754" t="s">
        <v>3739</v>
      </c>
      <c r="K15" s="754">
        <v>7</v>
      </c>
      <c r="L15" s="754" t="s">
        <v>3217</v>
      </c>
      <c r="M15" s="418">
        <v>2</v>
      </c>
      <c r="N15" s="418">
        <v>2</v>
      </c>
      <c r="O15" s="418">
        <v>3</v>
      </c>
      <c r="P15" s="418">
        <v>2</v>
      </c>
      <c r="Q15" s="420">
        <v>50</v>
      </c>
      <c r="R15" s="420">
        <v>116</v>
      </c>
      <c r="S15" s="420">
        <v>210</v>
      </c>
      <c r="T15" s="420">
        <v>250</v>
      </c>
      <c r="U15" s="437">
        <f t="shared" ref="U15:U37" si="8">Q15+R15+S15+T15</f>
        <v>626</v>
      </c>
      <c r="V15" s="550" t="s">
        <v>4097</v>
      </c>
      <c r="W15" s="566" t="e">
        <f>SUM(#REF!)</f>
        <v>#REF!</v>
      </c>
      <c r="X15" s="566"/>
      <c r="Y15" s="766" t="e">
        <f>+S15*1000000-W15-X15</f>
        <v>#REF!</v>
      </c>
      <c r="Z15" s="770" t="e">
        <f>SUM(#REF!)</f>
        <v>#REF!</v>
      </c>
      <c r="AA15" s="766" t="e">
        <f t="shared" ref="AA15:AA37" si="9">+S15*1000000-W15-X15-Z15</f>
        <v>#REF!</v>
      </c>
      <c r="AB15" s="770"/>
      <c r="AC15" s="766" t="e">
        <f t="shared" ref="AC15:AC37" si="10">+S15*1000000-W15-X15-Z15-AB15</f>
        <v>#REF!</v>
      </c>
      <c r="AD15" s="549">
        <v>510</v>
      </c>
      <c r="AF15" s="449">
        <v>160000000</v>
      </c>
      <c r="AG15" s="449"/>
      <c r="AH15" s="449"/>
      <c r="AI15" s="449"/>
      <c r="AJ15" s="449"/>
      <c r="AK15" s="449"/>
      <c r="AL15" s="449"/>
      <c r="AM15" s="449" t="e">
        <f>+W15-AF15</f>
        <v>#REF!</v>
      </c>
      <c r="AN15" s="449"/>
      <c r="AO15" s="449"/>
      <c r="AP15" s="449"/>
      <c r="AQ15" s="449" t="e">
        <f t="shared" ref="AQ15:AQ37" si="11">SUM(AF15:AO15)</f>
        <v>#REF!</v>
      </c>
      <c r="AS15" s="444" t="e">
        <f t="shared" ref="AS15:AS37" si="12">+S15*1000000-W15</f>
        <v>#REF!</v>
      </c>
      <c r="AT15" s="444">
        <f>+'[3]PLANINVERSIONES DIC'!$BG23</f>
        <v>26977416</v>
      </c>
      <c r="AU15" s="580"/>
      <c r="AV15" s="444"/>
      <c r="AW15" s="444">
        <f t="shared" ref="AW15:AW24" si="13">+AU15+AV15</f>
        <v>0</v>
      </c>
      <c r="AX15" s="444">
        <v>-25000000</v>
      </c>
      <c r="AY15" s="444" t="e">
        <f t="shared" ref="AY15:AY37" si="14">+W15+AW15+AX15</f>
        <v>#REF!</v>
      </c>
      <c r="AZ15" s="444" t="e">
        <f t="shared" ref="AZ15:AZ37" si="15">+AY15-S15*1000000</f>
        <v>#REF!</v>
      </c>
      <c r="BA15" s="442"/>
      <c r="BB15" s="444"/>
      <c r="BD15" s="444"/>
      <c r="BE15" s="449"/>
      <c r="BF15" s="449"/>
      <c r="BG15" s="449"/>
      <c r="BH15" s="449"/>
      <c r="BI15" s="449"/>
      <c r="BJ15" s="449"/>
      <c r="BK15" s="449"/>
      <c r="BL15" s="449">
        <v>-25000000</v>
      </c>
      <c r="BM15" s="449"/>
      <c r="BN15" s="449"/>
      <c r="BO15" s="449"/>
      <c r="BP15" s="449"/>
      <c r="BQ15" s="449">
        <f t="shared" ref="BQ15:BQ37" si="16">SUM(BE15:BO15)</f>
        <v>-25000000</v>
      </c>
    </row>
    <row r="16" spans="1:69" ht="75" x14ac:dyDescent="0.2">
      <c r="A16" s="1188"/>
      <c r="B16" s="1365"/>
      <c r="C16" s="1186"/>
      <c r="D16" s="1365"/>
      <c r="E16" s="1360"/>
      <c r="F16" s="1188"/>
      <c r="G16" s="1186"/>
      <c r="H16" s="1188"/>
      <c r="I16" s="1187"/>
      <c r="J16" s="754" t="s">
        <v>3498</v>
      </c>
      <c r="K16" s="754">
        <v>0</v>
      </c>
      <c r="L16" s="754" t="s">
        <v>3218</v>
      </c>
      <c r="M16" s="421">
        <v>1</v>
      </c>
      <c r="N16" s="421">
        <v>1</v>
      </c>
      <c r="O16" s="421">
        <v>2</v>
      </c>
      <c r="P16" s="421">
        <v>3</v>
      </c>
      <c r="Q16" s="414">
        <v>30</v>
      </c>
      <c r="R16" s="414">
        <v>150</v>
      </c>
      <c r="S16" s="414">
        <v>135</v>
      </c>
      <c r="T16" s="414">
        <v>150</v>
      </c>
      <c r="U16" s="437">
        <f t="shared" si="8"/>
        <v>465</v>
      </c>
      <c r="V16" s="550" t="s">
        <v>4098</v>
      </c>
      <c r="W16" s="566" t="e">
        <f>SUM(#REF!)</f>
        <v>#REF!</v>
      </c>
      <c r="X16" s="566"/>
      <c r="Y16" s="763" t="e">
        <f>+S16*1000000-W16-X16</f>
        <v>#REF!</v>
      </c>
      <c r="Z16" s="763" t="e">
        <f>SUM(#REF!)</f>
        <v>#REF!</v>
      </c>
      <c r="AA16" s="763" t="e">
        <f t="shared" si="9"/>
        <v>#REF!</v>
      </c>
      <c r="AB16" s="763"/>
      <c r="AC16" s="763" t="e">
        <f t="shared" si="10"/>
        <v>#REF!</v>
      </c>
      <c r="AD16" s="549">
        <v>510</v>
      </c>
      <c r="AF16" s="449">
        <v>70000000</v>
      </c>
      <c r="AG16" s="449"/>
      <c r="AH16" s="449"/>
      <c r="AI16" s="449"/>
      <c r="AJ16" s="449"/>
      <c r="AK16" s="449"/>
      <c r="AL16" s="449"/>
      <c r="AM16" s="449" t="e">
        <f>+W16-AF16</f>
        <v>#REF!</v>
      </c>
      <c r="AN16" s="449"/>
      <c r="AO16" s="449"/>
      <c r="AP16" s="449"/>
      <c r="AQ16" s="449" t="e">
        <f t="shared" si="11"/>
        <v>#REF!</v>
      </c>
      <c r="AS16" s="444" t="e">
        <f t="shared" si="12"/>
        <v>#REF!</v>
      </c>
      <c r="AT16" s="444">
        <f>+'[3]PLANINVERSIONES DIC'!$BG24</f>
        <v>56213373</v>
      </c>
      <c r="AU16" s="444"/>
      <c r="AV16" s="444"/>
      <c r="AW16" s="444">
        <f t="shared" si="13"/>
        <v>0</v>
      </c>
      <c r="AX16" s="444"/>
      <c r="AY16" s="444" t="e">
        <f t="shared" si="14"/>
        <v>#REF!</v>
      </c>
      <c r="AZ16" s="444" t="e">
        <f t="shared" si="15"/>
        <v>#REF!</v>
      </c>
      <c r="BA16" s="442"/>
      <c r="BB16" s="444"/>
      <c r="BD16" s="444"/>
      <c r="BE16" s="449"/>
      <c r="BF16" s="449"/>
      <c r="BG16" s="449"/>
      <c r="BH16" s="449"/>
      <c r="BI16" s="449"/>
      <c r="BJ16" s="449"/>
      <c r="BK16" s="449"/>
      <c r="BL16" s="449"/>
      <c r="BM16" s="449"/>
      <c r="BN16" s="449"/>
      <c r="BO16" s="449"/>
      <c r="BP16" s="449"/>
      <c r="BQ16" s="449">
        <f t="shared" si="16"/>
        <v>0</v>
      </c>
    </row>
    <row r="17" spans="1:69" ht="75" x14ac:dyDescent="0.2">
      <c r="A17" s="1188"/>
      <c r="B17" s="1365"/>
      <c r="C17" s="1186"/>
      <c r="D17" s="1365"/>
      <c r="E17" s="1360"/>
      <c r="F17" s="1188"/>
      <c r="G17" s="1186"/>
      <c r="H17" s="1188"/>
      <c r="I17" s="754" t="s">
        <v>3167</v>
      </c>
      <c r="J17" s="754" t="s">
        <v>3496</v>
      </c>
      <c r="K17" s="754">
        <v>0</v>
      </c>
      <c r="L17" s="754" t="s">
        <v>3497</v>
      </c>
      <c r="M17" s="418">
        <v>2</v>
      </c>
      <c r="N17" s="418">
        <v>2</v>
      </c>
      <c r="O17" s="418">
        <v>3</v>
      </c>
      <c r="P17" s="418">
        <v>3</v>
      </c>
      <c r="Q17" s="420">
        <v>20</v>
      </c>
      <c r="R17" s="420">
        <v>9</v>
      </c>
      <c r="S17" s="420">
        <v>30</v>
      </c>
      <c r="T17" s="420">
        <v>30</v>
      </c>
      <c r="U17" s="437">
        <f t="shared" si="8"/>
        <v>89</v>
      </c>
      <c r="V17" s="550">
        <v>312</v>
      </c>
      <c r="W17" s="566">
        <v>0</v>
      </c>
      <c r="X17" s="566"/>
      <c r="Y17" s="766">
        <f>+S17*1000000-W17-X17</f>
        <v>30000000</v>
      </c>
      <c r="Z17" s="770"/>
      <c r="AA17" s="766">
        <f t="shared" si="9"/>
        <v>30000000</v>
      </c>
      <c r="AB17" s="770"/>
      <c r="AC17" s="766">
        <f t="shared" si="10"/>
        <v>30000000</v>
      </c>
      <c r="AD17" s="549">
        <v>510</v>
      </c>
      <c r="AF17" s="449">
        <v>20000000</v>
      </c>
      <c r="AG17" s="449"/>
      <c r="AH17" s="449"/>
      <c r="AI17" s="449"/>
      <c r="AJ17" s="449"/>
      <c r="AK17" s="449"/>
      <c r="AL17" s="449"/>
      <c r="AM17" s="449">
        <f>+W17-AF17</f>
        <v>-20000000</v>
      </c>
      <c r="AN17" s="449"/>
      <c r="AO17" s="449"/>
      <c r="AP17" s="449"/>
      <c r="AQ17" s="449">
        <f t="shared" si="11"/>
        <v>0</v>
      </c>
      <c r="AS17" s="444">
        <f t="shared" si="12"/>
        <v>30000000</v>
      </c>
      <c r="AT17" s="444">
        <f>+'[3]PLANINVERSIONES DIC'!$BG25</f>
        <v>9000000</v>
      </c>
      <c r="AU17" s="580"/>
      <c r="AV17" s="444"/>
      <c r="AW17" s="444">
        <f t="shared" si="13"/>
        <v>0</v>
      </c>
      <c r="AX17" s="444">
        <v>-30000000</v>
      </c>
      <c r="AY17" s="444">
        <f t="shared" si="14"/>
        <v>-30000000</v>
      </c>
      <c r="AZ17" s="444">
        <f t="shared" si="15"/>
        <v>-60000000</v>
      </c>
      <c r="BA17" s="442"/>
      <c r="BB17" s="444"/>
      <c r="BD17" s="444"/>
      <c r="BE17" s="449">
        <f>+AX17-BL17</f>
        <v>-20000000</v>
      </c>
      <c r="BF17" s="449"/>
      <c r="BG17" s="449"/>
      <c r="BH17" s="449"/>
      <c r="BI17" s="449"/>
      <c r="BJ17" s="449"/>
      <c r="BK17" s="449"/>
      <c r="BL17" s="449">
        <v>-10000000</v>
      </c>
      <c r="BM17" s="449"/>
      <c r="BN17" s="449"/>
      <c r="BO17" s="449"/>
      <c r="BP17" s="449"/>
      <c r="BQ17" s="449">
        <f t="shared" si="16"/>
        <v>-30000000</v>
      </c>
    </row>
    <row r="18" spans="1:69" ht="140.25" x14ac:dyDescent="0.2">
      <c r="A18" s="1188"/>
      <c r="B18" s="1365"/>
      <c r="C18" s="1187"/>
      <c r="D18" s="1365"/>
      <c r="E18" s="1361"/>
      <c r="F18" s="1188"/>
      <c r="G18" s="1187"/>
      <c r="H18" s="1188"/>
      <c r="I18" s="754" t="s">
        <v>3703</v>
      </c>
      <c r="J18" s="754" t="s">
        <v>3644</v>
      </c>
      <c r="K18" s="754">
        <v>0</v>
      </c>
      <c r="L18" s="754" t="s">
        <v>3645</v>
      </c>
      <c r="M18" s="421">
        <v>1</v>
      </c>
      <c r="N18" s="401" t="s">
        <v>3646</v>
      </c>
      <c r="O18" s="421">
        <v>3</v>
      </c>
      <c r="P18" s="421">
        <v>3</v>
      </c>
      <c r="Q18" s="414">
        <v>40</v>
      </c>
      <c r="R18" s="414">
        <v>115</v>
      </c>
      <c r="S18" s="414">
        <v>40</v>
      </c>
      <c r="T18" s="414">
        <v>40</v>
      </c>
      <c r="U18" s="437">
        <f t="shared" si="8"/>
        <v>235</v>
      </c>
      <c r="V18" s="550" t="s">
        <v>4099</v>
      </c>
      <c r="W18" s="566" t="e">
        <f>SUM(#REF!)</f>
        <v>#REF!</v>
      </c>
      <c r="X18" s="566"/>
      <c r="Y18" s="763" t="e">
        <f>+S18*1000000-W18-X17</f>
        <v>#REF!</v>
      </c>
      <c r="Z18" s="763" t="e">
        <f>SUM(#REF!)</f>
        <v>#REF!</v>
      </c>
      <c r="AA18" s="763" t="e">
        <f t="shared" si="9"/>
        <v>#REF!</v>
      </c>
      <c r="AB18" s="763"/>
      <c r="AC18" s="763" t="e">
        <f t="shared" si="10"/>
        <v>#REF!</v>
      </c>
      <c r="AD18" s="549">
        <v>510</v>
      </c>
      <c r="AF18" s="449">
        <v>20000000</v>
      </c>
      <c r="AG18" s="449"/>
      <c r="AH18" s="449"/>
      <c r="AI18" s="449"/>
      <c r="AJ18" s="449"/>
      <c r="AK18" s="449"/>
      <c r="AL18" s="449"/>
      <c r="AM18" s="449" t="e">
        <f>+W18-AF18</f>
        <v>#REF!</v>
      </c>
      <c r="AN18" s="449"/>
      <c r="AO18" s="449"/>
      <c r="AP18" s="449"/>
      <c r="AQ18" s="449" t="e">
        <f t="shared" si="11"/>
        <v>#REF!</v>
      </c>
      <c r="AS18" s="444" t="e">
        <f t="shared" si="12"/>
        <v>#REF!</v>
      </c>
      <c r="AT18" s="444">
        <f>+'[3]PLANINVERSIONES DIC'!$BG26</f>
        <v>106041700</v>
      </c>
      <c r="AU18" s="444"/>
      <c r="AV18" s="444"/>
      <c r="AW18" s="444">
        <f t="shared" si="13"/>
        <v>0</v>
      </c>
      <c r="AX18" s="444"/>
      <c r="AY18" s="444" t="e">
        <f t="shared" si="14"/>
        <v>#REF!</v>
      </c>
      <c r="AZ18" s="444" t="e">
        <f t="shared" si="15"/>
        <v>#REF!</v>
      </c>
      <c r="BA18" s="442"/>
      <c r="BB18" s="444"/>
      <c r="BD18" s="444"/>
      <c r="BE18" s="449"/>
      <c r="BF18" s="449"/>
      <c r="BG18" s="449"/>
      <c r="BH18" s="449"/>
      <c r="BI18" s="449"/>
      <c r="BJ18" s="449"/>
      <c r="BK18" s="449"/>
      <c r="BL18" s="449"/>
      <c r="BM18" s="449"/>
      <c r="BN18" s="449"/>
      <c r="BO18" s="449"/>
      <c r="BP18" s="449"/>
      <c r="BQ18" s="449">
        <f t="shared" si="16"/>
        <v>0</v>
      </c>
    </row>
    <row r="19" spans="1:69" ht="75" x14ac:dyDescent="0.2">
      <c r="A19" s="1365">
        <v>3</v>
      </c>
      <c r="B19" s="1365" t="s">
        <v>3162</v>
      </c>
      <c r="C19" s="1188" t="s">
        <v>3493</v>
      </c>
      <c r="D19" s="1365" t="s">
        <v>3184</v>
      </c>
      <c r="E19" s="1372" t="s">
        <v>3495</v>
      </c>
      <c r="F19" s="1188" t="s">
        <v>3499</v>
      </c>
      <c r="G19" s="1188" t="s">
        <v>3500</v>
      </c>
      <c r="H19" s="1188" t="s">
        <v>3501</v>
      </c>
      <c r="I19" s="754" t="s">
        <v>3293</v>
      </c>
      <c r="J19" s="754" t="s">
        <v>3683</v>
      </c>
      <c r="K19" s="754">
        <v>1</v>
      </c>
      <c r="L19" s="754" t="s">
        <v>3239</v>
      </c>
      <c r="M19" s="422">
        <v>0</v>
      </c>
      <c r="N19" s="422">
        <v>0</v>
      </c>
      <c r="O19" s="422">
        <v>2</v>
      </c>
      <c r="P19" s="422">
        <v>2</v>
      </c>
      <c r="Q19" s="414">
        <v>10</v>
      </c>
      <c r="R19" s="414">
        <v>20</v>
      </c>
      <c r="S19" s="414">
        <v>20</v>
      </c>
      <c r="T19" s="414">
        <v>10</v>
      </c>
      <c r="U19" s="437">
        <f t="shared" si="8"/>
        <v>60</v>
      </c>
      <c r="V19" s="550" t="s">
        <v>4100</v>
      </c>
      <c r="W19" s="566" t="e">
        <f>SUM(#REF!)</f>
        <v>#REF!</v>
      </c>
      <c r="X19" s="566"/>
      <c r="Y19" s="763" t="e">
        <f>+S19*1000000-W19-X18</f>
        <v>#REF!</v>
      </c>
      <c r="Z19" s="763"/>
      <c r="AA19" s="763" t="e">
        <f t="shared" si="9"/>
        <v>#REF!</v>
      </c>
      <c r="AB19" s="763"/>
      <c r="AC19" s="763" t="e">
        <f t="shared" si="10"/>
        <v>#REF!</v>
      </c>
      <c r="AD19" s="549">
        <v>510</v>
      </c>
      <c r="AF19" s="449"/>
      <c r="AG19" s="449"/>
      <c r="AH19" s="449"/>
      <c r="AI19" s="449"/>
      <c r="AJ19" s="449"/>
      <c r="AK19" s="449"/>
      <c r="AL19" s="449"/>
      <c r="AM19" s="449" t="e">
        <f>+W19</f>
        <v>#REF!</v>
      </c>
      <c r="AN19" s="449"/>
      <c r="AO19" s="449"/>
      <c r="AP19" s="449"/>
      <c r="AQ19" s="449" t="e">
        <f t="shared" si="11"/>
        <v>#REF!</v>
      </c>
      <c r="AS19" s="444" t="e">
        <f t="shared" si="12"/>
        <v>#REF!</v>
      </c>
      <c r="AT19" s="444">
        <f>+'[3]PLANINVERSIONES DIC'!$BG27</f>
        <v>20000000</v>
      </c>
      <c r="AU19" s="444"/>
      <c r="AV19" s="444"/>
      <c r="AW19" s="444">
        <f t="shared" si="13"/>
        <v>0</v>
      </c>
      <c r="AX19" s="444"/>
      <c r="AY19" s="444" t="e">
        <f t="shared" si="14"/>
        <v>#REF!</v>
      </c>
      <c r="AZ19" s="444" t="e">
        <f t="shared" si="15"/>
        <v>#REF!</v>
      </c>
      <c r="BA19" s="442"/>
      <c r="BB19" s="444"/>
      <c r="BD19" s="444"/>
      <c r="BE19" s="449"/>
      <c r="BF19" s="449"/>
      <c r="BG19" s="449"/>
      <c r="BH19" s="449"/>
      <c r="BI19" s="449"/>
      <c r="BJ19" s="449"/>
      <c r="BK19" s="449"/>
      <c r="BL19" s="449"/>
      <c r="BM19" s="449"/>
      <c r="BN19" s="449"/>
      <c r="BO19" s="449"/>
      <c r="BP19" s="449"/>
      <c r="BQ19" s="449">
        <f t="shared" si="16"/>
        <v>0</v>
      </c>
    </row>
    <row r="20" spans="1:69" ht="90" x14ac:dyDescent="0.2">
      <c r="A20" s="1365"/>
      <c r="B20" s="1365"/>
      <c r="C20" s="1188"/>
      <c r="D20" s="1365"/>
      <c r="E20" s="1372"/>
      <c r="F20" s="1188"/>
      <c r="G20" s="1188"/>
      <c r="H20" s="1188"/>
      <c r="I20" s="1188" t="s">
        <v>3705</v>
      </c>
      <c r="J20" s="754" t="s">
        <v>3647</v>
      </c>
      <c r="K20" s="460">
        <v>0</v>
      </c>
      <c r="L20" s="754" t="s">
        <v>3649</v>
      </c>
      <c r="M20" s="422">
        <v>1</v>
      </c>
      <c r="N20" s="552" t="s">
        <v>3648</v>
      </c>
      <c r="O20" s="422">
        <v>50</v>
      </c>
      <c r="P20" s="422">
        <v>100</v>
      </c>
      <c r="Q20" s="414">
        <v>10</v>
      </c>
      <c r="R20" s="414">
        <v>27</v>
      </c>
      <c r="S20" s="414">
        <v>10</v>
      </c>
      <c r="T20" s="414">
        <v>10</v>
      </c>
      <c r="U20" s="437">
        <f t="shared" si="8"/>
        <v>57</v>
      </c>
      <c r="V20" s="550" t="s">
        <v>4101</v>
      </c>
      <c r="W20" s="566" t="e">
        <f>+#REF!</f>
        <v>#REF!</v>
      </c>
      <c r="X20" s="566"/>
      <c r="Y20" s="763" t="e">
        <f>+S20*1000000-W20-X19</f>
        <v>#REF!</v>
      </c>
      <c r="Z20" s="763"/>
      <c r="AA20" s="763" t="e">
        <f t="shared" si="9"/>
        <v>#REF!</v>
      </c>
      <c r="AB20" s="763"/>
      <c r="AC20" s="763" t="e">
        <f t="shared" si="10"/>
        <v>#REF!</v>
      </c>
      <c r="AD20" s="549">
        <v>510</v>
      </c>
      <c r="AF20" s="449"/>
      <c r="AG20" s="449"/>
      <c r="AH20" s="449"/>
      <c r="AI20" s="449"/>
      <c r="AJ20" s="449"/>
      <c r="AK20" s="449"/>
      <c r="AL20" s="449"/>
      <c r="AM20" s="449" t="e">
        <f>+W20</f>
        <v>#REF!</v>
      </c>
      <c r="AN20" s="449"/>
      <c r="AO20" s="449"/>
      <c r="AP20" s="449"/>
      <c r="AQ20" s="449" t="e">
        <f t="shared" si="11"/>
        <v>#REF!</v>
      </c>
      <c r="AS20" s="444" t="e">
        <f t="shared" si="12"/>
        <v>#REF!</v>
      </c>
      <c r="AT20" s="444">
        <f>+'[3]PLANINVERSIONES DIC'!$BG28</f>
        <v>25232411</v>
      </c>
      <c r="AU20" s="580">
        <v>5000000</v>
      </c>
      <c r="AV20" s="444"/>
      <c r="AW20" s="444"/>
      <c r="AX20" s="444"/>
      <c r="AY20" s="444" t="e">
        <f t="shared" si="14"/>
        <v>#REF!</v>
      </c>
      <c r="AZ20" s="444" t="e">
        <f t="shared" si="15"/>
        <v>#REF!</v>
      </c>
      <c r="BA20" s="442"/>
      <c r="BB20" s="444"/>
      <c r="BD20" s="444"/>
      <c r="BE20" s="449"/>
      <c r="BF20" s="449"/>
      <c r="BG20" s="449"/>
      <c r="BH20" s="449"/>
      <c r="BI20" s="449"/>
      <c r="BJ20" s="449"/>
      <c r="BK20" s="449"/>
      <c r="BL20" s="449"/>
      <c r="BM20" s="449"/>
      <c r="BN20" s="449"/>
      <c r="BO20" s="449"/>
      <c r="BP20" s="449"/>
      <c r="BQ20" s="449">
        <f t="shared" si="16"/>
        <v>0</v>
      </c>
    </row>
    <row r="21" spans="1:69" ht="90" x14ac:dyDescent="0.2">
      <c r="A21" s="1365"/>
      <c r="B21" s="1365"/>
      <c r="C21" s="1188"/>
      <c r="D21" s="1365"/>
      <c r="E21" s="1372"/>
      <c r="F21" s="1188"/>
      <c r="G21" s="1188"/>
      <c r="H21" s="1188"/>
      <c r="I21" s="1188"/>
      <c r="J21" s="754" t="s">
        <v>3740</v>
      </c>
      <c r="K21" s="754">
        <v>22</v>
      </c>
      <c r="L21" s="754" t="s">
        <v>3294</v>
      </c>
      <c r="M21" s="422">
        <v>1</v>
      </c>
      <c r="N21" s="422">
        <v>2</v>
      </c>
      <c r="O21" s="422">
        <v>2</v>
      </c>
      <c r="P21" s="422">
        <v>4</v>
      </c>
      <c r="Q21" s="414">
        <v>40</v>
      </c>
      <c r="R21" s="414">
        <v>55</v>
      </c>
      <c r="S21" s="414">
        <v>80</v>
      </c>
      <c r="T21" s="414">
        <v>80</v>
      </c>
      <c r="U21" s="437">
        <f t="shared" si="8"/>
        <v>255</v>
      </c>
      <c r="V21" s="550" t="s">
        <v>4102</v>
      </c>
      <c r="W21" s="566" t="e">
        <f>SUM(#REF!)</f>
        <v>#REF!</v>
      </c>
      <c r="X21" s="566"/>
      <c r="Y21" s="766" t="e">
        <f t="shared" ref="Y21:Y37" si="17">+S21*1000000-W21-X21</f>
        <v>#REF!</v>
      </c>
      <c r="Z21" s="770" t="e">
        <f>SUM(#REF!)</f>
        <v>#REF!</v>
      </c>
      <c r="AA21" s="766" t="e">
        <f t="shared" si="9"/>
        <v>#REF!</v>
      </c>
      <c r="AB21" s="763"/>
      <c r="AC21" s="766" t="e">
        <f t="shared" si="10"/>
        <v>#REF!</v>
      </c>
      <c r="AD21" s="549">
        <v>510</v>
      </c>
      <c r="AF21" s="449">
        <v>40000000</v>
      </c>
      <c r="AG21" s="449"/>
      <c r="AH21" s="449"/>
      <c r="AI21" s="449"/>
      <c r="AJ21" s="449"/>
      <c r="AK21" s="449"/>
      <c r="AL21" s="449"/>
      <c r="AM21" s="449" t="e">
        <f>+W21-AF21</f>
        <v>#REF!</v>
      </c>
      <c r="AN21" s="449"/>
      <c r="AO21" s="449"/>
      <c r="AP21" s="449"/>
      <c r="AQ21" s="449" t="e">
        <f t="shared" si="11"/>
        <v>#REF!</v>
      </c>
      <c r="AS21" s="444" t="e">
        <f t="shared" si="12"/>
        <v>#REF!</v>
      </c>
      <c r="AT21" s="444">
        <f>+'[3]PLANINVERSIONES DIC'!$BG29</f>
        <v>34173413</v>
      </c>
      <c r="AU21" s="444"/>
      <c r="AV21" s="444"/>
      <c r="AW21" s="444">
        <f t="shared" si="13"/>
        <v>0</v>
      </c>
      <c r="AX21" s="444">
        <v>-14000000</v>
      </c>
      <c r="AY21" s="444" t="e">
        <f t="shared" si="14"/>
        <v>#REF!</v>
      </c>
      <c r="AZ21" s="444" t="e">
        <f t="shared" si="15"/>
        <v>#REF!</v>
      </c>
      <c r="BA21" s="442"/>
      <c r="BB21" s="444"/>
      <c r="BD21" s="444"/>
      <c r="BE21" s="449"/>
      <c r="BF21" s="449"/>
      <c r="BG21" s="449"/>
      <c r="BH21" s="449"/>
      <c r="BI21" s="449"/>
      <c r="BJ21" s="449"/>
      <c r="BK21" s="449"/>
      <c r="BL21" s="449">
        <v>-14000000</v>
      </c>
      <c r="BM21" s="449"/>
      <c r="BN21" s="449"/>
      <c r="BO21" s="449"/>
      <c r="BP21" s="449"/>
      <c r="BQ21" s="449">
        <f t="shared" si="16"/>
        <v>-14000000</v>
      </c>
    </row>
    <row r="22" spans="1:69" ht="90" x14ac:dyDescent="0.2">
      <c r="A22" s="1365"/>
      <c r="B22" s="1365"/>
      <c r="C22" s="1188"/>
      <c r="D22" s="1365"/>
      <c r="E22" s="1372"/>
      <c r="F22" s="1188"/>
      <c r="G22" s="1188"/>
      <c r="H22" s="1188"/>
      <c r="I22" s="1188"/>
      <c r="J22" s="754" t="s">
        <v>3502</v>
      </c>
      <c r="K22" s="754">
        <v>0</v>
      </c>
      <c r="L22" s="754" t="s">
        <v>3274</v>
      </c>
      <c r="M22" s="422">
        <v>0</v>
      </c>
      <c r="N22" s="422">
        <v>0</v>
      </c>
      <c r="O22" s="553" t="s">
        <v>3650</v>
      </c>
      <c r="P22" s="553" t="s">
        <v>3651</v>
      </c>
      <c r="Q22" s="414">
        <v>0</v>
      </c>
      <c r="R22" s="414">
        <v>0</v>
      </c>
      <c r="S22" s="414">
        <v>0</v>
      </c>
      <c r="T22" s="414">
        <v>0</v>
      </c>
      <c r="U22" s="437">
        <f t="shared" si="8"/>
        <v>0</v>
      </c>
      <c r="V22" s="550" t="s">
        <v>4103</v>
      </c>
      <c r="W22" s="566">
        <v>0</v>
      </c>
      <c r="X22" s="566"/>
      <c r="Y22" s="763">
        <f t="shared" si="17"/>
        <v>0</v>
      </c>
      <c r="Z22" s="763"/>
      <c r="AA22" s="763">
        <f t="shared" si="9"/>
        <v>0</v>
      </c>
      <c r="AB22" s="763"/>
      <c r="AC22" s="763">
        <f t="shared" si="10"/>
        <v>0</v>
      </c>
      <c r="AD22" s="549">
        <v>510</v>
      </c>
      <c r="AF22" s="449"/>
      <c r="AG22" s="449"/>
      <c r="AH22" s="449"/>
      <c r="AI22" s="449"/>
      <c r="AJ22" s="449"/>
      <c r="AK22" s="449"/>
      <c r="AL22" s="449"/>
      <c r="AM22" s="449"/>
      <c r="AN22" s="449"/>
      <c r="AO22" s="449"/>
      <c r="AP22" s="449"/>
      <c r="AQ22" s="449">
        <f t="shared" si="11"/>
        <v>0</v>
      </c>
      <c r="AS22" s="444">
        <f t="shared" si="12"/>
        <v>0</v>
      </c>
      <c r="AT22" s="444">
        <f>+'[3]PLANINVERSIONES DIC'!$BG30</f>
        <v>0</v>
      </c>
      <c r="AU22" s="444"/>
      <c r="AV22" s="444"/>
      <c r="AW22" s="444">
        <f t="shared" si="13"/>
        <v>0</v>
      </c>
      <c r="AX22" s="444"/>
      <c r="AY22" s="444">
        <f t="shared" si="14"/>
        <v>0</v>
      </c>
      <c r="AZ22" s="444">
        <f t="shared" si="15"/>
        <v>0</v>
      </c>
      <c r="BA22" s="442"/>
      <c r="BB22" s="444"/>
      <c r="BD22" s="444"/>
      <c r="BE22" s="449"/>
      <c r="BF22" s="449"/>
      <c r="BG22" s="449"/>
      <c r="BH22" s="449"/>
      <c r="BI22" s="449"/>
      <c r="BJ22" s="449"/>
      <c r="BK22" s="449"/>
      <c r="BL22" s="449"/>
      <c r="BM22" s="449"/>
      <c r="BN22" s="449"/>
      <c r="BO22" s="449"/>
      <c r="BP22" s="449"/>
      <c r="BQ22" s="449">
        <f t="shared" si="16"/>
        <v>0</v>
      </c>
    </row>
    <row r="23" spans="1:69" ht="191.25" x14ac:dyDescent="0.2">
      <c r="A23" s="1365"/>
      <c r="B23" s="1365"/>
      <c r="C23" s="1188"/>
      <c r="D23" s="1365"/>
      <c r="E23" s="1372"/>
      <c r="F23" s="1188"/>
      <c r="G23" s="1188"/>
      <c r="H23" s="1188"/>
      <c r="I23" s="401" t="s">
        <v>3299</v>
      </c>
      <c r="J23" s="754" t="s">
        <v>3696</v>
      </c>
      <c r="K23" s="754">
        <v>10</v>
      </c>
      <c r="L23" s="754" t="s">
        <v>3697</v>
      </c>
      <c r="M23" s="422">
        <v>20</v>
      </c>
      <c r="N23" s="422">
        <v>30</v>
      </c>
      <c r="O23" s="553" t="s">
        <v>3652</v>
      </c>
      <c r="P23" s="553" t="s">
        <v>3653</v>
      </c>
      <c r="Q23" s="414">
        <v>10</v>
      </c>
      <c r="R23" s="414">
        <v>10</v>
      </c>
      <c r="S23" s="414">
        <v>10</v>
      </c>
      <c r="T23" s="414">
        <v>10</v>
      </c>
      <c r="U23" s="437">
        <f t="shared" si="8"/>
        <v>40</v>
      </c>
      <c r="V23" s="550">
        <v>323</v>
      </c>
      <c r="W23" s="762"/>
      <c r="X23" s="569"/>
      <c r="Y23" s="763">
        <f t="shared" si="17"/>
        <v>10000000</v>
      </c>
      <c r="Z23" s="763"/>
      <c r="AA23" s="763">
        <f t="shared" si="9"/>
        <v>10000000</v>
      </c>
      <c r="AB23" s="763"/>
      <c r="AC23" s="763">
        <f t="shared" si="10"/>
        <v>10000000</v>
      </c>
      <c r="AD23" s="549">
        <v>510</v>
      </c>
      <c r="AF23" s="449"/>
      <c r="AG23" s="449"/>
      <c r="AH23" s="449"/>
      <c r="AI23" s="449"/>
      <c r="AJ23" s="449"/>
      <c r="AK23" s="449"/>
      <c r="AL23" s="449"/>
      <c r="AM23" s="449">
        <f>+W23-AF23</f>
        <v>0</v>
      </c>
      <c r="AN23" s="449"/>
      <c r="AO23" s="449"/>
      <c r="AP23" s="449"/>
      <c r="AQ23" s="449">
        <f t="shared" si="11"/>
        <v>0</v>
      </c>
      <c r="AS23" s="444">
        <f t="shared" si="12"/>
        <v>10000000</v>
      </c>
      <c r="AT23" s="444">
        <f>+'[3]PLANINVERSIONES DIC'!$BG31</f>
        <v>2400000</v>
      </c>
      <c r="AU23" s="580"/>
      <c r="AV23" s="444"/>
      <c r="AW23" s="444">
        <f t="shared" si="13"/>
        <v>0</v>
      </c>
      <c r="AX23" s="444"/>
      <c r="AY23" s="444">
        <f t="shared" si="14"/>
        <v>0</v>
      </c>
      <c r="AZ23" s="444">
        <f t="shared" si="15"/>
        <v>-10000000</v>
      </c>
      <c r="BA23" s="442"/>
      <c r="BB23" s="444"/>
      <c r="BD23" s="444"/>
      <c r="BE23" s="449"/>
      <c r="BF23" s="449"/>
      <c r="BG23" s="449"/>
      <c r="BH23" s="449"/>
      <c r="BI23" s="449"/>
      <c r="BJ23" s="449"/>
      <c r="BK23" s="449"/>
      <c r="BL23" s="449"/>
      <c r="BM23" s="449"/>
      <c r="BN23" s="449"/>
      <c r="BO23" s="449"/>
      <c r="BP23" s="449"/>
      <c r="BQ23" s="449">
        <f t="shared" si="16"/>
        <v>0</v>
      </c>
    </row>
    <row r="24" spans="1:69" ht="90" x14ac:dyDescent="0.2">
      <c r="A24" s="1365"/>
      <c r="B24" s="1365"/>
      <c r="C24" s="1188"/>
      <c r="D24" s="1365"/>
      <c r="E24" s="1372"/>
      <c r="F24" s="1188"/>
      <c r="G24" s="1188"/>
      <c r="H24" s="1188"/>
      <c r="I24" s="754" t="s">
        <v>3706</v>
      </c>
      <c r="J24" s="754" t="s">
        <v>3741</v>
      </c>
      <c r="K24" s="458">
        <v>25</v>
      </c>
      <c r="L24" s="754" t="s">
        <v>3224</v>
      </c>
      <c r="M24" s="422">
        <v>25</v>
      </c>
      <c r="N24" s="413">
        <v>0.8</v>
      </c>
      <c r="O24" s="413">
        <v>0.9</v>
      </c>
      <c r="P24" s="413">
        <v>1</v>
      </c>
      <c r="Q24" s="414">
        <v>150</v>
      </c>
      <c r="R24" s="414">
        <v>440</v>
      </c>
      <c r="S24" s="414">
        <v>480</v>
      </c>
      <c r="T24" s="414">
        <v>520</v>
      </c>
      <c r="U24" s="437">
        <f t="shared" si="8"/>
        <v>1590</v>
      </c>
      <c r="V24" s="550" t="s">
        <v>4104</v>
      </c>
      <c r="W24" s="566" t="e">
        <f>SUM(#REF!)</f>
        <v>#REF!</v>
      </c>
      <c r="X24" s="566"/>
      <c r="Y24" s="763" t="e">
        <f t="shared" si="17"/>
        <v>#REF!</v>
      </c>
      <c r="Z24" s="763" t="e">
        <f>SUM(#REF!)</f>
        <v>#REF!</v>
      </c>
      <c r="AA24" s="763" t="e">
        <f t="shared" si="9"/>
        <v>#REF!</v>
      </c>
      <c r="AB24" s="763"/>
      <c r="AC24" s="763" t="e">
        <f t="shared" si="10"/>
        <v>#REF!</v>
      </c>
      <c r="AD24" s="549">
        <v>310</v>
      </c>
      <c r="AF24" s="449" t="e">
        <f>+W24</f>
        <v>#REF!</v>
      </c>
      <c r="AG24" s="449"/>
      <c r="AH24" s="449"/>
      <c r="AI24" s="449"/>
      <c r="AJ24" s="449"/>
      <c r="AK24" s="449"/>
      <c r="AL24" s="449"/>
      <c r="AM24" s="449"/>
      <c r="AN24" s="449"/>
      <c r="AO24" s="449"/>
      <c r="AP24" s="449"/>
      <c r="AQ24" s="449" t="e">
        <f t="shared" si="11"/>
        <v>#REF!</v>
      </c>
      <c r="AS24" s="444" t="e">
        <f t="shared" si="12"/>
        <v>#REF!</v>
      </c>
      <c r="AT24" s="444">
        <f>+'[3]PLANINVERSIONES DIC'!$BG32</f>
        <v>157446280</v>
      </c>
      <c r="AU24" s="580"/>
      <c r="AV24" s="444"/>
      <c r="AW24" s="444">
        <f t="shared" si="13"/>
        <v>0</v>
      </c>
      <c r="AX24" s="444"/>
      <c r="AY24" s="444" t="e">
        <f t="shared" si="14"/>
        <v>#REF!</v>
      </c>
      <c r="AZ24" s="444" t="e">
        <f t="shared" si="15"/>
        <v>#REF!</v>
      </c>
      <c r="BA24" s="442"/>
      <c r="BB24" s="444"/>
      <c r="BD24" s="444"/>
      <c r="BE24" s="449"/>
      <c r="BF24" s="449"/>
      <c r="BG24" s="449"/>
      <c r="BH24" s="449"/>
      <c r="BI24" s="449"/>
      <c r="BJ24" s="449"/>
      <c r="BK24" s="449"/>
      <c r="BL24" s="449"/>
      <c r="BM24" s="449"/>
      <c r="BN24" s="449"/>
      <c r="BO24" s="449"/>
      <c r="BP24" s="449"/>
      <c r="BQ24" s="449">
        <f t="shared" si="16"/>
        <v>0</v>
      </c>
    </row>
    <row r="25" spans="1:69" ht="162.75" x14ac:dyDescent="0.2">
      <c r="A25" s="1188">
        <v>3</v>
      </c>
      <c r="B25" s="1365" t="s">
        <v>3162</v>
      </c>
      <c r="C25" s="1188" t="s">
        <v>3493</v>
      </c>
      <c r="D25" s="1365" t="s">
        <v>3707</v>
      </c>
      <c r="E25" s="1372" t="s">
        <v>3503</v>
      </c>
      <c r="F25" s="1188" t="s">
        <v>3499</v>
      </c>
      <c r="G25" s="1188" t="s">
        <v>3500</v>
      </c>
      <c r="H25" s="1188" t="s">
        <v>3501</v>
      </c>
      <c r="I25" s="479" t="s">
        <v>3750</v>
      </c>
      <c r="J25" s="754" t="s">
        <v>3505</v>
      </c>
      <c r="K25" s="754" t="s">
        <v>3506</v>
      </c>
      <c r="L25" s="754" t="s">
        <v>3221</v>
      </c>
      <c r="M25" s="401" t="s">
        <v>3507</v>
      </c>
      <c r="N25" s="401" t="s">
        <v>3744</v>
      </c>
      <c r="O25" s="401" t="s">
        <v>3745</v>
      </c>
      <c r="P25" s="401" t="s">
        <v>3746</v>
      </c>
      <c r="Q25" s="414">
        <v>900</v>
      </c>
      <c r="R25" s="414">
        <v>948</v>
      </c>
      <c r="S25" s="414">
        <f>R25*1.03</f>
        <v>976.44</v>
      </c>
      <c r="T25" s="414">
        <f>+S25*1.03</f>
        <v>1005.7332000000001</v>
      </c>
      <c r="U25" s="437">
        <f t="shared" si="8"/>
        <v>3830.1732000000002</v>
      </c>
      <c r="V25" s="550" t="s">
        <v>4105</v>
      </c>
      <c r="W25" s="566" t="e">
        <f>SUM(#REF!)</f>
        <v>#REF!</v>
      </c>
      <c r="X25" s="566"/>
      <c r="Y25" s="763" t="e">
        <f t="shared" si="17"/>
        <v>#REF!</v>
      </c>
      <c r="Z25" s="763" t="e">
        <f>SUM(#REF!)</f>
        <v>#REF!</v>
      </c>
      <c r="AA25" s="763" t="e">
        <f t="shared" si="9"/>
        <v>#REF!</v>
      </c>
      <c r="AB25" s="763"/>
      <c r="AC25" s="763" t="e">
        <f t="shared" si="10"/>
        <v>#REF!</v>
      </c>
      <c r="AD25" s="549">
        <v>310</v>
      </c>
      <c r="AF25" s="449" t="e">
        <f>+W25</f>
        <v>#REF!</v>
      </c>
      <c r="AG25" s="449"/>
      <c r="AH25" s="449"/>
      <c r="AI25" s="449"/>
      <c r="AJ25" s="449"/>
      <c r="AK25" s="449"/>
      <c r="AL25" s="449"/>
      <c r="AM25" s="449"/>
      <c r="AN25" s="449"/>
      <c r="AO25" s="449"/>
      <c r="AP25" s="449"/>
      <c r="AQ25" s="449" t="e">
        <f t="shared" si="11"/>
        <v>#REF!</v>
      </c>
      <c r="AS25" s="444" t="e">
        <f t="shared" si="12"/>
        <v>#REF!</v>
      </c>
      <c r="AT25" s="444">
        <f>SUM('[3]PLANINVERSIONES DIC'!$BG$33:$BG$39)</f>
        <v>17295991</v>
      </c>
      <c r="AU25" s="588">
        <v>39469246</v>
      </c>
      <c r="AV25" s="444"/>
      <c r="AW25" s="444"/>
      <c r="AX25" s="444"/>
      <c r="AY25" s="444" t="e">
        <f t="shared" si="14"/>
        <v>#REF!</v>
      </c>
      <c r="AZ25" s="444" t="e">
        <f t="shared" si="15"/>
        <v>#REF!</v>
      </c>
      <c r="BA25" s="442"/>
      <c r="BB25" s="444"/>
      <c r="BD25" s="444"/>
      <c r="BE25" s="449"/>
      <c r="BF25" s="449"/>
      <c r="BG25" s="449"/>
      <c r="BH25" s="449"/>
      <c r="BI25" s="449"/>
      <c r="BJ25" s="449"/>
      <c r="BK25" s="449"/>
      <c r="BL25" s="449"/>
      <c r="BM25" s="449"/>
      <c r="BN25" s="449"/>
      <c r="BO25" s="449"/>
      <c r="BP25" s="449"/>
      <c r="BQ25" s="449">
        <f t="shared" si="16"/>
        <v>0</v>
      </c>
    </row>
    <row r="26" spans="1:69" ht="90" x14ac:dyDescent="0.2">
      <c r="A26" s="1188"/>
      <c r="B26" s="1402"/>
      <c r="C26" s="1188"/>
      <c r="D26" s="1365"/>
      <c r="E26" s="1372"/>
      <c r="F26" s="1188"/>
      <c r="G26" s="1188"/>
      <c r="H26" s="1188"/>
      <c r="I26" s="1185" t="s">
        <v>3708</v>
      </c>
      <c r="J26" s="754" t="s">
        <v>3508</v>
      </c>
      <c r="K26" s="754" t="s">
        <v>3509</v>
      </c>
      <c r="L26" s="754" t="s">
        <v>3232</v>
      </c>
      <c r="M26" s="421">
        <v>21</v>
      </c>
      <c r="N26" s="421">
        <v>22</v>
      </c>
      <c r="O26" s="421">
        <v>23</v>
      </c>
      <c r="P26" s="421">
        <v>25</v>
      </c>
      <c r="Q26" s="414">
        <v>420</v>
      </c>
      <c r="R26" s="414">
        <v>330</v>
      </c>
      <c r="S26" s="414">
        <v>460</v>
      </c>
      <c r="T26" s="414">
        <v>500</v>
      </c>
      <c r="U26" s="437">
        <f t="shared" si="8"/>
        <v>1710</v>
      </c>
      <c r="V26" s="550" t="s">
        <v>4108</v>
      </c>
      <c r="W26" s="566" t="e">
        <f>+#REF!</f>
        <v>#REF!</v>
      </c>
      <c r="X26" s="566"/>
      <c r="Y26" s="763" t="e">
        <f t="shared" si="17"/>
        <v>#REF!</v>
      </c>
      <c r="Z26" s="763" t="e">
        <f>SUM(#REF!)</f>
        <v>#REF!</v>
      </c>
      <c r="AA26" s="763" t="e">
        <f t="shared" si="9"/>
        <v>#REF!</v>
      </c>
      <c r="AB26" s="772"/>
      <c r="AC26" s="763" t="e">
        <f t="shared" si="10"/>
        <v>#REF!</v>
      </c>
      <c r="AD26" s="549">
        <v>410</v>
      </c>
      <c r="AF26" s="449">
        <v>128931366</v>
      </c>
      <c r="AG26" s="449">
        <v>68634</v>
      </c>
      <c r="AH26" s="449"/>
      <c r="AI26" s="449"/>
      <c r="AJ26" s="449"/>
      <c r="AK26" s="449"/>
      <c r="AL26" s="449"/>
      <c r="AM26" s="490" t="e">
        <f>+W26-AF26-AG26</f>
        <v>#REF!</v>
      </c>
      <c r="AN26" s="490"/>
      <c r="AO26" s="449"/>
      <c r="AP26" s="449"/>
      <c r="AQ26" s="449" t="e">
        <f t="shared" si="11"/>
        <v>#REF!</v>
      </c>
      <c r="AR26" s="449" t="e">
        <f t="shared" ref="AR26:AR37" si="18">+S26*1000000-W26</f>
        <v>#REF!</v>
      </c>
      <c r="AS26" s="444" t="e">
        <f t="shared" si="12"/>
        <v>#REF!</v>
      </c>
      <c r="AT26" s="444">
        <f>+'[3]PLANINVERSIONES DIC'!$BG40</f>
        <v>43407540</v>
      </c>
      <c r="AU26" s="587">
        <v>164057569</v>
      </c>
      <c r="AV26" s="444"/>
      <c r="AW26" s="444"/>
      <c r="AX26" s="444"/>
      <c r="AY26" s="444" t="e">
        <f t="shared" si="14"/>
        <v>#REF!</v>
      </c>
      <c r="AZ26" s="444" t="e">
        <f t="shared" si="15"/>
        <v>#REF!</v>
      </c>
      <c r="BA26" s="442"/>
      <c r="BB26" s="444"/>
      <c r="BD26" s="444">
        <v>0</v>
      </c>
      <c r="BE26" s="449"/>
      <c r="BF26" s="449"/>
      <c r="BG26" s="449"/>
      <c r="BH26" s="449"/>
      <c r="BI26" s="449"/>
      <c r="BJ26" s="449"/>
      <c r="BK26" s="449"/>
      <c r="BL26" s="545"/>
      <c r="BM26" s="545"/>
      <c r="BN26" s="545"/>
      <c r="BO26" s="449"/>
      <c r="BP26" s="449"/>
      <c r="BQ26" s="449">
        <f t="shared" si="16"/>
        <v>0</v>
      </c>
    </row>
    <row r="27" spans="1:69" ht="60" x14ac:dyDescent="0.2">
      <c r="A27" s="1188"/>
      <c r="B27" s="1402"/>
      <c r="C27" s="1188"/>
      <c r="D27" s="1365"/>
      <c r="E27" s="1372"/>
      <c r="F27" s="1188"/>
      <c r="G27" s="1188"/>
      <c r="H27" s="1188"/>
      <c r="I27" s="1186"/>
      <c r="J27" s="754" t="s">
        <v>3510</v>
      </c>
      <c r="K27" s="754" t="s">
        <v>3511</v>
      </c>
      <c r="L27" s="754" t="s">
        <v>3271</v>
      </c>
      <c r="M27" s="421">
        <v>17</v>
      </c>
      <c r="N27" s="421">
        <v>18</v>
      </c>
      <c r="O27" s="421">
        <v>19</v>
      </c>
      <c r="P27" s="421">
        <v>20</v>
      </c>
      <c r="Q27" s="414">
        <v>160</v>
      </c>
      <c r="R27" s="414">
        <v>356</v>
      </c>
      <c r="S27" s="414">
        <v>180</v>
      </c>
      <c r="T27" s="414">
        <v>190</v>
      </c>
      <c r="U27" s="437">
        <f t="shared" si="8"/>
        <v>886</v>
      </c>
      <c r="V27" s="550" t="s">
        <v>4109</v>
      </c>
      <c r="W27" s="566" t="e">
        <f>+#REF!</f>
        <v>#REF!</v>
      </c>
      <c r="X27" s="566"/>
      <c r="Y27" s="763" t="e">
        <f t="shared" si="17"/>
        <v>#REF!</v>
      </c>
      <c r="Z27" s="763" t="e">
        <f>SUM(#REF!)</f>
        <v>#REF!</v>
      </c>
      <c r="AA27" s="763" t="e">
        <f t="shared" si="9"/>
        <v>#REF!</v>
      </c>
      <c r="AB27" s="772">
        <v>5000000</v>
      </c>
      <c r="AC27" s="763" t="e">
        <f t="shared" si="10"/>
        <v>#REF!</v>
      </c>
      <c r="AD27" s="549">
        <v>410</v>
      </c>
      <c r="AF27" s="449">
        <v>30000000</v>
      </c>
      <c r="AG27" s="449"/>
      <c r="AH27" s="449"/>
      <c r="AI27" s="449"/>
      <c r="AJ27" s="449"/>
      <c r="AK27" s="449"/>
      <c r="AL27" s="449"/>
      <c r="AM27" s="449" t="e">
        <f>+W27-AF27</f>
        <v>#REF!</v>
      </c>
      <c r="AN27" s="449"/>
      <c r="AO27" s="449"/>
      <c r="AP27" s="449"/>
      <c r="AQ27" s="449" t="e">
        <f t="shared" si="11"/>
        <v>#REF!</v>
      </c>
      <c r="AR27" s="449" t="e">
        <f t="shared" si="18"/>
        <v>#REF!</v>
      </c>
      <c r="AS27" s="444" t="e">
        <f t="shared" si="12"/>
        <v>#REF!</v>
      </c>
      <c r="AT27" s="444">
        <f>+'[3]PLANINVERSIONES DIC'!$BG41</f>
        <v>15915416</v>
      </c>
      <c r="AU27" s="587">
        <v>20000000</v>
      </c>
      <c r="AV27" s="444"/>
      <c r="AW27" s="444">
        <f>+BD27</f>
        <v>6000000</v>
      </c>
      <c r="AX27" s="444"/>
      <c r="AY27" s="444" t="e">
        <f t="shared" si="14"/>
        <v>#REF!</v>
      </c>
      <c r="AZ27" s="444" t="e">
        <f t="shared" si="15"/>
        <v>#REF!</v>
      </c>
      <c r="BA27" s="442"/>
      <c r="BB27" s="444"/>
      <c r="BD27" s="444">
        <v>6000000</v>
      </c>
      <c r="BE27" s="449"/>
      <c r="BF27" s="449">
        <f>+BD27</f>
        <v>6000000</v>
      </c>
      <c r="BG27" s="449"/>
      <c r="BH27" s="449"/>
      <c r="BI27" s="449"/>
      <c r="BJ27" s="449"/>
      <c r="BK27" s="449"/>
      <c r="BL27" s="449"/>
      <c r="BM27" s="449"/>
      <c r="BN27" s="449"/>
      <c r="BO27" s="449"/>
      <c r="BP27" s="449"/>
      <c r="BQ27" s="449">
        <f t="shared" si="16"/>
        <v>6000000</v>
      </c>
    </row>
    <row r="28" spans="1:69" ht="75" x14ac:dyDescent="0.2">
      <c r="A28" s="1188"/>
      <c r="B28" s="1402"/>
      <c r="C28" s="1188"/>
      <c r="D28" s="1365"/>
      <c r="E28" s="1372"/>
      <c r="F28" s="1188"/>
      <c r="G28" s="1188"/>
      <c r="H28" s="1188"/>
      <c r="I28" s="1187"/>
      <c r="J28" s="754" t="s">
        <v>3512</v>
      </c>
      <c r="K28" s="754" t="s">
        <v>3513</v>
      </c>
      <c r="L28" s="754" t="s">
        <v>3233</v>
      </c>
      <c r="M28" s="421">
        <v>28</v>
      </c>
      <c r="N28" s="421">
        <v>29</v>
      </c>
      <c r="O28" s="421">
        <v>32</v>
      </c>
      <c r="P28" s="421">
        <v>34</v>
      </c>
      <c r="Q28" s="414">
        <v>56</v>
      </c>
      <c r="R28" s="414">
        <v>124</v>
      </c>
      <c r="S28" s="414">
        <v>64</v>
      </c>
      <c r="T28" s="414">
        <v>68</v>
      </c>
      <c r="U28" s="437">
        <f t="shared" si="8"/>
        <v>312</v>
      </c>
      <c r="V28" s="550" t="s">
        <v>4110</v>
      </c>
      <c r="W28" s="566" t="e">
        <f>+#REF!</f>
        <v>#REF!</v>
      </c>
      <c r="X28" s="566"/>
      <c r="Y28" s="763" t="e">
        <f t="shared" si="17"/>
        <v>#REF!</v>
      </c>
      <c r="Z28" s="763" t="e">
        <f>SUM(#REF!)</f>
        <v>#REF!</v>
      </c>
      <c r="AA28" s="763" t="e">
        <f t="shared" si="9"/>
        <v>#REF!</v>
      </c>
      <c r="AB28" s="772">
        <v>3000000</v>
      </c>
      <c r="AC28" s="763" t="e">
        <f t="shared" si="10"/>
        <v>#REF!</v>
      </c>
      <c r="AD28" s="549">
        <v>410</v>
      </c>
      <c r="AF28" s="449"/>
      <c r="AG28" s="449"/>
      <c r="AH28" s="449"/>
      <c r="AI28" s="449"/>
      <c r="AJ28" s="449"/>
      <c r="AK28" s="449"/>
      <c r="AL28" s="449"/>
      <c r="AM28" s="449" t="e">
        <f>+W28-AF28</f>
        <v>#REF!</v>
      </c>
      <c r="AN28" s="449"/>
      <c r="AO28" s="449"/>
      <c r="AP28" s="449"/>
      <c r="AQ28" s="449" t="e">
        <f t="shared" si="11"/>
        <v>#REF!</v>
      </c>
      <c r="AR28" s="449" t="e">
        <f t="shared" si="18"/>
        <v>#REF!</v>
      </c>
      <c r="AS28" s="444" t="e">
        <f t="shared" si="12"/>
        <v>#REF!</v>
      </c>
      <c r="AT28" s="444">
        <f>+'[3]PLANINVERSIONES DIC'!$BG42</f>
        <v>11462829</v>
      </c>
      <c r="AU28" s="580">
        <v>44000000</v>
      </c>
      <c r="AV28" s="444"/>
      <c r="AW28" s="444">
        <f>+BD28</f>
        <v>32000000</v>
      </c>
      <c r="AX28" s="444"/>
      <c r="AY28" s="444" t="e">
        <f t="shared" si="14"/>
        <v>#REF!</v>
      </c>
      <c r="AZ28" s="444" t="e">
        <f t="shared" si="15"/>
        <v>#REF!</v>
      </c>
      <c r="BA28" s="442"/>
      <c r="BB28" s="444"/>
      <c r="BD28" s="444">
        <v>32000000</v>
      </c>
      <c r="BE28" s="449"/>
      <c r="BF28" s="449">
        <f>+BD28</f>
        <v>32000000</v>
      </c>
      <c r="BG28" s="449"/>
      <c r="BH28" s="449"/>
      <c r="BI28" s="449"/>
      <c r="BJ28" s="449"/>
      <c r="BK28" s="449"/>
      <c r="BL28" s="449"/>
      <c r="BM28" s="449"/>
      <c r="BN28" s="449"/>
      <c r="BO28" s="449"/>
      <c r="BP28" s="449"/>
      <c r="BQ28" s="449">
        <f t="shared" si="16"/>
        <v>32000000</v>
      </c>
    </row>
    <row r="29" spans="1:69" ht="150" x14ac:dyDescent="0.2">
      <c r="A29" s="1188"/>
      <c r="B29" s="1402"/>
      <c r="C29" s="1188"/>
      <c r="D29" s="1365"/>
      <c r="E29" s="1372"/>
      <c r="F29" s="1188"/>
      <c r="G29" s="1188"/>
      <c r="H29" s="1188"/>
      <c r="I29" s="1185" t="s">
        <v>3180</v>
      </c>
      <c r="J29" s="754" t="s">
        <v>3688</v>
      </c>
      <c r="K29" s="754" t="s">
        <v>3517</v>
      </c>
      <c r="L29" s="754" t="s">
        <v>3518</v>
      </c>
      <c r="M29" s="401" t="s">
        <v>3519</v>
      </c>
      <c r="N29" s="401" t="s">
        <v>3747</v>
      </c>
      <c r="O29" s="401" t="s">
        <v>3748</v>
      </c>
      <c r="P29" s="401" t="s">
        <v>3749</v>
      </c>
      <c r="Q29" s="414">
        <v>122</v>
      </c>
      <c r="R29" s="414">
        <v>97</v>
      </c>
      <c r="S29" s="414">
        <v>176</v>
      </c>
      <c r="T29" s="414">
        <v>180</v>
      </c>
      <c r="U29" s="437">
        <f t="shared" si="8"/>
        <v>575</v>
      </c>
      <c r="V29" s="550">
        <v>333</v>
      </c>
      <c r="W29" s="566" t="e">
        <f>SUM(#REF!)</f>
        <v>#REF!</v>
      </c>
      <c r="X29" s="566"/>
      <c r="Y29" s="763" t="e">
        <f t="shared" si="17"/>
        <v>#REF!</v>
      </c>
      <c r="Z29" s="763" t="e">
        <f>SUM(#REF!)</f>
        <v>#REF!</v>
      </c>
      <c r="AA29" s="763" t="e">
        <f t="shared" si="9"/>
        <v>#REF!</v>
      </c>
      <c r="AB29" s="763"/>
      <c r="AC29" s="763" t="e">
        <f t="shared" si="10"/>
        <v>#REF!</v>
      </c>
      <c r="AD29" s="549">
        <v>410</v>
      </c>
      <c r="AF29" s="449">
        <v>10000000</v>
      </c>
      <c r="AG29" s="449"/>
      <c r="AH29" s="449"/>
      <c r="AI29" s="449"/>
      <c r="AJ29" s="449"/>
      <c r="AK29" s="449"/>
      <c r="AL29" s="449"/>
      <c r="AM29" s="449" t="e">
        <f>+W29-AF29</f>
        <v>#REF!</v>
      </c>
      <c r="AN29" s="449"/>
      <c r="AO29" s="449"/>
      <c r="AP29" s="449"/>
      <c r="AQ29" s="449" t="e">
        <f t="shared" si="11"/>
        <v>#REF!</v>
      </c>
      <c r="AR29" s="449" t="e">
        <f t="shared" si="18"/>
        <v>#REF!</v>
      </c>
      <c r="AS29" s="444" t="e">
        <f t="shared" si="12"/>
        <v>#REF!</v>
      </c>
      <c r="AT29" s="444">
        <f>SUM('[3]PLANINVERSIONES DIC'!$BG$43:$BG$45)</f>
        <v>17036434</v>
      </c>
      <c r="AU29" s="580">
        <v>136000000</v>
      </c>
      <c r="AV29" s="444"/>
      <c r="AW29" s="444">
        <f>+BD29</f>
        <v>30000000</v>
      </c>
      <c r="AX29" s="444"/>
      <c r="AY29" s="444" t="e">
        <f t="shared" si="14"/>
        <v>#REF!</v>
      </c>
      <c r="AZ29" s="444" t="e">
        <f t="shared" si="15"/>
        <v>#REF!</v>
      </c>
      <c r="BA29" s="442"/>
      <c r="BB29" s="444"/>
      <c r="BD29" s="444">
        <v>30000000</v>
      </c>
      <c r="BE29" s="449"/>
      <c r="BF29" s="449">
        <f>+BD29</f>
        <v>30000000</v>
      </c>
      <c r="BG29" s="449"/>
      <c r="BH29" s="449"/>
      <c r="BI29" s="449"/>
      <c r="BJ29" s="449"/>
      <c r="BK29" s="449"/>
      <c r="BL29" s="449"/>
      <c r="BM29" s="449"/>
      <c r="BN29" s="449"/>
      <c r="BO29" s="449"/>
      <c r="BP29" s="449"/>
      <c r="BQ29" s="449">
        <f t="shared" si="16"/>
        <v>30000000</v>
      </c>
    </row>
    <row r="30" spans="1:69" ht="60" x14ac:dyDescent="0.2">
      <c r="A30" s="1188"/>
      <c r="B30" s="1402"/>
      <c r="C30" s="1188"/>
      <c r="D30" s="1365"/>
      <c r="E30" s="1372"/>
      <c r="F30" s="1188"/>
      <c r="G30" s="1188"/>
      <c r="H30" s="1188"/>
      <c r="I30" s="1187"/>
      <c r="J30" s="754" t="s">
        <v>3424</v>
      </c>
      <c r="K30" s="754">
        <v>5</v>
      </c>
      <c r="L30" s="754" t="s">
        <v>3639</v>
      </c>
      <c r="M30" s="401"/>
      <c r="N30" s="401">
        <v>5</v>
      </c>
      <c r="O30" s="401">
        <v>4</v>
      </c>
      <c r="P30" s="401">
        <v>4</v>
      </c>
      <c r="Q30" s="414"/>
      <c r="R30" s="414">
        <v>74</v>
      </c>
      <c r="S30" s="414">
        <v>80</v>
      </c>
      <c r="T30" s="414">
        <v>100</v>
      </c>
      <c r="U30" s="437">
        <f t="shared" si="8"/>
        <v>254</v>
      </c>
      <c r="V30" s="550" t="s">
        <v>3640</v>
      </c>
      <c r="W30" s="566" t="e">
        <f>+#REF!</f>
        <v>#REF!</v>
      </c>
      <c r="X30" s="566"/>
      <c r="Y30" s="763" t="e">
        <f t="shared" si="17"/>
        <v>#REF!</v>
      </c>
      <c r="Z30" s="763" t="e">
        <f>SUM(#REF!)</f>
        <v>#REF!</v>
      </c>
      <c r="AA30" s="763" t="e">
        <f t="shared" si="9"/>
        <v>#REF!</v>
      </c>
      <c r="AB30" s="763"/>
      <c r="AC30" s="763" t="e">
        <f t="shared" si="10"/>
        <v>#REF!</v>
      </c>
      <c r="AD30" s="549">
        <v>410</v>
      </c>
      <c r="AF30" s="449"/>
      <c r="AG30" s="449"/>
      <c r="AH30" s="449"/>
      <c r="AI30" s="449"/>
      <c r="AJ30" s="449"/>
      <c r="AK30" s="449"/>
      <c r="AL30" s="449"/>
      <c r="AM30" s="449" t="e">
        <f>+W30-AF30</f>
        <v>#REF!</v>
      </c>
      <c r="AN30" s="449"/>
      <c r="AO30" s="449"/>
      <c r="AP30" s="449"/>
      <c r="AQ30" s="449" t="e">
        <f t="shared" si="11"/>
        <v>#REF!</v>
      </c>
      <c r="AR30" s="449" t="e">
        <f t="shared" si="18"/>
        <v>#REF!</v>
      </c>
      <c r="AS30" s="444" t="e">
        <f t="shared" si="12"/>
        <v>#REF!</v>
      </c>
      <c r="AT30" s="444">
        <f>+'[3]PLANINVERSIONES DIC'!$BG$46</f>
        <v>66531000</v>
      </c>
      <c r="AU30" s="580">
        <v>60000000</v>
      </c>
      <c r="AV30" s="444"/>
      <c r="AW30" s="444">
        <f>+BD30</f>
        <v>90000000</v>
      </c>
      <c r="AX30" s="444"/>
      <c r="AY30" s="444" t="e">
        <f t="shared" si="14"/>
        <v>#REF!</v>
      </c>
      <c r="AZ30" s="444" t="e">
        <f t="shared" si="15"/>
        <v>#REF!</v>
      </c>
      <c r="BA30" s="442"/>
      <c r="BB30" s="444"/>
      <c r="BD30" s="444">
        <v>90000000</v>
      </c>
      <c r="BE30" s="449"/>
      <c r="BF30" s="449">
        <f>+BD30</f>
        <v>90000000</v>
      </c>
      <c r="BG30" s="449"/>
      <c r="BH30" s="449"/>
      <c r="BI30" s="449"/>
      <c r="BJ30" s="449"/>
      <c r="BK30" s="449"/>
      <c r="BL30" s="449"/>
      <c r="BM30" s="449"/>
      <c r="BN30" s="449"/>
      <c r="BO30" s="449"/>
      <c r="BP30" s="449"/>
      <c r="BQ30" s="449">
        <f t="shared" si="16"/>
        <v>90000000</v>
      </c>
    </row>
    <row r="31" spans="1:69" ht="75" x14ac:dyDescent="0.2">
      <c r="A31" s="1188"/>
      <c r="B31" s="1402"/>
      <c r="C31" s="1188"/>
      <c r="D31" s="1365"/>
      <c r="E31" s="1372"/>
      <c r="F31" s="1188"/>
      <c r="G31" s="1188"/>
      <c r="H31" s="1188"/>
      <c r="I31" s="1185" t="s">
        <v>3709</v>
      </c>
      <c r="J31" s="754" t="s">
        <v>3515</v>
      </c>
      <c r="K31" s="754" t="s">
        <v>3516</v>
      </c>
      <c r="L31" s="754" t="s">
        <v>3222</v>
      </c>
      <c r="M31" s="421">
        <v>6</v>
      </c>
      <c r="N31" s="421">
        <v>7</v>
      </c>
      <c r="O31" s="421">
        <v>8</v>
      </c>
      <c r="P31" s="421">
        <v>10</v>
      </c>
      <c r="Q31" s="414">
        <v>90</v>
      </c>
      <c r="R31" s="414">
        <v>672</v>
      </c>
      <c r="S31" s="414">
        <v>120</v>
      </c>
      <c r="T31" s="414">
        <v>150</v>
      </c>
      <c r="U31" s="437">
        <f t="shared" si="8"/>
        <v>1032</v>
      </c>
      <c r="V31" s="550" t="s">
        <v>4111</v>
      </c>
      <c r="W31" s="566" t="e">
        <f>SUM(#REF!)</f>
        <v>#REF!</v>
      </c>
      <c r="X31" s="566"/>
      <c r="Y31" s="763" t="e">
        <f t="shared" si="17"/>
        <v>#REF!</v>
      </c>
      <c r="Z31" s="763"/>
      <c r="AA31" s="763" t="e">
        <f t="shared" si="9"/>
        <v>#REF!</v>
      </c>
      <c r="AB31" s="763"/>
      <c r="AC31" s="763" t="e">
        <f t="shared" si="10"/>
        <v>#REF!</v>
      </c>
      <c r="AD31" s="549">
        <v>410</v>
      </c>
      <c r="AF31" s="449"/>
      <c r="AG31" s="449">
        <v>200000000</v>
      </c>
      <c r="AH31" s="449"/>
      <c r="AI31" s="449"/>
      <c r="AJ31" s="449"/>
      <c r="AK31" s="449"/>
      <c r="AL31" s="449">
        <f>800000000+616800000</f>
        <v>1416800000</v>
      </c>
      <c r="AM31" s="449"/>
      <c r="AN31" s="449"/>
      <c r="AO31" s="449"/>
      <c r="AP31" s="449"/>
      <c r="AQ31" s="449">
        <f t="shared" si="11"/>
        <v>1616800000</v>
      </c>
      <c r="AR31" s="449" t="e">
        <f t="shared" si="18"/>
        <v>#REF!</v>
      </c>
      <c r="AS31" s="583" t="e">
        <f t="shared" si="12"/>
        <v>#REF!</v>
      </c>
      <c r="AT31" s="444">
        <f>+'[3]PLANINVERSIONES DIC'!$BG$47</f>
        <v>208123315</v>
      </c>
      <c r="AU31" s="587">
        <v>5000000</v>
      </c>
      <c r="AV31" s="444">
        <v>900000000</v>
      </c>
      <c r="AW31" s="444">
        <f>+BD31+AV31</f>
        <v>900000000</v>
      </c>
      <c r="AX31" s="444"/>
      <c r="AY31" s="444" t="e">
        <f t="shared" si="14"/>
        <v>#REF!</v>
      </c>
      <c r="AZ31" s="444" t="e">
        <f t="shared" si="15"/>
        <v>#REF!</v>
      </c>
      <c r="BA31" s="444"/>
      <c r="BB31" s="444">
        <v>2500000000</v>
      </c>
      <c r="BD31" s="444"/>
      <c r="BE31" s="449"/>
      <c r="BF31" s="449">
        <f>+BD31</f>
        <v>0</v>
      </c>
      <c r="BG31" s="449"/>
      <c r="BH31" s="449"/>
      <c r="BI31" s="449"/>
      <c r="BJ31" s="449"/>
      <c r="BK31" s="449">
        <f>+AV31</f>
        <v>900000000</v>
      </c>
      <c r="BL31" s="449"/>
      <c r="BM31" s="449"/>
      <c r="BN31" s="449"/>
      <c r="BO31" s="449"/>
      <c r="BP31" s="449"/>
      <c r="BQ31" s="449">
        <f t="shared" si="16"/>
        <v>900000000</v>
      </c>
    </row>
    <row r="32" spans="1:69" ht="75" x14ac:dyDescent="0.2">
      <c r="A32" s="1188"/>
      <c r="B32" s="1402"/>
      <c r="C32" s="1188"/>
      <c r="D32" s="1365"/>
      <c r="E32" s="1372"/>
      <c r="F32" s="1188"/>
      <c r="G32" s="1188"/>
      <c r="H32" s="1188"/>
      <c r="I32" s="1187"/>
      <c r="J32" s="754" t="s">
        <v>3687</v>
      </c>
      <c r="K32" s="754" t="s">
        <v>3514</v>
      </c>
      <c r="L32" s="754" t="s">
        <v>3235</v>
      </c>
      <c r="M32" s="421">
        <v>49</v>
      </c>
      <c r="N32" s="421">
        <v>49</v>
      </c>
      <c r="O32" s="421">
        <v>52</v>
      </c>
      <c r="P32" s="421">
        <v>56</v>
      </c>
      <c r="Q32" s="414">
        <v>760</v>
      </c>
      <c r="R32" s="414">
        <v>985</v>
      </c>
      <c r="S32" s="414">
        <v>780</v>
      </c>
      <c r="T32" s="414">
        <v>800</v>
      </c>
      <c r="U32" s="437">
        <f t="shared" si="8"/>
        <v>3325</v>
      </c>
      <c r="V32" s="550" t="s">
        <v>4112</v>
      </c>
      <c r="W32" s="566" t="e">
        <f>SUM(#REF!)</f>
        <v>#REF!</v>
      </c>
      <c r="X32" s="566"/>
      <c r="Y32" s="763" t="e">
        <f t="shared" si="17"/>
        <v>#REF!</v>
      </c>
      <c r="Z32" s="763" t="e">
        <f>+#REF!</f>
        <v>#REF!</v>
      </c>
      <c r="AA32" s="763" t="e">
        <f t="shared" si="9"/>
        <v>#REF!</v>
      </c>
      <c r="AB32" s="772"/>
      <c r="AC32" s="763" t="e">
        <f t="shared" si="10"/>
        <v>#REF!</v>
      </c>
      <c r="AD32" s="549">
        <v>410</v>
      </c>
      <c r="AF32" s="449"/>
      <c r="AG32" s="449">
        <v>300000000</v>
      </c>
      <c r="AH32" s="449"/>
      <c r="AI32" s="449"/>
      <c r="AJ32" s="449"/>
      <c r="AK32" s="449"/>
      <c r="AL32" s="449"/>
      <c r="AM32" s="449">
        <v>100000000</v>
      </c>
      <c r="AN32" s="449"/>
      <c r="AO32" s="449"/>
      <c r="AP32" s="449"/>
      <c r="AQ32" s="449">
        <f t="shared" si="11"/>
        <v>400000000</v>
      </c>
      <c r="AR32" s="449" t="e">
        <f t="shared" si="18"/>
        <v>#REF!</v>
      </c>
      <c r="AS32" s="444" t="e">
        <f t="shared" si="12"/>
        <v>#REF!</v>
      </c>
      <c r="AT32" s="444">
        <f>+'[3]PLANINVERSIONES DIC'!$BG$48</f>
        <v>187359323</v>
      </c>
      <c r="AU32" s="587">
        <v>81675181</v>
      </c>
      <c r="AV32" s="444"/>
      <c r="AW32" s="444">
        <f>+BD32</f>
        <v>132732750</v>
      </c>
      <c r="AX32" s="444"/>
      <c r="AY32" s="444" t="e">
        <f t="shared" si="14"/>
        <v>#REF!</v>
      </c>
      <c r="AZ32" s="444" t="e">
        <f t="shared" si="15"/>
        <v>#REF!</v>
      </c>
      <c r="BA32" s="442"/>
      <c r="BB32" s="444"/>
      <c r="BD32" s="444">
        <f>132000000+732750</f>
        <v>132732750</v>
      </c>
      <c r="BE32" s="449"/>
      <c r="BF32" s="449" t="e">
        <f>+BD32-BK32</f>
        <v>#REF!</v>
      </c>
      <c r="BG32" s="449"/>
      <c r="BH32" s="449"/>
      <c r="BI32" s="449"/>
      <c r="BJ32" s="449"/>
      <c r="BK32" s="449" t="e">
        <f>+#REF!</f>
        <v>#REF!</v>
      </c>
      <c r="BL32" s="449"/>
      <c r="BM32" s="449"/>
      <c r="BN32" s="449"/>
      <c r="BO32" s="449"/>
      <c r="BP32" s="449"/>
      <c r="BQ32" s="449" t="e">
        <f t="shared" si="16"/>
        <v>#REF!</v>
      </c>
    </row>
    <row r="33" spans="1:69" ht="75" x14ac:dyDescent="0.2">
      <c r="A33" s="1188"/>
      <c r="B33" s="1402"/>
      <c r="C33" s="1188"/>
      <c r="D33" s="1365"/>
      <c r="E33" s="1372"/>
      <c r="F33" s="1188"/>
      <c r="G33" s="1188"/>
      <c r="H33" s="1188"/>
      <c r="I33" s="754" t="s">
        <v>3710</v>
      </c>
      <c r="J33" s="754" t="s">
        <v>3523</v>
      </c>
      <c r="K33" s="754" t="s">
        <v>3524</v>
      </c>
      <c r="L33" s="754" t="s">
        <v>3525</v>
      </c>
      <c r="M33" s="423">
        <v>3</v>
      </c>
      <c r="N33" s="423">
        <v>3</v>
      </c>
      <c r="O33" s="423">
        <v>4</v>
      </c>
      <c r="P33" s="423">
        <v>4</v>
      </c>
      <c r="Q33" s="424">
        <v>30</v>
      </c>
      <c r="R33" s="424">
        <v>30</v>
      </c>
      <c r="S33" s="424">
        <v>40</v>
      </c>
      <c r="T33" s="424">
        <v>40</v>
      </c>
      <c r="U33" s="438">
        <f t="shared" si="8"/>
        <v>140</v>
      </c>
      <c r="V33" s="550">
        <v>335</v>
      </c>
      <c r="W33" s="566" t="e">
        <f>+#REF!</f>
        <v>#REF!</v>
      </c>
      <c r="X33" s="566"/>
      <c r="Y33" s="763" t="e">
        <f t="shared" si="17"/>
        <v>#REF!</v>
      </c>
      <c r="Z33" s="763"/>
      <c r="AA33" s="763" t="e">
        <f t="shared" si="9"/>
        <v>#REF!</v>
      </c>
      <c r="AB33" s="763"/>
      <c r="AC33" s="763" t="e">
        <f t="shared" si="10"/>
        <v>#REF!</v>
      </c>
      <c r="AD33" s="549">
        <v>410</v>
      </c>
      <c r="AF33" s="449"/>
      <c r="AG33" s="449"/>
      <c r="AH33" s="449"/>
      <c r="AI33" s="449"/>
      <c r="AJ33" s="449"/>
      <c r="AK33" s="449"/>
      <c r="AL33" s="449"/>
      <c r="AM33" s="449" t="e">
        <f>+W33</f>
        <v>#REF!</v>
      </c>
      <c r="AN33" s="449"/>
      <c r="AO33" s="449"/>
      <c r="AP33" s="449"/>
      <c r="AQ33" s="449" t="e">
        <f t="shared" si="11"/>
        <v>#REF!</v>
      </c>
      <c r="AR33" s="449" t="e">
        <f t="shared" si="18"/>
        <v>#REF!</v>
      </c>
      <c r="AS33" s="444" t="e">
        <f t="shared" si="12"/>
        <v>#REF!</v>
      </c>
      <c r="AT33" s="444">
        <f>+'[3]PLANINVERSIONES DIC'!$BG49</f>
        <v>5223763</v>
      </c>
      <c r="AU33" s="580">
        <v>30000000</v>
      </c>
      <c r="AV33" s="444"/>
      <c r="AW33" s="444"/>
      <c r="AX33" s="444"/>
      <c r="AY33" s="444" t="e">
        <f t="shared" si="14"/>
        <v>#REF!</v>
      </c>
      <c r="AZ33" s="444" t="e">
        <f t="shared" si="15"/>
        <v>#REF!</v>
      </c>
      <c r="BA33" s="442"/>
      <c r="BB33" s="444"/>
      <c r="BD33" s="444"/>
      <c r="BE33" s="449"/>
      <c r="BF33" s="449"/>
      <c r="BG33" s="449"/>
      <c r="BH33" s="449"/>
      <c r="BI33" s="449"/>
      <c r="BJ33" s="449"/>
      <c r="BK33" s="449"/>
      <c r="BL33" s="449"/>
      <c r="BM33" s="449"/>
      <c r="BN33" s="449"/>
      <c r="BO33" s="449"/>
      <c r="BP33" s="449"/>
      <c r="BQ33" s="449">
        <f t="shared" si="16"/>
        <v>0</v>
      </c>
    </row>
    <row r="34" spans="1:69" ht="105" x14ac:dyDescent="0.2">
      <c r="A34" s="1188"/>
      <c r="B34" s="1402"/>
      <c r="C34" s="1188"/>
      <c r="D34" s="1365"/>
      <c r="E34" s="1372"/>
      <c r="F34" s="1188"/>
      <c r="G34" s="1188"/>
      <c r="H34" s="1188"/>
      <c r="I34" s="754" t="s">
        <v>3711</v>
      </c>
      <c r="J34" s="754" t="s">
        <v>3689</v>
      </c>
      <c r="K34" s="754" t="s">
        <v>3520</v>
      </c>
      <c r="L34" s="754" t="s">
        <v>3690</v>
      </c>
      <c r="M34" s="421">
        <v>0</v>
      </c>
      <c r="N34" s="413">
        <v>0.1</v>
      </c>
      <c r="O34" s="413">
        <v>0.2</v>
      </c>
      <c r="P34" s="413">
        <v>0.2</v>
      </c>
      <c r="Q34" s="414">
        <v>5</v>
      </c>
      <c r="R34" s="414">
        <v>40</v>
      </c>
      <c r="S34" s="414">
        <v>30</v>
      </c>
      <c r="T34" s="414">
        <v>40</v>
      </c>
      <c r="U34" s="437">
        <f t="shared" si="8"/>
        <v>115</v>
      </c>
      <c r="V34" s="550">
        <v>336</v>
      </c>
      <c r="W34" s="566" t="e">
        <f>+#REF!</f>
        <v>#REF!</v>
      </c>
      <c r="X34" s="566"/>
      <c r="Y34" s="763" t="e">
        <f t="shared" si="17"/>
        <v>#REF!</v>
      </c>
      <c r="Z34" s="763"/>
      <c r="AA34" s="763" t="e">
        <f t="shared" si="9"/>
        <v>#REF!</v>
      </c>
      <c r="AB34" s="763"/>
      <c r="AC34" s="763" t="e">
        <f t="shared" si="10"/>
        <v>#REF!</v>
      </c>
      <c r="AD34" s="549">
        <v>410</v>
      </c>
      <c r="AF34" s="449"/>
      <c r="AG34" s="449"/>
      <c r="AH34" s="449"/>
      <c r="AI34" s="449"/>
      <c r="AJ34" s="449"/>
      <c r="AK34" s="449"/>
      <c r="AL34" s="449"/>
      <c r="AM34" s="449" t="e">
        <f>+W34</f>
        <v>#REF!</v>
      </c>
      <c r="AN34" s="449"/>
      <c r="AO34" s="449"/>
      <c r="AP34" s="449"/>
      <c r="AQ34" s="449" t="e">
        <f t="shared" si="11"/>
        <v>#REF!</v>
      </c>
      <c r="AR34" s="449" t="e">
        <f t="shared" si="18"/>
        <v>#REF!</v>
      </c>
      <c r="AS34" s="444" t="e">
        <f t="shared" si="12"/>
        <v>#REF!</v>
      </c>
      <c r="AT34" s="444">
        <f>+'[3]PLANINVERSIONES DIC'!$BG50</f>
        <v>39700000</v>
      </c>
      <c r="AU34" s="580">
        <v>20000000</v>
      </c>
      <c r="AV34" s="444"/>
      <c r="AW34" s="444"/>
      <c r="AX34" s="444"/>
      <c r="AY34" s="444" t="e">
        <f t="shared" si="14"/>
        <v>#REF!</v>
      </c>
      <c r="AZ34" s="444" t="e">
        <f t="shared" si="15"/>
        <v>#REF!</v>
      </c>
      <c r="BA34" s="442"/>
      <c r="BB34" s="444"/>
      <c r="BD34" s="444"/>
      <c r="BE34" s="449"/>
      <c r="BF34" s="449"/>
      <c r="BG34" s="449"/>
      <c r="BH34" s="449"/>
      <c r="BI34" s="449"/>
      <c r="BJ34" s="449"/>
      <c r="BK34" s="449"/>
      <c r="BL34" s="449"/>
      <c r="BM34" s="449"/>
      <c r="BN34" s="449"/>
      <c r="BO34" s="449"/>
      <c r="BP34" s="449"/>
      <c r="BQ34" s="449">
        <f t="shared" si="16"/>
        <v>0</v>
      </c>
    </row>
    <row r="35" spans="1:69" ht="75" x14ac:dyDescent="0.2">
      <c r="A35" s="1188"/>
      <c r="B35" s="1402"/>
      <c r="C35" s="1188"/>
      <c r="D35" s="1365"/>
      <c r="E35" s="1372"/>
      <c r="F35" s="1188"/>
      <c r="G35" s="1188"/>
      <c r="H35" s="1188"/>
      <c r="I35" s="754" t="s">
        <v>3712</v>
      </c>
      <c r="J35" s="754" t="s">
        <v>3521</v>
      </c>
      <c r="K35" s="754" t="s">
        <v>3522</v>
      </c>
      <c r="L35" s="754" t="s">
        <v>3234</v>
      </c>
      <c r="M35" s="421">
        <v>0</v>
      </c>
      <c r="N35" s="413">
        <v>0.2</v>
      </c>
      <c r="O35" s="413">
        <v>0.2</v>
      </c>
      <c r="P35" s="413">
        <v>0.6</v>
      </c>
      <c r="Q35" s="414">
        <v>15</v>
      </c>
      <c r="R35" s="414">
        <v>35</v>
      </c>
      <c r="S35" s="414">
        <v>150</v>
      </c>
      <c r="T35" s="414">
        <v>150</v>
      </c>
      <c r="U35" s="437">
        <f t="shared" si="8"/>
        <v>350</v>
      </c>
      <c r="V35" s="550">
        <v>337</v>
      </c>
      <c r="W35" s="566" t="e">
        <f>+#REF!</f>
        <v>#REF!</v>
      </c>
      <c r="X35" s="566"/>
      <c r="Y35" s="763" t="e">
        <f t="shared" si="17"/>
        <v>#REF!</v>
      </c>
      <c r="Z35" s="763"/>
      <c r="AA35" s="763" t="e">
        <f t="shared" si="9"/>
        <v>#REF!</v>
      </c>
      <c r="AB35" s="772">
        <v>9364326</v>
      </c>
      <c r="AC35" s="763" t="e">
        <f t="shared" si="10"/>
        <v>#REF!</v>
      </c>
      <c r="AD35" s="549">
        <v>410</v>
      </c>
      <c r="AF35" s="449"/>
      <c r="AG35" s="449"/>
      <c r="AH35" s="449"/>
      <c r="AI35" s="449"/>
      <c r="AJ35" s="449"/>
      <c r="AK35" s="449"/>
      <c r="AL35" s="449"/>
      <c r="AM35" s="449" t="e">
        <f>+W35</f>
        <v>#REF!</v>
      </c>
      <c r="AN35" s="449"/>
      <c r="AO35" s="449"/>
      <c r="AP35" s="449"/>
      <c r="AQ35" s="449" t="e">
        <f t="shared" si="11"/>
        <v>#REF!</v>
      </c>
      <c r="AR35" s="449" t="e">
        <f t="shared" si="18"/>
        <v>#REF!</v>
      </c>
      <c r="AS35" s="444" t="e">
        <f t="shared" si="12"/>
        <v>#REF!</v>
      </c>
      <c r="AT35" s="444">
        <f>+'[3]PLANINVERSIONES DIC'!$BG51</f>
        <v>9606897</v>
      </c>
      <c r="AU35" s="587">
        <v>20000000</v>
      </c>
      <c r="AV35" s="444"/>
      <c r="AW35" s="444"/>
      <c r="AX35" s="444"/>
      <c r="AY35" s="444" t="e">
        <f t="shared" si="14"/>
        <v>#REF!</v>
      </c>
      <c r="AZ35" s="444" t="e">
        <f t="shared" si="15"/>
        <v>#REF!</v>
      </c>
      <c r="BA35" s="442"/>
      <c r="BB35" s="444"/>
      <c r="BD35" s="444"/>
      <c r="BE35" s="449"/>
      <c r="BF35" s="449"/>
      <c r="BG35" s="449"/>
      <c r="BH35" s="449"/>
      <c r="BI35" s="449"/>
      <c r="BJ35" s="449"/>
      <c r="BK35" s="449"/>
      <c r="BL35" s="449"/>
      <c r="BM35" s="449"/>
      <c r="BN35" s="449"/>
      <c r="BO35" s="449"/>
      <c r="BP35" s="449"/>
      <c r="BQ35" s="449">
        <f t="shared" si="16"/>
        <v>0</v>
      </c>
    </row>
    <row r="36" spans="1:69" ht="90" x14ac:dyDescent="0.2">
      <c r="A36" s="1185">
        <v>3</v>
      </c>
      <c r="B36" s="1363" t="s">
        <v>3162</v>
      </c>
      <c r="C36" s="1185" t="s">
        <v>3493</v>
      </c>
      <c r="D36" s="1364" t="s">
        <v>3182</v>
      </c>
      <c r="E36" s="1374" t="s">
        <v>3503</v>
      </c>
      <c r="F36" s="1376" t="s">
        <v>3499</v>
      </c>
      <c r="G36" s="1185" t="s">
        <v>3500</v>
      </c>
      <c r="H36" s="1185" t="s">
        <v>3501</v>
      </c>
      <c r="I36" s="754" t="s">
        <v>3713</v>
      </c>
      <c r="J36" s="459" t="s">
        <v>3684</v>
      </c>
      <c r="K36" s="753">
        <v>0</v>
      </c>
      <c r="L36" s="459" t="s">
        <v>3685</v>
      </c>
      <c r="M36" s="422">
        <v>0</v>
      </c>
      <c r="N36" s="413">
        <v>0.05</v>
      </c>
      <c r="O36" s="413">
        <v>0.15</v>
      </c>
      <c r="P36" s="413">
        <v>0.2</v>
      </c>
      <c r="Q36" s="414">
        <v>5</v>
      </c>
      <c r="R36" s="414">
        <v>5</v>
      </c>
      <c r="S36" s="414">
        <v>15</v>
      </c>
      <c r="T36" s="414">
        <v>15</v>
      </c>
      <c r="U36" s="437">
        <f t="shared" si="8"/>
        <v>40</v>
      </c>
      <c r="V36" s="550">
        <v>341</v>
      </c>
      <c r="W36" s="566" t="e">
        <f>+#REF!</f>
        <v>#REF!</v>
      </c>
      <c r="X36" s="566"/>
      <c r="Y36" s="763" t="e">
        <f t="shared" si="17"/>
        <v>#REF!</v>
      </c>
      <c r="Z36" s="763"/>
      <c r="AA36" s="763" t="e">
        <f t="shared" si="9"/>
        <v>#REF!</v>
      </c>
      <c r="AB36" s="763"/>
      <c r="AC36" s="763" t="e">
        <f t="shared" si="10"/>
        <v>#REF!</v>
      </c>
      <c r="AD36" s="549">
        <v>510</v>
      </c>
      <c r="AF36" s="449"/>
      <c r="AG36" s="449"/>
      <c r="AH36" s="449"/>
      <c r="AI36" s="449"/>
      <c r="AJ36" s="449"/>
      <c r="AK36" s="449"/>
      <c r="AL36" s="449"/>
      <c r="AM36" s="449" t="e">
        <f>+W36</f>
        <v>#REF!</v>
      </c>
      <c r="AN36" s="449"/>
      <c r="AO36" s="449"/>
      <c r="AP36" s="449"/>
      <c r="AQ36" s="449" t="e">
        <f t="shared" si="11"/>
        <v>#REF!</v>
      </c>
      <c r="AR36" s="449" t="e">
        <f t="shared" si="18"/>
        <v>#REF!</v>
      </c>
      <c r="AS36" s="444" t="e">
        <f t="shared" si="12"/>
        <v>#REF!</v>
      </c>
      <c r="AT36" s="444">
        <f>+'[3]PLANINVERSIONES DIC'!$BG52</f>
        <v>5000000</v>
      </c>
      <c r="AU36" s="580">
        <v>10000000</v>
      </c>
      <c r="AV36" s="444"/>
      <c r="AW36" s="444"/>
      <c r="AX36" s="444"/>
      <c r="AY36" s="444" t="e">
        <f t="shared" si="14"/>
        <v>#REF!</v>
      </c>
      <c r="AZ36" s="444" t="e">
        <f t="shared" si="15"/>
        <v>#REF!</v>
      </c>
      <c r="BA36" s="442"/>
      <c r="BB36" s="444"/>
      <c r="BD36" s="444"/>
      <c r="BE36" s="449"/>
      <c r="BF36" s="449"/>
      <c r="BG36" s="449"/>
      <c r="BH36" s="449"/>
      <c r="BI36" s="449"/>
      <c r="BJ36" s="449"/>
      <c r="BK36" s="449"/>
      <c r="BL36" s="449"/>
      <c r="BM36" s="449"/>
      <c r="BN36" s="449"/>
      <c r="BO36" s="449"/>
      <c r="BP36" s="449"/>
      <c r="BQ36" s="449">
        <f t="shared" si="16"/>
        <v>0</v>
      </c>
    </row>
    <row r="37" spans="1:69" ht="120" x14ac:dyDescent="0.2">
      <c r="A37" s="1187"/>
      <c r="B37" s="1373"/>
      <c r="C37" s="1187"/>
      <c r="D37" s="1373"/>
      <c r="E37" s="1375"/>
      <c r="F37" s="1377"/>
      <c r="G37" s="1187"/>
      <c r="H37" s="1187"/>
      <c r="I37" s="401" t="s">
        <v>3714</v>
      </c>
      <c r="J37" s="754" t="s">
        <v>3686</v>
      </c>
      <c r="K37" s="460">
        <v>4</v>
      </c>
      <c r="L37" s="754" t="s">
        <v>3273</v>
      </c>
      <c r="M37" s="422">
        <v>4</v>
      </c>
      <c r="N37" s="422">
        <v>11</v>
      </c>
      <c r="O37" s="422">
        <v>11</v>
      </c>
      <c r="P37" s="422">
        <v>11</v>
      </c>
      <c r="Q37" s="414">
        <v>100</v>
      </c>
      <c r="R37" s="414">
        <v>117</v>
      </c>
      <c r="S37" s="414">
        <v>100</v>
      </c>
      <c r="T37" s="414">
        <v>100</v>
      </c>
      <c r="U37" s="437">
        <f t="shared" si="8"/>
        <v>417</v>
      </c>
      <c r="V37" s="550">
        <v>342</v>
      </c>
      <c r="W37" s="566" t="e">
        <f>+#REF!</f>
        <v>#REF!</v>
      </c>
      <c r="X37" s="566"/>
      <c r="Y37" s="763" t="e">
        <f t="shared" si="17"/>
        <v>#REF!</v>
      </c>
      <c r="Z37" s="763" t="e">
        <f>SUM(#REF!)</f>
        <v>#REF!</v>
      </c>
      <c r="AA37" s="763" t="e">
        <f t="shared" si="9"/>
        <v>#REF!</v>
      </c>
      <c r="AB37" s="763"/>
      <c r="AC37" s="763" t="e">
        <f t="shared" si="10"/>
        <v>#REF!</v>
      </c>
      <c r="AD37" s="549">
        <v>510</v>
      </c>
      <c r="AF37" s="449">
        <v>20000000</v>
      </c>
      <c r="AG37" s="449"/>
      <c r="AH37" s="449"/>
      <c r="AI37" s="449"/>
      <c r="AJ37" s="449"/>
      <c r="AK37" s="449"/>
      <c r="AL37" s="449"/>
      <c r="AM37" s="449" t="e">
        <f>+W37-AF37</f>
        <v>#REF!</v>
      </c>
      <c r="AN37" s="449"/>
      <c r="AO37" s="449"/>
      <c r="AP37" s="449"/>
      <c r="AQ37" s="449" t="e">
        <f t="shared" si="11"/>
        <v>#REF!</v>
      </c>
      <c r="AR37" s="449" t="e">
        <f t="shared" si="18"/>
        <v>#REF!</v>
      </c>
      <c r="AS37" s="444" t="e">
        <f t="shared" si="12"/>
        <v>#REF!</v>
      </c>
      <c r="AT37" s="444">
        <f>+'[3]PLANINVERSIONES DIC'!$BG53</f>
        <v>25852320</v>
      </c>
      <c r="AU37" s="580">
        <f>+AT37+39923664</f>
        <v>65775984</v>
      </c>
      <c r="AV37" s="444"/>
      <c r="AW37" s="444"/>
      <c r="AX37" s="444"/>
      <c r="AY37" s="444" t="e">
        <f t="shared" si="14"/>
        <v>#REF!</v>
      </c>
      <c r="AZ37" s="444" t="e">
        <f t="shared" si="15"/>
        <v>#REF!</v>
      </c>
      <c r="BA37" s="442"/>
      <c r="BB37" s="444"/>
      <c r="BD37" s="444"/>
      <c r="BE37" s="449"/>
      <c r="BF37" s="449"/>
      <c r="BG37" s="449"/>
      <c r="BH37" s="449"/>
      <c r="BI37" s="449"/>
      <c r="BJ37" s="449"/>
      <c r="BK37" s="449"/>
      <c r="BL37" s="449"/>
      <c r="BM37" s="449"/>
      <c r="BN37" s="449"/>
      <c r="BO37" s="449"/>
      <c r="BP37" s="449"/>
      <c r="BQ37" s="449">
        <f t="shared" si="16"/>
        <v>0</v>
      </c>
    </row>
    <row r="38" spans="1:69" ht="24.75" customHeight="1" x14ac:dyDescent="0.25">
      <c r="A38" s="461"/>
      <c r="B38" s="461"/>
      <c r="C38" s="461"/>
      <c r="D38" s="461"/>
      <c r="E38" s="461"/>
      <c r="F38" s="461"/>
      <c r="G38" s="461"/>
      <c r="H38" s="461"/>
      <c r="I38" s="461"/>
      <c r="J38" s="462"/>
      <c r="K38" s="461"/>
      <c r="L38" s="461"/>
      <c r="M38" s="1345" t="s">
        <v>695</v>
      </c>
      <c r="N38" s="1346"/>
      <c r="O38" s="1346"/>
      <c r="P38" s="1347"/>
      <c r="Q38" s="395">
        <f>SUM(Q15:Q37)</f>
        <v>3023</v>
      </c>
      <c r="R38" s="395">
        <f>SUM(R15:R37)</f>
        <v>4755</v>
      </c>
      <c r="S38" s="395">
        <f>SUM(S15:S37)</f>
        <v>4186.4400000000005</v>
      </c>
      <c r="T38" s="395">
        <f>SUM(T15:T37)</f>
        <v>4438.7332000000006</v>
      </c>
      <c r="U38" s="395">
        <f>SUM(U15:U37)</f>
        <v>16403.173200000001</v>
      </c>
      <c r="V38" s="550"/>
      <c r="W38" s="446" t="e">
        <f>SUM(W15:W37)</f>
        <v>#REF!</v>
      </c>
      <c r="X38" s="446">
        <f>SUM(X15:X37)</f>
        <v>0</v>
      </c>
      <c r="Y38" s="764" t="e">
        <f>+Y37+Y36+Y35+Y34+Y33+Y32+Y29+Y28+Y27+Y26+Y25+Y20</f>
        <v>#REF!</v>
      </c>
      <c r="Z38" s="446" t="e">
        <f>SUM(Z15:Z37)</f>
        <v>#REF!</v>
      </c>
      <c r="AA38" s="764" t="e">
        <f>+AA37+AA36+AA35+AA34+AA33+AA32+AA29+AA28+AA27+AA26+AA25+AA20</f>
        <v>#REF!</v>
      </c>
      <c r="AB38" s="446">
        <f>SUM(AB15:AB37)</f>
        <v>17364326</v>
      </c>
      <c r="AC38" s="764" t="e">
        <f>+AC37+AC36+AC35+AC34+AC33+AC32+AC29+AC28+AC27+AC26+AC25+AC20</f>
        <v>#REF!</v>
      </c>
      <c r="AD38" s="549"/>
      <c r="AF38" s="446" t="e">
        <f>SUM(AF15:AF37)</f>
        <v>#REF!</v>
      </c>
      <c r="AG38" s="446">
        <f t="shared" ref="AG38:AQ38" si="19">SUM(AG15:AG37)</f>
        <v>500068634</v>
      </c>
      <c r="AH38" s="446">
        <f t="shared" si="19"/>
        <v>0</v>
      </c>
      <c r="AI38" s="446">
        <f t="shared" si="19"/>
        <v>0</v>
      </c>
      <c r="AJ38" s="446">
        <f t="shared" si="19"/>
        <v>0</v>
      </c>
      <c r="AK38" s="446">
        <f t="shared" si="19"/>
        <v>0</v>
      </c>
      <c r="AL38" s="446">
        <f t="shared" si="19"/>
        <v>1416800000</v>
      </c>
      <c r="AM38" s="446" t="e">
        <f t="shared" si="19"/>
        <v>#REF!</v>
      </c>
      <c r="AN38" s="446"/>
      <c r="AO38" s="446">
        <f t="shared" si="19"/>
        <v>0</v>
      </c>
      <c r="AP38" s="446"/>
      <c r="AQ38" s="446" t="e">
        <f t="shared" si="19"/>
        <v>#REF!</v>
      </c>
      <c r="AR38" s="445" t="e">
        <f>SUM(AR26:AR37)</f>
        <v>#REF!</v>
      </c>
      <c r="AS38" s="446" t="e">
        <f t="shared" ref="AS38:AZ38" si="20">SUM(AS15:AS37)</f>
        <v>#REF!</v>
      </c>
      <c r="AT38" s="446">
        <f t="shared" si="20"/>
        <v>1089999421</v>
      </c>
      <c r="AU38" s="446">
        <f t="shared" si="20"/>
        <v>700977980</v>
      </c>
      <c r="AV38" s="446">
        <f t="shared" si="20"/>
        <v>900000000</v>
      </c>
      <c r="AW38" s="446">
        <f t="shared" si="20"/>
        <v>1190732750</v>
      </c>
      <c r="AX38" s="446">
        <f t="shared" si="20"/>
        <v>-69000000</v>
      </c>
      <c r="AY38" s="446" t="e">
        <f t="shared" si="20"/>
        <v>#REF!</v>
      </c>
      <c r="AZ38" s="446" t="e">
        <f t="shared" si="20"/>
        <v>#REF!</v>
      </c>
      <c r="BA38" s="442"/>
      <c r="BB38" s="446">
        <f>SUM(BB15:BB37)</f>
        <v>2500000000</v>
      </c>
      <c r="BD38" s="446">
        <f>SUM(BD15:BD37)</f>
        <v>290732750</v>
      </c>
      <c r="BE38" s="446">
        <f>SUM(BE15:BE37)</f>
        <v>-20000000</v>
      </c>
      <c r="BF38" s="446" t="e">
        <f t="shared" ref="BF38:BQ38" si="21">SUM(BF15:BF37)</f>
        <v>#REF!</v>
      </c>
      <c r="BG38" s="446">
        <f t="shared" si="21"/>
        <v>0</v>
      </c>
      <c r="BH38" s="446">
        <f t="shared" si="21"/>
        <v>0</v>
      </c>
      <c r="BI38" s="446">
        <f t="shared" si="21"/>
        <v>0</v>
      </c>
      <c r="BJ38" s="446">
        <f t="shared" si="21"/>
        <v>0</v>
      </c>
      <c r="BK38" s="446" t="e">
        <f t="shared" si="21"/>
        <v>#REF!</v>
      </c>
      <c r="BL38" s="446">
        <f t="shared" si="21"/>
        <v>-49000000</v>
      </c>
      <c r="BM38" s="446">
        <f t="shared" si="21"/>
        <v>0</v>
      </c>
      <c r="BN38" s="446">
        <f t="shared" si="21"/>
        <v>0</v>
      </c>
      <c r="BO38" s="446">
        <f t="shared" si="21"/>
        <v>0</v>
      </c>
      <c r="BP38" s="446">
        <f t="shared" si="21"/>
        <v>0</v>
      </c>
      <c r="BQ38" s="446" t="e">
        <f t="shared" si="21"/>
        <v>#REF!</v>
      </c>
    </row>
    <row r="39" spans="1:69" ht="20.25" customHeight="1" x14ac:dyDescent="0.25">
      <c r="A39" s="398"/>
      <c r="B39" s="456"/>
      <c r="C39" s="398"/>
      <c r="D39" s="396"/>
      <c r="E39" s="396"/>
      <c r="F39" s="396"/>
      <c r="G39" s="396"/>
      <c r="H39" s="398"/>
      <c r="I39" s="398"/>
      <c r="J39" s="396"/>
      <c r="K39" s="396"/>
      <c r="L39" s="457"/>
      <c r="M39" s="416"/>
      <c r="N39" s="416"/>
      <c r="O39" s="416"/>
      <c r="P39" s="417"/>
      <c r="Q39" s="417"/>
      <c r="R39" s="417"/>
      <c r="S39" s="417"/>
      <c r="T39" s="416"/>
      <c r="U39" s="397"/>
      <c r="V39" s="551"/>
      <c r="W39" s="567"/>
      <c r="X39" s="567"/>
      <c r="Y39" s="765"/>
      <c r="Z39" s="765"/>
      <c r="AA39" s="765"/>
      <c r="AB39" s="765"/>
      <c r="AC39" s="765"/>
      <c r="AD39" s="568"/>
      <c r="AE39" s="487"/>
      <c r="AF39" s="488"/>
      <c r="AG39" s="488"/>
      <c r="AH39" s="488"/>
      <c r="AI39" s="488"/>
      <c r="AJ39" s="488"/>
      <c r="AK39" s="488"/>
      <c r="AL39" s="488"/>
      <c r="AM39" s="488"/>
      <c r="AN39" s="488"/>
      <c r="AO39" s="488"/>
      <c r="AP39" s="488"/>
      <c r="AQ39" s="488"/>
      <c r="AS39" s="478"/>
      <c r="AT39" s="478"/>
      <c r="AU39" s="478"/>
      <c r="AV39" s="478"/>
      <c r="AW39" s="478"/>
      <c r="AX39" s="478"/>
      <c r="AY39" s="478"/>
      <c r="AZ39" s="478"/>
      <c r="BB39" s="478"/>
      <c r="BD39" s="478"/>
      <c r="BE39" s="488"/>
      <c r="BF39" s="488"/>
      <c r="BG39" s="488"/>
      <c r="BH39" s="488"/>
      <c r="BI39" s="488"/>
      <c r="BJ39" s="488"/>
      <c r="BK39" s="488"/>
      <c r="BL39" s="488"/>
      <c r="BM39" s="488"/>
      <c r="BN39" s="488"/>
      <c r="BO39" s="488"/>
      <c r="BP39" s="488"/>
      <c r="BQ39" s="488"/>
    </row>
    <row r="40" spans="1:69" ht="75" x14ac:dyDescent="0.2">
      <c r="A40" s="1398">
        <v>4</v>
      </c>
      <c r="B40" s="1400" t="s">
        <v>3526</v>
      </c>
      <c r="C40" s="1185" t="s">
        <v>3527</v>
      </c>
      <c r="D40" s="1365" t="s">
        <v>3528</v>
      </c>
      <c r="E40" s="1394" t="s">
        <v>3529</v>
      </c>
      <c r="F40" s="1188" t="s">
        <v>3530</v>
      </c>
      <c r="G40" s="1185" t="s">
        <v>446</v>
      </c>
      <c r="H40" s="1188" t="s">
        <v>3531</v>
      </c>
      <c r="I40" s="754" t="s">
        <v>3715</v>
      </c>
      <c r="J40" s="754" t="s">
        <v>3532</v>
      </c>
      <c r="K40" s="754">
        <v>0</v>
      </c>
      <c r="L40" s="754" t="s">
        <v>3533</v>
      </c>
      <c r="M40" s="425" t="s">
        <v>3534</v>
      </c>
      <c r="N40" s="425" t="s">
        <v>3534</v>
      </c>
      <c r="O40" s="425" t="s">
        <v>3534</v>
      </c>
      <c r="P40" s="425" t="s">
        <v>3534</v>
      </c>
      <c r="Q40" s="426">
        <v>50</v>
      </c>
      <c r="R40" s="426">
        <v>46</v>
      </c>
      <c r="S40" s="426">
        <v>70</v>
      </c>
      <c r="T40" s="426">
        <v>50</v>
      </c>
      <c r="U40" s="438">
        <f>Q40+R40+S40+T40</f>
        <v>216</v>
      </c>
      <c r="V40" s="550" t="s">
        <v>4113</v>
      </c>
      <c r="W40" s="566" t="e">
        <f>SUM(#REF!)</f>
        <v>#REF!</v>
      </c>
      <c r="X40" s="566"/>
      <c r="Y40" s="763" t="e">
        <f t="shared" ref="Y40:Y45" si="22">+S40*1000000-W40-X40</f>
        <v>#REF!</v>
      </c>
      <c r="Z40" s="763" t="e">
        <f>SUM(#REF!)</f>
        <v>#REF!</v>
      </c>
      <c r="AA40" s="763" t="e">
        <f t="shared" ref="AA40:AA45" si="23">+S40*1000000-W40-X40-Z40</f>
        <v>#REF!</v>
      </c>
      <c r="AB40" s="772">
        <v>10000000</v>
      </c>
      <c r="AC40" s="763" t="e">
        <f t="shared" ref="AC40:AC45" si="24">+S40*1000000-W40-X40-Z40-AB40</f>
        <v>#REF!</v>
      </c>
      <c r="AD40" s="549">
        <v>510</v>
      </c>
      <c r="AF40" s="449">
        <v>40000000</v>
      </c>
      <c r="AG40" s="449"/>
      <c r="AH40" s="449"/>
      <c r="AI40" s="449"/>
      <c r="AJ40" s="449"/>
      <c r="AK40" s="449"/>
      <c r="AL40" s="449"/>
      <c r="AM40" s="449"/>
      <c r="AN40" s="449"/>
      <c r="AO40" s="449"/>
      <c r="AP40" s="449"/>
      <c r="AQ40" s="449">
        <f t="shared" ref="AQ40:AQ45" si="25">SUM(AF40:AO40)</f>
        <v>40000000</v>
      </c>
      <c r="AS40" s="444" t="e">
        <f t="shared" ref="AS40:AS45" si="26">+S40*1000000-W40</f>
        <v>#REF!</v>
      </c>
      <c r="AT40" s="444">
        <f>+'[3]PLANINVERSIONES DIC'!$BG56</f>
        <v>83490</v>
      </c>
      <c r="AU40" s="587">
        <v>10000000</v>
      </c>
      <c r="AV40" s="444"/>
      <c r="AW40" s="444">
        <f>+AU40+AV40</f>
        <v>10000000</v>
      </c>
      <c r="AX40" s="444"/>
      <c r="AY40" s="444" t="e">
        <f t="shared" ref="AY40:AY45" si="27">+W40+AW40+AX40</f>
        <v>#REF!</v>
      </c>
      <c r="AZ40" s="444" t="e">
        <f t="shared" ref="AZ40:AZ45" si="28">+AY40-S40*1000000</f>
        <v>#REF!</v>
      </c>
      <c r="BA40" s="442"/>
      <c r="BB40" s="444"/>
      <c r="BD40" s="444"/>
      <c r="BE40" s="449"/>
      <c r="BF40" s="449"/>
      <c r="BG40" s="449"/>
      <c r="BH40" s="449"/>
      <c r="BI40" s="449"/>
      <c r="BJ40" s="449"/>
      <c r="BK40" s="449"/>
      <c r="BL40" s="449"/>
      <c r="BM40" s="449">
        <f>+AW40</f>
        <v>10000000</v>
      </c>
      <c r="BN40" s="449"/>
      <c r="BO40" s="449"/>
      <c r="BP40" s="449"/>
      <c r="BQ40" s="449">
        <f t="shared" ref="BQ40:BQ45" si="29">SUM(BE40:BO40)</f>
        <v>10000000</v>
      </c>
    </row>
    <row r="41" spans="1:69" ht="60" x14ac:dyDescent="0.2">
      <c r="A41" s="1399"/>
      <c r="B41" s="1401"/>
      <c r="C41" s="1186"/>
      <c r="D41" s="1365"/>
      <c r="E41" s="1395"/>
      <c r="F41" s="1188"/>
      <c r="G41" s="1186"/>
      <c r="H41" s="1188"/>
      <c r="I41" s="401" t="s">
        <v>3716</v>
      </c>
      <c r="J41" s="754" t="s">
        <v>3535</v>
      </c>
      <c r="K41" s="754">
        <v>0</v>
      </c>
      <c r="L41" s="754" t="s">
        <v>3536</v>
      </c>
      <c r="M41" s="428">
        <v>0.4</v>
      </c>
      <c r="N41" s="428">
        <v>0</v>
      </c>
      <c r="O41" s="428">
        <v>0.3</v>
      </c>
      <c r="P41" s="428">
        <v>0.15</v>
      </c>
      <c r="Q41" s="426">
        <v>5</v>
      </c>
      <c r="R41" s="426">
        <v>0</v>
      </c>
      <c r="S41" s="426">
        <v>10</v>
      </c>
      <c r="T41" s="426">
        <v>10</v>
      </c>
      <c r="U41" s="438">
        <f>Q41+R41+S41+T41</f>
        <v>25</v>
      </c>
      <c r="V41" s="550">
        <v>412</v>
      </c>
      <c r="W41" s="566">
        <v>0</v>
      </c>
      <c r="X41" s="566"/>
      <c r="Y41" s="763">
        <f t="shared" si="22"/>
        <v>10000000</v>
      </c>
      <c r="Z41" s="763"/>
      <c r="AA41" s="763">
        <f t="shared" si="23"/>
        <v>10000000</v>
      </c>
      <c r="AB41" s="763"/>
      <c r="AC41" s="763">
        <f t="shared" si="24"/>
        <v>10000000</v>
      </c>
      <c r="AD41" s="549">
        <v>510</v>
      </c>
      <c r="AF41" s="449"/>
      <c r="AG41" s="449"/>
      <c r="AH41" s="449"/>
      <c r="AI41" s="449"/>
      <c r="AJ41" s="449"/>
      <c r="AK41" s="449"/>
      <c r="AL41" s="449"/>
      <c r="AM41" s="449"/>
      <c r="AN41" s="449"/>
      <c r="AO41" s="449"/>
      <c r="AP41" s="449"/>
      <c r="AQ41" s="449">
        <f t="shared" si="25"/>
        <v>0</v>
      </c>
      <c r="AS41" s="444">
        <f t="shared" si="26"/>
        <v>10000000</v>
      </c>
      <c r="AT41" s="444">
        <f>+'[3]PLANINVERSIONES DIC'!$BG57</f>
        <v>0</v>
      </c>
      <c r="AU41" s="580">
        <v>10000000</v>
      </c>
      <c r="AV41" s="444"/>
      <c r="AW41" s="444"/>
      <c r="AX41" s="444"/>
      <c r="AY41" s="444">
        <f t="shared" si="27"/>
        <v>0</v>
      </c>
      <c r="AZ41" s="444">
        <f t="shared" si="28"/>
        <v>-10000000</v>
      </c>
      <c r="BA41" s="442"/>
      <c r="BB41" s="444"/>
      <c r="BD41" s="444"/>
      <c r="BE41" s="449"/>
      <c r="BF41" s="449"/>
      <c r="BG41" s="449"/>
      <c r="BH41" s="449"/>
      <c r="BI41" s="449"/>
      <c r="BJ41" s="449"/>
      <c r="BK41" s="449"/>
      <c r="BL41" s="449"/>
      <c r="BM41" s="449"/>
      <c r="BN41" s="449"/>
      <c r="BO41" s="449"/>
      <c r="BP41" s="449"/>
      <c r="BQ41" s="449">
        <f t="shared" si="29"/>
        <v>0</v>
      </c>
    </row>
    <row r="42" spans="1:69" ht="156" x14ac:dyDescent="0.2">
      <c r="A42" s="1399"/>
      <c r="B42" s="1401"/>
      <c r="C42" s="1186"/>
      <c r="D42" s="1363" t="s">
        <v>3537</v>
      </c>
      <c r="E42" s="1362" t="s">
        <v>3538</v>
      </c>
      <c r="F42" s="1185" t="s">
        <v>3504</v>
      </c>
      <c r="G42" s="1185">
        <v>0</v>
      </c>
      <c r="H42" s="1185" t="s">
        <v>3539</v>
      </c>
      <c r="I42" s="401" t="s">
        <v>3717</v>
      </c>
      <c r="J42" s="754" t="s">
        <v>3540</v>
      </c>
      <c r="K42" s="463">
        <v>0</v>
      </c>
      <c r="L42" s="754" t="s">
        <v>3036</v>
      </c>
      <c r="M42" s="429" t="s">
        <v>3541</v>
      </c>
      <c r="N42" s="429" t="s">
        <v>3542</v>
      </c>
      <c r="O42" s="429" t="s">
        <v>3543</v>
      </c>
      <c r="P42" s="429" t="s">
        <v>3544</v>
      </c>
      <c r="Q42" s="414">
        <v>4600</v>
      </c>
      <c r="R42" s="414">
        <v>6195</v>
      </c>
      <c r="S42" s="414">
        <v>3700</v>
      </c>
      <c r="T42" s="414">
        <v>4000</v>
      </c>
      <c r="U42" s="437">
        <f>Q42+R42+S42+T42</f>
        <v>18495</v>
      </c>
      <c r="V42" s="550" t="s">
        <v>4114</v>
      </c>
      <c r="W42" s="566" t="e">
        <f>SUM(#REF!)</f>
        <v>#REF!</v>
      </c>
      <c r="X42" s="763">
        <f>-'[6]LA PLATA'!$E$4-[6]PITALITO!$E$4+[6]GARZON!$F$4+'[6]LA PLATA'!$F$7</f>
        <v>74921223</v>
      </c>
      <c r="Y42" s="763" t="e">
        <f t="shared" si="22"/>
        <v>#REF!</v>
      </c>
      <c r="Z42" s="763" t="e">
        <f>SUM(#REF!)</f>
        <v>#REF!</v>
      </c>
      <c r="AA42" s="763" t="e">
        <f t="shared" si="23"/>
        <v>#REF!</v>
      </c>
      <c r="AB42" s="772">
        <v>200000000</v>
      </c>
      <c r="AC42" s="763" t="e">
        <f t="shared" si="24"/>
        <v>#REF!</v>
      </c>
      <c r="AD42" s="549">
        <v>111</v>
      </c>
      <c r="AF42" s="449"/>
      <c r="AG42" s="449">
        <f>232172859+167960301</f>
        <v>400133160</v>
      </c>
      <c r="AH42" s="449"/>
      <c r="AI42" s="449">
        <v>36500000</v>
      </c>
      <c r="AJ42" s="449">
        <v>10000000</v>
      </c>
      <c r="AK42" s="449">
        <v>23500000</v>
      </c>
      <c r="AL42" s="449"/>
      <c r="AM42" s="449"/>
      <c r="AN42" s="449"/>
      <c r="AO42" s="449"/>
      <c r="AP42" s="449"/>
      <c r="AQ42" s="449">
        <f t="shared" si="25"/>
        <v>470133160</v>
      </c>
      <c r="AS42" s="444" t="e">
        <f t="shared" si="26"/>
        <v>#REF!</v>
      </c>
      <c r="AT42" s="444">
        <f>+[4]PLANTAFISICA!$M$54</f>
        <v>2123567389.3333333</v>
      </c>
      <c r="AU42" s="587">
        <v>3068356818.1999998</v>
      </c>
      <c r="AV42" s="444"/>
      <c r="AW42" s="444">
        <v>2958222037</v>
      </c>
      <c r="AX42" s="444"/>
      <c r="AY42" s="444" t="e">
        <f t="shared" si="27"/>
        <v>#REF!</v>
      </c>
      <c r="AZ42" s="444" t="e">
        <f t="shared" si="28"/>
        <v>#REF!</v>
      </c>
      <c r="BA42" s="442"/>
      <c r="BB42" s="444">
        <v>700000000</v>
      </c>
      <c r="BD42" s="444"/>
      <c r="BE42" s="449"/>
      <c r="BF42" s="449" t="e">
        <f>+#REF!-BF43</f>
        <v>#REF!</v>
      </c>
      <c r="BG42" s="449" t="e">
        <f>+#REF!</f>
        <v>#REF!</v>
      </c>
      <c r="BH42" s="449"/>
      <c r="BI42" s="449"/>
      <c r="BJ42" s="449"/>
      <c r="BK42" s="449" t="e">
        <f>+#REF!</f>
        <v>#REF!</v>
      </c>
      <c r="BL42" s="449"/>
      <c r="BM42" s="449" t="e">
        <f>+#REF!</f>
        <v>#REF!</v>
      </c>
      <c r="BN42" s="449"/>
      <c r="BO42" s="449"/>
      <c r="BP42" s="449"/>
      <c r="BQ42" s="449" t="e">
        <f t="shared" si="29"/>
        <v>#REF!</v>
      </c>
    </row>
    <row r="43" spans="1:69" ht="89.25" x14ac:dyDescent="0.2">
      <c r="A43" s="1399"/>
      <c r="B43" s="1401"/>
      <c r="C43" s="1186"/>
      <c r="D43" s="1364"/>
      <c r="E43" s="1360"/>
      <c r="F43" s="1186"/>
      <c r="G43" s="1186"/>
      <c r="H43" s="1186"/>
      <c r="I43" s="759" t="s">
        <v>3718</v>
      </c>
      <c r="J43" s="752" t="s">
        <v>3545</v>
      </c>
      <c r="K43" s="752" t="s">
        <v>3546</v>
      </c>
      <c r="L43" s="752" t="s">
        <v>3547</v>
      </c>
      <c r="M43" s="759" t="s">
        <v>3548</v>
      </c>
      <c r="N43" s="759" t="s">
        <v>3549</v>
      </c>
      <c r="O43" s="759" t="s">
        <v>3550</v>
      </c>
      <c r="P43" s="759" t="s">
        <v>3550</v>
      </c>
      <c r="Q43" s="430">
        <v>300</v>
      </c>
      <c r="R43" s="430">
        <v>524</v>
      </c>
      <c r="S43" s="430">
        <v>300</v>
      </c>
      <c r="T43" s="430">
        <v>300</v>
      </c>
      <c r="U43" s="438">
        <f>Q43+R43+S43+T43</f>
        <v>1424</v>
      </c>
      <c r="V43" s="550" t="s">
        <v>4115</v>
      </c>
      <c r="W43" s="566" t="e">
        <f>SUM(#REF!)</f>
        <v>#REF!</v>
      </c>
      <c r="X43" s="763">
        <f>-[6]GARZON!$E$5-[6]GARZON!$E$6-'[6]LA PLATA'!$E$6+'[6]LA PLATA'!$F$5+[6]PITALITO!$F$5+[6]PITALITO!$F$6</f>
        <v>13908600</v>
      </c>
      <c r="Y43" s="763" t="e">
        <f t="shared" si="22"/>
        <v>#REF!</v>
      </c>
      <c r="Z43" s="763" t="e">
        <f>SUM(#REF!)</f>
        <v>#REF!</v>
      </c>
      <c r="AA43" s="763" t="e">
        <f t="shared" si="23"/>
        <v>#REF!</v>
      </c>
      <c r="AB43" s="763"/>
      <c r="AC43" s="763" t="e">
        <f t="shared" si="24"/>
        <v>#REF!</v>
      </c>
      <c r="AD43" s="549">
        <v>211</v>
      </c>
      <c r="AE43" s="546">
        <v>725068634</v>
      </c>
      <c r="AF43" s="449"/>
      <c r="AG43" s="449">
        <v>200000000</v>
      </c>
      <c r="AH43" s="449"/>
      <c r="AI43" s="449">
        <v>36770400</v>
      </c>
      <c r="AJ43" s="449">
        <v>10000000</v>
      </c>
      <c r="AK43" s="449">
        <v>23500740</v>
      </c>
      <c r="AL43" s="449"/>
      <c r="AM43" s="449"/>
      <c r="AN43" s="449"/>
      <c r="AO43" s="449"/>
      <c r="AP43" s="449"/>
      <c r="AQ43" s="449">
        <f t="shared" si="25"/>
        <v>270271140</v>
      </c>
      <c r="AS43" s="444" t="e">
        <f t="shared" si="26"/>
        <v>#REF!</v>
      </c>
      <c r="AT43" s="444">
        <f>SUM('[3]PLANINVERSIONES DIC'!$BG$63:$BG$66)</f>
        <v>299991607</v>
      </c>
      <c r="AU43" s="580" t="e">
        <f>+AS43</f>
        <v>#REF!</v>
      </c>
      <c r="AV43" s="444"/>
      <c r="AW43" s="444">
        <v>110134781</v>
      </c>
      <c r="AX43" s="444"/>
      <c r="AY43" s="444" t="e">
        <f t="shared" si="27"/>
        <v>#REF!</v>
      </c>
      <c r="AZ43" s="444" t="e">
        <f t="shared" si="28"/>
        <v>#REF!</v>
      </c>
      <c r="BA43" s="442"/>
      <c r="BB43" s="444"/>
      <c r="BD43" s="444"/>
      <c r="BE43" s="449"/>
      <c r="BF43" s="449">
        <f>+AW43</f>
        <v>110134781</v>
      </c>
      <c r="BG43" s="449"/>
      <c r="BH43" s="449"/>
      <c r="BI43" s="449"/>
      <c r="BJ43" s="449"/>
      <c r="BK43" s="449"/>
      <c r="BL43" s="449"/>
      <c r="BM43" s="449"/>
      <c r="BN43" s="449"/>
      <c r="BO43" s="449"/>
      <c r="BP43" s="449"/>
      <c r="BQ43" s="449">
        <f t="shared" si="29"/>
        <v>110134781</v>
      </c>
    </row>
    <row r="44" spans="1:69" ht="191.25" x14ac:dyDescent="0.2">
      <c r="A44" s="1399"/>
      <c r="B44" s="1401"/>
      <c r="C44" s="1186"/>
      <c r="D44" s="1364"/>
      <c r="E44" s="1360"/>
      <c r="F44" s="1186"/>
      <c r="G44" s="1186"/>
      <c r="H44" s="1186"/>
      <c r="I44" s="759" t="s">
        <v>3719</v>
      </c>
      <c r="J44" s="752" t="s">
        <v>3552</v>
      </c>
      <c r="K44" s="754" t="s">
        <v>3553</v>
      </c>
      <c r="L44" s="754" t="s">
        <v>3554</v>
      </c>
      <c r="M44" s="401" t="s">
        <v>3555</v>
      </c>
      <c r="N44" s="401" t="s">
        <v>3556</v>
      </c>
      <c r="O44" s="401" t="s">
        <v>3557</v>
      </c>
      <c r="P44" s="401" t="s">
        <v>3557</v>
      </c>
      <c r="Q44" s="432">
        <v>2300</v>
      </c>
      <c r="R44" s="432">
        <v>887</v>
      </c>
      <c r="S44" s="432">
        <v>2300</v>
      </c>
      <c r="T44" s="432">
        <v>2256</v>
      </c>
      <c r="U44" s="437">
        <f>Q44+R44+S44+T44</f>
        <v>7743</v>
      </c>
      <c r="V44" s="550" t="s">
        <v>4116</v>
      </c>
      <c r="W44" s="566" t="e">
        <f>SUM(#REF!)</f>
        <v>#REF!</v>
      </c>
      <c r="X44" s="566"/>
      <c r="Y44" s="763" t="e">
        <f t="shared" si="22"/>
        <v>#REF!</v>
      </c>
      <c r="Z44" s="763" t="e">
        <f>SUM(#REF!)</f>
        <v>#REF!</v>
      </c>
      <c r="AA44" s="763" t="e">
        <f t="shared" si="23"/>
        <v>#REF!</v>
      </c>
      <c r="AB44" s="763"/>
      <c r="AC44" s="763" t="e">
        <f t="shared" si="24"/>
        <v>#REF!</v>
      </c>
      <c r="AD44" s="549">
        <v>211</v>
      </c>
      <c r="AE44" s="480">
        <v>432172859</v>
      </c>
      <c r="AF44" s="449"/>
      <c r="AG44" s="449">
        <v>200000000</v>
      </c>
      <c r="AH44" s="449">
        <v>77000000</v>
      </c>
      <c r="AI44" s="449"/>
      <c r="AJ44" s="449"/>
      <c r="AK44" s="449"/>
      <c r="AL44" s="449">
        <v>1300000000</v>
      </c>
      <c r="AM44" s="449"/>
      <c r="AN44" s="449"/>
      <c r="AO44" s="449"/>
      <c r="AP44" s="449"/>
      <c r="AQ44" s="449">
        <f t="shared" si="25"/>
        <v>1577000000</v>
      </c>
      <c r="AS44" s="444" t="e">
        <f t="shared" si="26"/>
        <v>#REF!</v>
      </c>
      <c r="AT44" s="444">
        <f>SUM('[3]PLANINVERSIONES DIC'!$BG$67:$BG$89)</f>
        <v>289761977</v>
      </c>
      <c r="AU44" s="587">
        <f>40000000+19000000+1000000</f>
        <v>60000000</v>
      </c>
      <c r="AV44" s="444"/>
      <c r="AW44" s="444">
        <f>+AU44</f>
        <v>60000000</v>
      </c>
      <c r="AX44" s="444"/>
      <c r="AY44" s="444" t="e">
        <f t="shared" si="27"/>
        <v>#REF!</v>
      </c>
      <c r="AZ44" s="444" t="e">
        <f t="shared" si="28"/>
        <v>#REF!</v>
      </c>
      <c r="BA44" s="442"/>
      <c r="BB44" s="444"/>
      <c r="BD44" s="444"/>
      <c r="BE44" s="449"/>
      <c r="BF44" s="449"/>
      <c r="BG44" s="449"/>
      <c r="BH44" s="449"/>
      <c r="BI44" s="449"/>
      <c r="BJ44" s="449"/>
      <c r="BK44" s="449"/>
      <c r="BL44" s="449"/>
      <c r="BM44" s="449">
        <f>+AW44</f>
        <v>60000000</v>
      </c>
      <c r="BN44" s="449"/>
      <c r="BO44" s="449"/>
      <c r="BP44" s="449"/>
      <c r="BQ44" s="449">
        <f t="shared" si="29"/>
        <v>60000000</v>
      </c>
    </row>
    <row r="45" spans="1:69" ht="30" x14ac:dyDescent="0.2">
      <c r="A45" s="1399"/>
      <c r="B45" s="1401"/>
      <c r="C45" s="1186"/>
      <c r="D45" s="1364"/>
      <c r="E45" s="1360"/>
      <c r="F45" s="1186"/>
      <c r="G45" s="1186"/>
      <c r="H45" s="1186"/>
      <c r="I45" s="754" t="s">
        <v>237</v>
      </c>
      <c r="J45" s="754" t="s">
        <v>3551</v>
      </c>
      <c r="K45" s="754">
        <v>0</v>
      </c>
      <c r="L45" s="754" t="s">
        <v>3258</v>
      </c>
      <c r="M45" s="421">
        <v>1</v>
      </c>
      <c r="N45" s="421">
        <v>0</v>
      </c>
      <c r="O45" s="421">
        <v>0</v>
      </c>
      <c r="P45" s="421">
        <v>0</v>
      </c>
      <c r="Q45" s="414">
        <v>100</v>
      </c>
      <c r="R45" s="414">
        <v>0</v>
      </c>
      <c r="S45" s="414">
        <v>0</v>
      </c>
      <c r="T45" s="414">
        <v>0</v>
      </c>
      <c r="U45" s="437">
        <f t="shared" ref="U45:U51" si="30">Q45+R45+S45+T45</f>
        <v>100</v>
      </c>
      <c r="V45" s="554">
        <v>422</v>
      </c>
      <c r="W45" s="569">
        <v>0</v>
      </c>
      <c r="X45" s="569"/>
      <c r="Y45" s="763">
        <f t="shared" si="22"/>
        <v>0</v>
      </c>
      <c r="Z45" s="763" t="e">
        <f>SUM(#REF!)</f>
        <v>#REF!</v>
      </c>
      <c r="AA45" s="763" t="e">
        <f t="shared" si="23"/>
        <v>#REF!</v>
      </c>
      <c r="AB45" s="763"/>
      <c r="AC45" s="763" t="e">
        <f t="shared" si="24"/>
        <v>#REF!</v>
      </c>
      <c r="AD45" s="570">
        <v>111</v>
      </c>
      <c r="AF45" s="449"/>
      <c r="AG45" s="449"/>
      <c r="AH45" s="449"/>
      <c r="AI45" s="449"/>
      <c r="AJ45" s="449"/>
      <c r="AK45" s="449"/>
      <c r="AL45" s="449"/>
      <c r="AM45" s="449"/>
      <c r="AN45" s="449"/>
      <c r="AO45" s="449"/>
      <c r="AP45" s="449"/>
      <c r="AQ45" s="449">
        <f t="shared" si="25"/>
        <v>0</v>
      </c>
      <c r="AS45" s="444">
        <f t="shared" si="26"/>
        <v>0</v>
      </c>
      <c r="AT45" s="444">
        <f>+'[3]PLANINVERSIONES DIC'!$BG$90</f>
        <v>500000</v>
      </c>
      <c r="AV45" s="580"/>
      <c r="AW45" s="444">
        <f>+AU45+AV45</f>
        <v>0</v>
      </c>
      <c r="AX45" s="444"/>
      <c r="AY45" s="444">
        <f t="shared" si="27"/>
        <v>0</v>
      </c>
      <c r="AZ45" s="444">
        <f t="shared" si="28"/>
        <v>0</v>
      </c>
      <c r="BA45" s="442"/>
      <c r="BB45" s="444">
        <v>1000000000</v>
      </c>
      <c r="BD45" s="444"/>
      <c r="BE45" s="449"/>
      <c r="BF45" s="449"/>
      <c r="BG45" s="449"/>
      <c r="BH45" s="449"/>
      <c r="BI45" s="449"/>
      <c r="BJ45" s="449"/>
      <c r="BK45" s="449"/>
      <c r="BL45" s="449"/>
      <c r="BM45" s="449"/>
      <c r="BN45" s="449"/>
      <c r="BO45" s="449"/>
      <c r="BP45" s="449"/>
      <c r="BQ45" s="449">
        <f t="shared" si="29"/>
        <v>0</v>
      </c>
    </row>
    <row r="46" spans="1:69" ht="30" x14ac:dyDescent="0.2">
      <c r="A46" s="1452"/>
      <c r="B46" s="1451"/>
      <c r="C46" s="1187"/>
      <c r="D46" s="1373"/>
      <c r="E46" s="1361"/>
      <c r="F46" s="1187"/>
      <c r="G46" s="1187"/>
      <c r="H46" s="1187"/>
      <c r="I46" s="785" t="s">
        <v>4160</v>
      </c>
      <c r="J46" s="785" t="s">
        <v>4161</v>
      </c>
      <c r="K46" s="786">
        <v>0</v>
      </c>
      <c r="L46" s="786" t="s">
        <v>4162</v>
      </c>
      <c r="M46" s="421">
        <v>0</v>
      </c>
      <c r="N46" s="421">
        <v>0</v>
      </c>
      <c r="O46" s="421">
        <v>0</v>
      </c>
      <c r="P46" s="421">
        <v>1</v>
      </c>
      <c r="Q46" s="414">
        <v>0</v>
      </c>
      <c r="R46" s="414">
        <v>0</v>
      </c>
      <c r="S46" s="414">
        <v>610</v>
      </c>
      <c r="T46" s="414">
        <v>0</v>
      </c>
      <c r="U46" s="437">
        <f t="shared" si="30"/>
        <v>610</v>
      </c>
      <c r="V46" s="554">
        <v>423</v>
      </c>
      <c r="W46" s="569"/>
      <c r="X46" s="569"/>
      <c r="Y46" s="763"/>
      <c r="Z46" s="763"/>
      <c r="AA46" s="763"/>
      <c r="AB46" s="763"/>
      <c r="AC46" s="763"/>
      <c r="AD46" s="570"/>
      <c r="AF46" s="449"/>
      <c r="AG46" s="449"/>
      <c r="AH46" s="449"/>
      <c r="AI46" s="449"/>
      <c r="AJ46" s="449"/>
      <c r="AK46" s="449"/>
      <c r="AL46" s="449"/>
      <c r="AM46" s="449"/>
      <c r="AN46" s="449"/>
      <c r="AO46" s="449"/>
      <c r="AP46" s="449"/>
      <c r="AQ46" s="449"/>
      <c r="AS46" s="444"/>
      <c r="AT46" s="444"/>
      <c r="AV46" s="580"/>
      <c r="AW46" s="444"/>
      <c r="AX46" s="444"/>
      <c r="AY46" s="444"/>
      <c r="AZ46" s="444"/>
      <c r="BA46" s="442"/>
      <c r="BB46" s="444"/>
      <c r="BD46" s="444"/>
      <c r="BE46" s="449"/>
      <c r="BF46" s="449"/>
      <c r="BG46" s="449"/>
      <c r="BH46" s="449"/>
      <c r="BI46" s="449"/>
      <c r="BJ46" s="449"/>
      <c r="BK46" s="449"/>
      <c r="BL46" s="449"/>
      <c r="BM46" s="449"/>
      <c r="BN46" s="449"/>
      <c r="BO46" s="449"/>
      <c r="BP46" s="449"/>
      <c r="BQ46" s="449"/>
    </row>
    <row r="47" spans="1:69" ht="25.5" customHeight="1" x14ac:dyDescent="0.2">
      <c r="A47" s="789"/>
      <c r="B47" s="790"/>
      <c r="C47" s="788"/>
      <c r="D47" s="791"/>
      <c r="E47" s="792"/>
      <c r="F47" s="793"/>
      <c r="G47" s="793"/>
      <c r="H47" s="788"/>
      <c r="I47" s="787"/>
      <c r="J47" s="788"/>
      <c r="K47" s="470"/>
      <c r="L47" s="470"/>
      <c r="M47" s="1345" t="s">
        <v>695</v>
      </c>
      <c r="N47" s="1346"/>
      <c r="O47" s="1346"/>
      <c r="P47" s="1347"/>
      <c r="Q47" s="407">
        <f>SUM(Q40:Q46)</f>
        <v>7355</v>
      </c>
      <c r="R47" s="407">
        <f>SUM(R40:R46)</f>
        <v>7652</v>
      </c>
      <c r="S47" s="407">
        <f>SUM(S40:S46)</f>
        <v>6990</v>
      </c>
      <c r="T47" s="407">
        <f>SUM(T40:T46)</f>
        <v>6616</v>
      </c>
      <c r="U47" s="439">
        <f>SUM(U40:U46)</f>
        <v>28613</v>
      </c>
      <c r="V47" s="550"/>
      <c r="W47" s="407" t="e">
        <f>SUM(W40:W45)</f>
        <v>#REF!</v>
      </c>
      <c r="X47" s="764">
        <f>SUM(X40:X45)</f>
        <v>88829823</v>
      </c>
      <c r="Y47" s="764" t="e">
        <f>+Y44+Y42+Y41+Y40</f>
        <v>#REF!</v>
      </c>
      <c r="Z47" s="407" t="e">
        <f>SUM(Z40:Z45)</f>
        <v>#REF!</v>
      </c>
      <c r="AA47" s="764" t="e">
        <f>+AA44+AA42+AA41+AA40</f>
        <v>#REF!</v>
      </c>
      <c r="AB47" s="407">
        <f>SUM(AB40:AB45)</f>
        <v>210000000</v>
      </c>
      <c r="AC47" s="764" t="e">
        <f>+AC44+AC42+AC41+AC40</f>
        <v>#REF!</v>
      </c>
      <c r="AD47" s="549"/>
      <c r="AF47" s="407">
        <f>SUM(AF40:AF45)</f>
        <v>40000000</v>
      </c>
      <c r="AG47" s="407">
        <f t="shared" ref="AG47:AQ47" si="31">SUM(AG40:AG45)</f>
        <v>800133160</v>
      </c>
      <c r="AH47" s="407">
        <f t="shared" si="31"/>
        <v>77000000</v>
      </c>
      <c r="AI47" s="407">
        <f t="shared" si="31"/>
        <v>73270400</v>
      </c>
      <c r="AJ47" s="407">
        <f t="shared" si="31"/>
        <v>20000000</v>
      </c>
      <c r="AK47" s="407">
        <f t="shared" si="31"/>
        <v>47000740</v>
      </c>
      <c r="AL47" s="407">
        <f t="shared" si="31"/>
        <v>1300000000</v>
      </c>
      <c r="AM47" s="407">
        <f t="shared" si="31"/>
        <v>0</v>
      </c>
      <c r="AN47" s="407"/>
      <c r="AO47" s="407">
        <f t="shared" si="31"/>
        <v>0</v>
      </c>
      <c r="AP47" s="407"/>
      <c r="AQ47" s="407">
        <f t="shared" si="31"/>
        <v>2357404300</v>
      </c>
      <c r="AS47" s="407" t="e">
        <f t="shared" ref="AS47:AZ47" si="32">SUM(AS40:AS45)</f>
        <v>#REF!</v>
      </c>
      <c r="AT47" s="407">
        <f t="shared" si="32"/>
        <v>2713904463.333333</v>
      </c>
      <c r="AU47" s="407" t="e">
        <f t="shared" si="32"/>
        <v>#REF!</v>
      </c>
      <c r="AV47" s="407">
        <f t="shared" si="32"/>
        <v>0</v>
      </c>
      <c r="AW47" s="407">
        <f t="shared" si="32"/>
        <v>3138356818</v>
      </c>
      <c r="AX47" s="407">
        <f t="shared" si="32"/>
        <v>0</v>
      </c>
      <c r="AY47" s="407" t="e">
        <f t="shared" si="32"/>
        <v>#REF!</v>
      </c>
      <c r="AZ47" s="407" t="e">
        <f t="shared" si="32"/>
        <v>#REF!</v>
      </c>
      <c r="BA47" s="442"/>
      <c r="BB47" s="407">
        <f>SUM(BB40:BB45)</f>
        <v>1700000000</v>
      </c>
      <c r="BD47" s="407">
        <f>SUM(BD40:BD45)</f>
        <v>0</v>
      </c>
      <c r="BE47" s="407">
        <f>SUM(BE40:BE45)</f>
        <v>0</v>
      </c>
      <c r="BF47" s="407" t="e">
        <f t="shared" ref="BF47:BQ47" si="33">SUM(BF40:BF45)</f>
        <v>#REF!</v>
      </c>
      <c r="BG47" s="407" t="e">
        <f t="shared" si="33"/>
        <v>#REF!</v>
      </c>
      <c r="BH47" s="407">
        <f t="shared" si="33"/>
        <v>0</v>
      </c>
      <c r="BI47" s="407">
        <f t="shared" si="33"/>
        <v>0</v>
      </c>
      <c r="BJ47" s="407">
        <f t="shared" si="33"/>
        <v>0</v>
      </c>
      <c r="BK47" s="407" t="e">
        <f t="shared" si="33"/>
        <v>#REF!</v>
      </c>
      <c r="BL47" s="407">
        <f t="shared" si="33"/>
        <v>0</v>
      </c>
      <c r="BM47" s="407" t="e">
        <f t="shared" si="33"/>
        <v>#REF!</v>
      </c>
      <c r="BN47" s="407">
        <f t="shared" si="33"/>
        <v>0</v>
      </c>
      <c r="BO47" s="407">
        <f t="shared" si="33"/>
        <v>0</v>
      </c>
      <c r="BP47" s="407">
        <f t="shared" si="33"/>
        <v>0</v>
      </c>
      <c r="BQ47" s="407" t="e">
        <f t="shared" si="33"/>
        <v>#REF!</v>
      </c>
    </row>
    <row r="48" spans="1:69" ht="34.5" customHeight="1" x14ac:dyDescent="0.25">
      <c r="A48" s="398"/>
      <c r="B48" s="456"/>
      <c r="C48" s="398"/>
      <c r="D48" s="396"/>
      <c r="E48" s="396"/>
      <c r="F48" s="396"/>
      <c r="G48" s="396"/>
      <c r="H48" s="398"/>
      <c r="I48" s="398"/>
      <c r="J48" s="396"/>
      <c r="K48" s="396"/>
      <c r="L48" s="457"/>
      <c r="M48" s="416"/>
      <c r="N48" s="416"/>
      <c r="O48" s="416"/>
      <c r="P48" s="417"/>
      <c r="Q48" s="417"/>
      <c r="R48" s="417"/>
      <c r="S48" s="417"/>
      <c r="T48" s="416"/>
      <c r="U48" s="397"/>
      <c r="V48" s="551"/>
      <c r="W48" s="567"/>
      <c r="X48" s="567"/>
      <c r="Y48" s="765"/>
      <c r="Z48" s="765"/>
      <c r="AA48" s="765"/>
      <c r="AB48" s="765"/>
      <c r="AC48" s="765"/>
      <c r="AD48" s="568"/>
      <c r="AF48" s="488"/>
      <c r="AG48" s="488"/>
      <c r="AH48" s="488"/>
      <c r="AI48" s="488"/>
      <c r="AJ48" s="488"/>
      <c r="AK48" s="488"/>
      <c r="AL48" s="488"/>
      <c r="AM48" s="488"/>
      <c r="AN48" s="488"/>
      <c r="AO48" s="488"/>
      <c r="AP48" s="488"/>
      <c r="AQ48" s="488"/>
      <c r="AS48" s="478"/>
      <c r="AT48" s="478"/>
      <c r="AU48" s="478"/>
      <c r="AV48" s="478"/>
      <c r="AW48" s="478"/>
      <c r="AX48" s="478"/>
      <c r="AY48" s="478"/>
      <c r="AZ48" s="478"/>
      <c r="BB48" s="478"/>
      <c r="BD48" s="478"/>
      <c r="BE48" s="488"/>
      <c r="BF48" s="488"/>
      <c r="BG48" s="488"/>
      <c r="BH48" s="488"/>
      <c r="BI48" s="488"/>
      <c r="BJ48" s="488"/>
      <c r="BK48" s="488"/>
      <c r="BL48" s="488"/>
      <c r="BM48" s="488"/>
      <c r="BN48" s="488"/>
      <c r="BO48" s="488"/>
      <c r="BP48" s="488"/>
      <c r="BQ48" s="488"/>
    </row>
    <row r="49" spans="1:69" ht="68.25" customHeight="1" x14ac:dyDescent="0.2">
      <c r="A49" s="1185">
        <v>5</v>
      </c>
      <c r="B49" s="1363" t="s">
        <v>3112</v>
      </c>
      <c r="C49" s="1189" t="s">
        <v>3558</v>
      </c>
      <c r="D49" s="1363" t="s">
        <v>3559</v>
      </c>
      <c r="E49" s="1362" t="s">
        <v>3483</v>
      </c>
      <c r="F49" s="1188" t="s">
        <v>3484</v>
      </c>
      <c r="G49" s="1188">
        <v>0</v>
      </c>
      <c r="H49" s="1188" t="s">
        <v>3560</v>
      </c>
      <c r="I49" s="401" t="s">
        <v>3266</v>
      </c>
      <c r="J49" s="754" t="s">
        <v>3561</v>
      </c>
      <c r="K49" s="403" t="s">
        <v>3562</v>
      </c>
      <c r="L49" s="754" t="s">
        <v>3563</v>
      </c>
      <c r="M49" s="404">
        <v>0.3</v>
      </c>
      <c r="N49" s="404">
        <v>0.3</v>
      </c>
      <c r="O49" s="404">
        <v>0.3</v>
      </c>
      <c r="P49" s="404">
        <v>0.1</v>
      </c>
      <c r="Q49" s="414">
        <v>25</v>
      </c>
      <c r="R49" s="414">
        <v>43</v>
      </c>
      <c r="S49" s="414">
        <v>25</v>
      </c>
      <c r="T49" s="414">
        <v>10</v>
      </c>
      <c r="U49" s="437">
        <f t="shared" si="30"/>
        <v>103</v>
      </c>
      <c r="V49" s="550">
        <v>511</v>
      </c>
      <c r="W49" s="566" t="e">
        <f>+#REF!</f>
        <v>#REF!</v>
      </c>
      <c r="X49" s="566"/>
      <c r="Y49" s="763" t="e">
        <f>+S49*1000000-W49-X49</f>
        <v>#REF!</v>
      </c>
      <c r="Z49" s="763" t="e">
        <f>SUM(#REF!)</f>
        <v>#REF!</v>
      </c>
      <c r="AA49" s="763" t="e">
        <f>+S49*1000000-W49-X49-Z49</f>
        <v>#REF!</v>
      </c>
      <c r="AB49" s="763"/>
      <c r="AC49" s="763" t="e">
        <f>+S49*1000000-W49-X49-Z49-AB49</f>
        <v>#REF!</v>
      </c>
      <c r="AD49" s="549">
        <v>510</v>
      </c>
      <c r="AF49" s="449">
        <v>35000000</v>
      </c>
      <c r="AG49" s="449"/>
      <c r="AH49" s="449"/>
      <c r="AI49" s="449"/>
      <c r="AJ49" s="449"/>
      <c r="AK49" s="449"/>
      <c r="AL49" s="449"/>
      <c r="AM49" s="449"/>
      <c r="AN49" s="449"/>
      <c r="AO49" s="449"/>
      <c r="AP49" s="449"/>
      <c r="AQ49" s="449">
        <f>SUM(AF49:AO49)</f>
        <v>35000000</v>
      </c>
      <c r="AS49" s="583" t="e">
        <f>+S49*1000000-W49</f>
        <v>#REF!</v>
      </c>
      <c r="AT49" s="444">
        <f>+'[3]PLANINVERSIONES DIC'!$BG93</f>
        <v>517000</v>
      </c>
      <c r="AU49" s="444"/>
      <c r="AV49" s="580"/>
      <c r="AW49" s="444">
        <f>+AU49+AV49</f>
        <v>0</v>
      </c>
      <c r="AX49" s="444"/>
      <c r="AY49" s="444" t="e">
        <f>+W49+AW49+AX49</f>
        <v>#REF!</v>
      </c>
      <c r="AZ49" s="444" t="e">
        <f>+AY49-S49*1000000</f>
        <v>#REF!</v>
      </c>
      <c r="BA49" s="442"/>
      <c r="BB49" s="444"/>
      <c r="BD49" s="444"/>
      <c r="BE49" s="449"/>
      <c r="BF49" s="449"/>
      <c r="BG49" s="449"/>
      <c r="BH49" s="449"/>
      <c r="BI49" s="449"/>
      <c r="BJ49" s="449"/>
      <c r="BK49" s="449"/>
      <c r="BL49" s="449"/>
      <c r="BM49" s="449"/>
      <c r="BN49" s="449"/>
      <c r="BO49" s="449"/>
      <c r="BP49" s="449"/>
      <c r="BQ49" s="449">
        <f>SUM(BE49:BO49)</f>
        <v>0</v>
      </c>
    </row>
    <row r="50" spans="1:69" ht="92.25" customHeight="1" x14ac:dyDescent="0.2">
      <c r="A50" s="1186"/>
      <c r="B50" s="1364"/>
      <c r="C50" s="1191"/>
      <c r="D50" s="1364"/>
      <c r="E50" s="1360"/>
      <c r="F50" s="1188"/>
      <c r="G50" s="1188"/>
      <c r="H50" s="1188"/>
      <c r="I50" s="754" t="s">
        <v>3720</v>
      </c>
      <c r="J50" s="754" t="s">
        <v>3564</v>
      </c>
      <c r="K50" s="403">
        <v>0</v>
      </c>
      <c r="L50" s="754" t="s">
        <v>3565</v>
      </c>
      <c r="M50" s="400">
        <v>4</v>
      </c>
      <c r="N50" s="400">
        <v>4</v>
      </c>
      <c r="O50" s="400">
        <v>4</v>
      </c>
      <c r="P50" s="400">
        <v>4</v>
      </c>
      <c r="Q50" s="405">
        <v>30</v>
      </c>
      <c r="R50" s="405">
        <v>30</v>
      </c>
      <c r="S50" s="405">
        <v>30</v>
      </c>
      <c r="T50" s="405">
        <v>30</v>
      </c>
      <c r="U50" s="437">
        <f t="shared" si="30"/>
        <v>120</v>
      </c>
      <c r="V50" s="550">
        <v>512</v>
      </c>
      <c r="W50" s="566" t="e">
        <f>+#REF!</f>
        <v>#REF!</v>
      </c>
      <c r="X50" s="566"/>
      <c r="Y50" s="763" t="e">
        <f>+S50*1000000-W50-X50</f>
        <v>#REF!</v>
      </c>
      <c r="Z50" s="763" t="e">
        <f>SUM(#REF!)</f>
        <v>#REF!</v>
      </c>
      <c r="AA50" s="763" t="e">
        <f>+S50*1000000-W50-X50-Z50</f>
        <v>#REF!</v>
      </c>
      <c r="AB50" s="772">
        <v>10000000</v>
      </c>
      <c r="AC50" s="763" t="e">
        <f>+S50*1000000-W50-X50-Z50-AB50</f>
        <v>#REF!</v>
      </c>
      <c r="AD50" s="549">
        <v>510</v>
      </c>
      <c r="AF50" s="449"/>
      <c r="AG50" s="449"/>
      <c r="AH50" s="449"/>
      <c r="AI50" s="449"/>
      <c r="AJ50" s="449"/>
      <c r="AK50" s="449"/>
      <c r="AL50" s="449"/>
      <c r="AM50" s="449"/>
      <c r="AN50" s="449"/>
      <c r="AO50" s="449"/>
      <c r="AP50" s="449"/>
      <c r="AQ50" s="449">
        <f>SUM(AF50:AO50)</f>
        <v>0</v>
      </c>
      <c r="AS50" s="444" t="e">
        <f>+S50*1000000-W50</f>
        <v>#REF!</v>
      </c>
      <c r="AT50" s="444">
        <f>+'[3]PLANINVERSIONES DIC'!$BG94</f>
        <v>1513334</v>
      </c>
      <c r="AU50" s="587">
        <v>10000000</v>
      </c>
      <c r="AV50" s="580"/>
      <c r="AW50" s="444">
        <f>+AU50+AV50</f>
        <v>10000000</v>
      </c>
      <c r="AX50" s="444"/>
      <c r="AY50" s="444" t="e">
        <f>+W50+AW50+AX50</f>
        <v>#REF!</v>
      </c>
      <c r="AZ50" s="444" t="e">
        <f>+AY50-S50*1000000</f>
        <v>#REF!</v>
      </c>
      <c r="BA50" s="442"/>
      <c r="BB50" s="444"/>
      <c r="BD50" s="444"/>
      <c r="BE50" s="449"/>
      <c r="BF50" s="449"/>
      <c r="BG50" s="449"/>
      <c r="BH50" s="449"/>
      <c r="BI50" s="449"/>
      <c r="BJ50" s="449"/>
      <c r="BK50" s="449"/>
      <c r="BL50" s="449"/>
      <c r="BM50" s="449">
        <f>+AW50</f>
        <v>10000000</v>
      </c>
      <c r="BN50" s="449"/>
      <c r="BO50" s="449"/>
      <c r="BP50" s="449"/>
      <c r="BQ50" s="449">
        <f>SUM(BE50:BO50)</f>
        <v>10000000</v>
      </c>
    </row>
    <row r="51" spans="1:69" ht="96.75" customHeight="1" x14ac:dyDescent="0.2">
      <c r="A51" s="1187"/>
      <c r="B51" s="1373"/>
      <c r="C51" s="1192"/>
      <c r="D51" s="1373"/>
      <c r="E51" s="1361"/>
      <c r="F51" s="1188"/>
      <c r="G51" s="1188"/>
      <c r="H51" s="1188"/>
      <c r="I51" s="401" t="s">
        <v>3267</v>
      </c>
      <c r="J51" s="754" t="s">
        <v>3566</v>
      </c>
      <c r="K51" s="403" t="s">
        <v>3567</v>
      </c>
      <c r="L51" s="754" t="s">
        <v>3568</v>
      </c>
      <c r="M51" s="400">
        <v>4</v>
      </c>
      <c r="N51" s="400">
        <v>6</v>
      </c>
      <c r="O51" s="400">
        <v>6</v>
      </c>
      <c r="P51" s="400">
        <v>6</v>
      </c>
      <c r="Q51" s="405">
        <v>24</v>
      </c>
      <c r="R51" s="405">
        <v>10</v>
      </c>
      <c r="S51" s="405">
        <v>24</v>
      </c>
      <c r="T51" s="405">
        <v>24</v>
      </c>
      <c r="U51" s="438">
        <f t="shared" si="30"/>
        <v>82</v>
      </c>
      <c r="V51" s="550">
        <v>513</v>
      </c>
      <c r="W51" s="566">
        <v>0</v>
      </c>
      <c r="X51" s="566"/>
      <c r="Y51" s="763">
        <f>+S51*1000000-W51-X51</f>
        <v>24000000</v>
      </c>
      <c r="Z51" s="763"/>
      <c r="AA51" s="763">
        <f>+S51*1000000-W51-X51-Z51</f>
        <v>24000000</v>
      </c>
      <c r="AB51" s="763"/>
      <c r="AC51" s="763">
        <f>+S51*1000000-W51-X51-Z51-AB51</f>
        <v>24000000</v>
      </c>
      <c r="AD51" s="549">
        <v>510</v>
      </c>
      <c r="AF51" s="449"/>
      <c r="AG51" s="449"/>
      <c r="AH51" s="449"/>
      <c r="AI51" s="449"/>
      <c r="AJ51" s="449"/>
      <c r="AK51" s="449"/>
      <c r="AL51" s="449"/>
      <c r="AM51" s="449"/>
      <c r="AN51" s="449"/>
      <c r="AO51" s="449"/>
      <c r="AP51" s="449"/>
      <c r="AQ51" s="449">
        <f>SUM(AF51:AO51)</f>
        <v>0</v>
      </c>
      <c r="AS51" s="444">
        <f>+S51*1000000-W51</f>
        <v>24000000</v>
      </c>
      <c r="AT51" s="444">
        <f>+'[3]PLANINVERSIONES DIC'!$BG95</f>
        <v>10300000</v>
      </c>
      <c r="AU51" s="580">
        <f>+AS51</f>
        <v>24000000</v>
      </c>
      <c r="AV51" s="580"/>
      <c r="AW51" s="444"/>
      <c r="AX51" s="444"/>
      <c r="AY51" s="444">
        <f>+W51+AW51+AX51</f>
        <v>0</v>
      </c>
      <c r="AZ51" s="444">
        <f>+AY51-S51*1000000</f>
        <v>-24000000</v>
      </c>
      <c r="BA51" s="442"/>
      <c r="BB51" s="444"/>
      <c r="BD51" s="444"/>
      <c r="BE51" s="449"/>
      <c r="BF51" s="449"/>
      <c r="BG51" s="449"/>
      <c r="BH51" s="449"/>
      <c r="BI51" s="449"/>
      <c r="BJ51" s="449"/>
      <c r="BK51" s="449"/>
      <c r="BL51" s="449"/>
      <c r="BM51" s="449"/>
      <c r="BN51" s="449"/>
      <c r="BO51" s="449"/>
      <c r="BP51" s="449"/>
      <c r="BQ51" s="449">
        <f>SUM(BE51:BO51)</f>
        <v>0</v>
      </c>
    </row>
    <row r="52" spans="1:69" ht="23.25" customHeight="1" x14ac:dyDescent="0.25">
      <c r="A52" s="461"/>
      <c r="B52" s="461"/>
      <c r="C52" s="461"/>
      <c r="D52" s="461"/>
      <c r="E52" s="461"/>
      <c r="F52" s="461"/>
      <c r="G52" s="461"/>
      <c r="H52" s="461"/>
      <c r="I52" s="461"/>
      <c r="J52" s="462"/>
      <c r="K52" s="461"/>
      <c r="L52" s="461"/>
      <c r="M52" s="1345" t="s">
        <v>695</v>
      </c>
      <c r="N52" s="1346"/>
      <c r="O52" s="1346"/>
      <c r="P52" s="1347"/>
      <c r="Q52" s="407">
        <f>SUM(Q49:Q51)</f>
        <v>79</v>
      </c>
      <c r="R52" s="407">
        <f t="shared" ref="R52:AB52" si="34">SUM(R49:R51)</f>
        <v>83</v>
      </c>
      <c r="S52" s="407">
        <f t="shared" si="34"/>
        <v>79</v>
      </c>
      <c r="T52" s="407">
        <f t="shared" si="34"/>
        <v>64</v>
      </c>
      <c r="U52" s="407">
        <f t="shared" si="34"/>
        <v>305</v>
      </c>
      <c r="V52" s="550"/>
      <c r="W52" s="407" t="e">
        <f t="shared" si="34"/>
        <v>#REF!</v>
      </c>
      <c r="X52" s="407">
        <f t="shared" si="34"/>
        <v>0</v>
      </c>
      <c r="Y52" s="764" t="e">
        <f>+Y51+Y50</f>
        <v>#REF!</v>
      </c>
      <c r="Z52" s="407" t="e">
        <f t="shared" si="34"/>
        <v>#REF!</v>
      </c>
      <c r="AA52" s="764" t="e">
        <f>+AA51+AA50</f>
        <v>#REF!</v>
      </c>
      <c r="AB52" s="407">
        <f t="shared" si="34"/>
        <v>10000000</v>
      </c>
      <c r="AC52" s="764" t="e">
        <f>+AC51+AC50</f>
        <v>#REF!</v>
      </c>
      <c r="AD52" s="549"/>
      <c r="AF52" s="407">
        <f t="shared" ref="AF52:AQ52" si="35">SUM(AF49:AF51)</f>
        <v>35000000</v>
      </c>
      <c r="AG52" s="407">
        <f t="shared" si="35"/>
        <v>0</v>
      </c>
      <c r="AH52" s="407">
        <f t="shared" si="35"/>
        <v>0</v>
      </c>
      <c r="AI52" s="407">
        <f t="shared" si="35"/>
        <v>0</v>
      </c>
      <c r="AJ52" s="407">
        <f t="shared" si="35"/>
        <v>0</v>
      </c>
      <c r="AK52" s="407">
        <f t="shared" si="35"/>
        <v>0</v>
      </c>
      <c r="AL52" s="407">
        <f t="shared" si="35"/>
        <v>0</v>
      </c>
      <c r="AM52" s="407">
        <f t="shared" si="35"/>
        <v>0</v>
      </c>
      <c r="AN52" s="407"/>
      <c r="AO52" s="407">
        <f t="shared" si="35"/>
        <v>0</v>
      </c>
      <c r="AP52" s="407"/>
      <c r="AQ52" s="407">
        <f t="shared" si="35"/>
        <v>35000000</v>
      </c>
      <c r="AS52" s="407" t="e">
        <f t="shared" ref="AS52:BB52" si="36">SUM(AS49:AS51)</f>
        <v>#REF!</v>
      </c>
      <c r="AT52" s="407">
        <f t="shared" si="36"/>
        <v>12330334</v>
      </c>
      <c r="AU52" s="407">
        <f t="shared" si="36"/>
        <v>34000000</v>
      </c>
      <c r="AV52" s="407">
        <f t="shared" si="36"/>
        <v>0</v>
      </c>
      <c r="AW52" s="407">
        <f t="shared" si="36"/>
        <v>10000000</v>
      </c>
      <c r="AX52" s="407">
        <f t="shared" si="36"/>
        <v>0</v>
      </c>
      <c r="AY52" s="407" t="e">
        <f t="shared" si="36"/>
        <v>#REF!</v>
      </c>
      <c r="AZ52" s="407" t="e">
        <f t="shared" si="36"/>
        <v>#REF!</v>
      </c>
      <c r="BA52" s="442"/>
      <c r="BB52" s="407">
        <f t="shared" si="36"/>
        <v>0</v>
      </c>
      <c r="BD52" s="407">
        <f t="shared" ref="BD52:BQ52" si="37">SUM(BD49:BD51)</f>
        <v>0</v>
      </c>
      <c r="BE52" s="407">
        <f t="shared" si="37"/>
        <v>0</v>
      </c>
      <c r="BF52" s="407">
        <f t="shared" si="37"/>
        <v>0</v>
      </c>
      <c r="BG52" s="407">
        <f t="shared" si="37"/>
        <v>0</v>
      </c>
      <c r="BH52" s="407">
        <f t="shared" si="37"/>
        <v>0</v>
      </c>
      <c r="BI52" s="407">
        <f t="shared" si="37"/>
        <v>0</v>
      </c>
      <c r="BJ52" s="407">
        <f t="shared" si="37"/>
        <v>0</v>
      </c>
      <c r="BK52" s="407">
        <f t="shared" si="37"/>
        <v>0</v>
      </c>
      <c r="BL52" s="407">
        <f t="shared" si="37"/>
        <v>0</v>
      </c>
      <c r="BM52" s="407">
        <f t="shared" si="37"/>
        <v>10000000</v>
      </c>
      <c r="BN52" s="407">
        <f t="shared" si="37"/>
        <v>0</v>
      </c>
      <c r="BO52" s="407">
        <f t="shared" si="37"/>
        <v>0</v>
      </c>
      <c r="BP52" s="407">
        <f t="shared" si="37"/>
        <v>0</v>
      </c>
      <c r="BQ52" s="407">
        <f t="shared" si="37"/>
        <v>10000000</v>
      </c>
    </row>
    <row r="53" spans="1:69" ht="21.75" customHeight="1" x14ac:dyDescent="0.25">
      <c r="A53" s="398"/>
      <c r="B53" s="456"/>
      <c r="C53" s="398"/>
      <c r="D53" s="396"/>
      <c r="E53" s="396"/>
      <c r="F53" s="396"/>
      <c r="G53" s="396"/>
      <c r="H53" s="398"/>
      <c r="I53" s="398"/>
      <c r="J53" s="396"/>
      <c r="K53" s="396"/>
      <c r="L53" s="457"/>
      <c r="M53" s="416"/>
      <c r="N53" s="416"/>
      <c r="O53" s="416"/>
      <c r="P53" s="417"/>
      <c r="Q53" s="417"/>
      <c r="R53" s="417"/>
      <c r="S53" s="417"/>
      <c r="T53" s="416"/>
      <c r="U53" s="484"/>
      <c r="V53" s="551"/>
      <c r="W53" s="567"/>
      <c r="X53" s="567"/>
      <c r="Y53" s="765"/>
      <c r="Z53" s="765"/>
      <c r="AA53" s="765"/>
      <c r="AB53" s="765"/>
      <c r="AC53" s="765"/>
      <c r="AD53" s="568"/>
      <c r="AE53" s="487"/>
      <c r="AF53" s="488"/>
      <c r="AG53" s="488"/>
      <c r="AH53" s="488"/>
      <c r="AI53" s="488"/>
      <c r="AJ53" s="488"/>
      <c r="AK53" s="488"/>
      <c r="AL53" s="488"/>
      <c r="AM53" s="488"/>
      <c r="AN53" s="488"/>
      <c r="AO53" s="488"/>
      <c r="AP53" s="488"/>
      <c r="AQ53" s="488"/>
      <c r="AS53" s="478"/>
      <c r="AT53" s="478"/>
      <c r="AU53" s="478"/>
      <c r="AV53" s="478"/>
      <c r="AW53" s="478"/>
      <c r="AX53" s="478"/>
      <c r="AY53" s="478"/>
      <c r="AZ53" s="478"/>
      <c r="BB53" s="478"/>
      <c r="BD53" s="478"/>
      <c r="BE53" s="488"/>
      <c r="BF53" s="488"/>
      <c r="BG53" s="488"/>
      <c r="BH53" s="488"/>
      <c r="BI53" s="488"/>
      <c r="BJ53" s="488"/>
      <c r="BK53" s="488"/>
      <c r="BL53" s="488"/>
      <c r="BM53" s="488"/>
      <c r="BN53" s="488"/>
      <c r="BO53" s="488"/>
      <c r="BP53" s="488"/>
      <c r="BQ53" s="488"/>
    </row>
    <row r="54" spans="1:69" ht="90" x14ac:dyDescent="0.2">
      <c r="A54" s="1185">
        <v>6</v>
      </c>
      <c r="B54" s="1363" t="s">
        <v>3569</v>
      </c>
      <c r="C54" s="1185" t="s">
        <v>3570</v>
      </c>
      <c r="D54" s="1365" t="s">
        <v>3571</v>
      </c>
      <c r="E54" s="1366" t="s">
        <v>3572</v>
      </c>
      <c r="F54" s="1188" t="s">
        <v>3484</v>
      </c>
      <c r="G54" s="1188" t="s">
        <v>3573</v>
      </c>
      <c r="H54" s="1188" t="s">
        <v>3574</v>
      </c>
      <c r="I54" s="752" t="s">
        <v>3721</v>
      </c>
      <c r="J54" s="752" t="s">
        <v>3575</v>
      </c>
      <c r="K54" s="752">
        <v>0</v>
      </c>
      <c r="L54" s="752" t="s">
        <v>3576</v>
      </c>
      <c r="M54" s="400">
        <v>50</v>
      </c>
      <c r="N54" s="400">
        <v>150</v>
      </c>
      <c r="O54" s="400">
        <v>200</v>
      </c>
      <c r="P54" s="400">
        <v>200</v>
      </c>
      <c r="Q54" s="405">
        <v>150</v>
      </c>
      <c r="R54" s="405">
        <v>150</v>
      </c>
      <c r="S54" s="405">
        <v>200</v>
      </c>
      <c r="T54" s="405">
        <v>220</v>
      </c>
      <c r="U54" s="486">
        <f>Q54+R54+S54+T54</f>
        <v>720</v>
      </c>
      <c r="V54" s="550">
        <v>611</v>
      </c>
      <c r="W54" s="566" t="e">
        <f>SUM(#REF!)</f>
        <v>#REF!</v>
      </c>
      <c r="X54" s="566"/>
      <c r="Y54" s="763" t="e">
        <f t="shared" ref="Y54:Y64" si="38">+S54*1000000-W54-X54</f>
        <v>#REF!</v>
      </c>
      <c r="Z54" s="763"/>
      <c r="AA54" s="763" t="e">
        <f t="shared" ref="AA54:AA64" si="39">+S54*1000000-W54-X54-Z54</f>
        <v>#REF!</v>
      </c>
      <c r="AB54" s="763"/>
      <c r="AC54" s="763" t="e">
        <f t="shared" ref="AC54:AC64" si="40">+S54*1000000-W54-X54-Z54-AB54</f>
        <v>#REF!</v>
      </c>
      <c r="AD54" s="549">
        <v>310</v>
      </c>
      <c r="AF54" s="449" t="e">
        <f>+W54</f>
        <v>#REF!</v>
      </c>
      <c r="AG54" s="449"/>
      <c r="AH54" s="449"/>
      <c r="AI54" s="449"/>
      <c r="AJ54" s="449"/>
      <c r="AK54" s="449"/>
      <c r="AL54" s="449"/>
      <c r="AM54" s="449"/>
      <c r="AN54" s="449"/>
      <c r="AO54" s="449"/>
      <c r="AP54" s="449"/>
      <c r="AQ54" s="449" t="e">
        <f t="shared" ref="AQ54:AQ64" si="41">SUM(AF54:AO54)</f>
        <v>#REF!</v>
      </c>
      <c r="AS54" s="444" t="e">
        <f t="shared" ref="AS54:AS64" si="42">+S54*1000000-W54</f>
        <v>#REF!</v>
      </c>
      <c r="AT54" s="444">
        <f>+'[3]PLANINVERSIONES DIC'!$BG98</f>
        <v>36305486</v>
      </c>
      <c r="AU54" s="588" t="e">
        <f>+AS54</f>
        <v>#REF!</v>
      </c>
      <c r="AV54" s="580"/>
      <c r="AW54" s="444"/>
      <c r="AX54" s="444"/>
      <c r="AY54" s="444" t="e">
        <f t="shared" ref="AY54:AY64" si="43">+W54+AW54+AX54</f>
        <v>#REF!</v>
      </c>
      <c r="AZ54" s="444" t="e">
        <f t="shared" ref="AZ54:AZ64" si="44">+AY54-S54*1000000</f>
        <v>#REF!</v>
      </c>
      <c r="BA54" s="442"/>
      <c r="BB54" s="444"/>
      <c r="BD54" s="444"/>
      <c r="BE54" s="449">
        <f>+BC54</f>
        <v>0</v>
      </c>
      <c r="BF54" s="449"/>
      <c r="BG54" s="449"/>
      <c r="BH54" s="449"/>
      <c r="BI54" s="449"/>
      <c r="BJ54" s="449"/>
      <c r="BK54" s="449"/>
      <c r="BL54" s="449"/>
      <c r="BM54" s="449"/>
      <c r="BN54" s="449"/>
      <c r="BO54" s="449"/>
      <c r="BP54" s="449"/>
      <c r="BQ54" s="449">
        <f t="shared" ref="BQ54:BQ64" si="45">SUM(BE54:BO54)</f>
        <v>0</v>
      </c>
    </row>
    <row r="55" spans="1:69" ht="75" x14ac:dyDescent="0.2">
      <c r="A55" s="1186"/>
      <c r="B55" s="1364"/>
      <c r="C55" s="1186"/>
      <c r="D55" s="1365"/>
      <c r="E55" s="1367"/>
      <c r="F55" s="1188"/>
      <c r="G55" s="1188"/>
      <c r="H55" s="1188"/>
      <c r="I55" s="752" t="s">
        <v>3722</v>
      </c>
      <c r="J55" s="752" t="s">
        <v>3691</v>
      </c>
      <c r="K55" s="752">
        <v>0</v>
      </c>
      <c r="L55" s="752" t="s">
        <v>3692</v>
      </c>
      <c r="M55" s="400">
        <v>600</v>
      </c>
      <c r="N55" s="400">
        <v>800</v>
      </c>
      <c r="O55" s="400">
        <v>800</v>
      </c>
      <c r="P55" s="400">
        <v>800</v>
      </c>
      <c r="Q55" s="405">
        <v>15</v>
      </c>
      <c r="R55" s="405">
        <v>45</v>
      </c>
      <c r="S55" s="405">
        <v>50</v>
      </c>
      <c r="T55" s="405">
        <v>55</v>
      </c>
      <c r="U55" s="440">
        <f>Q55+R55+S55+T55</f>
        <v>165</v>
      </c>
      <c r="V55" s="550">
        <v>612</v>
      </c>
      <c r="W55" s="566" t="e">
        <f>+#REF!</f>
        <v>#REF!</v>
      </c>
      <c r="X55" s="566"/>
      <c r="Y55" s="763" t="e">
        <f t="shared" si="38"/>
        <v>#REF!</v>
      </c>
      <c r="Z55" s="763" t="e">
        <f>SUM(#REF!)</f>
        <v>#REF!</v>
      </c>
      <c r="AA55" s="763" t="e">
        <f t="shared" si="39"/>
        <v>#REF!</v>
      </c>
      <c r="AB55" s="772">
        <v>10000000</v>
      </c>
      <c r="AC55" s="763" t="e">
        <f t="shared" si="40"/>
        <v>#REF!</v>
      </c>
      <c r="AD55" s="549">
        <v>510</v>
      </c>
      <c r="AF55" s="449"/>
      <c r="AG55" s="449"/>
      <c r="AH55" s="449"/>
      <c r="AI55" s="449"/>
      <c r="AJ55" s="449"/>
      <c r="AK55" s="449"/>
      <c r="AL55" s="449"/>
      <c r="AM55" s="449"/>
      <c r="AN55" s="449"/>
      <c r="AO55" s="449"/>
      <c r="AP55" s="449"/>
      <c r="AQ55" s="449">
        <f t="shared" si="41"/>
        <v>0</v>
      </c>
      <c r="AS55" s="444" t="e">
        <f t="shared" si="42"/>
        <v>#REF!</v>
      </c>
      <c r="AT55" s="444">
        <f>+'[3]PLANINVERSIONES DIC'!$BG99</f>
        <v>13701102</v>
      </c>
      <c r="AU55" s="587">
        <v>15000000</v>
      </c>
      <c r="AV55" s="580"/>
      <c r="AW55" s="444">
        <f>+AU55+AV55</f>
        <v>15000000</v>
      </c>
      <c r="AX55" s="444"/>
      <c r="AY55" s="444" t="e">
        <f t="shared" si="43"/>
        <v>#REF!</v>
      </c>
      <c r="AZ55" s="444" t="e">
        <f t="shared" si="44"/>
        <v>#REF!</v>
      </c>
      <c r="BA55" s="442"/>
      <c r="BB55" s="444"/>
      <c r="BD55" s="444"/>
      <c r="BE55" s="449"/>
      <c r="BF55" s="449"/>
      <c r="BG55" s="449"/>
      <c r="BH55" s="449"/>
      <c r="BI55" s="449"/>
      <c r="BJ55" s="449"/>
      <c r="BK55" s="449"/>
      <c r="BL55" s="449"/>
      <c r="BM55" s="449">
        <f>+AW55</f>
        <v>15000000</v>
      </c>
      <c r="BN55" s="449"/>
      <c r="BO55" s="449"/>
      <c r="BP55" s="449"/>
      <c r="BQ55" s="449">
        <f t="shared" si="45"/>
        <v>15000000</v>
      </c>
    </row>
    <row r="56" spans="1:69" ht="105" x14ac:dyDescent="0.2">
      <c r="A56" s="1186"/>
      <c r="B56" s="1364"/>
      <c r="C56" s="1186"/>
      <c r="D56" s="1363" t="s">
        <v>434</v>
      </c>
      <c r="E56" s="1362" t="s">
        <v>3577</v>
      </c>
      <c r="F56" s="1185" t="s">
        <v>3578</v>
      </c>
      <c r="G56" s="1185" t="s">
        <v>3579</v>
      </c>
      <c r="H56" s="1185" t="s">
        <v>3580</v>
      </c>
      <c r="I56" s="1188" t="s">
        <v>3723</v>
      </c>
      <c r="J56" s="754" t="s">
        <v>3589</v>
      </c>
      <c r="K56" s="403">
        <v>0.1</v>
      </c>
      <c r="L56" s="754" t="s">
        <v>2844</v>
      </c>
      <c r="M56" s="409">
        <v>0.12</v>
      </c>
      <c r="N56" s="409">
        <v>0.13</v>
      </c>
      <c r="O56" s="409">
        <v>0.14000000000000001</v>
      </c>
      <c r="P56" s="409">
        <v>0.15</v>
      </c>
      <c r="Q56" s="432">
        <v>50</v>
      </c>
      <c r="R56" s="432">
        <v>42</v>
      </c>
      <c r="S56" s="432">
        <v>70</v>
      </c>
      <c r="T56" s="432">
        <v>80</v>
      </c>
      <c r="U56" s="756">
        <f>Q56+R56+S56+T56</f>
        <v>242</v>
      </c>
      <c r="V56" s="550" t="s">
        <v>3630</v>
      </c>
      <c r="W56" s="566" t="e">
        <f>+#REF!</f>
        <v>#REF!</v>
      </c>
      <c r="X56" s="566">
        <v>60000000</v>
      </c>
      <c r="Y56" s="763" t="e">
        <f t="shared" si="38"/>
        <v>#REF!</v>
      </c>
      <c r="Z56" s="763" t="e">
        <f>+#REF!</f>
        <v>#REF!</v>
      </c>
      <c r="AA56" s="763" t="e">
        <f t="shared" si="39"/>
        <v>#REF!</v>
      </c>
      <c r="AB56" s="763"/>
      <c r="AC56" s="763" t="e">
        <f t="shared" si="40"/>
        <v>#REF!</v>
      </c>
      <c r="AD56" s="549">
        <v>301</v>
      </c>
      <c r="AF56" s="449"/>
      <c r="AG56" s="449"/>
      <c r="AH56" s="449"/>
      <c r="AI56" s="449"/>
      <c r="AJ56" s="449"/>
      <c r="AK56" s="449"/>
      <c r="AL56" s="449"/>
      <c r="AM56" s="449"/>
      <c r="AN56" s="449"/>
      <c r="AO56" s="449" t="e">
        <f>+W56</f>
        <v>#REF!</v>
      </c>
      <c r="AP56" s="449"/>
      <c r="AQ56" s="449" t="e">
        <f t="shared" si="41"/>
        <v>#REF!</v>
      </c>
      <c r="AS56" s="444" t="e">
        <f t="shared" si="42"/>
        <v>#REF!</v>
      </c>
      <c r="AT56" s="444">
        <f>+'[3]PLANINVERSIONES DIC'!$BG100</f>
        <v>11761700</v>
      </c>
      <c r="AU56" s="580" t="e">
        <f>+AS56</f>
        <v>#REF!</v>
      </c>
      <c r="AV56" s="580"/>
      <c r="AW56" s="444"/>
      <c r="AX56" s="444"/>
      <c r="AY56" s="444" t="e">
        <f t="shared" si="43"/>
        <v>#REF!</v>
      </c>
      <c r="AZ56" s="444" t="e">
        <f t="shared" si="44"/>
        <v>#REF!</v>
      </c>
      <c r="BA56" s="442"/>
      <c r="BB56" s="444"/>
      <c r="BD56" s="444"/>
      <c r="BE56" s="449"/>
      <c r="BF56" s="449"/>
      <c r="BG56" s="449"/>
      <c r="BH56" s="449"/>
      <c r="BI56" s="449"/>
      <c r="BJ56" s="449"/>
      <c r="BK56" s="449"/>
      <c r="BL56" s="449"/>
      <c r="BM56" s="449"/>
      <c r="BN56" s="449"/>
      <c r="BO56" s="449">
        <f>+BC56</f>
        <v>0</v>
      </c>
      <c r="BP56" s="449"/>
      <c r="BQ56" s="449">
        <f t="shared" si="45"/>
        <v>0</v>
      </c>
    </row>
    <row r="57" spans="1:69" ht="60" x14ac:dyDescent="0.2">
      <c r="A57" s="1186"/>
      <c r="B57" s="1364"/>
      <c r="C57" s="1186"/>
      <c r="D57" s="1364"/>
      <c r="E57" s="1360"/>
      <c r="F57" s="1186"/>
      <c r="G57" s="1186"/>
      <c r="H57" s="1186"/>
      <c r="I57" s="1188"/>
      <c r="J57" s="754" t="s">
        <v>3596</v>
      </c>
      <c r="K57" s="403">
        <v>0.56999999999999995</v>
      </c>
      <c r="L57" s="754" t="s">
        <v>3597</v>
      </c>
      <c r="M57" s="406">
        <v>0.57999999999999996</v>
      </c>
      <c r="N57" s="406">
        <v>0.59</v>
      </c>
      <c r="O57" s="406">
        <v>0.6</v>
      </c>
      <c r="P57" s="406">
        <v>0.6</v>
      </c>
      <c r="Q57" s="430">
        <v>30</v>
      </c>
      <c r="R57" s="430">
        <v>90</v>
      </c>
      <c r="S57" s="430">
        <v>60</v>
      </c>
      <c r="T57" s="430">
        <v>80</v>
      </c>
      <c r="U57" s="440">
        <f>Q57+R57+S57+T57</f>
        <v>260</v>
      </c>
      <c r="V57" s="550" t="s">
        <v>3633</v>
      </c>
      <c r="W57" s="566" t="e">
        <f>+#REF!</f>
        <v>#REF!</v>
      </c>
      <c r="X57" s="763">
        <v>-20000000</v>
      </c>
      <c r="Y57" s="763" t="e">
        <f t="shared" si="38"/>
        <v>#REF!</v>
      </c>
      <c r="Z57" s="763"/>
      <c r="AA57" s="763" t="e">
        <f t="shared" si="39"/>
        <v>#REF!</v>
      </c>
      <c r="AB57" s="763"/>
      <c r="AC57" s="763" t="e">
        <f t="shared" si="40"/>
        <v>#REF!</v>
      </c>
      <c r="AD57" s="549">
        <v>301</v>
      </c>
      <c r="AF57" s="449"/>
      <c r="AG57" s="449"/>
      <c r="AH57" s="449"/>
      <c r="AI57" s="449"/>
      <c r="AJ57" s="449"/>
      <c r="AK57" s="449"/>
      <c r="AL57" s="449"/>
      <c r="AM57" s="449"/>
      <c r="AN57" s="449"/>
      <c r="AO57" s="449" t="e">
        <f t="shared" ref="AO57:AO64" si="46">+W57</f>
        <v>#REF!</v>
      </c>
      <c r="AP57" s="449"/>
      <c r="AQ57" s="449" t="e">
        <f t="shared" si="41"/>
        <v>#REF!</v>
      </c>
      <c r="AS57" s="583" t="e">
        <f t="shared" si="42"/>
        <v>#REF!</v>
      </c>
      <c r="AT57" s="444">
        <f>+'[3]PLANINVERSIONES DIC'!$BG101</f>
        <v>71995404</v>
      </c>
      <c r="AU57" s="580"/>
      <c r="AV57" s="444"/>
      <c r="AW57" s="444">
        <f t="shared" ref="AW57:AW64" si="47">+AU57+AV57</f>
        <v>0</v>
      </c>
      <c r="AX57" s="444"/>
      <c r="AY57" s="444" t="e">
        <f t="shared" si="43"/>
        <v>#REF!</v>
      </c>
      <c r="AZ57" s="444" t="e">
        <f t="shared" si="44"/>
        <v>#REF!</v>
      </c>
      <c r="BA57" s="442"/>
      <c r="BB57" s="444"/>
      <c r="BD57" s="444"/>
      <c r="BE57" s="449"/>
      <c r="BF57" s="449"/>
      <c r="BG57" s="449"/>
      <c r="BH57" s="449"/>
      <c r="BI57" s="449"/>
      <c r="BJ57" s="449"/>
      <c r="BK57" s="449"/>
      <c r="BL57" s="449"/>
      <c r="BM57" s="449"/>
      <c r="BN57" s="449"/>
      <c r="BO57" s="449">
        <f t="shared" ref="BO57:BO64" si="48">+BC57</f>
        <v>0</v>
      </c>
      <c r="BP57" s="449"/>
      <c r="BQ57" s="449">
        <f t="shared" si="45"/>
        <v>0</v>
      </c>
    </row>
    <row r="58" spans="1:69" ht="60" x14ac:dyDescent="0.2">
      <c r="A58" s="1186"/>
      <c r="B58" s="1364"/>
      <c r="C58" s="1186"/>
      <c r="D58" s="1364"/>
      <c r="E58" s="1360"/>
      <c r="F58" s="1186"/>
      <c r="G58" s="1186"/>
      <c r="H58" s="1186"/>
      <c r="I58" s="1188"/>
      <c r="J58" s="754" t="s">
        <v>3581</v>
      </c>
      <c r="K58" s="403">
        <v>0.6</v>
      </c>
      <c r="L58" s="754" t="s">
        <v>3582</v>
      </c>
      <c r="M58" s="409">
        <v>0.63</v>
      </c>
      <c r="N58" s="409">
        <v>0.7</v>
      </c>
      <c r="O58" s="409">
        <v>0.8</v>
      </c>
      <c r="P58" s="409">
        <v>0.85</v>
      </c>
      <c r="Q58" s="432">
        <v>25</v>
      </c>
      <c r="R58" s="432">
        <v>47</v>
      </c>
      <c r="S58" s="432">
        <v>50</v>
      </c>
      <c r="T58" s="432">
        <v>60</v>
      </c>
      <c r="U58" s="756">
        <f>Q58+R58+S58+T58</f>
        <v>182</v>
      </c>
      <c r="V58" s="550" t="s">
        <v>3626</v>
      </c>
      <c r="W58" s="566" t="e">
        <f>+#REF!</f>
        <v>#REF!</v>
      </c>
      <c r="X58" s="566"/>
      <c r="Y58" s="763" t="e">
        <f t="shared" si="38"/>
        <v>#REF!</v>
      </c>
      <c r="Z58" s="763"/>
      <c r="AA58" s="763" t="e">
        <f t="shared" si="39"/>
        <v>#REF!</v>
      </c>
      <c r="AB58" s="763"/>
      <c r="AC58" s="763" t="e">
        <f t="shared" si="40"/>
        <v>#REF!</v>
      </c>
      <c r="AD58" s="549">
        <v>301</v>
      </c>
      <c r="AF58" s="449"/>
      <c r="AG58" s="449"/>
      <c r="AH58" s="449"/>
      <c r="AI58" s="449"/>
      <c r="AJ58" s="449"/>
      <c r="AK58" s="449"/>
      <c r="AL58" s="449"/>
      <c r="AM58" s="449"/>
      <c r="AN58" s="449"/>
      <c r="AO58" s="449" t="e">
        <f t="shared" si="46"/>
        <v>#REF!</v>
      </c>
      <c r="AP58" s="449"/>
      <c r="AQ58" s="449" t="e">
        <f t="shared" si="41"/>
        <v>#REF!</v>
      </c>
      <c r="AS58" s="444" t="e">
        <f t="shared" si="42"/>
        <v>#REF!</v>
      </c>
      <c r="AT58" s="444">
        <f>+'[3]PLANINVERSIONES DIC'!$BG102</f>
        <v>19687114</v>
      </c>
      <c r="AU58" s="580" t="e">
        <f>+AS58</f>
        <v>#REF!</v>
      </c>
      <c r="AV58" s="580"/>
      <c r="AW58" s="444"/>
      <c r="AX58" s="444"/>
      <c r="AY58" s="444" t="e">
        <f t="shared" si="43"/>
        <v>#REF!</v>
      </c>
      <c r="AZ58" s="444" t="e">
        <f t="shared" si="44"/>
        <v>#REF!</v>
      </c>
      <c r="BA58" s="442"/>
      <c r="BB58" s="444"/>
      <c r="BD58" s="444"/>
      <c r="BE58" s="449"/>
      <c r="BF58" s="449"/>
      <c r="BG58" s="449"/>
      <c r="BH58" s="449"/>
      <c r="BI58" s="449"/>
      <c r="BJ58" s="449"/>
      <c r="BK58" s="449"/>
      <c r="BL58" s="449"/>
      <c r="BM58" s="449"/>
      <c r="BN58" s="449"/>
      <c r="BO58" s="449">
        <f t="shared" si="48"/>
        <v>0</v>
      </c>
      <c r="BP58" s="449"/>
      <c r="BQ58" s="449">
        <f t="shared" si="45"/>
        <v>0</v>
      </c>
    </row>
    <row r="59" spans="1:69" ht="60" x14ac:dyDescent="0.2">
      <c r="A59" s="1186"/>
      <c r="B59" s="1364"/>
      <c r="C59" s="1186"/>
      <c r="D59" s="1364"/>
      <c r="E59" s="1360"/>
      <c r="F59" s="1186"/>
      <c r="G59" s="1186"/>
      <c r="H59" s="1186"/>
      <c r="I59" s="1188"/>
      <c r="J59" s="754" t="s">
        <v>3583</v>
      </c>
      <c r="K59" s="403">
        <v>0.4</v>
      </c>
      <c r="L59" s="754" t="s">
        <v>3584</v>
      </c>
      <c r="M59" s="409">
        <v>0.45</v>
      </c>
      <c r="N59" s="409">
        <v>0.5</v>
      </c>
      <c r="O59" s="409">
        <v>0.55000000000000004</v>
      </c>
      <c r="P59" s="409">
        <v>0.6</v>
      </c>
      <c r="Q59" s="432">
        <v>20</v>
      </c>
      <c r="R59" s="432">
        <v>6</v>
      </c>
      <c r="S59" s="432">
        <v>40</v>
      </c>
      <c r="T59" s="432">
        <v>50</v>
      </c>
      <c r="U59" s="756">
        <f t="shared" ref="U59:U64" si="49">Q59+R59+S59+T59</f>
        <v>116</v>
      </c>
      <c r="V59" s="550" t="s">
        <v>3627</v>
      </c>
      <c r="W59" s="566" t="e">
        <f>+#REF!</f>
        <v>#REF!</v>
      </c>
      <c r="X59" s="566"/>
      <c r="Y59" s="763" t="e">
        <f t="shared" si="38"/>
        <v>#REF!</v>
      </c>
      <c r="Z59" s="763"/>
      <c r="AA59" s="763" t="e">
        <f t="shared" si="39"/>
        <v>#REF!</v>
      </c>
      <c r="AB59" s="763"/>
      <c r="AC59" s="763" t="e">
        <f t="shared" si="40"/>
        <v>#REF!</v>
      </c>
      <c r="AD59" s="549">
        <v>301</v>
      </c>
      <c r="AF59" s="449"/>
      <c r="AG59" s="449"/>
      <c r="AH59" s="449"/>
      <c r="AI59" s="449"/>
      <c r="AJ59" s="449"/>
      <c r="AK59" s="449"/>
      <c r="AL59" s="449"/>
      <c r="AM59" s="449"/>
      <c r="AN59" s="449"/>
      <c r="AO59" s="449" t="e">
        <f t="shared" si="46"/>
        <v>#REF!</v>
      </c>
      <c r="AP59" s="449"/>
      <c r="AQ59" s="449" t="e">
        <f t="shared" si="41"/>
        <v>#REF!</v>
      </c>
      <c r="AS59" s="444" t="e">
        <f t="shared" si="42"/>
        <v>#REF!</v>
      </c>
      <c r="AT59" s="444">
        <f>+'[3]PLANINVERSIONES DIC'!$BG103</f>
        <v>194328</v>
      </c>
      <c r="AU59" s="580" t="e">
        <f>+AS59</f>
        <v>#REF!</v>
      </c>
      <c r="AV59" s="580"/>
      <c r="AW59" s="444"/>
      <c r="AX59" s="444"/>
      <c r="AY59" s="444" t="e">
        <f t="shared" si="43"/>
        <v>#REF!</v>
      </c>
      <c r="AZ59" s="444" t="e">
        <f t="shared" si="44"/>
        <v>#REF!</v>
      </c>
      <c r="BA59" s="442"/>
      <c r="BB59" s="444"/>
      <c r="BD59" s="444"/>
      <c r="BE59" s="449"/>
      <c r="BF59" s="449"/>
      <c r="BG59" s="449"/>
      <c r="BH59" s="449"/>
      <c r="BI59" s="449"/>
      <c r="BJ59" s="449"/>
      <c r="BK59" s="449"/>
      <c r="BL59" s="449"/>
      <c r="BM59" s="449"/>
      <c r="BN59" s="449"/>
      <c r="BO59" s="449">
        <f t="shared" si="48"/>
        <v>0</v>
      </c>
      <c r="BP59" s="449"/>
      <c r="BQ59" s="449">
        <f t="shared" si="45"/>
        <v>0</v>
      </c>
    </row>
    <row r="60" spans="1:69" ht="75" x14ac:dyDescent="0.2">
      <c r="A60" s="1186"/>
      <c r="B60" s="1364"/>
      <c r="C60" s="1186"/>
      <c r="D60" s="1364"/>
      <c r="E60" s="1360"/>
      <c r="F60" s="1186"/>
      <c r="G60" s="1186"/>
      <c r="H60" s="1186"/>
      <c r="I60" s="1188"/>
      <c r="J60" s="754" t="s">
        <v>3585</v>
      </c>
      <c r="K60" s="403">
        <v>0.3</v>
      </c>
      <c r="L60" s="754" t="s">
        <v>3586</v>
      </c>
      <c r="M60" s="409">
        <v>0.35</v>
      </c>
      <c r="N60" s="409">
        <v>0.4</v>
      </c>
      <c r="O60" s="409">
        <v>0.45</v>
      </c>
      <c r="P60" s="409">
        <v>0.5</v>
      </c>
      <c r="Q60" s="432">
        <v>10</v>
      </c>
      <c r="R60" s="432">
        <v>0</v>
      </c>
      <c r="S60" s="432">
        <v>20</v>
      </c>
      <c r="T60" s="432">
        <v>25</v>
      </c>
      <c r="U60" s="756">
        <f t="shared" si="49"/>
        <v>55</v>
      </c>
      <c r="V60" s="550" t="s">
        <v>3628</v>
      </c>
      <c r="W60" s="566" t="e">
        <f>+#REF!</f>
        <v>#REF!</v>
      </c>
      <c r="X60" s="566"/>
      <c r="Y60" s="763" t="e">
        <f t="shared" si="38"/>
        <v>#REF!</v>
      </c>
      <c r="Z60" s="763"/>
      <c r="AA60" s="763" t="e">
        <f t="shared" si="39"/>
        <v>#REF!</v>
      </c>
      <c r="AB60" s="763"/>
      <c r="AC60" s="763" t="e">
        <f t="shared" si="40"/>
        <v>#REF!</v>
      </c>
      <c r="AD60" s="549">
        <v>301</v>
      </c>
      <c r="AF60" s="449"/>
      <c r="AG60" s="449"/>
      <c r="AH60" s="449"/>
      <c r="AI60" s="449"/>
      <c r="AJ60" s="449"/>
      <c r="AK60" s="449"/>
      <c r="AL60" s="449"/>
      <c r="AM60" s="449"/>
      <c r="AN60" s="449"/>
      <c r="AO60" s="449" t="e">
        <f t="shared" si="46"/>
        <v>#REF!</v>
      </c>
      <c r="AP60" s="449"/>
      <c r="AQ60" s="449" t="e">
        <f t="shared" si="41"/>
        <v>#REF!</v>
      </c>
      <c r="AS60" s="444" t="e">
        <f t="shared" si="42"/>
        <v>#REF!</v>
      </c>
      <c r="AT60" s="444">
        <f>+'[3]PLANINVERSIONES DIC'!$BG104</f>
        <v>0</v>
      </c>
      <c r="AU60" s="580" t="e">
        <f>+AS60</f>
        <v>#REF!</v>
      </c>
      <c r="AV60" s="580"/>
      <c r="AW60" s="444"/>
      <c r="AX60" s="444"/>
      <c r="AY60" s="444" t="e">
        <f t="shared" si="43"/>
        <v>#REF!</v>
      </c>
      <c r="AZ60" s="444" t="e">
        <f t="shared" si="44"/>
        <v>#REF!</v>
      </c>
      <c r="BA60" s="442"/>
      <c r="BB60" s="444"/>
      <c r="BD60" s="444"/>
      <c r="BE60" s="449"/>
      <c r="BF60" s="449"/>
      <c r="BG60" s="449"/>
      <c r="BH60" s="449"/>
      <c r="BI60" s="449"/>
      <c r="BJ60" s="449"/>
      <c r="BK60" s="449"/>
      <c r="BL60" s="449"/>
      <c r="BM60" s="449"/>
      <c r="BN60" s="449"/>
      <c r="BO60" s="449">
        <f t="shared" si="48"/>
        <v>0</v>
      </c>
      <c r="BP60" s="449"/>
      <c r="BQ60" s="449">
        <f t="shared" si="45"/>
        <v>0</v>
      </c>
    </row>
    <row r="61" spans="1:69" ht="75" x14ac:dyDescent="0.2">
      <c r="A61" s="1186"/>
      <c r="B61" s="1364"/>
      <c r="C61" s="1186"/>
      <c r="D61" s="1364"/>
      <c r="E61" s="1360"/>
      <c r="F61" s="1186"/>
      <c r="G61" s="1186"/>
      <c r="H61" s="1186"/>
      <c r="I61" s="1188"/>
      <c r="J61" s="754" t="s">
        <v>3587</v>
      </c>
      <c r="K61" s="754">
        <v>662</v>
      </c>
      <c r="L61" s="754" t="s">
        <v>3588</v>
      </c>
      <c r="M61" s="401">
        <v>680</v>
      </c>
      <c r="N61" s="401">
        <v>750</v>
      </c>
      <c r="O61" s="401">
        <v>850</v>
      </c>
      <c r="P61" s="401">
        <v>1000</v>
      </c>
      <c r="Q61" s="432">
        <v>500</v>
      </c>
      <c r="R61" s="432">
        <v>550</v>
      </c>
      <c r="S61" s="432">
        <v>600</v>
      </c>
      <c r="T61" s="432">
        <v>700</v>
      </c>
      <c r="U61" s="756">
        <f t="shared" si="49"/>
        <v>2350</v>
      </c>
      <c r="V61" s="550" t="s">
        <v>3629</v>
      </c>
      <c r="W61" s="566" t="e">
        <f>+#REF!</f>
        <v>#REF!</v>
      </c>
      <c r="X61" s="566"/>
      <c r="Y61" s="763" t="e">
        <f t="shared" si="38"/>
        <v>#REF!</v>
      </c>
      <c r="Z61" s="763"/>
      <c r="AA61" s="763" t="e">
        <f t="shared" si="39"/>
        <v>#REF!</v>
      </c>
      <c r="AB61" s="763"/>
      <c r="AC61" s="763" t="e">
        <f t="shared" si="40"/>
        <v>#REF!</v>
      </c>
      <c r="AD61" s="549">
        <v>301</v>
      </c>
      <c r="AF61" s="449"/>
      <c r="AG61" s="449"/>
      <c r="AH61" s="449"/>
      <c r="AI61" s="449"/>
      <c r="AJ61" s="449"/>
      <c r="AK61" s="449"/>
      <c r="AL61" s="449"/>
      <c r="AM61" s="449"/>
      <c r="AN61" s="449"/>
      <c r="AO61" s="449" t="e">
        <f t="shared" si="46"/>
        <v>#REF!</v>
      </c>
      <c r="AP61" s="449"/>
      <c r="AQ61" s="449" t="e">
        <f t="shared" si="41"/>
        <v>#REF!</v>
      </c>
      <c r="AS61" s="444" t="e">
        <f t="shared" si="42"/>
        <v>#REF!</v>
      </c>
      <c r="AT61" s="444">
        <f>+'[3]PLANINVERSIONES DIC'!$BG105</f>
        <v>179559544</v>
      </c>
      <c r="AU61" s="580"/>
      <c r="AV61" s="444"/>
      <c r="AW61" s="444">
        <f t="shared" si="47"/>
        <v>0</v>
      </c>
      <c r="AX61" s="444">
        <v>15000000</v>
      </c>
      <c r="AY61" s="444" t="e">
        <f t="shared" si="43"/>
        <v>#REF!</v>
      </c>
      <c r="AZ61" s="444" t="e">
        <f t="shared" si="44"/>
        <v>#REF!</v>
      </c>
      <c r="BA61" s="442"/>
      <c r="BB61" s="444"/>
      <c r="BD61" s="444"/>
      <c r="BE61" s="449"/>
      <c r="BF61" s="449"/>
      <c r="BG61" s="449"/>
      <c r="BH61" s="449"/>
      <c r="BI61" s="449"/>
      <c r="BJ61" s="449"/>
      <c r="BK61" s="449"/>
      <c r="BL61" s="449"/>
      <c r="BM61" s="449"/>
      <c r="BN61" s="449"/>
      <c r="BO61" s="449">
        <v>15000000</v>
      </c>
      <c r="BP61" s="449"/>
      <c r="BQ61" s="449">
        <f t="shared" si="45"/>
        <v>15000000</v>
      </c>
    </row>
    <row r="62" spans="1:69" ht="90" x14ac:dyDescent="0.2">
      <c r="A62" s="753"/>
      <c r="B62" s="761"/>
      <c r="C62" s="753"/>
      <c r="D62" s="761"/>
      <c r="E62" s="757"/>
      <c r="F62" s="753"/>
      <c r="G62" s="753"/>
      <c r="H62" s="753"/>
      <c r="I62" s="435" t="s">
        <v>3724</v>
      </c>
      <c r="J62" s="754" t="s">
        <v>3594</v>
      </c>
      <c r="K62" s="754">
        <v>0</v>
      </c>
      <c r="L62" s="754" t="s">
        <v>3595</v>
      </c>
      <c r="M62" s="409">
        <v>0.9</v>
      </c>
      <c r="N62" s="409">
        <v>0.9</v>
      </c>
      <c r="O62" s="409">
        <v>0.9</v>
      </c>
      <c r="P62" s="409">
        <v>0.9</v>
      </c>
      <c r="Q62" s="432">
        <v>35</v>
      </c>
      <c r="R62" s="432">
        <v>40</v>
      </c>
      <c r="S62" s="432">
        <v>35</v>
      </c>
      <c r="T62" s="432">
        <v>35</v>
      </c>
      <c r="U62" s="756">
        <f>Q62+R62+S62+T62</f>
        <v>145</v>
      </c>
      <c r="V62" s="550">
        <v>622</v>
      </c>
      <c r="W62" s="566" t="e">
        <f>+#REF!</f>
        <v>#REF!</v>
      </c>
      <c r="X62" s="763">
        <v>-20000000</v>
      </c>
      <c r="Y62" s="763" t="e">
        <f t="shared" si="38"/>
        <v>#REF!</v>
      </c>
      <c r="Z62" s="763"/>
      <c r="AA62" s="763" t="e">
        <f t="shared" si="39"/>
        <v>#REF!</v>
      </c>
      <c r="AB62" s="763"/>
      <c r="AC62" s="763" t="e">
        <f t="shared" si="40"/>
        <v>#REF!</v>
      </c>
      <c r="AD62" s="549">
        <v>301</v>
      </c>
      <c r="AF62" s="449"/>
      <c r="AG62" s="449"/>
      <c r="AH62" s="449"/>
      <c r="AI62" s="449"/>
      <c r="AJ62" s="449"/>
      <c r="AK62" s="449"/>
      <c r="AL62" s="449"/>
      <c r="AM62" s="449"/>
      <c r="AN62" s="449"/>
      <c r="AO62" s="449" t="e">
        <f t="shared" si="46"/>
        <v>#REF!</v>
      </c>
      <c r="AP62" s="449"/>
      <c r="AQ62" s="449" t="e">
        <f t="shared" si="41"/>
        <v>#REF!</v>
      </c>
      <c r="AS62" s="583" t="e">
        <f t="shared" si="42"/>
        <v>#REF!</v>
      </c>
      <c r="AT62" s="444">
        <f>+'[3]PLANINVERSIONES DIC'!$BG106</f>
        <v>35000000</v>
      </c>
      <c r="AU62" s="580"/>
      <c r="AV62" s="444"/>
      <c r="AW62" s="444">
        <f t="shared" si="47"/>
        <v>0</v>
      </c>
      <c r="AX62" s="444"/>
      <c r="AY62" s="444" t="e">
        <f t="shared" si="43"/>
        <v>#REF!</v>
      </c>
      <c r="AZ62" s="444" t="e">
        <f t="shared" si="44"/>
        <v>#REF!</v>
      </c>
      <c r="BA62" s="442"/>
      <c r="BB62" s="444"/>
      <c r="BD62" s="444"/>
      <c r="BE62" s="449"/>
      <c r="BF62" s="449"/>
      <c r="BG62" s="449"/>
      <c r="BH62" s="449"/>
      <c r="BI62" s="449"/>
      <c r="BJ62" s="449"/>
      <c r="BK62" s="449"/>
      <c r="BL62" s="449"/>
      <c r="BM62" s="449"/>
      <c r="BN62" s="449"/>
      <c r="BO62" s="449">
        <f t="shared" si="48"/>
        <v>0</v>
      </c>
      <c r="BP62" s="449"/>
      <c r="BQ62" s="449">
        <f t="shared" si="45"/>
        <v>0</v>
      </c>
    </row>
    <row r="63" spans="1:69" ht="120" x14ac:dyDescent="0.2">
      <c r="A63" s="1188">
        <v>6</v>
      </c>
      <c r="B63" s="1396" t="s">
        <v>3569</v>
      </c>
      <c r="C63" s="1188" t="s">
        <v>3570</v>
      </c>
      <c r="D63" s="1365" t="s">
        <v>434</v>
      </c>
      <c r="E63" s="1450" t="s">
        <v>3577</v>
      </c>
      <c r="F63" s="1188" t="s">
        <v>3578</v>
      </c>
      <c r="G63" s="1188" t="s">
        <v>3579</v>
      </c>
      <c r="H63" s="1188" t="s">
        <v>3580</v>
      </c>
      <c r="I63" s="1188" t="s">
        <v>3725</v>
      </c>
      <c r="J63" s="754" t="s">
        <v>3590</v>
      </c>
      <c r="K63" s="403">
        <v>0.1</v>
      </c>
      <c r="L63" s="754" t="s">
        <v>3591</v>
      </c>
      <c r="M63" s="409">
        <v>0.2</v>
      </c>
      <c r="N63" s="409">
        <v>0.3</v>
      </c>
      <c r="O63" s="409">
        <v>0.4</v>
      </c>
      <c r="P63" s="409">
        <v>0.5</v>
      </c>
      <c r="Q63" s="432">
        <v>40</v>
      </c>
      <c r="R63" s="432">
        <v>67</v>
      </c>
      <c r="S63" s="432">
        <v>80</v>
      </c>
      <c r="T63" s="432">
        <v>100</v>
      </c>
      <c r="U63" s="756">
        <f t="shared" si="49"/>
        <v>287</v>
      </c>
      <c r="V63" s="550" t="s">
        <v>3631</v>
      </c>
      <c r="W63" s="566" t="e">
        <f>+#REF!</f>
        <v>#REF!</v>
      </c>
      <c r="X63" s="763">
        <v>-20000000</v>
      </c>
      <c r="Y63" s="763" t="e">
        <f t="shared" si="38"/>
        <v>#REF!</v>
      </c>
      <c r="Z63" s="763"/>
      <c r="AA63" s="763" t="e">
        <f t="shared" si="39"/>
        <v>#REF!</v>
      </c>
      <c r="AB63" s="763"/>
      <c r="AC63" s="763" t="e">
        <f t="shared" si="40"/>
        <v>#REF!</v>
      </c>
      <c r="AD63" s="549">
        <v>301</v>
      </c>
      <c r="AF63" s="449"/>
      <c r="AG63" s="449"/>
      <c r="AH63" s="449"/>
      <c r="AI63" s="449"/>
      <c r="AJ63" s="449"/>
      <c r="AK63" s="449"/>
      <c r="AL63" s="449"/>
      <c r="AM63" s="449"/>
      <c r="AN63" s="449"/>
      <c r="AO63" s="449" t="e">
        <f t="shared" si="46"/>
        <v>#REF!</v>
      </c>
      <c r="AP63" s="449"/>
      <c r="AQ63" s="449" t="e">
        <f t="shared" si="41"/>
        <v>#REF!</v>
      </c>
      <c r="AS63" s="583" t="e">
        <f t="shared" si="42"/>
        <v>#REF!</v>
      </c>
      <c r="AT63" s="444">
        <f>+'[3]PLANINVERSIONES DIC'!$BG107</f>
        <v>21474934</v>
      </c>
      <c r="AU63" s="580"/>
      <c r="AV63" s="444"/>
      <c r="AW63" s="444">
        <f t="shared" si="47"/>
        <v>0</v>
      </c>
      <c r="AX63" s="444">
        <v>-15000000</v>
      </c>
      <c r="AY63" s="444" t="e">
        <f t="shared" si="43"/>
        <v>#REF!</v>
      </c>
      <c r="AZ63" s="444" t="e">
        <f t="shared" si="44"/>
        <v>#REF!</v>
      </c>
      <c r="BA63" s="442"/>
      <c r="BB63" s="444"/>
      <c r="BD63" s="444"/>
      <c r="BE63" s="449"/>
      <c r="BF63" s="449"/>
      <c r="BG63" s="449"/>
      <c r="BH63" s="449"/>
      <c r="BI63" s="449"/>
      <c r="BJ63" s="449"/>
      <c r="BK63" s="449"/>
      <c r="BL63" s="449"/>
      <c r="BM63" s="449"/>
      <c r="BN63" s="449"/>
      <c r="BO63" s="449">
        <v>-15000000</v>
      </c>
      <c r="BP63" s="449"/>
      <c r="BQ63" s="449">
        <f t="shared" si="45"/>
        <v>-15000000</v>
      </c>
    </row>
    <row r="64" spans="1:69" ht="105" x14ac:dyDescent="0.2">
      <c r="A64" s="1188"/>
      <c r="B64" s="1396"/>
      <c r="C64" s="1188"/>
      <c r="D64" s="1365"/>
      <c r="E64" s="1450"/>
      <c r="F64" s="1188"/>
      <c r="G64" s="1188"/>
      <c r="H64" s="1188"/>
      <c r="I64" s="1188"/>
      <c r="J64" s="754" t="s">
        <v>3592</v>
      </c>
      <c r="K64" s="754">
        <v>45</v>
      </c>
      <c r="L64" s="754" t="s">
        <v>3593</v>
      </c>
      <c r="M64" s="401">
        <v>50</v>
      </c>
      <c r="N64" s="401">
        <v>50</v>
      </c>
      <c r="O64" s="401">
        <v>50</v>
      </c>
      <c r="P64" s="401">
        <v>50</v>
      </c>
      <c r="Q64" s="432">
        <v>200</v>
      </c>
      <c r="R64" s="432">
        <f>133+97</f>
        <v>230</v>
      </c>
      <c r="S64" s="432">
        <v>200</v>
      </c>
      <c r="T64" s="432">
        <v>200</v>
      </c>
      <c r="U64" s="486">
        <f t="shared" si="49"/>
        <v>830</v>
      </c>
      <c r="V64" s="758" t="s">
        <v>3632</v>
      </c>
      <c r="W64" s="566" t="e">
        <f>SUM(#REF!)</f>
        <v>#REF!</v>
      </c>
      <c r="X64" s="566"/>
      <c r="Y64" s="763" t="e">
        <f t="shared" si="38"/>
        <v>#REF!</v>
      </c>
      <c r="Z64" s="763" t="e">
        <f>SUM(#REF!)</f>
        <v>#REF!</v>
      </c>
      <c r="AA64" s="763" t="e">
        <f t="shared" si="39"/>
        <v>#REF!</v>
      </c>
      <c r="AB64" s="763"/>
      <c r="AC64" s="763" t="e">
        <f t="shared" si="40"/>
        <v>#REF!</v>
      </c>
      <c r="AD64" s="549">
        <v>301</v>
      </c>
      <c r="AF64" s="449"/>
      <c r="AG64" s="449"/>
      <c r="AH64" s="449"/>
      <c r="AI64" s="449"/>
      <c r="AJ64" s="449"/>
      <c r="AK64" s="449"/>
      <c r="AL64" s="449"/>
      <c r="AM64" s="449"/>
      <c r="AN64" s="449"/>
      <c r="AO64" s="449" t="e">
        <f t="shared" si="46"/>
        <v>#REF!</v>
      </c>
      <c r="AP64" s="449"/>
      <c r="AQ64" s="449" t="e">
        <f t="shared" si="41"/>
        <v>#REF!</v>
      </c>
      <c r="AS64" s="583" t="e">
        <f t="shared" si="42"/>
        <v>#REF!</v>
      </c>
      <c r="AT64" s="444">
        <f>SUM('[3]PLANINVERSIONES DIC'!$BG$108:$BG$109)</f>
        <v>28285134</v>
      </c>
      <c r="AU64" s="580"/>
      <c r="AV64" s="444"/>
      <c r="AW64" s="444">
        <f t="shared" si="47"/>
        <v>0</v>
      </c>
      <c r="AX64" s="444"/>
      <c r="AY64" s="444" t="e">
        <f t="shared" si="43"/>
        <v>#REF!</v>
      </c>
      <c r="AZ64" s="444" t="e">
        <f t="shared" si="44"/>
        <v>#REF!</v>
      </c>
      <c r="BA64" s="442"/>
      <c r="BB64" s="444"/>
      <c r="BD64" s="444"/>
      <c r="BE64" s="449"/>
      <c r="BF64" s="449"/>
      <c r="BG64" s="449"/>
      <c r="BH64" s="449"/>
      <c r="BI64" s="449"/>
      <c r="BJ64" s="449"/>
      <c r="BK64" s="449"/>
      <c r="BL64" s="449"/>
      <c r="BM64" s="449"/>
      <c r="BN64" s="449"/>
      <c r="BO64" s="449">
        <f t="shared" si="48"/>
        <v>0</v>
      </c>
      <c r="BP64" s="449"/>
      <c r="BQ64" s="449">
        <f t="shared" si="45"/>
        <v>0</v>
      </c>
    </row>
    <row r="65" spans="1:70" ht="18" customHeight="1" x14ac:dyDescent="0.25">
      <c r="A65" s="466"/>
      <c r="B65" s="466"/>
      <c r="C65" s="466"/>
      <c r="D65" s="466"/>
      <c r="E65" s="466"/>
      <c r="F65" s="466"/>
      <c r="G65" s="466"/>
      <c r="H65" s="466"/>
      <c r="I65" s="466"/>
      <c r="J65" s="466"/>
      <c r="K65" s="466"/>
      <c r="L65" s="466"/>
      <c r="M65" s="1345" t="s">
        <v>695</v>
      </c>
      <c r="N65" s="1346"/>
      <c r="O65" s="1346"/>
      <c r="P65" s="1347"/>
      <c r="Q65" s="407">
        <f>SUM(Q54:Q64)</f>
        <v>1075</v>
      </c>
      <c r="R65" s="407">
        <f>SUM(R54:R64)</f>
        <v>1267</v>
      </c>
      <c r="S65" s="407">
        <f>SUM(S54:S64)</f>
        <v>1405</v>
      </c>
      <c r="T65" s="407">
        <f>SUM(T54:T64)</f>
        <v>1605</v>
      </c>
      <c r="U65" s="407">
        <f>SUM(U54:U64)</f>
        <v>5352</v>
      </c>
      <c r="V65" s="550"/>
      <c r="W65" s="407" t="e">
        <f>SUM(W54:W64)</f>
        <v>#REF!</v>
      </c>
      <c r="X65" s="407">
        <f>SUM(X54:X64)</f>
        <v>0</v>
      </c>
      <c r="Y65" s="764" t="e">
        <f>+Y60+Y59+Y58+Y56+Y55+Y54</f>
        <v>#REF!</v>
      </c>
      <c r="Z65" s="407" t="e">
        <f>SUM(Z54:Z64)</f>
        <v>#REF!</v>
      </c>
      <c r="AA65" s="764" t="e">
        <f>+AA60+AA59+AA58+AA56+AA55+AA54</f>
        <v>#REF!</v>
      </c>
      <c r="AB65" s="407">
        <f>SUM(AB54:AB64)</f>
        <v>10000000</v>
      </c>
      <c r="AC65" s="764" t="e">
        <f>+AC60+AC59+AC58+AC56+AC55+AC54</f>
        <v>#REF!</v>
      </c>
      <c r="AD65" s="549"/>
      <c r="AF65" s="407" t="e">
        <f>SUM(AF54:AF64)</f>
        <v>#REF!</v>
      </c>
      <c r="AG65" s="407">
        <f t="shared" ref="AG65:AQ65" si="50">SUM(AG54:AG64)</f>
        <v>0</v>
      </c>
      <c r="AH65" s="407">
        <f t="shared" si="50"/>
        <v>0</v>
      </c>
      <c r="AI65" s="407">
        <f t="shared" si="50"/>
        <v>0</v>
      </c>
      <c r="AJ65" s="407">
        <f t="shared" si="50"/>
        <v>0</v>
      </c>
      <c r="AK65" s="407">
        <f t="shared" si="50"/>
        <v>0</v>
      </c>
      <c r="AL65" s="407">
        <f t="shared" si="50"/>
        <v>0</v>
      </c>
      <c r="AM65" s="407">
        <f t="shared" si="50"/>
        <v>0</v>
      </c>
      <c r="AN65" s="407"/>
      <c r="AO65" s="407" t="e">
        <f t="shared" si="50"/>
        <v>#REF!</v>
      </c>
      <c r="AP65" s="407"/>
      <c r="AQ65" s="407" t="e">
        <f t="shared" si="50"/>
        <v>#REF!</v>
      </c>
      <c r="AS65" s="407" t="e">
        <f t="shared" ref="AS65:AZ65" si="51">SUM(AS54:AS64)</f>
        <v>#REF!</v>
      </c>
      <c r="AT65" s="407">
        <f t="shared" si="51"/>
        <v>417964746</v>
      </c>
      <c r="AU65" s="581" t="e">
        <f t="shared" si="51"/>
        <v>#REF!</v>
      </c>
      <c r="AV65" s="407">
        <f t="shared" si="51"/>
        <v>0</v>
      </c>
      <c r="AW65" s="407">
        <f t="shared" si="51"/>
        <v>15000000</v>
      </c>
      <c r="AX65" s="407">
        <f t="shared" si="51"/>
        <v>0</v>
      </c>
      <c r="AY65" s="407" t="e">
        <f t="shared" si="51"/>
        <v>#REF!</v>
      </c>
      <c r="AZ65" s="407" t="e">
        <f t="shared" si="51"/>
        <v>#REF!</v>
      </c>
      <c r="BA65" s="442"/>
      <c r="BB65" s="407">
        <f>SUM(BB54:BB64)</f>
        <v>0</v>
      </c>
      <c r="BD65" s="407">
        <f>SUM(BD54:BD64)</f>
        <v>0</v>
      </c>
      <c r="BE65" s="407">
        <f>SUM(BE54:BE64)</f>
        <v>0</v>
      </c>
      <c r="BF65" s="407">
        <f t="shared" ref="BF65:BQ65" si="52">SUM(BF54:BF64)</f>
        <v>0</v>
      </c>
      <c r="BG65" s="407">
        <f t="shared" si="52"/>
        <v>0</v>
      </c>
      <c r="BH65" s="407">
        <f t="shared" si="52"/>
        <v>0</v>
      </c>
      <c r="BI65" s="407">
        <f t="shared" si="52"/>
        <v>0</v>
      </c>
      <c r="BJ65" s="407">
        <f t="shared" si="52"/>
        <v>0</v>
      </c>
      <c r="BK65" s="407">
        <f t="shared" si="52"/>
        <v>0</v>
      </c>
      <c r="BL65" s="407">
        <f t="shared" si="52"/>
        <v>0</v>
      </c>
      <c r="BM65" s="407">
        <f t="shared" si="52"/>
        <v>15000000</v>
      </c>
      <c r="BN65" s="407">
        <f t="shared" si="52"/>
        <v>0</v>
      </c>
      <c r="BO65" s="407">
        <f t="shared" si="52"/>
        <v>0</v>
      </c>
      <c r="BP65" s="407">
        <f t="shared" si="52"/>
        <v>0</v>
      </c>
      <c r="BQ65" s="407">
        <f t="shared" si="52"/>
        <v>15000000</v>
      </c>
    </row>
    <row r="66" spans="1:70" ht="22.5" customHeight="1" x14ac:dyDescent="0.25">
      <c r="A66" s="398"/>
      <c r="B66" s="456"/>
      <c r="C66" s="398"/>
      <c r="D66" s="396"/>
      <c r="E66" s="396"/>
      <c r="F66" s="396"/>
      <c r="G66" s="396"/>
      <c r="H66" s="398"/>
      <c r="I66" s="398"/>
      <c r="J66" s="396"/>
      <c r="K66" s="396"/>
      <c r="L66" s="457"/>
      <c r="M66" s="416"/>
      <c r="N66" s="416"/>
      <c r="O66" s="416"/>
      <c r="P66" s="417"/>
      <c r="Q66" s="417"/>
      <c r="R66" s="417"/>
      <c r="S66" s="417"/>
      <c r="T66" s="416"/>
      <c r="U66" s="484"/>
      <c r="V66" s="556"/>
      <c r="W66" s="571"/>
      <c r="X66" s="571"/>
      <c r="Y66" s="767"/>
      <c r="Z66" s="767"/>
      <c r="AA66" s="767"/>
      <c r="AB66" s="767"/>
      <c r="AC66" s="767"/>
      <c r="AD66" s="572"/>
      <c r="AE66" s="483"/>
      <c r="AF66" s="489"/>
      <c r="AG66" s="489"/>
      <c r="AH66" s="489"/>
      <c r="AI66" s="489"/>
      <c r="AJ66" s="489"/>
      <c r="AK66" s="489"/>
      <c r="AL66" s="489"/>
      <c r="AM66" s="489"/>
      <c r="AN66" s="489"/>
      <c r="AO66" s="489"/>
      <c r="AP66" s="489"/>
      <c r="AQ66" s="489"/>
      <c r="AS66" s="485"/>
      <c r="AT66" s="485"/>
      <c r="AU66" s="582"/>
      <c r="AV66" s="485"/>
      <c r="AW66" s="485"/>
      <c r="AX66" s="485"/>
      <c r="AY66" s="485"/>
      <c r="AZ66" s="485"/>
      <c r="BB66" s="485"/>
      <c r="BD66" s="485"/>
      <c r="BE66" s="489"/>
      <c r="BF66" s="489"/>
      <c r="BG66" s="489"/>
      <c r="BH66" s="489"/>
      <c r="BI66" s="489"/>
      <c r="BJ66" s="489"/>
      <c r="BK66" s="489"/>
      <c r="BL66" s="489"/>
      <c r="BM66" s="489"/>
      <c r="BN66" s="489"/>
      <c r="BO66" s="489"/>
      <c r="BP66" s="489"/>
      <c r="BQ66" s="489"/>
    </row>
    <row r="67" spans="1:70" ht="108" x14ac:dyDescent="0.2">
      <c r="A67" s="1188">
        <v>7</v>
      </c>
      <c r="B67" s="1365" t="s">
        <v>3598</v>
      </c>
      <c r="C67" s="1188" t="s">
        <v>3599</v>
      </c>
      <c r="D67" s="1365" t="s">
        <v>3600</v>
      </c>
      <c r="E67" s="1394" t="s">
        <v>3577</v>
      </c>
      <c r="F67" s="1188" t="s">
        <v>3674</v>
      </c>
      <c r="G67" s="1188" t="s">
        <v>3675</v>
      </c>
      <c r="H67" s="1188" t="s">
        <v>3676</v>
      </c>
      <c r="I67" s="1185" t="s">
        <v>3726</v>
      </c>
      <c r="J67" s="752" t="s">
        <v>3730</v>
      </c>
      <c r="K67" s="752">
        <v>0</v>
      </c>
      <c r="L67" s="752" t="s">
        <v>2887</v>
      </c>
      <c r="M67" s="400">
        <v>0</v>
      </c>
      <c r="N67" s="435" t="s">
        <v>3601</v>
      </c>
      <c r="O67" s="435" t="s">
        <v>3602</v>
      </c>
      <c r="P67" s="435" t="s">
        <v>3602</v>
      </c>
      <c r="Q67" s="405">
        <v>25</v>
      </c>
      <c r="R67" s="405">
        <v>110</v>
      </c>
      <c r="S67" s="405">
        <v>110</v>
      </c>
      <c r="T67" s="405">
        <v>0</v>
      </c>
      <c r="U67" s="486">
        <f t="shared" ref="U67:U72" si="53">Q67+R67+S67+T67</f>
        <v>245</v>
      </c>
      <c r="V67" s="550" t="s">
        <v>3634</v>
      </c>
      <c r="W67" s="566" t="e">
        <f>+#REF!</f>
        <v>#REF!</v>
      </c>
      <c r="X67" s="566"/>
      <c r="Y67" s="763" t="e">
        <f t="shared" ref="Y67:Y72" si="54">+S67*1000000-W67-X67</f>
        <v>#REF!</v>
      </c>
      <c r="Z67" s="763"/>
      <c r="AA67" s="763" t="e">
        <f t="shared" ref="AA67:AA72" si="55">+S67*1000000-W67-X67-Z67</f>
        <v>#REF!</v>
      </c>
      <c r="AB67" s="772">
        <v>10000000</v>
      </c>
      <c r="AC67" s="763" t="e">
        <f t="shared" ref="AC67:AC72" si="56">+S67*1000000-W67-X67-Z67-AB67</f>
        <v>#REF!</v>
      </c>
      <c r="AD67" s="549">
        <v>510</v>
      </c>
      <c r="AF67" s="449"/>
      <c r="AG67" s="449"/>
      <c r="AH67" s="449"/>
      <c r="AI67" s="449"/>
      <c r="AJ67" s="449"/>
      <c r="AK67" s="449"/>
      <c r="AL67" s="449"/>
      <c r="AM67" s="449"/>
      <c r="AN67" s="449"/>
      <c r="AO67" s="449"/>
      <c r="AP67" s="449"/>
      <c r="AQ67" s="449">
        <f t="shared" ref="AQ67:AQ72" si="57">SUM(AF67:AO67)</f>
        <v>0</v>
      </c>
      <c r="AS67" s="444" t="e">
        <f t="shared" ref="AS67:AS72" si="58">+S67*1000000-W67</f>
        <v>#REF!</v>
      </c>
      <c r="AT67" s="444">
        <f>+'[3]PLANINVERSIONES DIC'!$BG112</f>
        <v>80639972</v>
      </c>
      <c r="AU67" s="587">
        <f>90000000-44222728</f>
        <v>45777272</v>
      </c>
      <c r="AV67" s="580"/>
      <c r="AW67" s="444">
        <f t="shared" ref="AW67:AW72" si="59">+AU67+AV67</f>
        <v>45777272</v>
      </c>
      <c r="AX67" s="444"/>
      <c r="AY67" s="444" t="e">
        <f t="shared" ref="AY67:AY72" si="60">+W67+AW67+AX67</f>
        <v>#REF!</v>
      </c>
      <c r="AZ67" s="444" t="e">
        <f t="shared" ref="AZ67:AZ72" si="61">+AY67-S67*1000000</f>
        <v>#REF!</v>
      </c>
      <c r="BA67" s="442"/>
      <c r="BB67" s="444"/>
      <c r="BD67" s="444"/>
      <c r="BE67" s="449"/>
      <c r="BF67" s="449"/>
      <c r="BG67" s="449"/>
      <c r="BH67" s="449"/>
      <c r="BI67" s="449"/>
      <c r="BJ67" s="449"/>
      <c r="BK67" s="449"/>
      <c r="BL67" s="449"/>
      <c r="BM67" s="449">
        <f>+AW67</f>
        <v>45777272</v>
      </c>
      <c r="BN67" s="449"/>
      <c r="BO67" s="449"/>
      <c r="BP67" s="449"/>
      <c r="BQ67" s="449">
        <f>SUM(BE67:BO67)</f>
        <v>45777272</v>
      </c>
    </row>
    <row r="68" spans="1:70" ht="60" x14ac:dyDescent="0.2">
      <c r="A68" s="1188"/>
      <c r="B68" s="1365"/>
      <c r="C68" s="1188"/>
      <c r="D68" s="1365"/>
      <c r="E68" s="1395"/>
      <c r="F68" s="1188"/>
      <c r="G68" s="1188"/>
      <c r="H68" s="1188"/>
      <c r="I68" s="1187"/>
      <c r="J68" s="752" t="s">
        <v>3603</v>
      </c>
      <c r="K68" s="752">
        <v>0</v>
      </c>
      <c r="L68" s="752" t="s">
        <v>3604</v>
      </c>
      <c r="M68" s="400">
        <v>0</v>
      </c>
      <c r="N68" s="400">
        <v>1</v>
      </c>
      <c r="O68" s="400">
        <v>0</v>
      </c>
      <c r="P68" s="400">
        <v>0</v>
      </c>
      <c r="Q68" s="405">
        <v>30</v>
      </c>
      <c r="R68" s="405">
        <v>50</v>
      </c>
      <c r="S68" s="405">
        <v>80</v>
      </c>
      <c r="T68" s="405">
        <v>140</v>
      </c>
      <c r="U68" s="440">
        <f t="shared" si="53"/>
        <v>300</v>
      </c>
      <c r="V68" s="550" t="s">
        <v>3635</v>
      </c>
      <c r="W68" s="566">
        <v>0</v>
      </c>
      <c r="X68" s="566"/>
      <c r="Y68" s="763">
        <f t="shared" si="54"/>
        <v>80000000</v>
      </c>
      <c r="Z68" s="763"/>
      <c r="AA68" s="763">
        <f t="shared" si="55"/>
        <v>80000000</v>
      </c>
      <c r="AB68" s="763"/>
      <c r="AC68" s="763">
        <f t="shared" si="56"/>
        <v>80000000</v>
      </c>
      <c r="AD68" s="549">
        <v>510</v>
      </c>
      <c r="AF68" s="449"/>
      <c r="AG68" s="449"/>
      <c r="AH68" s="449"/>
      <c r="AI68" s="449"/>
      <c r="AJ68" s="449"/>
      <c r="AK68" s="449"/>
      <c r="AL68" s="449"/>
      <c r="AM68" s="449"/>
      <c r="AN68" s="449"/>
      <c r="AO68" s="449"/>
      <c r="AP68" s="449"/>
      <c r="AQ68" s="449">
        <f t="shared" si="57"/>
        <v>0</v>
      </c>
      <c r="AS68" s="444">
        <f t="shared" si="58"/>
        <v>80000000</v>
      </c>
      <c r="AT68" s="444">
        <f>+'[3]PLANINVERSIONES DIC'!$BG113</f>
        <v>7650000</v>
      </c>
      <c r="AU68" s="580">
        <v>80000000</v>
      </c>
      <c r="AV68" s="580"/>
      <c r="AW68" s="444"/>
      <c r="AX68" s="444"/>
      <c r="AY68" s="444">
        <f t="shared" si="60"/>
        <v>0</v>
      </c>
      <c r="AZ68" s="444">
        <f t="shared" si="61"/>
        <v>-80000000</v>
      </c>
      <c r="BA68" s="442"/>
      <c r="BB68" s="444"/>
      <c r="BD68" s="444"/>
      <c r="BE68" s="449"/>
      <c r="BF68" s="449"/>
      <c r="BG68" s="449"/>
      <c r="BH68" s="449"/>
      <c r="BI68" s="449"/>
      <c r="BJ68" s="449"/>
      <c r="BK68" s="449"/>
      <c r="BL68" s="449"/>
      <c r="BM68" s="449"/>
      <c r="BN68" s="449"/>
      <c r="BO68" s="449"/>
      <c r="BP68" s="449"/>
      <c r="BQ68" s="449">
        <f>SUM(BE68:BO68)</f>
        <v>0</v>
      </c>
    </row>
    <row r="69" spans="1:70" ht="60" x14ac:dyDescent="0.2">
      <c r="A69" s="1188"/>
      <c r="B69" s="1365"/>
      <c r="C69" s="1188"/>
      <c r="D69" s="1396" t="s">
        <v>3605</v>
      </c>
      <c r="E69" s="1362" t="s">
        <v>3667</v>
      </c>
      <c r="F69" s="1188" t="s">
        <v>3698</v>
      </c>
      <c r="G69" s="1188" t="s">
        <v>3677</v>
      </c>
      <c r="H69" s="1188" t="s">
        <v>3678</v>
      </c>
      <c r="I69" s="1185" t="s">
        <v>3727</v>
      </c>
      <c r="J69" s="752" t="s">
        <v>3693</v>
      </c>
      <c r="K69" s="752">
        <v>0</v>
      </c>
      <c r="L69" s="752" t="s">
        <v>3606</v>
      </c>
      <c r="M69" s="759">
        <v>10</v>
      </c>
      <c r="N69" s="759">
        <v>10</v>
      </c>
      <c r="O69" s="759">
        <v>5</v>
      </c>
      <c r="P69" s="759">
        <v>5</v>
      </c>
      <c r="Q69" s="430">
        <v>500</v>
      </c>
      <c r="R69" s="430">
        <f>15+32+8</f>
        <v>55</v>
      </c>
      <c r="S69" s="430">
        <v>50</v>
      </c>
      <c r="T69" s="430">
        <v>50</v>
      </c>
      <c r="U69" s="440">
        <f t="shared" si="53"/>
        <v>655</v>
      </c>
      <c r="V69" s="758" t="s">
        <v>4117</v>
      </c>
      <c r="W69" s="566" t="e">
        <f>SUM(#REF!)</f>
        <v>#REF!</v>
      </c>
      <c r="X69" s="566"/>
      <c r="Y69" s="763" t="e">
        <f t="shared" si="54"/>
        <v>#REF!</v>
      </c>
      <c r="Z69" s="763"/>
      <c r="AA69" s="763" t="e">
        <f t="shared" si="55"/>
        <v>#REF!</v>
      </c>
      <c r="AB69" s="763"/>
      <c r="AC69" s="763" t="e">
        <f t="shared" si="56"/>
        <v>#REF!</v>
      </c>
      <c r="AD69" s="549">
        <v>211</v>
      </c>
      <c r="AF69" s="449"/>
      <c r="AG69" s="449"/>
      <c r="AH69" s="449" t="e">
        <f>+W69</f>
        <v>#REF!</v>
      </c>
      <c r="AI69" s="449"/>
      <c r="AJ69" s="449"/>
      <c r="AK69" s="449"/>
      <c r="AL69" s="449"/>
      <c r="AM69" s="449"/>
      <c r="AN69" s="449"/>
      <c r="AO69" s="449"/>
      <c r="AP69" s="449"/>
      <c r="AQ69" s="449" t="e">
        <f t="shared" si="57"/>
        <v>#REF!</v>
      </c>
      <c r="AS69" s="583" t="e">
        <f t="shared" si="58"/>
        <v>#REF!</v>
      </c>
      <c r="AT69" s="444">
        <f>+'[3]PLANINVERSIONES DIC'!$BG$114+SUM('[3]PLANINVERSIONES DIC'!$BG$125)</f>
        <v>0</v>
      </c>
      <c r="AU69" s="580"/>
      <c r="AV69" s="444"/>
      <c r="AW69" s="444">
        <f t="shared" si="59"/>
        <v>0</v>
      </c>
      <c r="AX69" s="444">
        <v>-43000000</v>
      </c>
      <c r="AY69" s="444" t="e">
        <f t="shared" si="60"/>
        <v>#REF!</v>
      </c>
      <c r="AZ69" s="444" t="e">
        <f t="shared" si="61"/>
        <v>#REF!</v>
      </c>
      <c r="BA69" s="442"/>
      <c r="BB69" s="444"/>
      <c r="BD69" s="444"/>
      <c r="BE69" s="449"/>
      <c r="BF69" s="449"/>
      <c r="BG69" s="449">
        <f>+AX69</f>
        <v>-43000000</v>
      </c>
      <c r="BH69" s="449"/>
      <c r="BI69" s="449"/>
      <c r="BJ69" s="449"/>
      <c r="BK69" s="449"/>
      <c r="BL69" s="449"/>
      <c r="BM69" s="449"/>
      <c r="BN69" s="449"/>
      <c r="BO69" s="449"/>
      <c r="BP69" s="449"/>
      <c r="BQ69" s="449">
        <f>SUM(BE69:BO69)</f>
        <v>-43000000</v>
      </c>
    </row>
    <row r="70" spans="1:70" ht="60" x14ac:dyDescent="0.2">
      <c r="A70" s="1188"/>
      <c r="B70" s="1365"/>
      <c r="C70" s="1188"/>
      <c r="D70" s="1396"/>
      <c r="E70" s="1360"/>
      <c r="F70" s="1188"/>
      <c r="G70" s="1188"/>
      <c r="H70" s="1188"/>
      <c r="I70" s="1186"/>
      <c r="J70" s="752" t="s">
        <v>3679</v>
      </c>
      <c r="K70" s="752">
        <v>0</v>
      </c>
      <c r="L70" s="752" t="s">
        <v>3608</v>
      </c>
      <c r="M70" s="400">
        <v>0</v>
      </c>
      <c r="N70" s="400">
        <v>1</v>
      </c>
      <c r="O70" s="400">
        <v>0</v>
      </c>
      <c r="P70" s="400">
        <v>0</v>
      </c>
      <c r="Q70" s="405">
        <v>50</v>
      </c>
      <c r="R70" s="405">
        <v>0</v>
      </c>
      <c r="S70" s="405">
        <v>0</v>
      </c>
      <c r="T70" s="405">
        <v>0</v>
      </c>
      <c r="U70" s="440">
        <f>Q70+R70+S70+T70</f>
        <v>50</v>
      </c>
      <c r="V70" s="758"/>
      <c r="W70" s="566">
        <v>0</v>
      </c>
      <c r="X70" s="566"/>
      <c r="Y70" s="763">
        <f t="shared" si="54"/>
        <v>0</v>
      </c>
      <c r="Z70" s="763"/>
      <c r="AA70" s="763">
        <f t="shared" si="55"/>
        <v>0</v>
      </c>
      <c r="AB70" s="763"/>
      <c r="AC70" s="763">
        <f t="shared" si="56"/>
        <v>0</v>
      </c>
      <c r="AD70" s="549">
        <v>211</v>
      </c>
      <c r="AF70" s="449"/>
      <c r="AG70" s="449"/>
      <c r="AH70" s="449"/>
      <c r="AI70" s="449"/>
      <c r="AJ70" s="449"/>
      <c r="AK70" s="449"/>
      <c r="AL70" s="449"/>
      <c r="AM70" s="449"/>
      <c r="AN70" s="449"/>
      <c r="AO70" s="449"/>
      <c r="AP70" s="449"/>
      <c r="AQ70" s="449">
        <f t="shared" si="57"/>
        <v>0</v>
      </c>
      <c r="AS70" s="444">
        <f t="shared" si="58"/>
        <v>0</v>
      </c>
      <c r="AT70" s="444">
        <f>+'[3]PLANINVERSIONES DIC'!$BG$115+'[3]PLANINVERSIONES DIC'!$BG$126</f>
        <v>0</v>
      </c>
      <c r="AU70" s="580"/>
      <c r="AV70" s="444"/>
      <c r="AW70" s="444">
        <f t="shared" si="59"/>
        <v>0</v>
      </c>
      <c r="AX70" s="444"/>
      <c r="AY70" s="444">
        <f t="shared" si="60"/>
        <v>0</v>
      </c>
      <c r="AZ70" s="444">
        <f t="shared" si="61"/>
        <v>0</v>
      </c>
      <c r="BA70" s="442"/>
      <c r="BB70" s="444"/>
      <c r="BD70" s="444"/>
      <c r="BE70" s="449"/>
      <c r="BF70" s="449"/>
      <c r="BG70" s="449"/>
      <c r="BH70" s="449"/>
      <c r="BI70" s="449"/>
      <c r="BJ70" s="449"/>
      <c r="BK70" s="449"/>
      <c r="BL70" s="449"/>
      <c r="BM70" s="449"/>
      <c r="BN70" s="449"/>
      <c r="BO70" s="449"/>
      <c r="BP70" s="449"/>
      <c r="BQ70" s="449">
        <f>SUM(BE70:BO70)</f>
        <v>0</v>
      </c>
    </row>
    <row r="71" spans="1:70" ht="75" x14ac:dyDescent="0.2">
      <c r="A71" s="1188"/>
      <c r="B71" s="1365"/>
      <c r="C71" s="1188"/>
      <c r="D71" s="1396"/>
      <c r="E71" s="1360"/>
      <c r="F71" s="1188"/>
      <c r="G71" s="1188"/>
      <c r="H71" s="1188"/>
      <c r="I71" s="1187"/>
      <c r="J71" s="752" t="s">
        <v>3694</v>
      </c>
      <c r="K71" s="467">
        <v>0</v>
      </c>
      <c r="L71" s="752" t="s">
        <v>3607</v>
      </c>
      <c r="M71" s="400">
        <v>0</v>
      </c>
      <c r="N71" s="400">
        <v>1</v>
      </c>
      <c r="O71" s="400">
        <v>0</v>
      </c>
      <c r="P71" s="400">
        <v>0</v>
      </c>
      <c r="Q71" s="405">
        <v>50</v>
      </c>
      <c r="R71" s="405">
        <v>75</v>
      </c>
      <c r="S71" s="405">
        <v>150</v>
      </c>
      <c r="T71" s="405">
        <v>150</v>
      </c>
      <c r="U71" s="440">
        <f t="shared" si="53"/>
        <v>425</v>
      </c>
      <c r="V71" s="550" t="s">
        <v>3636</v>
      </c>
      <c r="W71" s="566" t="e">
        <f>SUM(#REF!)</f>
        <v>#REF!</v>
      </c>
      <c r="X71" s="566"/>
      <c r="Y71" s="763" t="e">
        <f t="shared" si="54"/>
        <v>#REF!</v>
      </c>
      <c r="Z71" s="763" t="e">
        <f>SUM(#REF!)</f>
        <v>#REF!</v>
      </c>
      <c r="AA71" s="763" t="e">
        <f t="shared" si="55"/>
        <v>#REF!</v>
      </c>
      <c r="AB71" s="772"/>
      <c r="AC71" s="763" t="e">
        <f t="shared" si="56"/>
        <v>#REF!</v>
      </c>
      <c r="AD71" s="549">
        <v>510</v>
      </c>
      <c r="AF71" s="449"/>
      <c r="AG71" s="449"/>
      <c r="AH71" s="449"/>
      <c r="AI71" s="449"/>
      <c r="AJ71" s="449"/>
      <c r="AK71" s="449"/>
      <c r="AL71" s="449"/>
      <c r="AM71" s="449"/>
      <c r="AN71" s="449"/>
      <c r="AO71" s="449"/>
      <c r="AP71" s="449"/>
      <c r="AQ71" s="449">
        <f t="shared" si="57"/>
        <v>0</v>
      </c>
      <c r="AS71" s="444" t="e">
        <f t="shared" si="58"/>
        <v>#REF!</v>
      </c>
      <c r="AT71" s="444">
        <f>+'[3]PLANINVERSIONES DIC'!$BG$127</f>
        <v>26193952</v>
      </c>
      <c r="AU71" s="587">
        <v>2000000</v>
      </c>
      <c r="AV71" s="580"/>
      <c r="AW71" s="444">
        <f t="shared" si="59"/>
        <v>2000000</v>
      </c>
      <c r="AX71" s="444">
        <v>69000000</v>
      </c>
      <c r="AY71" s="444" t="e">
        <f t="shared" si="60"/>
        <v>#REF!</v>
      </c>
      <c r="AZ71" s="444" t="e">
        <f t="shared" si="61"/>
        <v>#REF!</v>
      </c>
      <c r="BA71" s="442"/>
      <c r="BB71" s="444"/>
      <c r="BD71" s="444"/>
      <c r="BE71" s="449">
        <f>-BE21-BE17-BE15</f>
        <v>20000000</v>
      </c>
      <c r="BF71" s="449"/>
      <c r="BG71" s="449"/>
      <c r="BH71" s="449"/>
      <c r="BI71" s="449"/>
      <c r="BJ71" s="449"/>
      <c r="BK71" s="449"/>
      <c r="BL71" s="449">
        <f>-BL17-BL15-BL21</f>
        <v>49000000</v>
      </c>
      <c r="BM71" s="449">
        <f>+AW71</f>
        <v>2000000</v>
      </c>
      <c r="BN71" s="449"/>
      <c r="BO71" s="449"/>
      <c r="BP71" s="449"/>
      <c r="BQ71" s="449">
        <f>SUM(BE71:BO71)</f>
        <v>71000000</v>
      </c>
    </row>
    <row r="72" spans="1:70" ht="126.6" customHeight="1" x14ac:dyDescent="0.2">
      <c r="A72" s="1188"/>
      <c r="B72" s="1365"/>
      <c r="C72" s="1188"/>
      <c r="D72" s="1396"/>
      <c r="E72" s="1360"/>
      <c r="F72" s="1188"/>
      <c r="G72" s="1188"/>
      <c r="H72" s="1188"/>
      <c r="I72" s="401" t="s">
        <v>3728</v>
      </c>
      <c r="J72" s="754" t="s">
        <v>3695</v>
      </c>
      <c r="K72" s="754">
        <v>300</v>
      </c>
      <c r="L72" s="754" t="s">
        <v>3609</v>
      </c>
      <c r="M72" s="400">
        <v>300</v>
      </c>
      <c r="N72" s="400">
        <v>400</v>
      </c>
      <c r="O72" s="400">
        <v>500</v>
      </c>
      <c r="P72" s="400">
        <v>550</v>
      </c>
      <c r="Q72" s="433">
        <v>600</v>
      </c>
      <c r="R72" s="433">
        <v>599</v>
      </c>
      <c r="S72" s="433">
        <v>1000</v>
      </c>
      <c r="T72" s="433">
        <v>1300</v>
      </c>
      <c r="U72" s="440">
        <f t="shared" si="53"/>
        <v>3499</v>
      </c>
      <c r="V72" s="550">
        <v>722</v>
      </c>
      <c r="W72" s="762" t="e">
        <f>SUM(#REF!)</f>
        <v>#REF!</v>
      </c>
      <c r="X72" s="763">
        <f>-[6]GARZON!$E$7-'[6]LA PLATA'!$E$8+[6]PITALITO!$E$7</f>
        <v>-88829823</v>
      </c>
      <c r="Y72" s="763" t="e">
        <f t="shared" si="54"/>
        <v>#REF!</v>
      </c>
      <c r="Z72" s="763" t="e">
        <f>+#REF!</f>
        <v>#REF!</v>
      </c>
      <c r="AA72" s="763" t="e">
        <f t="shared" si="55"/>
        <v>#REF!</v>
      </c>
      <c r="AB72" s="772">
        <v>115624072</v>
      </c>
      <c r="AC72" s="763" t="e">
        <f t="shared" si="56"/>
        <v>#REF!</v>
      </c>
      <c r="AD72" s="549">
        <v>211</v>
      </c>
      <c r="AF72" s="449"/>
      <c r="AG72" s="449">
        <v>25000000</v>
      </c>
      <c r="AH72" s="449"/>
      <c r="AI72" s="449"/>
      <c r="AJ72" s="449"/>
      <c r="AK72" s="449"/>
      <c r="AL72" s="449"/>
      <c r="AM72" s="449">
        <v>20000000</v>
      </c>
      <c r="AN72" s="449"/>
      <c r="AO72" s="449"/>
      <c r="AP72" s="449"/>
      <c r="AQ72" s="449">
        <f t="shared" si="57"/>
        <v>45000000</v>
      </c>
      <c r="AS72" s="444" t="e">
        <f t="shared" si="58"/>
        <v>#REF!</v>
      </c>
      <c r="AT72" s="444">
        <f>SUM('[3]PLANINVERSIONES DIC'!$BG$128:$BG$130)</f>
        <v>140252978</v>
      </c>
      <c r="AU72" s="587">
        <f>314500313+24000000</f>
        <v>338500313</v>
      </c>
      <c r="AV72" s="580"/>
      <c r="AW72" s="444">
        <f t="shared" si="59"/>
        <v>338500313</v>
      </c>
      <c r="AX72" s="444">
        <v>43000000</v>
      </c>
      <c r="AY72" s="444" t="e">
        <f t="shared" si="60"/>
        <v>#REF!</v>
      </c>
      <c r="AZ72" s="444" t="e">
        <f t="shared" si="61"/>
        <v>#REF!</v>
      </c>
      <c r="BA72" s="442"/>
      <c r="BB72" s="444"/>
      <c r="BD72" s="444"/>
      <c r="BE72" s="449"/>
      <c r="BF72" s="449" t="e">
        <f>+#REF!</f>
        <v>#REF!</v>
      </c>
      <c r="BG72" s="449">
        <f>-BG69</f>
        <v>43000000</v>
      </c>
      <c r="BH72" s="449" t="e">
        <f>+#REF!</f>
        <v>#REF!</v>
      </c>
      <c r="BI72" s="449" t="e">
        <f>+#REF!</f>
        <v>#REF!</v>
      </c>
      <c r="BJ72" s="449" t="e">
        <f>+#REF!</f>
        <v>#REF!</v>
      </c>
      <c r="BK72" s="449"/>
      <c r="BL72" s="449"/>
      <c r="BM72" s="449">
        <v>21675181</v>
      </c>
      <c r="BN72" s="449"/>
      <c r="BO72" s="449"/>
      <c r="BP72" s="449"/>
      <c r="BQ72" s="449" t="e">
        <f>SUM(BE72:BP72)</f>
        <v>#REF!</v>
      </c>
      <c r="BR72" s="445" t="e">
        <f>+BQ72-BJ72-BI72-BH72</f>
        <v>#REF!</v>
      </c>
    </row>
    <row r="73" spans="1:70" ht="18" customHeight="1" x14ac:dyDescent="0.2">
      <c r="A73" s="419"/>
      <c r="B73" s="419"/>
      <c r="C73" s="419"/>
      <c r="D73" s="419"/>
      <c r="E73" s="419"/>
      <c r="F73" s="419"/>
      <c r="G73" s="419"/>
      <c r="H73" s="419"/>
      <c r="I73" s="419"/>
      <c r="J73" s="419"/>
      <c r="K73" s="419"/>
      <c r="L73" s="419"/>
      <c r="M73" s="1345" t="s">
        <v>695</v>
      </c>
      <c r="N73" s="1346"/>
      <c r="O73" s="1346"/>
      <c r="P73" s="1347"/>
      <c r="Q73" s="407">
        <f>SUM(Q67:Q72)</f>
        <v>1255</v>
      </c>
      <c r="R73" s="407">
        <f>SUM(R67:R72)</f>
        <v>889</v>
      </c>
      <c r="S73" s="407">
        <f>SUM(S67:S72)</f>
        <v>1390</v>
      </c>
      <c r="T73" s="407">
        <f>SUM(T67:T72)</f>
        <v>1640</v>
      </c>
      <c r="U73" s="439">
        <f>SUM(U67:U72)</f>
        <v>5174</v>
      </c>
      <c r="V73" s="443"/>
      <c r="W73" s="407" t="e">
        <f>SUM(W67:W72)</f>
        <v>#REF!</v>
      </c>
      <c r="X73" s="764">
        <f>SUM(X67:X72)</f>
        <v>-88829823</v>
      </c>
      <c r="Y73" s="764" t="e">
        <f>+Y72+Y71+Y68+Y67</f>
        <v>#REF!</v>
      </c>
      <c r="Z73" s="407" t="e">
        <f>SUM(Z67:Z72)</f>
        <v>#REF!</v>
      </c>
      <c r="AA73" s="764" t="e">
        <f>+AA72+AA71+AA68+AA67</f>
        <v>#REF!</v>
      </c>
      <c r="AB73" s="407">
        <f>SUM(AB67:AB72)</f>
        <v>125624072</v>
      </c>
      <c r="AC73" s="764" t="e">
        <f>+AC72+AC71+AC68+AC67</f>
        <v>#REF!</v>
      </c>
      <c r="AD73" s="764"/>
      <c r="AF73" s="407">
        <f>SUM(AF67:AF72)</f>
        <v>0</v>
      </c>
      <c r="AG73" s="407">
        <f t="shared" ref="AG73:AQ73" si="62">SUM(AG67:AG72)</f>
        <v>25000000</v>
      </c>
      <c r="AH73" s="407" t="e">
        <f t="shared" si="62"/>
        <v>#REF!</v>
      </c>
      <c r="AI73" s="407">
        <f t="shared" si="62"/>
        <v>0</v>
      </c>
      <c r="AJ73" s="407">
        <f t="shared" si="62"/>
        <v>0</v>
      </c>
      <c r="AK73" s="407">
        <f t="shared" si="62"/>
        <v>0</v>
      </c>
      <c r="AL73" s="407">
        <f t="shared" si="62"/>
        <v>0</v>
      </c>
      <c r="AM73" s="407">
        <f t="shared" si="62"/>
        <v>20000000</v>
      </c>
      <c r="AN73" s="407"/>
      <c r="AO73" s="407">
        <f t="shared" si="62"/>
        <v>0</v>
      </c>
      <c r="AP73" s="407"/>
      <c r="AQ73" s="407" t="e">
        <f t="shared" si="62"/>
        <v>#REF!</v>
      </c>
      <c r="AS73" s="407" t="e">
        <f t="shared" ref="AS73:AZ73" si="63">SUM(AS67:AS72)</f>
        <v>#REF!</v>
      </c>
      <c r="AT73" s="407">
        <f t="shared" si="63"/>
        <v>254736902</v>
      </c>
      <c r="AU73" s="407">
        <f t="shared" si="63"/>
        <v>466277585</v>
      </c>
      <c r="AV73" s="407">
        <f t="shared" si="63"/>
        <v>0</v>
      </c>
      <c r="AW73" s="407">
        <f t="shared" si="63"/>
        <v>386277585</v>
      </c>
      <c r="AX73" s="407">
        <f t="shared" si="63"/>
        <v>69000000</v>
      </c>
      <c r="AY73" s="407" t="e">
        <f t="shared" si="63"/>
        <v>#REF!</v>
      </c>
      <c r="AZ73" s="407" t="e">
        <f t="shared" si="63"/>
        <v>#REF!</v>
      </c>
      <c r="BA73" s="442"/>
      <c r="BB73" s="407">
        <f>SUM(BB67:BB72)</f>
        <v>0</v>
      </c>
      <c r="BD73" s="407">
        <f>SUM(BD67:BD72)</f>
        <v>0</v>
      </c>
      <c r="BE73" s="407">
        <f>SUM(BE67:BE72)</f>
        <v>20000000</v>
      </c>
      <c r="BF73" s="407" t="e">
        <f t="shared" ref="BF73:BQ73" si="64">SUM(BF67:BF72)</f>
        <v>#REF!</v>
      </c>
      <c r="BG73" s="407">
        <f t="shared" si="64"/>
        <v>0</v>
      </c>
      <c r="BH73" s="407" t="e">
        <f t="shared" si="64"/>
        <v>#REF!</v>
      </c>
      <c r="BI73" s="407" t="e">
        <f t="shared" si="64"/>
        <v>#REF!</v>
      </c>
      <c r="BJ73" s="407" t="e">
        <f t="shared" si="64"/>
        <v>#REF!</v>
      </c>
      <c r="BK73" s="407">
        <f t="shared" si="64"/>
        <v>0</v>
      </c>
      <c r="BL73" s="407">
        <f t="shared" si="64"/>
        <v>49000000</v>
      </c>
      <c r="BM73" s="407">
        <f t="shared" si="64"/>
        <v>69452453</v>
      </c>
      <c r="BN73" s="407">
        <f t="shared" si="64"/>
        <v>0</v>
      </c>
      <c r="BO73" s="407">
        <f t="shared" si="64"/>
        <v>0</v>
      </c>
      <c r="BP73" s="407">
        <f t="shared" si="64"/>
        <v>0</v>
      </c>
      <c r="BQ73" s="407" t="e">
        <f t="shared" si="64"/>
        <v>#REF!</v>
      </c>
    </row>
    <row r="74" spans="1:70" x14ac:dyDescent="0.2">
      <c r="A74" s="419"/>
      <c r="B74" s="419"/>
      <c r="C74" s="419"/>
      <c r="D74" s="419"/>
      <c r="E74" s="419"/>
      <c r="F74" s="419"/>
      <c r="G74" s="419"/>
      <c r="H74" s="419"/>
      <c r="I74" s="419"/>
      <c r="J74" s="419"/>
      <c r="K74" s="419"/>
      <c r="L74" s="419"/>
      <c r="M74" s="1447"/>
      <c r="N74" s="1447"/>
      <c r="O74" s="1447"/>
      <c r="P74" s="1447"/>
      <c r="Q74" s="1447"/>
      <c r="R74" s="1447"/>
      <c r="S74" s="1447"/>
      <c r="T74" s="1447"/>
      <c r="U74" s="1447"/>
      <c r="V74" s="1447"/>
      <c r="W74" s="1447"/>
      <c r="X74" s="1447"/>
      <c r="Y74" s="1447"/>
      <c r="Z74" s="769"/>
      <c r="AA74" s="769"/>
      <c r="AB74" s="769"/>
      <c r="AC74" s="769"/>
      <c r="AU74" s="445"/>
    </row>
    <row r="75" spans="1:70" ht="17.25" customHeight="1" x14ac:dyDescent="0.2">
      <c r="A75" s="419"/>
      <c r="B75" s="419"/>
      <c r="C75" s="419"/>
      <c r="D75" s="419"/>
      <c r="E75" s="419"/>
      <c r="F75" s="419"/>
      <c r="G75" s="419"/>
      <c r="H75" s="419"/>
      <c r="I75" s="419"/>
      <c r="J75" s="419"/>
      <c r="K75" s="419"/>
      <c r="L75" s="419"/>
      <c r="M75" s="1380" t="s">
        <v>695</v>
      </c>
      <c r="N75" s="1381"/>
      <c r="O75" s="1381"/>
      <c r="P75" s="1382"/>
      <c r="Q75" s="412">
        <f>+Q73+Q65+Q52+Q47+Q38+Q13+Q6</f>
        <v>13397</v>
      </c>
      <c r="R75" s="412">
        <f>+R73+R65+R52+R47+R38+R13+R6</f>
        <v>15217</v>
      </c>
      <c r="S75" s="412">
        <f>+S73+S65+S52+S47+S38+S13+S6</f>
        <v>14750.44</v>
      </c>
      <c r="T75" s="412">
        <f>+T73+T65+T52+T47+T38+T13+T6</f>
        <v>15028.733200000001</v>
      </c>
      <c r="U75" s="402">
        <f>+U73+U65+U52+U47+U38+U13+U6</f>
        <v>58393.173200000005</v>
      </c>
      <c r="V75" s="443"/>
      <c r="W75" s="412" t="e">
        <f>+W73+W65+W52+W47+W38+W13+W6</f>
        <v>#REF!</v>
      </c>
      <c r="X75" s="763">
        <f>+X73+X65+X52+X47+X38+X13+X6</f>
        <v>0</v>
      </c>
      <c r="Y75" s="412" t="e">
        <f>+Y73+Y65+Y52+Y47+Y38+Y13+Y6</f>
        <v>#REF!</v>
      </c>
      <c r="Z75" s="412" t="e">
        <f>+Z73+Z65+Z52+Z47+Z38+Z13+Z6</f>
        <v>#REF!</v>
      </c>
      <c r="AA75" s="412"/>
      <c r="AB75" s="412">
        <f>+AB73+AB65+AB52+AB47+AB38+AB13+AB6</f>
        <v>372988398</v>
      </c>
      <c r="AC75" s="412"/>
      <c r="AD75" s="412"/>
      <c r="AF75" s="412" t="e">
        <f t="shared" ref="AF75:AQ75" si="65">+AF73+AF65+AF52+AF47+AF38+AF13+AF6</f>
        <v>#REF!</v>
      </c>
      <c r="AG75" s="412">
        <f t="shared" si="65"/>
        <v>1325201794</v>
      </c>
      <c r="AH75" s="412" t="e">
        <f t="shared" si="65"/>
        <v>#REF!</v>
      </c>
      <c r="AI75" s="412">
        <f t="shared" si="65"/>
        <v>73270400</v>
      </c>
      <c r="AJ75" s="412">
        <f t="shared" si="65"/>
        <v>20000000</v>
      </c>
      <c r="AK75" s="412">
        <f t="shared" si="65"/>
        <v>47000740</v>
      </c>
      <c r="AL75" s="412">
        <f t="shared" si="65"/>
        <v>2816800000</v>
      </c>
      <c r="AM75" s="412" t="e">
        <f t="shared" si="65"/>
        <v>#REF!</v>
      </c>
      <c r="AN75" s="412"/>
      <c r="AO75" s="412" t="e">
        <f t="shared" si="65"/>
        <v>#REF!</v>
      </c>
      <c r="AP75" s="412"/>
      <c r="AQ75" s="412" t="e">
        <f t="shared" si="65"/>
        <v>#REF!</v>
      </c>
      <c r="AS75" s="412"/>
      <c r="AT75" s="412"/>
      <c r="AU75" s="412"/>
      <c r="AV75" s="412"/>
      <c r="AW75" s="412"/>
      <c r="AX75" s="412"/>
      <c r="AY75" s="412"/>
      <c r="AZ75" s="412"/>
      <c r="BA75" s="442"/>
      <c r="BB75" s="412" t="e">
        <f>+#REF!*1000000-AE75</f>
        <v>#REF!</v>
      </c>
      <c r="BD75" s="412">
        <f t="shared" ref="BD75:BP75" si="66">+BD73+BD65+BD52+BD47+BD38+BD13+BD6</f>
        <v>290732750</v>
      </c>
      <c r="BE75" s="412">
        <f t="shared" si="66"/>
        <v>0</v>
      </c>
      <c r="BF75" s="412" t="e">
        <f t="shared" si="66"/>
        <v>#REF!</v>
      </c>
      <c r="BG75" s="412" t="e">
        <f t="shared" si="66"/>
        <v>#REF!</v>
      </c>
      <c r="BH75" s="412" t="e">
        <f t="shared" si="66"/>
        <v>#REF!</v>
      </c>
      <c r="BI75" s="412" t="e">
        <f t="shared" si="66"/>
        <v>#REF!</v>
      </c>
      <c r="BJ75" s="412" t="e">
        <f t="shared" si="66"/>
        <v>#REF!</v>
      </c>
      <c r="BK75" s="412" t="e">
        <f t="shared" si="66"/>
        <v>#REF!</v>
      </c>
      <c r="BL75" s="412">
        <f>+BL73+BL65+BL52+BL47+BL38+BL13+BL6</f>
        <v>0</v>
      </c>
      <c r="BM75" s="412" t="e">
        <f t="shared" si="66"/>
        <v>#REF!</v>
      </c>
      <c r="BN75" s="412">
        <f t="shared" si="66"/>
        <v>0</v>
      </c>
      <c r="BO75" s="412">
        <f t="shared" si="66"/>
        <v>0</v>
      </c>
      <c r="BP75" s="412">
        <f t="shared" si="66"/>
        <v>0</v>
      </c>
      <c r="BQ75" s="412" t="e">
        <f>+BQ73+BQ65+BQ52+BQ47+BQ38+BQ13+BQ6</f>
        <v>#REF!</v>
      </c>
    </row>
    <row r="76" spans="1:70" ht="17.25" customHeight="1" x14ac:dyDescent="0.2">
      <c r="A76" s="419"/>
      <c r="B76" s="419"/>
      <c r="C76" s="419"/>
      <c r="D76" s="419"/>
      <c r="E76" s="419"/>
      <c r="F76" s="419"/>
      <c r="G76" s="419"/>
      <c r="H76" s="419"/>
      <c r="I76" s="419"/>
      <c r="J76" s="419"/>
      <c r="K76" s="419"/>
      <c r="L76" s="419"/>
      <c r="M76" s="1380" t="s">
        <v>3654</v>
      </c>
      <c r="N76" s="1381"/>
      <c r="O76" s="1381"/>
      <c r="P76" s="1382"/>
      <c r="Q76" s="402">
        <v>9937</v>
      </c>
      <c r="R76" s="402">
        <v>15222</v>
      </c>
      <c r="S76" s="402" t="e">
        <f>+'POAI 2011 AC.017 MAYO'!I77/1000000</f>
        <v>#REF!</v>
      </c>
      <c r="T76" s="402"/>
      <c r="U76" s="402"/>
      <c r="V76" s="437"/>
      <c r="W76" s="443"/>
      <c r="X76" s="574"/>
      <c r="Y76" s="412"/>
      <c r="Z76" s="412"/>
      <c r="AA76" s="412"/>
      <c r="AB76" s="412"/>
      <c r="AC76" s="412"/>
      <c r="AD76" s="412"/>
      <c r="AF76" s="800"/>
      <c r="AG76" s="800"/>
      <c r="AH76" s="800"/>
      <c r="AI76" s="800"/>
      <c r="AJ76" s="800"/>
      <c r="AK76" s="800"/>
      <c r="AL76" s="800"/>
      <c r="AM76" s="800"/>
      <c r="AN76" s="800"/>
      <c r="AO76" s="800"/>
      <c r="AP76" s="800"/>
      <c r="AQ76" s="800"/>
      <c r="AS76" s="800"/>
      <c r="AT76" s="800"/>
      <c r="AU76" s="800"/>
      <c r="AV76" s="800"/>
      <c r="AW76" s="800"/>
      <c r="AX76" s="800"/>
      <c r="AY76" s="800"/>
      <c r="AZ76" s="800"/>
      <c r="BA76" s="487"/>
      <c r="BB76" s="800"/>
      <c r="BD76" s="800"/>
      <c r="BE76" s="800"/>
      <c r="BF76" s="800"/>
      <c r="BG76" s="800"/>
      <c r="BH76" s="800"/>
      <c r="BI76" s="800"/>
      <c r="BJ76" s="800"/>
      <c r="BK76" s="800"/>
      <c r="BL76" s="800"/>
      <c r="BM76" s="800"/>
      <c r="BN76" s="800"/>
      <c r="BO76" s="800"/>
      <c r="BP76" s="800"/>
      <c r="BQ76" s="800"/>
    </row>
    <row r="77" spans="1:70" ht="17.25" customHeight="1" x14ac:dyDescent="0.2">
      <c r="A77" s="419"/>
      <c r="B77" s="419"/>
      <c r="C77" s="419"/>
      <c r="D77" s="419"/>
      <c r="E77" s="419"/>
      <c r="F77" s="419"/>
      <c r="G77" s="419"/>
      <c r="H77" s="419"/>
      <c r="I77" s="419"/>
      <c r="J77" s="419"/>
      <c r="K77" s="419"/>
      <c r="L77" s="419"/>
      <c r="M77" s="1380" t="s">
        <v>3655</v>
      </c>
      <c r="N77" s="1381"/>
      <c r="O77" s="1381"/>
      <c r="P77" s="1382"/>
      <c r="Q77" s="402">
        <v>3628</v>
      </c>
      <c r="R77" s="402">
        <v>10683</v>
      </c>
      <c r="S77" s="402" t="e">
        <f>+#REF!/1000000</f>
        <v>#REF!</v>
      </c>
      <c r="T77" s="402"/>
      <c r="U77" s="412"/>
      <c r="V77" s="437"/>
      <c r="W77" s="443"/>
      <c r="X77" s="574"/>
      <c r="Y77" s="412"/>
      <c r="Z77" s="412"/>
      <c r="AA77" s="412"/>
      <c r="AB77" s="412"/>
      <c r="AC77" s="412"/>
      <c r="AD77" s="412"/>
      <c r="AF77" s="800"/>
      <c r="AG77" s="800"/>
      <c r="AH77" s="800"/>
      <c r="AI77" s="800"/>
      <c r="AJ77" s="800"/>
      <c r="AK77" s="800"/>
      <c r="AL77" s="800"/>
      <c r="AM77" s="800"/>
      <c r="AN77" s="800"/>
      <c r="AO77" s="800"/>
      <c r="AP77" s="800"/>
      <c r="AQ77" s="800"/>
      <c r="AS77" s="800"/>
      <c r="AT77" s="800"/>
      <c r="AU77" s="800"/>
      <c r="AV77" s="800"/>
      <c r="AW77" s="800"/>
      <c r="AX77" s="800"/>
      <c r="AY77" s="800"/>
      <c r="AZ77" s="800"/>
      <c r="BA77" s="487"/>
      <c r="BB77" s="800"/>
      <c r="BD77" s="800"/>
      <c r="BE77" s="800"/>
      <c r="BF77" s="800"/>
      <c r="BG77" s="800"/>
      <c r="BH77" s="800"/>
      <c r="BI77" s="800"/>
      <c r="BJ77" s="800"/>
      <c r="BK77" s="800"/>
      <c r="BL77" s="800"/>
      <c r="BM77" s="800"/>
      <c r="BN77" s="800"/>
      <c r="BO77" s="800"/>
      <c r="BP77" s="800"/>
      <c r="BQ77" s="800"/>
    </row>
    <row r="78" spans="1:70" ht="17.25" customHeight="1" x14ac:dyDescent="0.2">
      <c r="A78" s="419"/>
      <c r="B78" s="419"/>
      <c r="C78" s="419"/>
      <c r="D78" s="419"/>
      <c r="E78" s="419"/>
      <c r="F78" s="419"/>
      <c r="G78" s="419"/>
      <c r="H78" s="419"/>
      <c r="I78" s="419"/>
      <c r="J78" s="419"/>
      <c r="K78" s="419"/>
      <c r="L78" s="419"/>
      <c r="M78" s="797"/>
      <c r="N78" s="798"/>
      <c r="O78" s="798"/>
      <c r="P78" s="799"/>
      <c r="Q78" s="412"/>
      <c r="R78" s="412"/>
      <c r="S78" s="412"/>
      <c r="T78" s="412"/>
      <c r="U78" s="402"/>
      <c r="V78" s="443"/>
      <c r="W78" s="412"/>
      <c r="X78" s="763"/>
      <c r="Y78" s="412"/>
      <c r="Z78" s="412"/>
      <c r="AA78" s="412"/>
      <c r="AB78" s="412"/>
      <c r="AC78" s="412"/>
      <c r="AD78" s="412"/>
      <c r="AF78" s="800"/>
      <c r="AG78" s="800"/>
      <c r="AH78" s="800"/>
      <c r="AI78" s="800"/>
      <c r="AJ78" s="800"/>
      <c r="AK78" s="800"/>
      <c r="AL78" s="800"/>
      <c r="AM78" s="800"/>
      <c r="AN78" s="800"/>
      <c r="AO78" s="800"/>
      <c r="AP78" s="800"/>
      <c r="AQ78" s="800"/>
      <c r="AS78" s="800"/>
      <c r="AT78" s="800"/>
      <c r="AU78" s="800"/>
      <c r="AV78" s="800"/>
      <c r="AW78" s="800"/>
      <c r="AX78" s="800"/>
      <c r="AY78" s="800"/>
      <c r="AZ78" s="800"/>
      <c r="BA78" s="487"/>
      <c r="BB78" s="800"/>
      <c r="BD78" s="800"/>
      <c r="BE78" s="800"/>
      <c r="BF78" s="800"/>
      <c r="BG78" s="800"/>
      <c r="BH78" s="800"/>
      <c r="BI78" s="800"/>
      <c r="BJ78" s="800"/>
      <c r="BK78" s="800"/>
      <c r="BL78" s="800"/>
      <c r="BM78" s="800"/>
      <c r="BN78" s="800"/>
      <c r="BO78" s="800"/>
      <c r="BP78" s="800"/>
      <c r="BQ78" s="800"/>
    </row>
    <row r="79" spans="1:70" x14ac:dyDescent="0.2">
      <c r="M79" s="1448" t="s">
        <v>4118</v>
      </c>
      <c r="N79" s="1448"/>
      <c r="O79" s="1448"/>
      <c r="P79" s="1448"/>
      <c r="Q79" s="1448"/>
      <c r="R79" s="1448"/>
      <c r="S79" s="1448"/>
      <c r="T79" s="1448"/>
      <c r="U79" s="1448"/>
      <c r="V79" s="1448"/>
      <c r="W79" s="450" t="e">
        <f>+#REF!</f>
        <v>#REF!</v>
      </c>
      <c r="X79" s="450"/>
      <c r="Y79" s="412">
        <v>372988398</v>
      </c>
      <c r="Z79" s="412"/>
      <c r="AA79" s="412"/>
      <c r="AB79" s="412">
        <v>372988398</v>
      </c>
      <c r="AC79" s="412"/>
      <c r="AD79" s="574" t="s">
        <v>4120</v>
      </c>
    </row>
    <row r="80" spans="1:70" x14ac:dyDescent="0.2">
      <c r="M80" s="1449" t="s">
        <v>4119</v>
      </c>
      <c r="N80" s="1449"/>
      <c r="O80" s="1449"/>
      <c r="P80" s="1449"/>
      <c r="Q80" s="1449"/>
      <c r="R80" s="1449"/>
      <c r="S80" s="1449"/>
      <c r="T80" s="1449"/>
      <c r="U80" s="1449"/>
      <c r="V80" s="1449"/>
      <c r="W80" s="768" t="e">
        <f>+W75-W79</f>
        <v>#REF!</v>
      </c>
      <c r="X80" s="768">
        <f>+X75-X79</f>
        <v>0</v>
      </c>
      <c r="Y80" s="412">
        <v>1334728581</v>
      </c>
      <c r="Z80" s="412"/>
      <c r="AA80" s="412"/>
      <c r="AB80" s="412">
        <f>+AB79-AB75</f>
        <v>0</v>
      </c>
      <c r="AC80" s="412"/>
      <c r="AD80" s="574" t="s">
        <v>4121</v>
      </c>
    </row>
    <row r="81" spans="23:30" x14ac:dyDescent="0.2">
      <c r="Y81" s="576" t="e">
        <f>+Y75-Y79-Y80</f>
        <v>#REF!</v>
      </c>
      <c r="Z81" s="576"/>
      <c r="AA81" s="576"/>
      <c r="AB81" s="576"/>
      <c r="AC81" s="576"/>
      <c r="AD81" s="574" t="s">
        <v>4122</v>
      </c>
    </row>
    <row r="83" spans="23:30" x14ac:dyDescent="0.2">
      <c r="W83" s="573">
        <f>8930*0.14</f>
        <v>1250.2</v>
      </c>
    </row>
    <row r="86" spans="23:30" x14ac:dyDescent="0.2">
      <c r="X86" s="575"/>
    </row>
  </sheetData>
  <mergeCells count="161">
    <mergeCell ref="L1:L2"/>
    <mergeCell ref="A1:A2"/>
    <mergeCell ref="B1:B2"/>
    <mergeCell ref="D8:D13"/>
    <mergeCell ref="E8:E13"/>
    <mergeCell ref="F8:F13"/>
    <mergeCell ref="G8:G13"/>
    <mergeCell ref="A25:A35"/>
    <mergeCell ref="B25:B35"/>
    <mergeCell ref="C25:C35"/>
    <mergeCell ref="D25:D35"/>
    <mergeCell ref="A19:A24"/>
    <mergeCell ref="B19:B24"/>
    <mergeCell ref="C19:C24"/>
    <mergeCell ref="D19:D24"/>
    <mergeCell ref="E19:E24"/>
    <mergeCell ref="F19:F24"/>
    <mergeCell ref="G19:G24"/>
    <mergeCell ref="H19:H24"/>
    <mergeCell ref="I20:I22"/>
    <mergeCell ref="A15:A18"/>
    <mergeCell ref="B15:B18"/>
    <mergeCell ref="D15:D18"/>
    <mergeCell ref="E15:E18"/>
    <mergeCell ref="BD1:BD2"/>
    <mergeCell ref="BE1:BQ1"/>
    <mergeCell ref="A3:A6"/>
    <mergeCell ref="B3:B6"/>
    <mergeCell ref="C3:C6"/>
    <mergeCell ref="D3:D6"/>
    <mergeCell ref="E3:E6"/>
    <mergeCell ref="AF1:AQ1"/>
    <mergeCell ref="AS1:AS2"/>
    <mergeCell ref="AT1:AU1"/>
    <mergeCell ref="AV1:AV2"/>
    <mergeCell ref="AW1:AW2"/>
    <mergeCell ref="AX1:AX2"/>
    <mergeCell ref="M1:P1"/>
    <mergeCell ref="Q1:U1"/>
    <mergeCell ref="V1:V2"/>
    <mergeCell ref="W1:W2"/>
    <mergeCell ref="X1:X2"/>
    <mergeCell ref="Z1:Z2"/>
    <mergeCell ref="AA1:AA2"/>
    <mergeCell ref="AD1:AD2"/>
    <mergeCell ref="AE1:AE2"/>
    <mergeCell ref="G1:G2"/>
    <mergeCell ref="AY1:AY2"/>
    <mergeCell ref="AZ1:AZ2"/>
    <mergeCell ref="BA1:BB1"/>
    <mergeCell ref="Y1:Y2"/>
    <mergeCell ref="C1:C2"/>
    <mergeCell ref="H15:H18"/>
    <mergeCell ref="I15:I16"/>
    <mergeCell ref="G15:G18"/>
    <mergeCell ref="G3:G6"/>
    <mergeCell ref="AB1:AB2"/>
    <mergeCell ref="AC1:AC2"/>
    <mergeCell ref="H1:H2"/>
    <mergeCell ref="H3:H6"/>
    <mergeCell ref="M6:P6"/>
    <mergeCell ref="C8:C13"/>
    <mergeCell ref="H8:H12"/>
    <mergeCell ref="I9:I12"/>
    <mergeCell ref="M13:P13"/>
    <mergeCell ref="I1:I2"/>
    <mergeCell ref="J1:J2"/>
    <mergeCell ref="K1:K2"/>
    <mergeCell ref="C15:C18"/>
    <mergeCell ref="D1:D2"/>
    <mergeCell ref="E1:E2"/>
    <mergeCell ref="F1:F2"/>
    <mergeCell ref="F15:F18"/>
    <mergeCell ref="F3:F6"/>
    <mergeCell ref="A8:A13"/>
    <mergeCell ref="B8:B13"/>
    <mergeCell ref="H25:H35"/>
    <mergeCell ref="I26:I28"/>
    <mergeCell ref="I29:I30"/>
    <mergeCell ref="I31:I32"/>
    <mergeCell ref="M47:P47"/>
    <mergeCell ref="H36:H37"/>
    <mergeCell ref="M38:P38"/>
    <mergeCell ref="H42:H46"/>
    <mergeCell ref="D40:D41"/>
    <mergeCell ref="E40:E41"/>
    <mergeCell ref="F40:F41"/>
    <mergeCell ref="G40:G41"/>
    <mergeCell ref="H40:H41"/>
    <mergeCell ref="G42:G46"/>
    <mergeCell ref="F42:F46"/>
    <mergeCell ref="E42:E46"/>
    <mergeCell ref="D42:D46"/>
    <mergeCell ref="E25:E35"/>
    <mergeCell ref="F25:F35"/>
    <mergeCell ref="G25:G35"/>
    <mergeCell ref="A36:A37"/>
    <mergeCell ref="B36:B37"/>
    <mergeCell ref="C36:C37"/>
    <mergeCell ref="D36:D37"/>
    <mergeCell ref="E36:E37"/>
    <mergeCell ref="F36:F37"/>
    <mergeCell ref="G36:G37"/>
    <mergeCell ref="C40:C46"/>
    <mergeCell ref="B40:B46"/>
    <mergeCell ref="A40:A46"/>
    <mergeCell ref="A54:A61"/>
    <mergeCell ref="B54:B61"/>
    <mergeCell ref="C54:C61"/>
    <mergeCell ref="D54:D55"/>
    <mergeCell ref="E54:E55"/>
    <mergeCell ref="F54:F55"/>
    <mergeCell ref="G54:G55"/>
    <mergeCell ref="A49:A51"/>
    <mergeCell ref="B49:B51"/>
    <mergeCell ref="C49:C51"/>
    <mergeCell ref="D49:D51"/>
    <mergeCell ref="E49:E51"/>
    <mergeCell ref="F49:F51"/>
    <mergeCell ref="A63:A64"/>
    <mergeCell ref="B63:B64"/>
    <mergeCell ref="C63:C64"/>
    <mergeCell ref="D63:D64"/>
    <mergeCell ref="E63:E64"/>
    <mergeCell ref="F63:F64"/>
    <mergeCell ref="G63:G64"/>
    <mergeCell ref="H63:H64"/>
    <mergeCell ref="I63:I64"/>
    <mergeCell ref="A67:A72"/>
    <mergeCell ref="B67:B72"/>
    <mergeCell ref="C67:C72"/>
    <mergeCell ref="D67:D68"/>
    <mergeCell ref="E67:E68"/>
    <mergeCell ref="F67:F68"/>
    <mergeCell ref="G67:G68"/>
    <mergeCell ref="H67:H68"/>
    <mergeCell ref="I67:I68"/>
    <mergeCell ref="M74:Y74"/>
    <mergeCell ref="M79:V79"/>
    <mergeCell ref="M80:V80"/>
    <mergeCell ref="M73:P73"/>
    <mergeCell ref="M75:P75"/>
    <mergeCell ref="D69:D72"/>
    <mergeCell ref="E69:E72"/>
    <mergeCell ref="F69:F72"/>
    <mergeCell ref="G69:G72"/>
    <mergeCell ref="H69:H72"/>
    <mergeCell ref="I69:I71"/>
    <mergeCell ref="M76:P76"/>
    <mergeCell ref="M77:P77"/>
    <mergeCell ref="M65:P65"/>
    <mergeCell ref="I56:I61"/>
    <mergeCell ref="H54:H55"/>
    <mergeCell ref="D56:D61"/>
    <mergeCell ref="E56:E61"/>
    <mergeCell ref="F56:F61"/>
    <mergeCell ref="G56:G61"/>
    <mergeCell ref="H56:H61"/>
    <mergeCell ref="G49:G51"/>
    <mergeCell ref="H49:H51"/>
    <mergeCell ref="M52:P52"/>
  </mergeCells>
  <printOptions horizontalCentered="1" verticalCentered="1"/>
  <pageMargins left="0.19685039370078741" right="0.55118110236220474" top="0.97" bottom="0.43307086614173229" header="0.76" footer="0"/>
  <pageSetup scale="55" orientation="landscape" horizontalDpi="4294967293" verticalDpi="4294967293" r:id="rId1"/>
  <headerFooter alignWithMargins="0">
    <oddHeader>&amp;C&amp;"-,Negrita"&amp;20PLAN INDICATIVO 2009 - 2012</oddHeader>
    <oddFooter>&amp;LUnidad de Planeamiento Económico y Administrativo&amp;COficina de Planeación&amp;RPágina &amp;P de &amp;N</oddFooter>
  </headerFooter>
  <rowBreaks count="2" manualBreakCount="2">
    <brk id="14" max="16383" man="1"/>
    <brk id="48" max="16383"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1"/>
  <dimension ref="A1:AB85"/>
  <sheetViews>
    <sheetView zoomScale="90" zoomScaleNormal="90" workbookViewId="0">
      <pane xSplit="5" ySplit="2" topLeftCell="F62" activePane="bottomRight" state="frozen"/>
      <selection pane="topRight" activeCell="E1" sqref="E1"/>
      <selection pane="bottomLeft" activeCell="A3" sqref="A3"/>
      <selection pane="bottomRight" activeCell="G66" sqref="G66:H66"/>
    </sheetView>
  </sheetViews>
  <sheetFormatPr baseColWidth="10" defaultColWidth="11.42578125" defaultRowHeight="12.75" x14ac:dyDescent="0.2"/>
  <cols>
    <col min="1" max="1" width="5.5703125" style="495" customWidth="1"/>
    <col min="2" max="2" width="33.42578125" style="495" customWidth="1"/>
    <col min="3" max="3" width="6.85546875" style="495" customWidth="1"/>
    <col min="4" max="4" width="18.28515625" style="495" customWidth="1"/>
    <col min="5" max="5" width="2.85546875" style="495" customWidth="1"/>
    <col min="6" max="6" width="17.7109375" style="495" customWidth="1"/>
    <col min="7" max="7" width="17.140625" style="495" customWidth="1"/>
    <col min="8" max="8" width="15.28515625" style="495" customWidth="1"/>
    <col min="9" max="9" width="18.28515625" style="495" customWidth="1"/>
    <col min="10" max="10" width="2.28515625" style="492" customWidth="1"/>
    <col min="11" max="11" width="14.28515625" style="495" customWidth="1"/>
    <col min="12" max="12" width="13.5703125" style="495" customWidth="1"/>
    <col min="13" max="13" width="12.28515625" style="495" customWidth="1"/>
    <col min="14" max="14" width="12" style="495" customWidth="1"/>
    <col min="15" max="15" width="11.85546875" style="495" customWidth="1"/>
    <col min="16" max="16" width="12" style="495" customWidth="1"/>
    <col min="17" max="17" width="14.5703125" style="495" bestFit="1" customWidth="1"/>
    <col min="18" max="18" width="13.28515625" style="495" customWidth="1"/>
    <col min="19" max="19" width="12.5703125" style="495" customWidth="1"/>
    <col min="20" max="20" width="12.7109375" style="495" customWidth="1"/>
    <col min="21" max="21" width="13.7109375" style="495" customWidth="1"/>
    <col min="22" max="22" width="13.85546875" style="495" customWidth="1"/>
    <col min="23" max="23" width="15.7109375" style="495" customWidth="1"/>
    <col min="24" max="24" width="15.85546875" style="495" customWidth="1"/>
    <col min="25" max="25" width="13.7109375" style="495" bestFit="1" customWidth="1"/>
    <col min="26" max="26" width="11.5703125" style="495"/>
    <col min="27" max="27" width="11.7109375" style="495" bestFit="1" customWidth="1"/>
    <col min="28" max="216" width="11.5703125" style="495"/>
    <col min="217" max="217" width="5.5703125" style="495" customWidth="1"/>
    <col min="218" max="218" width="35.85546875" style="495" customWidth="1"/>
    <col min="219" max="219" width="16.85546875" style="495" customWidth="1"/>
    <col min="220" max="220" width="13.7109375" style="495" customWidth="1"/>
    <col min="221" max="221" width="17.140625" style="495" customWidth="1"/>
    <col min="222" max="223" width="17.85546875" style="495" customWidth="1"/>
    <col min="224" max="225" width="17.140625" style="495" customWidth="1"/>
    <col min="226" max="226" width="16.85546875" style="495" customWidth="1"/>
    <col min="227" max="227" width="20.5703125" style="495" customWidth="1"/>
    <col min="228" max="230" width="6.42578125" style="495" customWidth="1"/>
    <col min="231" max="231" width="15.85546875" style="495" customWidth="1"/>
    <col min="232" max="232" width="16" style="495" customWidth="1"/>
    <col min="233" max="233" width="15.7109375" style="495" customWidth="1"/>
    <col min="234" max="235" width="19.28515625" style="495" customWidth="1"/>
    <col min="236" max="236" width="18.140625" style="495" customWidth="1"/>
    <col min="237" max="237" width="16" style="495" customWidth="1"/>
    <col min="238" max="238" width="18" style="495" customWidth="1"/>
    <col min="239" max="239" width="17.85546875" style="495" customWidth="1"/>
    <col min="240" max="241" width="16.140625" style="495" customWidth="1"/>
    <col min="242" max="244" width="17.5703125" style="495" customWidth="1"/>
    <col min="245" max="245" width="13.7109375" style="495" customWidth="1"/>
    <col min="246" max="472" width="11.5703125" style="495"/>
    <col min="473" max="473" width="5.5703125" style="495" customWidth="1"/>
    <col min="474" max="474" width="35.85546875" style="495" customWidth="1"/>
    <col min="475" max="475" width="16.85546875" style="495" customWidth="1"/>
    <col min="476" max="476" width="13.7109375" style="495" customWidth="1"/>
    <col min="477" max="477" width="17.140625" style="495" customWidth="1"/>
    <col min="478" max="479" width="17.85546875" style="495" customWidth="1"/>
    <col min="480" max="481" width="17.140625" style="495" customWidth="1"/>
    <col min="482" max="482" width="16.85546875" style="495" customWidth="1"/>
    <col min="483" max="483" width="20.5703125" style="495" customWidth="1"/>
    <col min="484" max="486" width="6.42578125" style="495" customWidth="1"/>
    <col min="487" max="487" width="15.85546875" style="495" customWidth="1"/>
    <col min="488" max="488" width="16" style="495" customWidth="1"/>
    <col min="489" max="489" width="15.7109375" style="495" customWidth="1"/>
    <col min="490" max="491" width="19.28515625" style="495" customWidth="1"/>
    <col min="492" max="492" width="18.140625" style="495" customWidth="1"/>
    <col min="493" max="493" width="16" style="495" customWidth="1"/>
    <col min="494" max="494" width="18" style="495" customWidth="1"/>
    <col min="495" max="495" width="17.85546875" style="495" customWidth="1"/>
    <col min="496" max="497" width="16.140625" style="495" customWidth="1"/>
    <col min="498" max="500" width="17.5703125" style="495" customWidth="1"/>
    <col min="501" max="501" width="13.7109375" style="495" customWidth="1"/>
    <col min="502" max="728" width="11.5703125" style="495"/>
    <col min="729" max="729" width="5.5703125" style="495" customWidth="1"/>
    <col min="730" max="730" width="35.85546875" style="495" customWidth="1"/>
    <col min="731" max="731" width="16.85546875" style="495" customWidth="1"/>
    <col min="732" max="732" width="13.7109375" style="495" customWidth="1"/>
    <col min="733" max="733" width="17.140625" style="495" customWidth="1"/>
    <col min="734" max="735" width="17.85546875" style="495" customWidth="1"/>
    <col min="736" max="737" width="17.140625" style="495" customWidth="1"/>
    <col min="738" max="738" width="16.85546875" style="495" customWidth="1"/>
    <col min="739" max="739" width="20.5703125" style="495" customWidth="1"/>
    <col min="740" max="742" width="6.42578125" style="495" customWidth="1"/>
    <col min="743" max="743" width="15.85546875" style="495" customWidth="1"/>
    <col min="744" max="744" width="16" style="495" customWidth="1"/>
    <col min="745" max="745" width="15.7109375" style="495" customWidth="1"/>
    <col min="746" max="747" width="19.28515625" style="495" customWidth="1"/>
    <col min="748" max="748" width="18.140625" style="495" customWidth="1"/>
    <col min="749" max="749" width="16" style="495" customWidth="1"/>
    <col min="750" max="750" width="18" style="495" customWidth="1"/>
    <col min="751" max="751" width="17.85546875" style="495" customWidth="1"/>
    <col min="752" max="753" width="16.140625" style="495" customWidth="1"/>
    <col min="754" max="756" width="17.5703125" style="495" customWidth="1"/>
    <col min="757" max="757" width="13.7109375" style="495" customWidth="1"/>
    <col min="758" max="984" width="11.5703125" style="495"/>
    <col min="985" max="985" width="5.5703125" style="495" customWidth="1"/>
    <col min="986" max="986" width="35.85546875" style="495" customWidth="1"/>
    <col min="987" max="987" width="16.85546875" style="495" customWidth="1"/>
    <col min="988" max="988" width="13.7109375" style="495" customWidth="1"/>
    <col min="989" max="989" width="17.140625" style="495" customWidth="1"/>
    <col min="990" max="991" width="17.85546875" style="495" customWidth="1"/>
    <col min="992" max="993" width="17.140625" style="495" customWidth="1"/>
    <col min="994" max="994" width="16.85546875" style="495" customWidth="1"/>
    <col min="995" max="995" width="20.5703125" style="495" customWidth="1"/>
    <col min="996" max="998" width="6.42578125" style="495" customWidth="1"/>
    <col min="999" max="999" width="15.85546875" style="495" customWidth="1"/>
    <col min="1000" max="1000" width="16" style="495" customWidth="1"/>
    <col min="1001" max="1001" width="15.7109375" style="495" customWidth="1"/>
    <col min="1002" max="1003" width="19.28515625" style="495" customWidth="1"/>
    <col min="1004" max="1004" width="18.140625" style="495" customWidth="1"/>
    <col min="1005" max="1005" width="16" style="495" customWidth="1"/>
    <col min="1006" max="1006" width="18" style="495" customWidth="1"/>
    <col min="1007" max="1007" width="17.85546875" style="495" customWidth="1"/>
    <col min="1008" max="1009" width="16.140625" style="495" customWidth="1"/>
    <col min="1010" max="1012" width="17.5703125" style="495" customWidth="1"/>
    <col min="1013" max="1013" width="13.7109375" style="495" customWidth="1"/>
    <col min="1014" max="1240" width="11.5703125" style="495"/>
    <col min="1241" max="1241" width="5.5703125" style="495" customWidth="1"/>
    <col min="1242" max="1242" width="35.85546875" style="495" customWidth="1"/>
    <col min="1243" max="1243" width="16.85546875" style="495" customWidth="1"/>
    <col min="1244" max="1244" width="13.7109375" style="495" customWidth="1"/>
    <col min="1245" max="1245" width="17.140625" style="495" customWidth="1"/>
    <col min="1246" max="1247" width="17.85546875" style="495" customWidth="1"/>
    <col min="1248" max="1249" width="17.140625" style="495" customWidth="1"/>
    <col min="1250" max="1250" width="16.85546875" style="495" customWidth="1"/>
    <col min="1251" max="1251" width="20.5703125" style="495" customWidth="1"/>
    <col min="1252" max="1254" width="6.42578125" style="495" customWidth="1"/>
    <col min="1255" max="1255" width="15.85546875" style="495" customWidth="1"/>
    <col min="1256" max="1256" width="16" style="495" customWidth="1"/>
    <col min="1257" max="1257" width="15.7109375" style="495" customWidth="1"/>
    <col min="1258" max="1259" width="19.28515625" style="495" customWidth="1"/>
    <col min="1260" max="1260" width="18.140625" style="495" customWidth="1"/>
    <col min="1261" max="1261" width="16" style="495" customWidth="1"/>
    <col min="1262" max="1262" width="18" style="495" customWidth="1"/>
    <col min="1263" max="1263" width="17.85546875" style="495" customWidth="1"/>
    <col min="1264" max="1265" width="16.140625" style="495" customWidth="1"/>
    <col min="1266" max="1268" width="17.5703125" style="495" customWidth="1"/>
    <col min="1269" max="1269" width="13.7109375" style="495" customWidth="1"/>
    <col min="1270" max="1496" width="11.5703125" style="495"/>
    <col min="1497" max="1497" width="5.5703125" style="495" customWidth="1"/>
    <col min="1498" max="1498" width="35.85546875" style="495" customWidth="1"/>
    <col min="1499" max="1499" width="16.85546875" style="495" customWidth="1"/>
    <col min="1500" max="1500" width="13.7109375" style="495" customWidth="1"/>
    <col min="1501" max="1501" width="17.140625" style="495" customWidth="1"/>
    <col min="1502" max="1503" width="17.85546875" style="495" customWidth="1"/>
    <col min="1504" max="1505" width="17.140625" style="495" customWidth="1"/>
    <col min="1506" max="1506" width="16.85546875" style="495" customWidth="1"/>
    <col min="1507" max="1507" width="20.5703125" style="495" customWidth="1"/>
    <col min="1508" max="1510" width="6.42578125" style="495" customWidth="1"/>
    <col min="1511" max="1511" width="15.85546875" style="495" customWidth="1"/>
    <col min="1512" max="1512" width="16" style="495" customWidth="1"/>
    <col min="1513" max="1513" width="15.7109375" style="495" customWidth="1"/>
    <col min="1514" max="1515" width="19.28515625" style="495" customWidth="1"/>
    <col min="1516" max="1516" width="18.140625" style="495" customWidth="1"/>
    <col min="1517" max="1517" width="16" style="495" customWidth="1"/>
    <col min="1518" max="1518" width="18" style="495" customWidth="1"/>
    <col min="1519" max="1519" width="17.85546875" style="495" customWidth="1"/>
    <col min="1520" max="1521" width="16.140625" style="495" customWidth="1"/>
    <col min="1522" max="1524" width="17.5703125" style="495" customWidth="1"/>
    <col min="1525" max="1525" width="13.7109375" style="495" customWidth="1"/>
    <col min="1526" max="1752" width="11.5703125" style="495"/>
    <col min="1753" max="1753" width="5.5703125" style="495" customWidth="1"/>
    <col min="1754" max="1754" width="35.85546875" style="495" customWidth="1"/>
    <col min="1755" max="1755" width="16.85546875" style="495" customWidth="1"/>
    <col min="1756" max="1756" width="13.7109375" style="495" customWidth="1"/>
    <col min="1757" max="1757" width="17.140625" style="495" customWidth="1"/>
    <col min="1758" max="1759" width="17.85546875" style="495" customWidth="1"/>
    <col min="1760" max="1761" width="17.140625" style="495" customWidth="1"/>
    <col min="1762" max="1762" width="16.85546875" style="495" customWidth="1"/>
    <col min="1763" max="1763" width="20.5703125" style="495" customWidth="1"/>
    <col min="1764" max="1766" width="6.42578125" style="495" customWidth="1"/>
    <col min="1767" max="1767" width="15.85546875" style="495" customWidth="1"/>
    <col min="1768" max="1768" width="16" style="495" customWidth="1"/>
    <col min="1769" max="1769" width="15.7109375" style="495" customWidth="1"/>
    <col min="1770" max="1771" width="19.28515625" style="495" customWidth="1"/>
    <col min="1772" max="1772" width="18.140625" style="495" customWidth="1"/>
    <col min="1773" max="1773" width="16" style="495" customWidth="1"/>
    <col min="1774" max="1774" width="18" style="495" customWidth="1"/>
    <col min="1775" max="1775" width="17.85546875" style="495" customWidth="1"/>
    <col min="1776" max="1777" width="16.140625" style="495" customWidth="1"/>
    <col min="1778" max="1780" width="17.5703125" style="495" customWidth="1"/>
    <col min="1781" max="1781" width="13.7109375" style="495" customWidth="1"/>
    <col min="1782" max="2008" width="11.5703125" style="495"/>
    <col min="2009" max="2009" width="5.5703125" style="495" customWidth="1"/>
    <col min="2010" max="2010" width="35.85546875" style="495" customWidth="1"/>
    <col min="2011" max="2011" width="16.85546875" style="495" customWidth="1"/>
    <col min="2012" max="2012" width="13.7109375" style="495" customWidth="1"/>
    <col min="2013" max="2013" width="17.140625" style="495" customWidth="1"/>
    <col min="2014" max="2015" width="17.85546875" style="495" customWidth="1"/>
    <col min="2016" max="2017" width="17.140625" style="495" customWidth="1"/>
    <col min="2018" max="2018" width="16.85546875" style="495" customWidth="1"/>
    <col min="2019" max="2019" width="20.5703125" style="495" customWidth="1"/>
    <col min="2020" max="2022" width="6.42578125" style="495" customWidth="1"/>
    <col min="2023" max="2023" width="15.85546875" style="495" customWidth="1"/>
    <col min="2024" max="2024" width="16" style="495" customWidth="1"/>
    <col min="2025" max="2025" width="15.7109375" style="495" customWidth="1"/>
    <col min="2026" max="2027" width="19.28515625" style="495" customWidth="1"/>
    <col min="2028" max="2028" width="18.140625" style="495" customWidth="1"/>
    <col min="2029" max="2029" width="16" style="495" customWidth="1"/>
    <col min="2030" max="2030" width="18" style="495" customWidth="1"/>
    <col min="2031" max="2031" width="17.85546875" style="495" customWidth="1"/>
    <col min="2032" max="2033" width="16.140625" style="495" customWidth="1"/>
    <col min="2034" max="2036" width="17.5703125" style="495" customWidth="1"/>
    <col min="2037" max="2037" width="13.7109375" style="495" customWidth="1"/>
    <col min="2038" max="2264" width="11.5703125" style="495"/>
    <col min="2265" max="2265" width="5.5703125" style="495" customWidth="1"/>
    <col min="2266" max="2266" width="35.85546875" style="495" customWidth="1"/>
    <col min="2267" max="2267" width="16.85546875" style="495" customWidth="1"/>
    <col min="2268" max="2268" width="13.7109375" style="495" customWidth="1"/>
    <col min="2269" max="2269" width="17.140625" style="495" customWidth="1"/>
    <col min="2270" max="2271" width="17.85546875" style="495" customWidth="1"/>
    <col min="2272" max="2273" width="17.140625" style="495" customWidth="1"/>
    <col min="2274" max="2274" width="16.85546875" style="495" customWidth="1"/>
    <col min="2275" max="2275" width="20.5703125" style="495" customWidth="1"/>
    <col min="2276" max="2278" width="6.42578125" style="495" customWidth="1"/>
    <col min="2279" max="2279" width="15.85546875" style="495" customWidth="1"/>
    <col min="2280" max="2280" width="16" style="495" customWidth="1"/>
    <col min="2281" max="2281" width="15.7109375" style="495" customWidth="1"/>
    <col min="2282" max="2283" width="19.28515625" style="495" customWidth="1"/>
    <col min="2284" max="2284" width="18.140625" style="495" customWidth="1"/>
    <col min="2285" max="2285" width="16" style="495" customWidth="1"/>
    <col min="2286" max="2286" width="18" style="495" customWidth="1"/>
    <col min="2287" max="2287" width="17.85546875" style="495" customWidth="1"/>
    <col min="2288" max="2289" width="16.140625" style="495" customWidth="1"/>
    <col min="2290" max="2292" width="17.5703125" style="495" customWidth="1"/>
    <col min="2293" max="2293" width="13.7109375" style="495" customWidth="1"/>
    <col min="2294" max="2520" width="11.5703125" style="495"/>
    <col min="2521" max="2521" width="5.5703125" style="495" customWidth="1"/>
    <col min="2522" max="2522" width="35.85546875" style="495" customWidth="1"/>
    <col min="2523" max="2523" width="16.85546875" style="495" customWidth="1"/>
    <col min="2524" max="2524" width="13.7109375" style="495" customWidth="1"/>
    <col min="2525" max="2525" width="17.140625" style="495" customWidth="1"/>
    <col min="2526" max="2527" width="17.85546875" style="495" customWidth="1"/>
    <col min="2528" max="2529" width="17.140625" style="495" customWidth="1"/>
    <col min="2530" max="2530" width="16.85546875" style="495" customWidth="1"/>
    <col min="2531" max="2531" width="20.5703125" style="495" customWidth="1"/>
    <col min="2532" max="2534" width="6.42578125" style="495" customWidth="1"/>
    <col min="2535" max="2535" width="15.85546875" style="495" customWidth="1"/>
    <col min="2536" max="2536" width="16" style="495" customWidth="1"/>
    <col min="2537" max="2537" width="15.7109375" style="495" customWidth="1"/>
    <col min="2538" max="2539" width="19.28515625" style="495" customWidth="1"/>
    <col min="2540" max="2540" width="18.140625" style="495" customWidth="1"/>
    <col min="2541" max="2541" width="16" style="495" customWidth="1"/>
    <col min="2542" max="2542" width="18" style="495" customWidth="1"/>
    <col min="2543" max="2543" width="17.85546875" style="495" customWidth="1"/>
    <col min="2544" max="2545" width="16.140625" style="495" customWidth="1"/>
    <col min="2546" max="2548" width="17.5703125" style="495" customWidth="1"/>
    <col min="2549" max="2549" width="13.7109375" style="495" customWidth="1"/>
    <col min="2550" max="2776" width="11.5703125" style="495"/>
    <col min="2777" max="2777" width="5.5703125" style="495" customWidth="1"/>
    <col min="2778" max="2778" width="35.85546875" style="495" customWidth="1"/>
    <col min="2779" max="2779" width="16.85546875" style="495" customWidth="1"/>
    <col min="2780" max="2780" width="13.7109375" style="495" customWidth="1"/>
    <col min="2781" max="2781" width="17.140625" style="495" customWidth="1"/>
    <col min="2782" max="2783" width="17.85546875" style="495" customWidth="1"/>
    <col min="2784" max="2785" width="17.140625" style="495" customWidth="1"/>
    <col min="2786" max="2786" width="16.85546875" style="495" customWidth="1"/>
    <col min="2787" max="2787" width="20.5703125" style="495" customWidth="1"/>
    <col min="2788" max="2790" width="6.42578125" style="495" customWidth="1"/>
    <col min="2791" max="2791" width="15.85546875" style="495" customWidth="1"/>
    <col min="2792" max="2792" width="16" style="495" customWidth="1"/>
    <col min="2793" max="2793" width="15.7109375" style="495" customWidth="1"/>
    <col min="2794" max="2795" width="19.28515625" style="495" customWidth="1"/>
    <col min="2796" max="2796" width="18.140625" style="495" customWidth="1"/>
    <col min="2797" max="2797" width="16" style="495" customWidth="1"/>
    <col min="2798" max="2798" width="18" style="495" customWidth="1"/>
    <col min="2799" max="2799" width="17.85546875" style="495" customWidth="1"/>
    <col min="2800" max="2801" width="16.140625" style="495" customWidth="1"/>
    <col min="2802" max="2804" width="17.5703125" style="495" customWidth="1"/>
    <col min="2805" max="2805" width="13.7109375" style="495" customWidth="1"/>
    <col min="2806" max="3032" width="11.5703125" style="495"/>
    <col min="3033" max="3033" width="5.5703125" style="495" customWidth="1"/>
    <col min="3034" max="3034" width="35.85546875" style="495" customWidth="1"/>
    <col min="3035" max="3035" width="16.85546875" style="495" customWidth="1"/>
    <col min="3036" max="3036" width="13.7109375" style="495" customWidth="1"/>
    <col min="3037" max="3037" width="17.140625" style="495" customWidth="1"/>
    <col min="3038" max="3039" width="17.85546875" style="495" customWidth="1"/>
    <col min="3040" max="3041" width="17.140625" style="495" customWidth="1"/>
    <col min="3042" max="3042" width="16.85546875" style="495" customWidth="1"/>
    <col min="3043" max="3043" width="20.5703125" style="495" customWidth="1"/>
    <col min="3044" max="3046" width="6.42578125" style="495" customWidth="1"/>
    <col min="3047" max="3047" width="15.85546875" style="495" customWidth="1"/>
    <col min="3048" max="3048" width="16" style="495" customWidth="1"/>
    <col min="3049" max="3049" width="15.7109375" style="495" customWidth="1"/>
    <col min="3050" max="3051" width="19.28515625" style="495" customWidth="1"/>
    <col min="3052" max="3052" width="18.140625" style="495" customWidth="1"/>
    <col min="3053" max="3053" width="16" style="495" customWidth="1"/>
    <col min="3054" max="3054" width="18" style="495" customWidth="1"/>
    <col min="3055" max="3055" width="17.85546875" style="495" customWidth="1"/>
    <col min="3056" max="3057" width="16.140625" style="495" customWidth="1"/>
    <col min="3058" max="3060" width="17.5703125" style="495" customWidth="1"/>
    <col min="3061" max="3061" width="13.7109375" style="495" customWidth="1"/>
    <col min="3062" max="3288" width="11.5703125" style="495"/>
    <col min="3289" max="3289" width="5.5703125" style="495" customWidth="1"/>
    <col min="3290" max="3290" width="35.85546875" style="495" customWidth="1"/>
    <col min="3291" max="3291" width="16.85546875" style="495" customWidth="1"/>
    <col min="3292" max="3292" width="13.7109375" style="495" customWidth="1"/>
    <col min="3293" max="3293" width="17.140625" style="495" customWidth="1"/>
    <col min="3294" max="3295" width="17.85546875" style="495" customWidth="1"/>
    <col min="3296" max="3297" width="17.140625" style="495" customWidth="1"/>
    <col min="3298" max="3298" width="16.85546875" style="495" customWidth="1"/>
    <col min="3299" max="3299" width="20.5703125" style="495" customWidth="1"/>
    <col min="3300" max="3302" width="6.42578125" style="495" customWidth="1"/>
    <col min="3303" max="3303" width="15.85546875" style="495" customWidth="1"/>
    <col min="3304" max="3304" width="16" style="495" customWidth="1"/>
    <col min="3305" max="3305" width="15.7109375" style="495" customWidth="1"/>
    <col min="3306" max="3307" width="19.28515625" style="495" customWidth="1"/>
    <col min="3308" max="3308" width="18.140625" style="495" customWidth="1"/>
    <col min="3309" max="3309" width="16" style="495" customWidth="1"/>
    <col min="3310" max="3310" width="18" style="495" customWidth="1"/>
    <col min="3311" max="3311" width="17.85546875" style="495" customWidth="1"/>
    <col min="3312" max="3313" width="16.140625" style="495" customWidth="1"/>
    <col min="3314" max="3316" width="17.5703125" style="495" customWidth="1"/>
    <col min="3317" max="3317" width="13.7109375" style="495" customWidth="1"/>
    <col min="3318" max="3544" width="11.5703125" style="495"/>
    <col min="3545" max="3545" width="5.5703125" style="495" customWidth="1"/>
    <col min="3546" max="3546" width="35.85546875" style="495" customWidth="1"/>
    <col min="3547" max="3547" width="16.85546875" style="495" customWidth="1"/>
    <col min="3548" max="3548" width="13.7109375" style="495" customWidth="1"/>
    <col min="3549" max="3549" width="17.140625" style="495" customWidth="1"/>
    <col min="3550" max="3551" width="17.85546875" style="495" customWidth="1"/>
    <col min="3552" max="3553" width="17.140625" style="495" customWidth="1"/>
    <col min="3554" max="3554" width="16.85546875" style="495" customWidth="1"/>
    <col min="3555" max="3555" width="20.5703125" style="495" customWidth="1"/>
    <col min="3556" max="3558" width="6.42578125" style="495" customWidth="1"/>
    <col min="3559" max="3559" width="15.85546875" style="495" customWidth="1"/>
    <col min="3560" max="3560" width="16" style="495" customWidth="1"/>
    <col min="3561" max="3561" width="15.7109375" style="495" customWidth="1"/>
    <col min="3562" max="3563" width="19.28515625" style="495" customWidth="1"/>
    <col min="3564" max="3564" width="18.140625" style="495" customWidth="1"/>
    <col min="3565" max="3565" width="16" style="495" customWidth="1"/>
    <col min="3566" max="3566" width="18" style="495" customWidth="1"/>
    <col min="3567" max="3567" width="17.85546875" style="495" customWidth="1"/>
    <col min="3568" max="3569" width="16.140625" style="495" customWidth="1"/>
    <col min="3570" max="3572" width="17.5703125" style="495" customWidth="1"/>
    <col min="3573" max="3573" width="13.7109375" style="495" customWidth="1"/>
    <col min="3574" max="3800" width="11.5703125" style="495"/>
    <col min="3801" max="3801" width="5.5703125" style="495" customWidth="1"/>
    <col min="3802" max="3802" width="35.85546875" style="495" customWidth="1"/>
    <col min="3803" max="3803" width="16.85546875" style="495" customWidth="1"/>
    <col min="3804" max="3804" width="13.7109375" style="495" customWidth="1"/>
    <col min="3805" max="3805" width="17.140625" style="495" customWidth="1"/>
    <col min="3806" max="3807" width="17.85546875" style="495" customWidth="1"/>
    <col min="3808" max="3809" width="17.140625" style="495" customWidth="1"/>
    <col min="3810" max="3810" width="16.85546875" style="495" customWidth="1"/>
    <col min="3811" max="3811" width="20.5703125" style="495" customWidth="1"/>
    <col min="3812" max="3814" width="6.42578125" style="495" customWidth="1"/>
    <col min="3815" max="3815" width="15.85546875" style="495" customWidth="1"/>
    <col min="3816" max="3816" width="16" style="495" customWidth="1"/>
    <col min="3817" max="3817" width="15.7109375" style="495" customWidth="1"/>
    <col min="3818" max="3819" width="19.28515625" style="495" customWidth="1"/>
    <col min="3820" max="3820" width="18.140625" style="495" customWidth="1"/>
    <col min="3821" max="3821" width="16" style="495" customWidth="1"/>
    <col min="3822" max="3822" width="18" style="495" customWidth="1"/>
    <col min="3823" max="3823" width="17.85546875" style="495" customWidth="1"/>
    <col min="3824" max="3825" width="16.140625" style="495" customWidth="1"/>
    <col min="3826" max="3828" width="17.5703125" style="495" customWidth="1"/>
    <col min="3829" max="3829" width="13.7109375" style="495" customWidth="1"/>
    <col min="3830" max="4056" width="11.5703125" style="495"/>
    <col min="4057" max="4057" width="5.5703125" style="495" customWidth="1"/>
    <col min="4058" max="4058" width="35.85546875" style="495" customWidth="1"/>
    <col min="4059" max="4059" width="16.85546875" style="495" customWidth="1"/>
    <col min="4060" max="4060" width="13.7109375" style="495" customWidth="1"/>
    <col min="4061" max="4061" width="17.140625" style="495" customWidth="1"/>
    <col min="4062" max="4063" width="17.85546875" style="495" customWidth="1"/>
    <col min="4064" max="4065" width="17.140625" style="495" customWidth="1"/>
    <col min="4066" max="4066" width="16.85546875" style="495" customWidth="1"/>
    <col min="4067" max="4067" width="20.5703125" style="495" customWidth="1"/>
    <col min="4068" max="4070" width="6.42578125" style="495" customWidth="1"/>
    <col min="4071" max="4071" width="15.85546875" style="495" customWidth="1"/>
    <col min="4072" max="4072" width="16" style="495" customWidth="1"/>
    <col min="4073" max="4073" width="15.7109375" style="495" customWidth="1"/>
    <col min="4074" max="4075" width="19.28515625" style="495" customWidth="1"/>
    <col min="4076" max="4076" width="18.140625" style="495" customWidth="1"/>
    <col min="4077" max="4077" width="16" style="495" customWidth="1"/>
    <col min="4078" max="4078" width="18" style="495" customWidth="1"/>
    <col min="4079" max="4079" width="17.85546875" style="495" customWidth="1"/>
    <col min="4080" max="4081" width="16.140625" style="495" customWidth="1"/>
    <col min="4082" max="4084" width="17.5703125" style="495" customWidth="1"/>
    <col min="4085" max="4085" width="13.7109375" style="495" customWidth="1"/>
    <col min="4086" max="4312" width="11.5703125" style="495"/>
    <col min="4313" max="4313" width="5.5703125" style="495" customWidth="1"/>
    <col min="4314" max="4314" width="35.85546875" style="495" customWidth="1"/>
    <col min="4315" max="4315" width="16.85546875" style="495" customWidth="1"/>
    <col min="4316" max="4316" width="13.7109375" style="495" customWidth="1"/>
    <col min="4317" max="4317" width="17.140625" style="495" customWidth="1"/>
    <col min="4318" max="4319" width="17.85546875" style="495" customWidth="1"/>
    <col min="4320" max="4321" width="17.140625" style="495" customWidth="1"/>
    <col min="4322" max="4322" width="16.85546875" style="495" customWidth="1"/>
    <col min="4323" max="4323" width="20.5703125" style="495" customWidth="1"/>
    <col min="4324" max="4326" width="6.42578125" style="495" customWidth="1"/>
    <col min="4327" max="4327" width="15.85546875" style="495" customWidth="1"/>
    <col min="4328" max="4328" width="16" style="495" customWidth="1"/>
    <col min="4329" max="4329" width="15.7109375" style="495" customWidth="1"/>
    <col min="4330" max="4331" width="19.28515625" style="495" customWidth="1"/>
    <col min="4332" max="4332" width="18.140625" style="495" customWidth="1"/>
    <col min="4333" max="4333" width="16" style="495" customWidth="1"/>
    <col min="4334" max="4334" width="18" style="495" customWidth="1"/>
    <col min="4335" max="4335" width="17.85546875" style="495" customWidth="1"/>
    <col min="4336" max="4337" width="16.140625" style="495" customWidth="1"/>
    <col min="4338" max="4340" width="17.5703125" style="495" customWidth="1"/>
    <col min="4341" max="4341" width="13.7109375" style="495" customWidth="1"/>
    <col min="4342" max="4568" width="11.5703125" style="495"/>
    <col min="4569" max="4569" width="5.5703125" style="495" customWidth="1"/>
    <col min="4570" max="4570" width="35.85546875" style="495" customWidth="1"/>
    <col min="4571" max="4571" width="16.85546875" style="495" customWidth="1"/>
    <col min="4572" max="4572" width="13.7109375" style="495" customWidth="1"/>
    <col min="4573" max="4573" width="17.140625" style="495" customWidth="1"/>
    <col min="4574" max="4575" width="17.85546875" style="495" customWidth="1"/>
    <col min="4576" max="4577" width="17.140625" style="495" customWidth="1"/>
    <col min="4578" max="4578" width="16.85546875" style="495" customWidth="1"/>
    <col min="4579" max="4579" width="20.5703125" style="495" customWidth="1"/>
    <col min="4580" max="4582" width="6.42578125" style="495" customWidth="1"/>
    <col min="4583" max="4583" width="15.85546875" style="495" customWidth="1"/>
    <col min="4584" max="4584" width="16" style="495" customWidth="1"/>
    <col min="4585" max="4585" width="15.7109375" style="495" customWidth="1"/>
    <col min="4586" max="4587" width="19.28515625" style="495" customWidth="1"/>
    <col min="4588" max="4588" width="18.140625" style="495" customWidth="1"/>
    <col min="4589" max="4589" width="16" style="495" customWidth="1"/>
    <col min="4590" max="4590" width="18" style="495" customWidth="1"/>
    <col min="4591" max="4591" width="17.85546875" style="495" customWidth="1"/>
    <col min="4592" max="4593" width="16.140625" style="495" customWidth="1"/>
    <col min="4594" max="4596" width="17.5703125" style="495" customWidth="1"/>
    <col min="4597" max="4597" width="13.7109375" style="495" customWidth="1"/>
    <col min="4598" max="4824" width="11.5703125" style="495"/>
    <col min="4825" max="4825" width="5.5703125" style="495" customWidth="1"/>
    <col min="4826" max="4826" width="35.85546875" style="495" customWidth="1"/>
    <col min="4827" max="4827" width="16.85546875" style="495" customWidth="1"/>
    <col min="4828" max="4828" width="13.7109375" style="495" customWidth="1"/>
    <col min="4829" max="4829" width="17.140625" style="495" customWidth="1"/>
    <col min="4830" max="4831" width="17.85546875" style="495" customWidth="1"/>
    <col min="4832" max="4833" width="17.140625" style="495" customWidth="1"/>
    <col min="4834" max="4834" width="16.85546875" style="495" customWidth="1"/>
    <col min="4835" max="4835" width="20.5703125" style="495" customWidth="1"/>
    <col min="4836" max="4838" width="6.42578125" style="495" customWidth="1"/>
    <col min="4839" max="4839" width="15.85546875" style="495" customWidth="1"/>
    <col min="4840" max="4840" width="16" style="495" customWidth="1"/>
    <col min="4841" max="4841" width="15.7109375" style="495" customWidth="1"/>
    <col min="4842" max="4843" width="19.28515625" style="495" customWidth="1"/>
    <col min="4844" max="4844" width="18.140625" style="495" customWidth="1"/>
    <col min="4845" max="4845" width="16" style="495" customWidth="1"/>
    <col min="4846" max="4846" width="18" style="495" customWidth="1"/>
    <col min="4847" max="4847" width="17.85546875" style="495" customWidth="1"/>
    <col min="4848" max="4849" width="16.140625" style="495" customWidth="1"/>
    <col min="4850" max="4852" width="17.5703125" style="495" customWidth="1"/>
    <col min="4853" max="4853" width="13.7109375" style="495" customWidth="1"/>
    <col min="4854" max="5080" width="11.5703125" style="495"/>
    <col min="5081" max="5081" width="5.5703125" style="495" customWidth="1"/>
    <col min="5082" max="5082" width="35.85546875" style="495" customWidth="1"/>
    <col min="5083" max="5083" width="16.85546875" style="495" customWidth="1"/>
    <col min="5084" max="5084" width="13.7109375" style="495" customWidth="1"/>
    <col min="5085" max="5085" width="17.140625" style="495" customWidth="1"/>
    <col min="5086" max="5087" width="17.85546875" style="495" customWidth="1"/>
    <col min="5088" max="5089" width="17.140625" style="495" customWidth="1"/>
    <col min="5090" max="5090" width="16.85546875" style="495" customWidth="1"/>
    <col min="5091" max="5091" width="20.5703125" style="495" customWidth="1"/>
    <col min="5092" max="5094" width="6.42578125" style="495" customWidth="1"/>
    <col min="5095" max="5095" width="15.85546875" style="495" customWidth="1"/>
    <col min="5096" max="5096" width="16" style="495" customWidth="1"/>
    <col min="5097" max="5097" width="15.7109375" style="495" customWidth="1"/>
    <col min="5098" max="5099" width="19.28515625" style="495" customWidth="1"/>
    <col min="5100" max="5100" width="18.140625" style="495" customWidth="1"/>
    <col min="5101" max="5101" width="16" style="495" customWidth="1"/>
    <col min="5102" max="5102" width="18" style="495" customWidth="1"/>
    <col min="5103" max="5103" width="17.85546875" style="495" customWidth="1"/>
    <col min="5104" max="5105" width="16.140625" style="495" customWidth="1"/>
    <col min="5106" max="5108" width="17.5703125" style="495" customWidth="1"/>
    <col min="5109" max="5109" width="13.7109375" style="495" customWidth="1"/>
    <col min="5110" max="5336" width="11.5703125" style="495"/>
    <col min="5337" max="5337" width="5.5703125" style="495" customWidth="1"/>
    <col min="5338" max="5338" width="35.85546875" style="495" customWidth="1"/>
    <col min="5339" max="5339" width="16.85546875" style="495" customWidth="1"/>
    <col min="5340" max="5340" width="13.7109375" style="495" customWidth="1"/>
    <col min="5341" max="5341" width="17.140625" style="495" customWidth="1"/>
    <col min="5342" max="5343" width="17.85546875" style="495" customWidth="1"/>
    <col min="5344" max="5345" width="17.140625" style="495" customWidth="1"/>
    <col min="5346" max="5346" width="16.85546875" style="495" customWidth="1"/>
    <col min="5347" max="5347" width="20.5703125" style="495" customWidth="1"/>
    <col min="5348" max="5350" width="6.42578125" style="495" customWidth="1"/>
    <col min="5351" max="5351" width="15.85546875" style="495" customWidth="1"/>
    <col min="5352" max="5352" width="16" style="495" customWidth="1"/>
    <col min="5353" max="5353" width="15.7109375" style="495" customWidth="1"/>
    <col min="5354" max="5355" width="19.28515625" style="495" customWidth="1"/>
    <col min="5356" max="5356" width="18.140625" style="495" customWidth="1"/>
    <col min="5357" max="5357" width="16" style="495" customWidth="1"/>
    <col min="5358" max="5358" width="18" style="495" customWidth="1"/>
    <col min="5359" max="5359" width="17.85546875" style="495" customWidth="1"/>
    <col min="5360" max="5361" width="16.140625" style="495" customWidth="1"/>
    <col min="5362" max="5364" width="17.5703125" style="495" customWidth="1"/>
    <col min="5365" max="5365" width="13.7109375" style="495" customWidth="1"/>
    <col min="5366" max="5592" width="11.5703125" style="495"/>
    <col min="5593" max="5593" width="5.5703125" style="495" customWidth="1"/>
    <col min="5594" max="5594" width="35.85546875" style="495" customWidth="1"/>
    <col min="5595" max="5595" width="16.85546875" style="495" customWidth="1"/>
    <col min="5596" max="5596" width="13.7109375" style="495" customWidth="1"/>
    <col min="5597" max="5597" width="17.140625" style="495" customWidth="1"/>
    <col min="5598" max="5599" width="17.85546875" style="495" customWidth="1"/>
    <col min="5600" max="5601" width="17.140625" style="495" customWidth="1"/>
    <col min="5602" max="5602" width="16.85546875" style="495" customWidth="1"/>
    <col min="5603" max="5603" width="20.5703125" style="495" customWidth="1"/>
    <col min="5604" max="5606" width="6.42578125" style="495" customWidth="1"/>
    <col min="5607" max="5607" width="15.85546875" style="495" customWidth="1"/>
    <col min="5608" max="5608" width="16" style="495" customWidth="1"/>
    <col min="5609" max="5609" width="15.7109375" style="495" customWidth="1"/>
    <col min="5610" max="5611" width="19.28515625" style="495" customWidth="1"/>
    <col min="5612" max="5612" width="18.140625" style="495" customWidth="1"/>
    <col min="5613" max="5613" width="16" style="495" customWidth="1"/>
    <col min="5614" max="5614" width="18" style="495" customWidth="1"/>
    <col min="5615" max="5615" width="17.85546875" style="495" customWidth="1"/>
    <col min="5616" max="5617" width="16.140625" style="495" customWidth="1"/>
    <col min="5618" max="5620" width="17.5703125" style="495" customWidth="1"/>
    <col min="5621" max="5621" width="13.7109375" style="495" customWidth="1"/>
    <col min="5622" max="5848" width="11.5703125" style="495"/>
    <col min="5849" max="5849" width="5.5703125" style="495" customWidth="1"/>
    <col min="5850" max="5850" width="35.85546875" style="495" customWidth="1"/>
    <col min="5851" max="5851" width="16.85546875" style="495" customWidth="1"/>
    <col min="5852" max="5852" width="13.7109375" style="495" customWidth="1"/>
    <col min="5853" max="5853" width="17.140625" style="495" customWidth="1"/>
    <col min="5854" max="5855" width="17.85546875" style="495" customWidth="1"/>
    <col min="5856" max="5857" width="17.140625" style="495" customWidth="1"/>
    <col min="5858" max="5858" width="16.85546875" style="495" customWidth="1"/>
    <col min="5859" max="5859" width="20.5703125" style="495" customWidth="1"/>
    <col min="5860" max="5862" width="6.42578125" style="495" customWidth="1"/>
    <col min="5863" max="5863" width="15.85546875" style="495" customWidth="1"/>
    <col min="5864" max="5864" width="16" style="495" customWidth="1"/>
    <col min="5865" max="5865" width="15.7109375" style="495" customWidth="1"/>
    <col min="5866" max="5867" width="19.28515625" style="495" customWidth="1"/>
    <col min="5868" max="5868" width="18.140625" style="495" customWidth="1"/>
    <col min="5869" max="5869" width="16" style="495" customWidth="1"/>
    <col min="5870" max="5870" width="18" style="495" customWidth="1"/>
    <col min="5871" max="5871" width="17.85546875" style="495" customWidth="1"/>
    <col min="5872" max="5873" width="16.140625" style="495" customWidth="1"/>
    <col min="5874" max="5876" width="17.5703125" style="495" customWidth="1"/>
    <col min="5877" max="5877" width="13.7109375" style="495" customWidth="1"/>
    <col min="5878" max="6104" width="11.5703125" style="495"/>
    <col min="6105" max="6105" width="5.5703125" style="495" customWidth="1"/>
    <col min="6106" max="6106" width="35.85546875" style="495" customWidth="1"/>
    <col min="6107" max="6107" width="16.85546875" style="495" customWidth="1"/>
    <col min="6108" max="6108" width="13.7109375" style="495" customWidth="1"/>
    <col min="6109" max="6109" width="17.140625" style="495" customWidth="1"/>
    <col min="6110" max="6111" width="17.85546875" style="495" customWidth="1"/>
    <col min="6112" max="6113" width="17.140625" style="495" customWidth="1"/>
    <col min="6114" max="6114" width="16.85546875" style="495" customWidth="1"/>
    <col min="6115" max="6115" width="20.5703125" style="495" customWidth="1"/>
    <col min="6116" max="6118" width="6.42578125" style="495" customWidth="1"/>
    <col min="6119" max="6119" width="15.85546875" style="495" customWidth="1"/>
    <col min="6120" max="6120" width="16" style="495" customWidth="1"/>
    <col min="6121" max="6121" width="15.7109375" style="495" customWidth="1"/>
    <col min="6122" max="6123" width="19.28515625" style="495" customWidth="1"/>
    <col min="6124" max="6124" width="18.140625" style="495" customWidth="1"/>
    <col min="6125" max="6125" width="16" style="495" customWidth="1"/>
    <col min="6126" max="6126" width="18" style="495" customWidth="1"/>
    <col min="6127" max="6127" width="17.85546875" style="495" customWidth="1"/>
    <col min="6128" max="6129" width="16.140625" style="495" customWidth="1"/>
    <col min="6130" max="6132" width="17.5703125" style="495" customWidth="1"/>
    <col min="6133" max="6133" width="13.7109375" style="495" customWidth="1"/>
    <col min="6134" max="6360" width="11.5703125" style="495"/>
    <col min="6361" max="6361" width="5.5703125" style="495" customWidth="1"/>
    <col min="6362" max="6362" width="35.85546875" style="495" customWidth="1"/>
    <col min="6363" max="6363" width="16.85546875" style="495" customWidth="1"/>
    <col min="6364" max="6364" width="13.7109375" style="495" customWidth="1"/>
    <col min="6365" max="6365" width="17.140625" style="495" customWidth="1"/>
    <col min="6366" max="6367" width="17.85546875" style="495" customWidth="1"/>
    <col min="6368" max="6369" width="17.140625" style="495" customWidth="1"/>
    <col min="6370" max="6370" width="16.85546875" style="495" customWidth="1"/>
    <col min="6371" max="6371" width="20.5703125" style="495" customWidth="1"/>
    <col min="6372" max="6374" width="6.42578125" style="495" customWidth="1"/>
    <col min="6375" max="6375" width="15.85546875" style="495" customWidth="1"/>
    <col min="6376" max="6376" width="16" style="495" customWidth="1"/>
    <col min="6377" max="6377" width="15.7109375" style="495" customWidth="1"/>
    <col min="6378" max="6379" width="19.28515625" style="495" customWidth="1"/>
    <col min="6380" max="6380" width="18.140625" style="495" customWidth="1"/>
    <col min="6381" max="6381" width="16" style="495" customWidth="1"/>
    <col min="6382" max="6382" width="18" style="495" customWidth="1"/>
    <col min="6383" max="6383" width="17.85546875" style="495" customWidth="1"/>
    <col min="6384" max="6385" width="16.140625" style="495" customWidth="1"/>
    <col min="6386" max="6388" width="17.5703125" style="495" customWidth="1"/>
    <col min="6389" max="6389" width="13.7109375" style="495" customWidth="1"/>
    <col min="6390" max="6616" width="11.5703125" style="495"/>
    <col min="6617" max="6617" width="5.5703125" style="495" customWidth="1"/>
    <col min="6618" max="6618" width="35.85546875" style="495" customWidth="1"/>
    <col min="6619" max="6619" width="16.85546875" style="495" customWidth="1"/>
    <col min="6620" max="6620" width="13.7109375" style="495" customWidth="1"/>
    <col min="6621" max="6621" width="17.140625" style="495" customWidth="1"/>
    <col min="6622" max="6623" width="17.85546875" style="495" customWidth="1"/>
    <col min="6624" max="6625" width="17.140625" style="495" customWidth="1"/>
    <col min="6626" max="6626" width="16.85546875" style="495" customWidth="1"/>
    <col min="6627" max="6627" width="20.5703125" style="495" customWidth="1"/>
    <col min="6628" max="6630" width="6.42578125" style="495" customWidth="1"/>
    <col min="6631" max="6631" width="15.85546875" style="495" customWidth="1"/>
    <col min="6632" max="6632" width="16" style="495" customWidth="1"/>
    <col min="6633" max="6633" width="15.7109375" style="495" customWidth="1"/>
    <col min="6634" max="6635" width="19.28515625" style="495" customWidth="1"/>
    <col min="6636" max="6636" width="18.140625" style="495" customWidth="1"/>
    <col min="6637" max="6637" width="16" style="495" customWidth="1"/>
    <col min="6638" max="6638" width="18" style="495" customWidth="1"/>
    <col min="6639" max="6639" width="17.85546875" style="495" customWidth="1"/>
    <col min="6640" max="6641" width="16.140625" style="495" customWidth="1"/>
    <col min="6642" max="6644" width="17.5703125" style="495" customWidth="1"/>
    <col min="6645" max="6645" width="13.7109375" style="495" customWidth="1"/>
    <col min="6646" max="6872" width="11.5703125" style="495"/>
    <col min="6873" max="6873" width="5.5703125" style="495" customWidth="1"/>
    <col min="6874" max="6874" width="35.85546875" style="495" customWidth="1"/>
    <col min="6875" max="6875" width="16.85546875" style="495" customWidth="1"/>
    <col min="6876" max="6876" width="13.7109375" style="495" customWidth="1"/>
    <col min="6877" max="6877" width="17.140625" style="495" customWidth="1"/>
    <col min="6878" max="6879" width="17.85546875" style="495" customWidth="1"/>
    <col min="6880" max="6881" width="17.140625" style="495" customWidth="1"/>
    <col min="6882" max="6882" width="16.85546875" style="495" customWidth="1"/>
    <col min="6883" max="6883" width="20.5703125" style="495" customWidth="1"/>
    <col min="6884" max="6886" width="6.42578125" style="495" customWidth="1"/>
    <col min="6887" max="6887" width="15.85546875" style="495" customWidth="1"/>
    <col min="6888" max="6888" width="16" style="495" customWidth="1"/>
    <col min="6889" max="6889" width="15.7109375" style="495" customWidth="1"/>
    <col min="6890" max="6891" width="19.28515625" style="495" customWidth="1"/>
    <col min="6892" max="6892" width="18.140625" style="495" customWidth="1"/>
    <col min="6893" max="6893" width="16" style="495" customWidth="1"/>
    <col min="6894" max="6894" width="18" style="495" customWidth="1"/>
    <col min="6895" max="6895" width="17.85546875" style="495" customWidth="1"/>
    <col min="6896" max="6897" width="16.140625" style="495" customWidth="1"/>
    <col min="6898" max="6900" width="17.5703125" style="495" customWidth="1"/>
    <col min="6901" max="6901" width="13.7109375" style="495" customWidth="1"/>
    <col min="6902" max="7128" width="11.5703125" style="495"/>
    <col min="7129" max="7129" width="5.5703125" style="495" customWidth="1"/>
    <col min="7130" max="7130" width="35.85546875" style="495" customWidth="1"/>
    <col min="7131" max="7131" width="16.85546875" style="495" customWidth="1"/>
    <col min="7132" max="7132" width="13.7109375" style="495" customWidth="1"/>
    <col min="7133" max="7133" width="17.140625" style="495" customWidth="1"/>
    <col min="7134" max="7135" width="17.85546875" style="495" customWidth="1"/>
    <col min="7136" max="7137" width="17.140625" style="495" customWidth="1"/>
    <col min="7138" max="7138" width="16.85546875" style="495" customWidth="1"/>
    <col min="7139" max="7139" width="20.5703125" style="495" customWidth="1"/>
    <col min="7140" max="7142" width="6.42578125" style="495" customWidth="1"/>
    <col min="7143" max="7143" width="15.85546875" style="495" customWidth="1"/>
    <col min="7144" max="7144" width="16" style="495" customWidth="1"/>
    <col min="7145" max="7145" width="15.7109375" style="495" customWidth="1"/>
    <col min="7146" max="7147" width="19.28515625" style="495" customWidth="1"/>
    <col min="7148" max="7148" width="18.140625" style="495" customWidth="1"/>
    <col min="7149" max="7149" width="16" style="495" customWidth="1"/>
    <col min="7150" max="7150" width="18" style="495" customWidth="1"/>
    <col min="7151" max="7151" width="17.85546875" style="495" customWidth="1"/>
    <col min="7152" max="7153" width="16.140625" style="495" customWidth="1"/>
    <col min="7154" max="7156" width="17.5703125" style="495" customWidth="1"/>
    <col min="7157" max="7157" width="13.7109375" style="495" customWidth="1"/>
    <col min="7158" max="7384" width="11.5703125" style="495"/>
    <col min="7385" max="7385" width="5.5703125" style="495" customWidth="1"/>
    <col min="7386" max="7386" width="35.85546875" style="495" customWidth="1"/>
    <col min="7387" max="7387" width="16.85546875" style="495" customWidth="1"/>
    <col min="7388" max="7388" width="13.7109375" style="495" customWidth="1"/>
    <col min="7389" max="7389" width="17.140625" style="495" customWidth="1"/>
    <col min="7390" max="7391" width="17.85546875" style="495" customWidth="1"/>
    <col min="7392" max="7393" width="17.140625" style="495" customWidth="1"/>
    <col min="7394" max="7394" width="16.85546875" style="495" customWidth="1"/>
    <col min="7395" max="7395" width="20.5703125" style="495" customWidth="1"/>
    <col min="7396" max="7398" width="6.42578125" style="495" customWidth="1"/>
    <col min="7399" max="7399" width="15.85546875" style="495" customWidth="1"/>
    <col min="7400" max="7400" width="16" style="495" customWidth="1"/>
    <col min="7401" max="7401" width="15.7109375" style="495" customWidth="1"/>
    <col min="7402" max="7403" width="19.28515625" style="495" customWidth="1"/>
    <col min="7404" max="7404" width="18.140625" style="495" customWidth="1"/>
    <col min="7405" max="7405" width="16" style="495" customWidth="1"/>
    <col min="7406" max="7406" width="18" style="495" customWidth="1"/>
    <col min="7407" max="7407" width="17.85546875" style="495" customWidth="1"/>
    <col min="7408" max="7409" width="16.140625" style="495" customWidth="1"/>
    <col min="7410" max="7412" width="17.5703125" style="495" customWidth="1"/>
    <col min="7413" max="7413" width="13.7109375" style="495" customWidth="1"/>
    <col min="7414" max="7640" width="11.5703125" style="495"/>
    <col min="7641" max="7641" width="5.5703125" style="495" customWidth="1"/>
    <col min="7642" max="7642" width="35.85546875" style="495" customWidth="1"/>
    <col min="7643" max="7643" width="16.85546875" style="495" customWidth="1"/>
    <col min="7644" max="7644" width="13.7109375" style="495" customWidth="1"/>
    <col min="7645" max="7645" width="17.140625" style="495" customWidth="1"/>
    <col min="7646" max="7647" width="17.85546875" style="495" customWidth="1"/>
    <col min="7648" max="7649" width="17.140625" style="495" customWidth="1"/>
    <col min="7650" max="7650" width="16.85546875" style="495" customWidth="1"/>
    <col min="7651" max="7651" width="20.5703125" style="495" customWidth="1"/>
    <col min="7652" max="7654" width="6.42578125" style="495" customWidth="1"/>
    <col min="7655" max="7655" width="15.85546875" style="495" customWidth="1"/>
    <col min="7656" max="7656" width="16" style="495" customWidth="1"/>
    <col min="7657" max="7657" width="15.7109375" style="495" customWidth="1"/>
    <col min="7658" max="7659" width="19.28515625" style="495" customWidth="1"/>
    <col min="7660" max="7660" width="18.140625" style="495" customWidth="1"/>
    <col min="7661" max="7661" width="16" style="495" customWidth="1"/>
    <col min="7662" max="7662" width="18" style="495" customWidth="1"/>
    <col min="7663" max="7663" width="17.85546875" style="495" customWidth="1"/>
    <col min="7664" max="7665" width="16.140625" style="495" customWidth="1"/>
    <col min="7666" max="7668" width="17.5703125" style="495" customWidth="1"/>
    <col min="7669" max="7669" width="13.7109375" style="495" customWidth="1"/>
    <col min="7670" max="7896" width="11.5703125" style="495"/>
    <col min="7897" max="7897" width="5.5703125" style="495" customWidth="1"/>
    <col min="7898" max="7898" width="35.85546875" style="495" customWidth="1"/>
    <col min="7899" max="7899" width="16.85546875" style="495" customWidth="1"/>
    <col min="7900" max="7900" width="13.7109375" style="495" customWidth="1"/>
    <col min="7901" max="7901" width="17.140625" style="495" customWidth="1"/>
    <col min="7902" max="7903" width="17.85546875" style="495" customWidth="1"/>
    <col min="7904" max="7905" width="17.140625" style="495" customWidth="1"/>
    <col min="7906" max="7906" width="16.85546875" style="495" customWidth="1"/>
    <col min="7907" max="7907" width="20.5703125" style="495" customWidth="1"/>
    <col min="7908" max="7910" width="6.42578125" style="495" customWidth="1"/>
    <col min="7911" max="7911" width="15.85546875" style="495" customWidth="1"/>
    <col min="7912" max="7912" width="16" style="495" customWidth="1"/>
    <col min="7913" max="7913" width="15.7109375" style="495" customWidth="1"/>
    <col min="7914" max="7915" width="19.28515625" style="495" customWidth="1"/>
    <col min="7916" max="7916" width="18.140625" style="495" customWidth="1"/>
    <col min="7917" max="7917" width="16" style="495" customWidth="1"/>
    <col min="7918" max="7918" width="18" style="495" customWidth="1"/>
    <col min="7919" max="7919" width="17.85546875" style="495" customWidth="1"/>
    <col min="7920" max="7921" width="16.140625" style="495" customWidth="1"/>
    <col min="7922" max="7924" width="17.5703125" style="495" customWidth="1"/>
    <col min="7925" max="7925" width="13.7109375" style="495" customWidth="1"/>
    <col min="7926" max="8152" width="11.5703125" style="495"/>
    <col min="8153" max="8153" width="5.5703125" style="495" customWidth="1"/>
    <col min="8154" max="8154" width="35.85546875" style="495" customWidth="1"/>
    <col min="8155" max="8155" width="16.85546875" style="495" customWidth="1"/>
    <col min="8156" max="8156" width="13.7109375" style="495" customWidth="1"/>
    <col min="8157" max="8157" width="17.140625" style="495" customWidth="1"/>
    <col min="8158" max="8159" width="17.85546875" style="495" customWidth="1"/>
    <col min="8160" max="8161" width="17.140625" style="495" customWidth="1"/>
    <col min="8162" max="8162" width="16.85546875" style="495" customWidth="1"/>
    <col min="8163" max="8163" width="20.5703125" style="495" customWidth="1"/>
    <col min="8164" max="8166" width="6.42578125" style="495" customWidth="1"/>
    <col min="8167" max="8167" width="15.85546875" style="495" customWidth="1"/>
    <col min="8168" max="8168" width="16" style="495" customWidth="1"/>
    <col min="8169" max="8169" width="15.7109375" style="495" customWidth="1"/>
    <col min="8170" max="8171" width="19.28515625" style="495" customWidth="1"/>
    <col min="8172" max="8172" width="18.140625" style="495" customWidth="1"/>
    <col min="8173" max="8173" width="16" style="495" customWidth="1"/>
    <col min="8174" max="8174" width="18" style="495" customWidth="1"/>
    <col min="8175" max="8175" width="17.85546875" style="495" customWidth="1"/>
    <col min="8176" max="8177" width="16.140625" style="495" customWidth="1"/>
    <col min="8178" max="8180" width="17.5703125" style="495" customWidth="1"/>
    <col min="8181" max="8181" width="13.7109375" style="495" customWidth="1"/>
    <col min="8182" max="8408" width="11.5703125" style="495"/>
    <col min="8409" max="8409" width="5.5703125" style="495" customWidth="1"/>
    <col min="8410" max="8410" width="35.85546875" style="495" customWidth="1"/>
    <col min="8411" max="8411" width="16.85546875" style="495" customWidth="1"/>
    <col min="8412" max="8412" width="13.7109375" style="495" customWidth="1"/>
    <col min="8413" max="8413" width="17.140625" style="495" customWidth="1"/>
    <col min="8414" max="8415" width="17.85546875" style="495" customWidth="1"/>
    <col min="8416" max="8417" width="17.140625" style="495" customWidth="1"/>
    <col min="8418" max="8418" width="16.85546875" style="495" customWidth="1"/>
    <col min="8419" max="8419" width="20.5703125" style="495" customWidth="1"/>
    <col min="8420" max="8422" width="6.42578125" style="495" customWidth="1"/>
    <col min="8423" max="8423" width="15.85546875" style="495" customWidth="1"/>
    <col min="8424" max="8424" width="16" style="495" customWidth="1"/>
    <col min="8425" max="8425" width="15.7109375" style="495" customWidth="1"/>
    <col min="8426" max="8427" width="19.28515625" style="495" customWidth="1"/>
    <col min="8428" max="8428" width="18.140625" style="495" customWidth="1"/>
    <col min="8429" max="8429" width="16" style="495" customWidth="1"/>
    <col min="8430" max="8430" width="18" style="495" customWidth="1"/>
    <col min="8431" max="8431" width="17.85546875" style="495" customWidth="1"/>
    <col min="8432" max="8433" width="16.140625" style="495" customWidth="1"/>
    <col min="8434" max="8436" width="17.5703125" style="495" customWidth="1"/>
    <col min="8437" max="8437" width="13.7109375" style="495" customWidth="1"/>
    <col min="8438" max="8664" width="11.5703125" style="495"/>
    <col min="8665" max="8665" width="5.5703125" style="495" customWidth="1"/>
    <col min="8666" max="8666" width="35.85546875" style="495" customWidth="1"/>
    <col min="8667" max="8667" width="16.85546875" style="495" customWidth="1"/>
    <col min="8668" max="8668" width="13.7109375" style="495" customWidth="1"/>
    <col min="8669" max="8669" width="17.140625" style="495" customWidth="1"/>
    <col min="8670" max="8671" width="17.85546875" style="495" customWidth="1"/>
    <col min="8672" max="8673" width="17.140625" style="495" customWidth="1"/>
    <col min="8674" max="8674" width="16.85546875" style="495" customWidth="1"/>
    <col min="8675" max="8675" width="20.5703125" style="495" customWidth="1"/>
    <col min="8676" max="8678" width="6.42578125" style="495" customWidth="1"/>
    <col min="8679" max="8679" width="15.85546875" style="495" customWidth="1"/>
    <col min="8680" max="8680" width="16" style="495" customWidth="1"/>
    <col min="8681" max="8681" width="15.7109375" style="495" customWidth="1"/>
    <col min="8682" max="8683" width="19.28515625" style="495" customWidth="1"/>
    <col min="8684" max="8684" width="18.140625" style="495" customWidth="1"/>
    <col min="8685" max="8685" width="16" style="495" customWidth="1"/>
    <col min="8686" max="8686" width="18" style="495" customWidth="1"/>
    <col min="8687" max="8687" width="17.85546875" style="495" customWidth="1"/>
    <col min="8688" max="8689" width="16.140625" style="495" customWidth="1"/>
    <col min="8690" max="8692" width="17.5703125" style="495" customWidth="1"/>
    <col min="8693" max="8693" width="13.7109375" style="495" customWidth="1"/>
    <col min="8694" max="8920" width="11.5703125" style="495"/>
    <col min="8921" max="8921" width="5.5703125" style="495" customWidth="1"/>
    <col min="8922" max="8922" width="35.85546875" style="495" customWidth="1"/>
    <col min="8923" max="8923" width="16.85546875" style="495" customWidth="1"/>
    <col min="8924" max="8924" width="13.7109375" style="495" customWidth="1"/>
    <col min="8925" max="8925" width="17.140625" style="495" customWidth="1"/>
    <col min="8926" max="8927" width="17.85546875" style="495" customWidth="1"/>
    <col min="8928" max="8929" width="17.140625" style="495" customWidth="1"/>
    <col min="8930" max="8930" width="16.85546875" style="495" customWidth="1"/>
    <col min="8931" max="8931" width="20.5703125" style="495" customWidth="1"/>
    <col min="8932" max="8934" width="6.42578125" style="495" customWidth="1"/>
    <col min="8935" max="8935" width="15.85546875" style="495" customWidth="1"/>
    <col min="8936" max="8936" width="16" style="495" customWidth="1"/>
    <col min="8937" max="8937" width="15.7109375" style="495" customWidth="1"/>
    <col min="8938" max="8939" width="19.28515625" style="495" customWidth="1"/>
    <col min="8940" max="8940" width="18.140625" style="495" customWidth="1"/>
    <col min="8941" max="8941" width="16" style="495" customWidth="1"/>
    <col min="8942" max="8942" width="18" style="495" customWidth="1"/>
    <col min="8943" max="8943" width="17.85546875" style="495" customWidth="1"/>
    <col min="8944" max="8945" width="16.140625" style="495" customWidth="1"/>
    <col min="8946" max="8948" width="17.5703125" style="495" customWidth="1"/>
    <col min="8949" max="8949" width="13.7109375" style="495" customWidth="1"/>
    <col min="8950" max="9176" width="11.5703125" style="495"/>
    <col min="9177" max="9177" width="5.5703125" style="495" customWidth="1"/>
    <col min="9178" max="9178" width="35.85546875" style="495" customWidth="1"/>
    <col min="9179" max="9179" width="16.85546875" style="495" customWidth="1"/>
    <col min="9180" max="9180" width="13.7109375" style="495" customWidth="1"/>
    <col min="9181" max="9181" width="17.140625" style="495" customWidth="1"/>
    <col min="9182" max="9183" width="17.85546875" style="495" customWidth="1"/>
    <col min="9184" max="9185" width="17.140625" style="495" customWidth="1"/>
    <col min="9186" max="9186" width="16.85546875" style="495" customWidth="1"/>
    <col min="9187" max="9187" width="20.5703125" style="495" customWidth="1"/>
    <col min="9188" max="9190" width="6.42578125" style="495" customWidth="1"/>
    <col min="9191" max="9191" width="15.85546875" style="495" customWidth="1"/>
    <col min="9192" max="9192" width="16" style="495" customWidth="1"/>
    <col min="9193" max="9193" width="15.7109375" style="495" customWidth="1"/>
    <col min="9194" max="9195" width="19.28515625" style="495" customWidth="1"/>
    <col min="9196" max="9196" width="18.140625" style="495" customWidth="1"/>
    <col min="9197" max="9197" width="16" style="495" customWidth="1"/>
    <col min="9198" max="9198" width="18" style="495" customWidth="1"/>
    <col min="9199" max="9199" width="17.85546875" style="495" customWidth="1"/>
    <col min="9200" max="9201" width="16.140625" style="495" customWidth="1"/>
    <col min="9202" max="9204" width="17.5703125" style="495" customWidth="1"/>
    <col min="9205" max="9205" width="13.7109375" style="495" customWidth="1"/>
    <col min="9206" max="9432" width="11.5703125" style="495"/>
    <col min="9433" max="9433" width="5.5703125" style="495" customWidth="1"/>
    <col min="9434" max="9434" width="35.85546875" style="495" customWidth="1"/>
    <col min="9435" max="9435" width="16.85546875" style="495" customWidth="1"/>
    <col min="9436" max="9436" width="13.7109375" style="495" customWidth="1"/>
    <col min="9437" max="9437" width="17.140625" style="495" customWidth="1"/>
    <col min="9438" max="9439" width="17.85546875" style="495" customWidth="1"/>
    <col min="9440" max="9441" width="17.140625" style="495" customWidth="1"/>
    <col min="9442" max="9442" width="16.85546875" style="495" customWidth="1"/>
    <col min="9443" max="9443" width="20.5703125" style="495" customWidth="1"/>
    <col min="9444" max="9446" width="6.42578125" style="495" customWidth="1"/>
    <col min="9447" max="9447" width="15.85546875" style="495" customWidth="1"/>
    <col min="9448" max="9448" width="16" style="495" customWidth="1"/>
    <col min="9449" max="9449" width="15.7109375" style="495" customWidth="1"/>
    <col min="9450" max="9451" width="19.28515625" style="495" customWidth="1"/>
    <col min="9452" max="9452" width="18.140625" style="495" customWidth="1"/>
    <col min="9453" max="9453" width="16" style="495" customWidth="1"/>
    <col min="9454" max="9454" width="18" style="495" customWidth="1"/>
    <col min="9455" max="9455" width="17.85546875" style="495" customWidth="1"/>
    <col min="9456" max="9457" width="16.140625" style="495" customWidth="1"/>
    <col min="9458" max="9460" width="17.5703125" style="495" customWidth="1"/>
    <col min="9461" max="9461" width="13.7109375" style="495" customWidth="1"/>
    <col min="9462" max="9688" width="11.5703125" style="495"/>
    <col min="9689" max="9689" width="5.5703125" style="495" customWidth="1"/>
    <col min="9690" max="9690" width="35.85546875" style="495" customWidth="1"/>
    <col min="9691" max="9691" width="16.85546875" style="495" customWidth="1"/>
    <col min="9692" max="9692" width="13.7109375" style="495" customWidth="1"/>
    <col min="9693" max="9693" width="17.140625" style="495" customWidth="1"/>
    <col min="9694" max="9695" width="17.85546875" style="495" customWidth="1"/>
    <col min="9696" max="9697" width="17.140625" style="495" customWidth="1"/>
    <col min="9698" max="9698" width="16.85546875" style="495" customWidth="1"/>
    <col min="9699" max="9699" width="20.5703125" style="495" customWidth="1"/>
    <col min="9700" max="9702" width="6.42578125" style="495" customWidth="1"/>
    <col min="9703" max="9703" width="15.85546875" style="495" customWidth="1"/>
    <col min="9704" max="9704" width="16" style="495" customWidth="1"/>
    <col min="9705" max="9705" width="15.7109375" style="495" customWidth="1"/>
    <col min="9706" max="9707" width="19.28515625" style="495" customWidth="1"/>
    <col min="9708" max="9708" width="18.140625" style="495" customWidth="1"/>
    <col min="9709" max="9709" width="16" style="495" customWidth="1"/>
    <col min="9710" max="9710" width="18" style="495" customWidth="1"/>
    <col min="9711" max="9711" width="17.85546875" style="495" customWidth="1"/>
    <col min="9712" max="9713" width="16.140625" style="495" customWidth="1"/>
    <col min="9714" max="9716" width="17.5703125" style="495" customWidth="1"/>
    <col min="9717" max="9717" width="13.7109375" style="495" customWidth="1"/>
    <col min="9718" max="9944" width="11.5703125" style="495"/>
    <col min="9945" max="9945" width="5.5703125" style="495" customWidth="1"/>
    <col min="9946" max="9946" width="35.85546875" style="495" customWidth="1"/>
    <col min="9947" max="9947" width="16.85546875" style="495" customWidth="1"/>
    <col min="9948" max="9948" width="13.7109375" style="495" customWidth="1"/>
    <col min="9949" max="9949" width="17.140625" style="495" customWidth="1"/>
    <col min="9950" max="9951" width="17.85546875" style="495" customWidth="1"/>
    <col min="9952" max="9953" width="17.140625" style="495" customWidth="1"/>
    <col min="9954" max="9954" width="16.85546875" style="495" customWidth="1"/>
    <col min="9955" max="9955" width="20.5703125" style="495" customWidth="1"/>
    <col min="9956" max="9958" width="6.42578125" style="495" customWidth="1"/>
    <col min="9959" max="9959" width="15.85546875" style="495" customWidth="1"/>
    <col min="9960" max="9960" width="16" style="495" customWidth="1"/>
    <col min="9961" max="9961" width="15.7109375" style="495" customWidth="1"/>
    <col min="9962" max="9963" width="19.28515625" style="495" customWidth="1"/>
    <col min="9964" max="9964" width="18.140625" style="495" customWidth="1"/>
    <col min="9965" max="9965" width="16" style="495" customWidth="1"/>
    <col min="9966" max="9966" width="18" style="495" customWidth="1"/>
    <col min="9967" max="9967" width="17.85546875" style="495" customWidth="1"/>
    <col min="9968" max="9969" width="16.140625" style="495" customWidth="1"/>
    <col min="9970" max="9972" width="17.5703125" style="495" customWidth="1"/>
    <col min="9973" max="9973" width="13.7109375" style="495" customWidth="1"/>
    <col min="9974" max="10200" width="11.5703125" style="495"/>
    <col min="10201" max="10201" width="5.5703125" style="495" customWidth="1"/>
    <col min="10202" max="10202" width="35.85546875" style="495" customWidth="1"/>
    <col min="10203" max="10203" width="16.85546875" style="495" customWidth="1"/>
    <col min="10204" max="10204" width="13.7109375" style="495" customWidth="1"/>
    <col min="10205" max="10205" width="17.140625" style="495" customWidth="1"/>
    <col min="10206" max="10207" width="17.85546875" style="495" customWidth="1"/>
    <col min="10208" max="10209" width="17.140625" style="495" customWidth="1"/>
    <col min="10210" max="10210" width="16.85546875" style="495" customWidth="1"/>
    <col min="10211" max="10211" width="20.5703125" style="495" customWidth="1"/>
    <col min="10212" max="10214" width="6.42578125" style="495" customWidth="1"/>
    <col min="10215" max="10215" width="15.85546875" style="495" customWidth="1"/>
    <col min="10216" max="10216" width="16" style="495" customWidth="1"/>
    <col min="10217" max="10217" width="15.7109375" style="495" customWidth="1"/>
    <col min="10218" max="10219" width="19.28515625" style="495" customWidth="1"/>
    <col min="10220" max="10220" width="18.140625" style="495" customWidth="1"/>
    <col min="10221" max="10221" width="16" style="495" customWidth="1"/>
    <col min="10222" max="10222" width="18" style="495" customWidth="1"/>
    <col min="10223" max="10223" width="17.85546875" style="495" customWidth="1"/>
    <col min="10224" max="10225" width="16.140625" style="495" customWidth="1"/>
    <col min="10226" max="10228" width="17.5703125" style="495" customWidth="1"/>
    <col min="10229" max="10229" width="13.7109375" style="495" customWidth="1"/>
    <col min="10230" max="10456" width="11.5703125" style="495"/>
    <col min="10457" max="10457" width="5.5703125" style="495" customWidth="1"/>
    <col min="10458" max="10458" width="35.85546875" style="495" customWidth="1"/>
    <col min="10459" max="10459" width="16.85546875" style="495" customWidth="1"/>
    <col min="10460" max="10460" width="13.7109375" style="495" customWidth="1"/>
    <col min="10461" max="10461" width="17.140625" style="495" customWidth="1"/>
    <col min="10462" max="10463" width="17.85546875" style="495" customWidth="1"/>
    <col min="10464" max="10465" width="17.140625" style="495" customWidth="1"/>
    <col min="10466" max="10466" width="16.85546875" style="495" customWidth="1"/>
    <col min="10467" max="10467" width="20.5703125" style="495" customWidth="1"/>
    <col min="10468" max="10470" width="6.42578125" style="495" customWidth="1"/>
    <col min="10471" max="10471" width="15.85546875" style="495" customWidth="1"/>
    <col min="10472" max="10472" width="16" style="495" customWidth="1"/>
    <col min="10473" max="10473" width="15.7109375" style="495" customWidth="1"/>
    <col min="10474" max="10475" width="19.28515625" style="495" customWidth="1"/>
    <col min="10476" max="10476" width="18.140625" style="495" customWidth="1"/>
    <col min="10477" max="10477" width="16" style="495" customWidth="1"/>
    <col min="10478" max="10478" width="18" style="495" customWidth="1"/>
    <col min="10479" max="10479" width="17.85546875" style="495" customWidth="1"/>
    <col min="10480" max="10481" width="16.140625" style="495" customWidth="1"/>
    <col min="10482" max="10484" width="17.5703125" style="495" customWidth="1"/>
    <col min="10485" max="10485" width="13.7109375" style="495" customWidth="1"/>
    <col min="10486" max="10712" width="11.5703125" style="495"/>
    <col min="10713" max="10713" width="5.5703125" style="495" customWidth="1"/>
    <col min="10714" max="10714" width="35.85546875" style="495" customWidth="1"/>
    <col min="10715" max="10715" width="16.85546875" style="495" customWidth="1"/>
    <col min="10716" max="10716" width="13.7109375" style="495" customWidth="1"/>
    <col min="10717" max="10717" width="17.140625" style="495" customWidth="1"/>
    <col min="10718" max="10719" width="17.85546875" style="495" customWidth="1"/>
    <col min="10720" max="10721" width="17.140625" style="495" customWidth="1"/>
    <col min="10722" max="10722" width="16.85546875" style="495" customWidth="1"/>
    <col min="10723" max="10723" width="20.5703125" style="495" customWidth="1"/>
    <col min="10724" max="10726" width="6.42578125" style="495" customWidth="1"/>
    <col min="10727" max="10727" width="15.85546875" style="495" customWidth="1"/>
    <col min="10728" max="10728" width="16" style="495" customWidth="1"/>
    <col min="10729" max="10729" width="15.7109375" style="495" customWidth="1"/>
    <col min="10730" max="10731" width="19.28515625" style="495" customWidth="1"/>
    <col min="10732" max="10732" width="18.140625" style="495" customWidth="1"/>
    <col min="10733" max="10733" width="16" style="495" customWidth="1"/>
    <col min="10734" max="10734" width="18" style="495" customWidth="1"/>
    <col min="10735" max="10735" width="17.85546875" style="495" customWidth="1"/>
    <col min="10736" max="10737" width="16.140625" style="495" customWidth="1"/>
    <col min="10738" max="10740" width="17.5703125" style="495" customWidth="1"/>
    <col min="10741" max="10741" width="13.7109375" style="495" customWidth="1"/>
    <col min="10742" max="10968" width="11.5703125" style="495"/>
    <col min="10969" max="10969" width="5.5703125" style="495" customWidth="1"/>
    <col min="10970" max="10970" width="35.85546875" style="495" customWidth="1"/>
    <col min="10971" max="10971" width="16.85546875" style="495" customWidth="1"/>
    <col min="10972" max="10972" width="13.7109375" style="495" customWidth="1"/>
    <col min="10973" max="10973" width="17.140625" style="495" customWidth="1"/>
    <col min="10974" max="10975" width="17.85546875" style="495" customWidth="1"/>
    <col min="10976" max="10977" width="17.140625" style="495" customWidth="1"/>
    <col min="10978" max="10978" width="16.85546875" style="495" customWidth="1"/>
    <col min="10979" max="10979" width="20.5703125" style="495" customWidth="1"/>
    <col min="10980" max="10982" width="6.42578125" style="495" customWidth="1"/>
    <col min="10983" max="10983" width="15.85546875" style="495" customWidth="1"/>
    <col min="10984" max="10984" width="16" style="495" customWidth="1"/>
    <col min="10985" max="10985" width="15.7109375" style="495" customWidth="1"/>
    <col min="10986" max="10987" width="19.28515625" style="495" customWidth="1"/>
    <col min="10988" max="10988" width="18.140625" style="495" customWidth="1"/>
    <col min="10989" max="10989" width="16" style="495" customWidth="1"/>
    <col min="10990" max="10990" width="18" style="495" customWidth="1"/>
    <col min="10991" max="10991" width="17.85546875" style="495" customWidth="1"/>
    <col min="10992" max="10993" width="16.140625" style="495" customWidth="1"/>
    <col min="10994" max="10996" width="17.5703125" style="495" customWidth="1"/>
    <col min="10997" max="10997" width="13.7109375" style="495" customWidth="1"/>
    <col min="10998" max="11224" width="11.5703125" style="495"/>
    <col min="11225" max="11225" width="5.5703125" style="495" customWidth="1"/>
    <col min="11226" max="11226" width="35.85546875" style="495" customWidth="1"/>
    <col min="11227" max="11227" width="16.85546875" style="495" customWidth="1"/>
    <col min="11228" max="11228" width="13.7109375" style="495" customWidth="1"/>
    <col min="11229" max="11229" width="17.140625" style="495" customWidth="1"/>
    <col min="11230" max="11231" width="17.85546875" style="495" customWidth="1"/>
    <col min="11232" max="11233" width="17.140625" style="495" customWidth="1"/>
    <col min="11234" max="11234" width="16.85546875" style="495" customWidth="1"/>
    <col min="11235" max="11235" width="20.5703125" style="495" customWidth="1"/>
    <col min="11236" max="11238" width="6.42578125" style="495" customWidth="1"/>
    <col min="11239" max="11239" width="15.85546875" style="495" customWidth="1"/>
    <col min="11240" max="11240" width="16" style="495" customWidth="1"/>
    <col min="11241" max="11241" width="15.7109375" style="495" customWidth="1"/>
    <col min="11242" max="11243" width="19.28515625" style="495" customWidth="1"/>
    <col min="11244" max="11244" width="18.140625" style="495" customWidth="1"/>
    <col min="11245" max="11245" width="16" style="495" customWidth="1"/>
    <col min="11246" max="11246" width="18" style="495" customWidth="1"/>
    <col min="11247" max="11247" width="17.85546875" style="495" customWidth="1"/>
    <col min="11248" max="11249" width="16.140625" style="495" customWidth="1"/>
    <col min="11250" max="11252" width="17.5703125" style="495" customWidth="1"/>
    <col min="11253" max="11253" width="13.7109375" style="495" customWidth="1"/>
    <col min="11254" max="11480" width="11.5703125" style="495"/>
    <col min="11481" max="11481" width="5.5703125" style="495" customWidth="1"/>
    <col min="11482" max="11482" width="35.85546875" style="495" customWidth="1"/>
    <col min="11483" max="11483" width="16.85546875" style="495" customWidth="1"/>
    <col min="11484" max="11484" width="13.7109375" style="495" customWidth="1"/>
    <col min="11485" max="11485" width="17.140625" style="495" customWidth="1"/>
    <col min="11486" max="11487" width="17.85546875" style="495" customWidth="1"/>
    <col min="11488" max="11489" width="17.140625" style="495" customWidth="1"/>
    <col min="11490" max="11490" width="16.85546875" style="495" customWidth="1"/>
    <col min="11491" max="11491" width="20.5703125" style="495" customWidth="1"/>
    <col min="11492" max="11494" width="6.42578125" style="495" customWidth="1"/>
    <col min="11495" max="11495" width="15.85546875" style="495" customWidth="1"/>
    <col min="11496" max="11496" width="16" style="495" customWidth="1"/>
    <col min="11497" max="11497" width="15.7109375" style="495" customWidth="1"/>
    <col min="11498" max="11499" width="19.28515625" style="495" customWidth="1"/>
    <col min="11500" max="11500" width="18.140625" style="495" customWidth="1"/>
    <col min="11501" max="11501" width="16" style="495" customWidth="1"/>
    <col min="11502" max="11502" width="18" style="495" customWidth="1"/>
    <col min="11503" max="11503" width="17.85546875" style="495" customWidth="1"/>
    <col min="11504" max="11505" width="16.140625" style="495" customWidth="1"/>
    <col min="11506" max="11508" width="17.5703125" style="495" customWidth="1"/>
    <col min="11509" max="11509" width="13.7109375" style="495" customWidth="1"/>
    <col min="11510" max="11736" width="11.5703125" style="495"/>
    <col min="11737" max="11737" width="5.5703125" style="495" customWidth="1"/>
    <col min="11738" max="11738" width="35.85546875" style="495" customWidth="1"/>
    <col min="11739" max="11739" width="16.85546875" style="495" customWidth="1"/>
    <col min="11740" max="11740" width="13.7109375" style="495" customWidth="1"/>
    <col min="11741" max="11741" width="17.140625" style="495" customWidth="1"/>
    <col min="11742" max="11743" width="17.85546875" style="495" customWidth="1"/>
    <col min="11744" max="11745" width="17.140625" style="495" customWidth="1"/>
    <col min="11746" max="11746" width="16.85546875" style="495" customWidth="1"/>
    <col min="11747" max="11747" width="20.5703125" style="495" customWidth="1"/>
    <col min="11748" max="11750" width="6.42578125" style="495" customWidth="1"/>
    <col min="11751" max="11751" width="15.85546875" style="495" customWidth="1"/>
    <col min="11752" max="11752" width="16" style="495" customWidth="1"/>
    <col min="11753" max="11753" width="15.7109375" style="495" customWidth="1"/>
    <col min="11754" max="11755" width="19.28515625" style="495" customWidth="1"/>
    <col min="11756" max="11756" width="18.140625" style="495" customWidth="1"/>
    <col min="11757" max="11757" width="16" style="495" customWidth="1"/>
    <col min="11758" max="11758" width="18" style="495" customWidth="1"/>
    <col min="11759" max="11759" width="17.85546875" style="495" customWidth="1"/>
    <col min="11760" max="11761" width="16.140625" style="495" customWidth="1"/>
    <col min="11762" max="11764" width="17.5703125" style="495" customWidth="1"/>
    <col min="11765" max="11765" width="13.7109375" style="495" customWidth="1"/>
    <col min="11766" max="11992" width="11.5703125" style="495"/>
    <col min="11993" max="11993" width="5.5703125" style="495" customWidth="1"/>
    <col min="11994" max="11994" width="35.85546875" style="495" customWidth="1"/>
    <col min="11995" max="11995" width="16.85546875" style="495" customWidth="1"/>
    <col min="11996" max="11996" width="13.7109375" style="495" customWidth="1"/>
    <col min="11997" max="11997" width="17.140625" style="495" customWidth="1"/>
    <col min="11998" max="11999" width="17.85546875" style="495" customWidth="1"/>
    <col min="12000" max="12001" width="17.140625" style="495" customWidth="1"/>
    <col min="12002" max="12002" width="16.85546875" style="495" customWidth="1"/>
    <col min="12003" max="12003" width="20.5703125" style="495" customWidth="1"/>
    <col min="12004" max="12006" width="6.42578125" style="495" customWidth="1"/>
    <col min="12007" max="12007" width="15.85546875" style="495" customWidth="1"/>
    <col min="12008" max="12008" width="16" style="495" customWidth="1"/>
    <col min="12009" max="12009" width="15.7109375" style="495" customWidth="1"/>
    <col min="12010" max="12011" width="19.28515625" style="495" customWidth="1"/>
    <col min="12012" max="12012" width="18.140625" style="495" customWidth="1"/>
    <col min="12013" max="12013" width="16" style="495" customWidth="1"/>
    <col min="12014" max="12014" width="18" style="495" customWidth="1"/>
    <col min="12015" max="12015" width="17.85546875" style="495" customWidth="1"/>
    <col min="12016" max="12017" width="16.140625" style="495" customWidth="1"/>
    <col min="12018" max="12020" width="17.5703125" style="495" customWidth="1"/>
    <col min="12021" max="12021" width="13.7109375" style="495" customWidth="1"/>
    <col min="12022" max="12248" width="11.5703125" style="495"/>
    <col min="12249" max="12249" width="5.5703125" style="495" customWidth="1"/>
    <col min="12250" max="12250" width="35.85546875" style="495" customWidth="1"/>
    <col min="12251" max="12251" width="16.85546875" style="495" customWidth="1"/>
    <col min="12252" max="12252" width="13.7109375" style="495" customWidth="1"/>
    <col min="12253" max="12253" width="17.140625" style="495" customWidth="1"/>
    <col min="12254" max="12255" width="17.85546875" style="495" customWidth="1"/>
    <col min="12256" max="12257" width="17.140625" style="495" customWidth="1"/>
    <col min="12258" max="12258" width="16.85546875" style="495" customWidth="1"/>
    <col min="12259" max="12259" width="20.5703125" style="495" customWidth="1"/>
    <col min="12260" max="12262" width="6.42578125" style="495" customWidth="1"/>
    <col min="12263" max="12263" width="15.85546875" style="495" customWidth="1"/>
    <col min="12264" max="12264" width="16" style="495" customWidth="1"/>
    <col min="12265" max="12265" width="15.7109375" style="495" customWidth="1"/>
    <col min="12266" max="12267" width="19.28515625" style="495" customWidth="1"/>
    <col min="12268" max="12268" width="18.140625" style="495" customWidth="1"/>
    <col min="12269" max="12269" width="16" style="495" customWidth="1"/>
    <col min="12270" max="12270" width="18" style="495" customWidth="1"/>
    <col min="12271" max="12271" width="17.85546875" style="495" customWidth="1"/>
    <col min="12272" max="12273" width="16.140625" style="495" customWidth="1"/>
    <col min="12274" max="12276" width="17.5703125" style="495" customWidth="1"/>
    <col min="12277" max="12277" width="13.7109375" style="495" customWidth="1"/>
    <col min="12278" max="12504" width="11.5703125" style="495"/>
    <col min="12505" max="12505" width="5.5703125" style="495" customWidth="1"/>
    <col min="12506" max="12506" width="35.85546875" style="495" customWidth="1"/>
    <col min="12507" max="12507" width="16.85546875" style="495" customWidth="1"/>
    <col min="12508" max="12508" width="13.7109375" style="495" customWidth="1"/>
    <col min="12509" max="12509" width="17.140625" style="495" customWidth="1"/>
    <col min="12510" max="12511" width="17.85546875" style="495" customWidth="1"/>
    <col min="12512" max="12513" width="17.140625" style="495" customWidth="1"/>
    <col min="12514" max="12514" width="16.85546875" style="495" customWidth="1"/>
    <col min="12515" max="12515" width="20.5703125" style="495" customWidth="1"/>
    <col min="12516" max="12518" width="6.42578125" style="495" customWidth="1"/>
    <col min="12519" max="12519" width="15.85546875" style="495" customWidth="1"/>
    <col min="12520" max="12520" width="16" style="495" customWidth="1"/>
    <col min="12521" max="12521" width="15.7109375" style="495" customWidth="1"/>
    <col min="12522" max="12523" width="19.28515625" style="495" customWidth="1"/>
    <col min="12524" max="12524" width="18.140625" style="495" customWidth="1"/>
    <col min="12525" max="12525" width="16" style="495" customWidth="1"/>
    <col min="12526" max="12526" width="18" style="495" customWidth="1"/>
    <col min="12527" max="12527" width="17.85546875" style="495" customWidth="1"/>
    <col min="12528" max="12529" width="16.140625" style="495" customWidth="1"/>
    <col min="12530" max="12532" width="17.5703125" style="495" customWidth="1"/>
    <col min="12533" max="12533" width="13.7109375" style="495" customWidth="1"/>
    <col min="12534" max="12760" width="11.5703125" style="495"/>
    <col min="12761" max="12761" width="5.5703125" style="495" customWidth="1"/>
    <col min="12762" max="12762" width="35.85546875" style="495" customWidth="1"/>
    <col min="12763" max="12763" width="16.85546875" style="495" customWidth="1"/>
    <col min="12764" max="12764" width="13.7109375" style="495" customWidth="1"/>
    <col min="12765" max="12765" width="17.140625" style="495" customWidth="1"/>
    <col min="12766" max="12767" width="17.85546875" style="495" customWidth="1"/>
    <col min="12768" max="12769" width="17.140625" style="495" customWidth="1"/>
    <col min="12770" max="12770" width="16.85546875" style="495" customWidth="1"/>
    <col min="12771" max="12771" width="20.5703125" style="495" customWidth="1"/>
    <col min="12772" max="12774" width="6.42578125" style="495" customWidth="1"/>
    <col min="12775" max="12775" width="15.85546875" style="495" customWidth="1"/>
    <col min="12776" max="12776" width="16" style="495" customWidth="1"/>
    <col min="12777" max="12777" width="15.7109375" style="495" customWidth="1"/>
    <col min="12778" max="12779" width="19.28515625" style="495" customWidth="1"/>
    <col min="12780" max="12780" width="18.140625" style="495" customWidth="1"/>
    <col min="12781" max="12781" width="16" style="495" customWidth="1"/>
    <col min="12782" max="12782" width="18" style="495" customWidth="1"/>
    <col min="12783" max="12783" width="17.85546875" style="495" customWidth="1"/>
    <col min="12784" max="12785" width="16.140625" style="495" customWidth="1"/>
    <col min="12786" max="12788" width="17.5703125" style="495" customWidth="1"/>
    <col min="12789" max="12789" width="13.7109375" style="495" customWidth="1"/>
    <col min="12790" max="13016" width="11.5703125" style="495"/>
    <col min="13017" max="13017" width="5.5703125" style="495" customWidth="1"/>
    <col min="13018" max="13018" width="35.85546875" style="495" customWidth="1"/>
    <col min="13019" max="13019" width="16.85546875" style="495" customWidth="1"/>
    <col min="13020" max="13020" width="13.7109375" style="495" customWidth="1"/>
    <col min="13021" max="13021" width="17.140625" style="495" customWidth="1"/>
    <col min="13022" max="13023" width="17.85546875" style="495" customWidth="1"/>
    <col min="13024" max="13025" width="17.140625" style="495" customWidth="1"/>
    <col min="13026" max="13026" width="16.85546875" style="495" customWidth="1"/>
    <col min="13027" max="13027" width="20.5703125" style="495" customWidth="1"/>
    <col min="13028" max="13030" width="6.42578125" style="495" customWidth="1"/>
    <col min="13031" max="13031" width="15.85546875" style="495" customWidth="1"/>
    <col min="13032" max="13032" width="16" style="495" customWidth="1"/>
    <col min="13033" max="13033" width="15.7109375" style="495" customWidth="1"/>
    <col min="13034" max="13035" width="19.28515625" style="495" customWidth="1"/>
    <col min="13036" max="13036" width="18.140625" style="495" customWidth="1"/>
    <col min="13037" max="13037" width="16" style="495" customWidth="1"/>
    <col min="13038" max="13038" width="18" style="495" customWidth="1"/>
    <col min="13039" max="13039" width="17.85546875" style="495" customWidth="1"/>
    <col min="13040" max="13041" width="16.140625" style="495" customWidth="1"/>
    <col min="13042" max="13044" width="17.5703125" style="495" customWidth="1"/>
    <col min="13045" max="13045" width="13.7109375" style="495" customWidth="1"/>
    <col min="13046" max="13272" width="11.5703125" style="495"/>
    <col min="13273" max="13273" width="5.5703125" style="495" customWidth="1"/>
    <col min="13274" max="13274" width="35.85546875" style="495" customWidth="1"/>
    <col min="13275" max="13275" width="16.85546875" style="495" customWidth="1"/>
    <col min="13276" max="13276" width="13.7109375" style="495" customWidth="1"/>
    <col min="13277" max="13277" width="17.140625" style="495" customWidth="1"/>
    <col min="13278" max="13279" width="17.85546875" style="495" customWidth="1"/>
    <col min="13280" max="13281" width="17.140625" style="495" customWidth="1"/>
    <col min="13282" max="13282" width="16.85546875" style="495" customWidth="1"/>
    <col min="13283" max="13283" width="20.5703125" style="495" customWidth="1"/>
    <col min="13284" max="13286" width="6.42578125" style="495" customWidth="1"/>
    <col min="13287" max="13287" width="15.85546875" style="495" customWidth="1"/>
    <col min="13288" max="13288" width="16" style="495" customWidth="1"/>
    <col min="13289" max="13289" width="15.7109375" style="495" customWidth="1"/>
    <col min="13290" max="13291" width="19.28515625" style="495" customWidth="1"/>
    <col min="13292" max="13292" width="18.140625" style="495" customWidth="1"/>
    <col min="13293" max="13293" width="16" style="495" customWidth="1"/>
    <col min="13294" max="13294" width="18" style="495" customWidth="1"/>
    <col min="13295" max="13295" width="17.85546875" style="495" customWidth="1"/>
    <col min="13296" max="13297" width="16.140625" style="495" customWidth="1"/>
    <col min="13298" max="13300" width="17.5703125" style="495" customWidth="1"/>
    <col min="13301" max="13301" width="13.7109375" style="495" customWidth="1"/>
    <col min="13302" max="13528" width="11.5703125" style="495"/>
    <col min="13529" max="13529" width="5.5703125" style="495" customWidth="1"/>
    <col min="13530" max="13530" width="35.85546875" style="495" customWidth="1"/>
    <col min="13531" max="13531" width="16.85546875" style="495" customWidth="1"/>
    <col min="13532" max="13532" width="13.7109375" style="495" customWidth="1"/>
    <col min="13533" max="13533" width="17.140625" style="495" customWidth="1"/>
    <col min="13534" max="13535" width="17.85546875" style="495" customWidth="1"/>
    <col min="13536" max="13537" width="17.140625" style="495" customWidth="1"/>
    <col min="13538" max="13538" width="16.85546875" style="495" customWidth="1"/>
    <col min="13539" max="13539" width="20.5703125" style="495" customWidth="1"/>
    <col min="13540" max="13542" width="6.42578125" style="495" customWidth="1"/>
    <col min="13543" max="13543" width="15.85546875" style="495" customWidth="1"/>
    <col min="13544" max="13544" width="16" style="495" customWidth="1"/>
    <col min="13545" max="13545" width="15.7109375" style="495" customWidth="1"/>
    <col min="13546" max="13547" width="19.28515625" style="495" customWidth="1"/>
    <col min="13548" max="13548" width="18.140625" style="495" customWidth="1"/>
    <col min="13549" max="13549" width="16" style="495" customWidth="1"/>
    <col min="13550" max="13550" width="18" style="495" customWidth="1"/>
    <col min="13551" max="13551" width="17.85546875" style="495" customWidth="1"/>
    <col min="13552" max="13553" width="16.140625" style="495" customWidth="1"/>
    <col min="13554" max="13556" width="17.5703125" style="495" customWidth="1"/>
    <col min="13557" max="13557" width="13.7109375" style="495" customWidth="1"/>
    <col min="13558" max="13784" width="11.5703125" style="495"/>
    <col min="13785" max="13785" width="5.5703125" style="495" customWidth="1"/>
    <col min="13786" max="13786" width="35.85546875" style="495" customWidth="1"/>
    <col min="13787" max="13787" width="16.85546875" style="495" customWidth="1"/>
    <col min="13788" max="13788" width="13.7109375" style="495" customWidth="1"/>
    <col min="13789" max="13789" width="17.140625" style="495" customWidth="1"/>
    <col min="13790" max="13791" width="17.85546875" style="495" customWidth="1"/>
    <col min="13792" max="13793" width="17.140625" style="495" customWidth="1"/>
    <col min="13794" max="13794" width="16.85546875" style="495" customWidth="1"/>
    <col min="13795" max="13795" width="20.5703125" style="495" customWidth="1"/>
    <col min="13796" max="13798" width="6.42578125" style="495" customWidth="1"/>
    <col min="13799" max="13799" width="15.85546875" style="495" customWidth="1"/>
    <col min="13800" max="13800" width="16" style="495" customWidth="1"/>
    <col min="13801" max="13801" width="15.7109375" style="495" customWidth="1"/>
    <col min="13802" max="13803" width="19.28515625" style="495" customWidth="1"/>
    <col min="13804" max="13804" width="18.140625" style="495" customWidth="1"/>
    <col min="13805" max="13805" width="16" style="495" customWidth="1"/>
    <col min="13806" max="13806" width="18" style="495" customWidth="1"/>
    <col min="13807" max="13807" width="17.85546875" style="495" customWidth="1"/>
    <col min="13808" max="13809" width="16.140625" style="495" customWidth="1"/>
    <col min="13810" max="13812" width="17.5703125" style="495" customWidth="1"/>
    <col min="13813" max="13813" width="13.7109375" style="495" customWidth="1"/>
    <col min="13814" max="14040" width="11.5703125" style="495"/>
    <col min="14041" max="14041" width="5.5703125" style="495" customWidth="1"/>
    <col min="14042" max="14042" width="35.85546875" style="495" customWidth="1"/>
    <col min="14043" max="14043" width="16.85546875" style="495" customWidth="1"/>
    <col min="14044" max="14044" width="13.7109375" style="495" customWidth="1"/>
    <col min="14045" max="14045" width="17.140625" style="495" customWidth="1"/>
    <col min="14046" max="14047" width="17.85546875" style="495" customWidth="1"/>
    <col min="14048" max="14049" width="17.140625" style="495" customWidth="1"/>
    <col min="14050" max="14050" width="16.85546875" style="495" customWidth="1"/>
    <col min="14051" max="14051" width="20.5703125" style="495" customWidth="1"/>
    <col min="14052" max="14054" width="6.42578125" style="495" customWidth="1"/>
    <col min="14055" max="14055" width="15.85546875" style="495" customWidth="1"/>
    <col min="14056" max="14056" width="16" style="495" customWidth="1"/>
    <col min="14057" max="14057" width="15.7109375" style="495" customWidth="1"/>
    <col min="14058" max="14059" width="19.28515625" style="495" customWidth="1"/>
    <col min="14060" max="14060" width="18.140625" style="495" customWidth="1"/>
    <col min="14061" max="14061" width="16" style="495" customWidth="1"/>
    <col min="14062" max="14062" width="18" style="495" customWidth="1"/>
    <col min="14063" max="14063" width="17.85546875" style="495" customWidth="1"/>
    <col min="14064" max="14065" width="16.140625" style="495" customWidth="1"/>
    <col min="14066" max="14068" width="17.5703125" style="495" customWidth="1"/>
    <col min="14069" max="14069" width="13.7109375" style="495" customWidth="1"/>
    <col min="14070" max="14296" width="11.5703125" style="495"/>
    <col min="14297" max="14297" width="5.5703125" style="495" customWidth="1"/>
    <col min="14298" max="14298" width="35.85546875" style="495" customWidth="1"/>
    <col min="14299" max="14299" width="16.85546875" style="495" customWidth="1"/>
    <col min="14300" max="14300" width="13.7109375" style="495" customWidth="1"/>
    <col min="14301" max="14301" width="17.140625" style="495" customWidth="1"/>
    <col min="14302" max="14303" width="17.85546875" style="495" customWidth="1"/>
    <col min="14304" max="14305" width="17.140625" style="495" customWidth="1"/>
    <col min="14306" max="14306" width="16.85546875" style="495" customWidth="1"/>
    <col min="14307" max="14307" width="20.5703125" style="495" customWidth="1"/>
    <col min="14308" max="14310" width="6.42578125" style="495" customWidth="1"/>
    <col min="14311" max="14311" width="15.85546875" style="495" customWidth="1"/>
    <col min="14312" max="14312" width="16" style="495" customWidth="1"/>
    <col min="14313" max="14313" width="15.7109375" style="495" customWidth="1"/>
    <col min="14314" max="14315" width="19.28515625" style="495" customWidth="1"/>
    <col min="14316" max="14316" width="18.140625" style="495" customWidth="1"/>
    <col min="14317" max="14317" width="16" style="495" customWidth="1"/>
    <col min="14318" max="14318" width="18" style="495" customWidth="1"/>
    <col min="14319" max="14319" width="17.85546875" style="495" customWidth="1"/>
    <col min="14320" max="14321" width="16.140625" style="495" customWidth="1"/>
    <col min="14322" max="14324" width="17.5703125" style="495" customWidth="1"/>
    <col min="14325" max="14325" width="13.7109375" style="495" customWidth="1"/>
    <col min="14326" max="14552" width="11.5703125" style="495"/>
    <col min="14553" max="14553" width="5.5703125" style="495" customWidth="1"/>
    <col min="14554" max="14554" width="35.85546875" style="495" customWidth="1"/>
    <col min="14555" max="14555" width="16.85546875" style="495" customWidth="1"/>
    <col min="14556" max="14556" width="13.7109375" style="495" customWidth="1"/>
    <col min="14557" max="14557" width="17.140625" style="495" customWidth="1"/>
    <col min="14558" max="14559" width="17.85546875" style="495" customWidth="1"/>
    <col min="14560" max="14561" width="17.140625" style="495" customWidth="1"/>
    <col min="14562" max="14562" width="16.85546875" style="495" customWidth="1"/>
    <col min="14563" max="14563" width="20.5703125" style="495" customWidth="1"/>
    <col min="14564" max="14566" width="6.42578125" style="495" customWidth="1"/>
    <col min="14567" max="14567" width="15.85546875" style="495" customWidth="1"/>
    <col min="14568" max="14568" width="16" style="495" customWidth="1"/>
    <col min="14569" max="14569" width="15.7109375" style="495" customWidth="1"/>
    <col min="14570" max="14571" width="19.28515625" style="495" customWidth="1"/>
    <col min="14572" max="14572" width="18.140625" style="495" customWidth="1"/>
    <col min="14573" max="14573" width="16" style="495" customWidth="1"/>
    <col min="14574" max="14574" width="18" style="495" customWidth="1"/>
    <col min="14575" max="14575" width="17.85546875" style="495" customWidth="1"/>
    <col min="14576" max="14577" width="16.140625" style="495" customWidth="1"/>
    <col min="14578" max="14580" width="17.5703125" style="495" customWidth="1"/>
    <col min="14581" max="14581" width="13.7109375" style="495" customWidth="1"/>
    <col min="14582" max="14808" width="11.5703125" style="495"/>
    <col min="14809" max="14809" width="5.5703125" style="495" customWidth="1"/>
    <col min="14810" max="14810" width="35.85546875" style="495" customWidth="1"/>
    <col min="14811" max="14811" width="16.85546875" style="495" customWidth="1"/>
    <col min="14812" max="14812" width="13.7109375" style="495" customWidth="1"/>
    <col min="14813" max="14813" width="17.140625" style="495" customWidth="1"/>
    <col min="14814" max="14815" width="17.85546875" style="495" customWidth="1"/>
    <col min="14816" max="14817" width="17.140625" style="495" customWidth="1"/>
    <col min="14818" max="14818" width="16.85546875" style="495" customWidth="1"/>
    <col min="14819" max="14819" width="20.5703125" style="495" customWidth="1"/>
    <col min="14820" max="14822" width="6.42578125" style="495" customWidth="1"/>
    <col min="14823" max="14823" width="15.85546875" style="495" customWidth="1"/>
    <col min="14824" max="14824" width="16" style="495" customWidth="1"/>
    <col min="14825" max="14825" width="15.7109375" style="495" customWidth="1"/>
    <col min="14826" max="14827" width="19.28515625" style="495" customWidth="1"/>
    <col min="14828" max="14828" width="18.140625" style="495" customWidth="1"/>
    <col min="14829" max="14829" width="16" style="495" customWidth="1"/>
    <col min="14830" max="14830" width="18" style="495" customWidth="1"/>
    <col min="14831" max="14831" width="17.85546875" style="495" customWidth="1"/>
    <col min="14832" max="14833" width="16.140625" style="495" customWidth="1"/>
    <col min="14834" max="14836" width="17.5703125" style="495" customWidth="1"/>
    <col min="14837" max="14837" width="13.7109375" style="495" customWidth="1"/>
    <col min="14838" max="15064" width="11.5703125" style="495"/>
    <col min="15065" max="15065" width="5.5703125" style="495" customWidth="1"/>
    <col min="15066" max="15066" width="35.85546875" style="495" customWidth="1"/>
    <col min="15067" max="15067" width="16.85546875" style="495" customWidth="1"/>
    <col min="15068" max="15068" width="13.7109375" style="495" customWidth="1"/>
    <col min="15069" max="15069" width="17.140625" style="495" customWidth="1"/>
    <col min="15070" max="15071" width="17.85546875" style="495" customWidth="1"/>
    <col min="15072" max="15073" width="17.140625" style="495" customWidth="1"/>
    <col min="15074" max="15074" width="16.85546875" style="495" customWidth="1"/>
    <col min="15075" max="15075" width="20.5703125" style="495" customWidth="1"/>
    <col min="15076" max="15078" width="6.42578125" style="495" customWidth="1"/>
    <col min="15079" max="15079" width="15.85546875" style="495" customWidth="1"/>
    <col min="15080" max="15080" width="16" style="495" customWidth="1"/>
    <col min="15081" max="15081" width="15.7109375" style="495" customWidth="1"/>
    <col min="15082" max="15083" width="19.28515625" style="495" customWidth="1"/>
    <col min="15084" max="15084" width="18.140625" style="495" customWidth="1"/>
    <col min="15085" max="15085" width="16" style="495" customWidth="1"/>
    <col min="15086" max="15086" width="18" style="495" customWidth="1"/>
    <col min="15087" max="15087" width="17.85546875" style="495" customWidth="1"/>
    <col min="15088" max="15089" width="16.140625" style="495" customWidth="1"/>
    <col min="15090" max="15092" width="17.5703125" style="495" customWidth="1"/>
    <col min="15093" max="15093" width="13.7109375" style="495" customWidth="1"/>
    <col min="15094" max="15320" width="11.5703125" style="495"/>
    <col min="15321" max="15321" width="5.5703125" style="495" customWidth="1"/>
    <col min="15322" max="15322" width="35.85546875" style="495" customWidth="1"/>
    <col min="15323" max="15323" width="16.85546875" style="495" customWidth="1"/>
    <col min="15324" max="15324" width="13.7109375" style="495" customWidth="1"/>
    <col min="15325" max="15325" width="17.140625" style="495" customWidth="1"/>
    <col min="15326" max="15327" width="17.85546875" style="495" customWidth="1"/>
    <col min="15328" max="15329" width="17.140625" style="495" customWidth="1"/>
    <col min="15330" max="15330" width="16.85546875" style="495" customWidth="1"/>
    <col min="15331" max="15331" width="20.5703125" style="495" customWidth="1"/>
    <col min="15332" max="15334" width="6.42578125" style="495" customWidth="1"/>
    <col min="15335" max="15335" width="15.85546875" style="495" customWidth="1"/>
    <col min="15336" max="15336" width="16" style="495" customWidth="1"/>
    <col min="15337" max="15337" width="15.7109375" style="495" customWidth="1"/>
    <col min="15338" max="15339" width="19.28515625" style="495" customWidth="1"/>
    <col min="15340" max="15340" width="18.140625" style="495" customWidth="1"/>
    <col min="15341" max="15341" width="16" style="495" customWidth="1"/>
    <col min="15342" max="15342" width="18" style="495" customWidth="1"/>
    <col min="15343" max="15343" width="17.85546875" style="495" customWidth="1"/>
    <col min="15344" max="15345" width="16.140625" style="495" customWidth="1"/>
    <col min="15346" max="15348" width="17.5703125" style="495" customWidth="1"/>
    <col min="15349" max="15349" width="13.7109375" style="495" customWidth="1"/>
    <col min="15350" max="15576" width="11.5703125" style="495"/>
    <col min="15577" max="15577" width="5.5703125" style="495" customWidth="1"/>
    <col min="15578" max="15578" width="35.85546875" style="495" customWidth="1"/>
    <col min="15579" max="15579" width="16.85546875" style="495" customWidth="1"/>
    <col min="15580" max="15580" width="13.7109375" style="495" customWidth="1"/>
    <col min="15581" max="15581" width="17.140625" style="495" customWidth="1"/>
    <col min="15582" max="15583" width="17.85546875" style="495" customWidth="1"/>
    <col min="15584" max="15585" width="17.140625" style="495" customWidth="1"/>
    <col min="15586" max="15586" width="16.85546875" style="495" customWidth="1"/>
    <col min="15587" max="15587" width="20.5703125" style="495" customWidth="1"/>
    <col min="15588" max="15590" width="6.42578125" style="495" customWidth="1"/>
    <col min="15591" max="15591" width="15.85546875" style="495" customWidth="1"/>
    <col min="15592" max="15592" width="16" style="495" customWidth="1"/>
    <col min="15593" max="15593" width="15.7109375" style="495" customWidth="1"/>
    <col min="15594" max="15595" width="19.28515625" style="495" customWidth="1"/>
    <col min="15596" max="15596" width="18.140625" style="495" customWidth="1"/>
    <col min="15597" max="15597" width="16" style="495" customWidth="1"/>
    <col min="15598" max="15598" width="18" style="495" customWidth="1"/>
    <col min="15599" max="15599" width="17.85546875" style="495" customWidth="1"/>
    <col min="15600" max="15601" width="16.140625" style="495" customWidth="1"/>
    <col min="15602" max="15604" width="17.5703125" style="495" customWidth="1"/>
    <col min="15605" max="15605" width="13.7109375" style="495" customWidth="1"/>
    <col min="15606" max="15832" width="11.5703125" style="495"/>
    <col min="15833" max="15833" width="5.5703125" style="495" customWidth="1"/>
    <col min="15834" max="15834" width="35.85546875" style="495" customWidth="1"/>
    <col min="15835" max="15835" width="16.85546875" style="495" customWidth="1"/>
    <col min="15836" max="15836" width="13.7109375" style="495" customWidth="1"/>
    <col min="15837" max="15837" width="17.140625" style="495" customWidth="1"/>
    <col min="15838" max="15839" width="17.85546875" style="495" customWidth="1"/>
    <col min="15840" max="15841" width="17.140625" style="495" customWidth="1"/>
    <col min="15842" max="15842" width="16.85546875" style="495" customWidth="1"/>
    <col min="15843" max="15843" width="20.5703125" style="495" customWidth="1"/>
    <col min="15844" max="15846" width="6.42578125" style="495" customWidth="1"/>
    <col min="15847" max="15847" width="15.85546875" style="495" customWidth="1"/>
    <col min="15848" max="15848" width="16" style="495" customWidth="1"/>
    <col min="15849" max="15849" width="15.7109375" style="495" customWidth="1"/>
    <col min="15850" max="15851" width="19.28515625" style="495" customWidth="1"/>
    <col min="15852" max="15852" width="18.140625" style="495" customWidth="1"/>
    <col min="15853" max="15853" width="16" style="495" customWidth="1"/>
    <col min="15854" max="15854" width="18" style="495" customWidth="1"/>
    <col min="15855" max="15855" width="17.85546875" style="495" customWidth="1"/>
    <col min="15856" max="15857" width="16.140625" style="495" customWidth="1"/>
    <col min="15858" max="15860" width="17.5703125" style="495" customWidth="1"/>
    <col min="15861" max="15861" width="13.7109375" style="495" customWidth="1"/>
    <col min="15862" max="16088" width="11.5703125" style="495"/>
    <col min="16089" max="16089" width="5.5703125" style="495" customWidth="1"/>
    <col min="16090" max="16090" width="35.85546875" style="495" customWidth="1"/>
    <col min="16091" max="16091" width="16.85546875" style="495" customWidth="1"/>
    <col min="16092" max="16092" width="13.7109375" style="495" customWidth="1"/>
    <col min="16093" max="16093" width="17.140625" style="495" customWidth="1"/>
    <col min="16094" max="16095" width="17.85546875" style="495" customWidth="1"/>
    <col min="16096" max="16097" width="17.140625" style="495" customWidth="1"/>
    <col min="16098" max="16098" width="16.85546875" style="495" customWidth="1"/>
    <col min="16099" max="16099" width="20.5703125" style="495" customWidth="1"/>
    <col min="16100" max="16102" width="6.42578125" style="495" customWidth="1"/>
    <col min="16103" max="16103" width="15.85546875" style="495" customWidth="1"/>
    <col min="16104" max="16104" width="16" style="495" customWidth="1"/>
    <col min="16105" max="16105" width="15.7109375" style="495" customWidth="1"/>
    <col min="16106" max="16107" width="19.28515625" style="495" customWidth="1"/>
    <col min="16108" max="16108" width="18.140625" style="495" customWidth="1"/>
    <col min="16109" max="16109" width="16" style="495" customWidth="1"/>
    <col min="16110" max="16110" width="18" style="495" customWidth="1"/>
    <col min="16111" max="16111" width="17.85546875" style="495" customWidth="1"/>
    <col min="16112" max="16113" width="16.140625" style="495" customWidth="1"/>
    <col min="16114" max="16116" width="17.5703125" style="495" customWidth="1"/>
    <col min="16117" max="16117" width="13.7109375" style="495" customWidth="1"/>
    <col min="16118" max="16384" width="11.5703125" style="495"/>
  </cols>
  <sheetData>
    <row r="1" spans="1:24" ht="51.75" customHeight="1" x14ac:dyDescent="0.2">
      <c r="A1" s="1334" t="s">
        <v>447</v>
      </c>
      <c r="B1" s="1336" t="s">
        <v>2733</v>
      </c>
      <c r="C1" s="1469" t="s">
        <v>4164</v>
      </c>
      <c r="D1" s="1330" t="s">
        <v>3418</v>
      </c>
      <c r="E1" s="1468"/>
      <c r="F1" s="1328" t="s">
        <v>4158</v>
      </c>
      <c r="G1" s="1328" t="s">
        <v>4150</v>
      </c>
      <c r="H1" s="1328" t="s">
        <v>4151</v>
      </c>
      <c r="I1" s="1330" t="s">
        <v>3418</v>
      </c>
      <c r="J1" s="592"/>
      <c r="K1" s="1474" t="s">
        <v>3425</v>
      </c>
      <c r="L1" s="1475"/>
      <c r="M1" s="1475"/>
      <c r="N1" s="1475"/>
      <c r="O1" s="1475"/>
      <c r="P1" s="1475"/>
      <c r="Q1" s="1475"/>
      <c r="R1" s="1475" t="s">
        <v>3425</v>
      </c>
      <c r="S1" s="1475"/>
      <c r="T1" s="1475"/>
      <c r="U1" s="1475"/>
      <c r="V1" s="1475"/>
      <c r="W1" s="1476"/>
    </row>
    <row r="2" spans="1:24" ht="38.25" customHeight="1" thickBot="1" x14ac:dyDescent="0.25">
      <c r="A2" s="1335"/>
      <c r="B2" s="1337"/>
      <c r="C2" s="1470"/>
      <c r="D2" s="1331"/>
      <c r="E2" s="1468"/>
      <c r="F2" s="1329"/>
      <c r="G2" s="1329"/>
      <c r="H2" s="1329"/>
      <c r="I2" s="1331"/>
      <c r="J2" s="592"/>
      <c r="K2" s="498" t="s">
        <v>3672</v>
      </c>
      <c r="L2" s="498" t="s">
        <v>3742</v>
      </c>
      <c r="M2" s="498" t="s">
        <v>3661</v>
      </c>
      <c r="N2" s="498" t="s">
        <v>3662</v>
      </c>
      <c r="O2" s="498" t="s">
        <v>3663</v>
      </c>
      <c r="P2" s="498" t="s">
        <v>3664</v>
      </c>
      <c r="Q2" s="498" t="s">
        <v>3316</v>
      </c>
      <c r="R2" s="498" t="s">
        <v>3317</v>
      </c>
      <c r="S2" s="498" t="s">
        <v>3346</v>
      </c>
      <c r="T2" s="498" t="s">
        <v>3757</v>
      </c>
      <c r="U2" s="498" t="s">
        <v>3743</v>
      </c>
      <c r="V2" s="498" t="s">
        <v>3334</v>
      </c>
      <c r="W2" s="498" t="s">
        <v>695</v>
      </c>
    </row>
    <row r="3" spans="1:24" ht="28.9" customHeight="1" thickBot="1" x14ac:dyDescent="0.25">
      <c r="A3" s="499"/>
      <c r="B3" s="500" t="s">
        <v>2734</v>
      </c>
      <c r="C3" s="1471" t="s">
        <v>4165</v>
      </c>
      <c r="D3" s="501" t="e">
        <f t="shared" ref="D3:W3" si="0">+D4</f>
        <v>#REF!</v>
      </c>
      <c r="E3" s="492"/>
      <c r="F3" s="502">
        <f t="shared" si="0"/>
        <v>0</v>
      </c>
      <c r="G3" s="502" t="e">
        <f t="shared" si="0"/>
        <v>#REF!</v>
      </c>
      <c r="H3" s="502">
        <f t="shared" si="0"/>
        <v>0</v>
      </c>
      <c r="I3" s="502" t="e">
        <f t="shared" si="0"/>
        <v>#REF!</v>
      </c>
      <c r="J3" s="593"/>
      <c r="K3" s="505">
        <f t="shared" si="0"/>
        <v>120000000</v>
      </c>
      <c r="L3" s="505">
        <f t="shared" si="0"/>
        <v>0</v>
      </c>
      <c r="M3" s="505">
        <f t="shared" si="0"/>
        <v>0</v>
      </c>
      <c r="N3" s="505">
        <f t="shared" si="0"/>
        <v>0</v>
      </c>
      <c r="O3" s="505">
        <f t="shared" si="0"/>
        <v>0</v>
      </c>
      <c r="P3" s="505">
        <f t="shared" si="0"/>
        <v>0</v>
      </c>
      <c r="Q3" s="505">
        <f t="shared" si="0"/>
        <v>0</v>
      </c>
      <c r="R3" s="505">
        <f t="shared" si="0"/>
        <v>125000000</v>
      </c>
      <c r="S3" s="505">
        <f t="shared" si="0"/>
        <v>0</v>
      </c>
      <c r="T3" s="505">
        <f t="shared" si="0"/>
        <v>0</v>
      </c>
      <c r="U3" s="505">
        <f t="shared" si="0"/>
        <v>0</v>
      </c>
      <c r="V3" s="505" t="e">
        <f t="shared" si="0"/>
        <v>#REF!</v>
      </c>
      <c r="W3" s="505" t="e">
        <f t="shared" si="0"/>
        <v>#REF!</v>
      </c>
      <c r="X3" s="597"/>
    </row>
    <row r="4" spans="1:24" ht="32.450000000000003" customHeight="1" thickBot="1" x14ac:dyDescent="0.25">
      <c r="A4" s="506"/>
      <c r="B4" s="507" t="s">
        <v>2735</v>
      </c>
      <c r="C4" s="1472"/>
      <c r="D4" s="508" t="e">
        <f>SUM(D5:D7)</f>
        <v>#REF!</v>
      </c>
      <c r="E4" s="492"/>
      <c r="F4" s="509">
        <f>SUM(F5:F7)</f>
        <v>0</v>
      </c>
      <c r="G4" s="509" t="e">
        <f>SUM(G5:G7)</f>
        <v>#REF!</v>
      </c>
      <c r="H4" s="509">
        <f>SUM(H5:H7)</f>
        <v>0</v>
      </c>
      <c r="I4" s="509" t="e">
        <f>SUM(I5:I7)</f>
        <v>#REF!</v>
      </c>
      <c r="J4" s="594"/>
      <c r="K4" s="512">
        <f t="shared" ref="K4:W4" si="1">SUM(K5:K7)</f>
        <v>120000000</v>
      </c>
      <c r="L4" s="512">
        <f t="shared" si="1"/>
        <v>0</v>
      </c>
      <c r="M4" s="512">
        <f t="shared" si="1"/>
        <v>0</v>
      </c>
      <c r="N4" s="512">
        <f t="shared" si="1"/>
        <v>0</v>
      </c>
      <c r="O4" s="512">
        <f t="shared" si="1"/>
        <v>0</v>
      </c>
      <c r="P4" s="512">
        <f t="shared" si="1"/>
        <v>0</v>
      </c>
      <c r="Q4" s="512">
        <f t="shared" si="1"/>
        <v>0</v>
      </c>
      <c r="R4" s="512">
        <f t="shared" si="1"/>
        <v>125000000</v>
      </c>
      <c r="S4" s="512">
        <f t="shared" si="1"/>
        <v>0</v>
      </c>
      <c r="T4" s="512">
        <f t="shared" si="1"/>
        <v>0</v>
      </c>
      <c r="U4" s="512">
        <f t="shared" si="1"/>
        <v>0</v>
      </c>
      <c r="V4" s="512" t="e">
        <f>SUM(V5:V7)</f>
        <v>#REF!</v>
      </c>
      <c r="W4" s="512" t="e">
        <f t="shared" si="1"/>
        <v>#REF!</v>
      </c>
      <c r="X4" s="597"/>
    </row>
    <row r="5" spans="1:24" ht="39" customHeight="1" thickBot="1" x14ac:dyDescent="0.25">
      <c r="A5" s="506">
        <v>510</v>
      </c>
      <c r="B5" s="513" t="s">
        <v>2736</v>
      </c>
      <c r="C5" s="1472"/>
      <c r="D5" s="514" t="e">
        <f>+#REF!</f>
        <v>#REF!</v>
      </c>
      <c r="E5" s="492"/>
      <c r="F5" s="515"/>
      <c r="G5" s="515" t="e">
        <f>SUM(#REF!)</f>
        <v>#REF!</v>
      </c>
      <c r="H5" s="515"/>
      <c r="I5" s="515" t="e">
        <f>+D5+F5+G5+H5</f>
        <v>#REF!</v>
      </c>
      <c r="J5" s="595"/>
      <c r="K5" s="606">
        <f>+'PLANINDICATIVO PD'!AA3</f>
        <v>0</v>
      </c>
      <c r="L5" s="606">
        <f>+'PLANINDICATIVO PD'!AB3</f>
        <v>0</v>
      </c>
      <c r="M5" s="606">
        <f>+'PLANINDICATIVO PD'!AC3</f>
        <v>0</v>
      </c>
      <c r="N5" s="606">
        <f>+'PLANINDICATIVO PD'!AD3</f>
        <v>0</v>
      </c>
      <c r="O5" s="606">
        <f>+'PLANINDICATIVO PD'!AE3</f>
        <v>0</v>
      </c>
      <c r="P5" s="606">
        <f>+'PLANINDICATIVO PD'!AF3</f>
        <v>0</v>
      </c>
      <c r="Q5" s="606">
        <f>+'PLANINDICATIVO PD'!AG3</f>
        <v>0</v>
      </c>
      <c r="R5" s="606">
        <f>+'PLANINDICATIVO PD'!AH3</f>
        <v>5000000</v>
      </c>
      <c r="S5" s="606"/>
      <c r="T5" s="606">
        <f>+H5</f>
        <v>0</v>
      </c>
      <c r="U5" s="606">
        <f>+'PLANINDICATIVO PD'!AJ3</f>
        <v>0</v>
      </c>
      <c r="V5" s="606" t="e">
        <f>+G5</f>
        <v>#REF!</v>
      </c>
      <c r="W5" s="596" t="e">
        <f>SUM(K5:V5)</f>
        <v>#REF!</v>
      </c>
      <c r="X5" s="597"/>
    </row>
    <row r="6" spans="1:24" ht="40.9" customHeight="1" thickBot="1" x14ac:dyDescent="0.25">
      <c r="A6" s="506">
        <v>510</v>
      </c>
      <c r="B6" s="513" t="s">
        <v>2737</v>
      </c>
      <c r="C6" s="1472"/>
      <c r="D6" s="514" t="e">
        <f>+#REF!</f>
        <v>#REF!</v>
      </c>
      <c r="E6" s="492"/>
      <c r="F6" s="515"/>
      <c r="G6" s="515"/>
      <c r="H6" s="515"/>
      <c r="I6" s="515" t="e">
        <f>+D6+F6+G6+H6</f>
        <v>#REF!</v>
      </c>
      <c r="J6" s="595"/>
      <c r="K6" s="606">
        <f>+'PLANINDICATIVO PD'!AA4</f>
        <v>0</v>
      </c>
      <c r="L6" s="606">
        <f>+'PLANINDICATIVO PD'!AB4</f>
        <v>0</v>
      </c>
      <c r="M6" s="606">
        <f>+'PLANINDICATIVO PD'!AC4</f>
        <v>0</v>
      </c>
      <c r="N6" s="606">
        <f>+'PLANINDICATIVO PD'!AD4</f>
        <v>0</v>
      </c>
      <c r="O6" s="606">
        <f>+'PLANINDICATIVO PD'!AE4</f>
        <v>0</v>
      </c>
      <c r="P6" s="606">
        <f>+'PLANINDICATIVO PD'!AF4</f>
        <v>0</v>
      </c>
      <c r="Q6" s="606">
        <f>+'PLANINDICATIVO PD'!AG4</f>
        <v>0</v>
      </c>
      <c r="R6" s="606">
        <f>+'PLANINDICATIVO PD'!AH4</f>
        <v>0</v>
      </c>
      <c r="S6" s="606"/>
      <c r="T6" s="606">
        <f>+H6</f>
        <v>0</v>
      </c>
      <c r="U6" s="606">
        <f>+'PLANINDICATIVO PD'!AJ4</f>
        <v>0</v>
      </c>
      <c r="V6" s="606">
        <f>+G6</f>
        <v>0</v>
      </c>
      <c r="W6" s="596">
        <f>SUM(K6:V6)</f>
        <v>0</v>
      </c>
      <c r="X6" s="597"/>
    </row>
    <row r="7" spans="1:24" ht="31.15" customHeight="1" thickBot="1" x14ac:dyDescent="0.25">
      <c r="A7" s="506">
        <v>510</v>
      </c>
      <c r="B7" s="520" t="s">
        <v>2738</v>
      </c>
      <c r="C7" s="1473"/>
      <c r="D7" s="514" t="e">
        <f>+#REF!</f>
        <v>#REF!</v>
      </c>
      <c r="E7" s="492"/>
      <c r="F7" s="515"/>
      <c r="G7" s="515" t="e">
        <f>SUM(#REF!)</f>
        <v>#REF!</v>
      </c>
      <c r="H7" s="515"/>
      <c r="I7" s="515" t="e">
        <f>+D7+F7+G7+H7</f>
        <v>#REF!</v>
      </c>
      <c r="J7" s="595"/>
      <c r="K7" s="606">
        <f>+'PLANINDICATIVO PD'!AA5</f>
        <v>120000000</v>
      </c>
      <c r="L7" s="606">
        <f>+'PLANINDICATIVO PD'!AB5</f>
        <v>0</v>
      </c>
      <c r="M7" s="606">
        <f>+'PLANINDICATIVO PD'!AC5</f>
        <v>0</v>
      </c>
      <c r="N7" s="606">
        <f>+'PLANINDICATIVO PD'!AD5</f>
        <v>0</v>
      </c>
      <c r="O7" s="606">
        <f>+'PLANINDICATIVO PD'!AE5</f>
        <v>0</v>
      </c>
      <c r="P7" s="606">
        <f>+'PLANINDICATIVO PD'!AF5</f>
        <v>0</v>
      </c>
      <c r="Q7" s="606">
        <f>+'PLANINDICATIVO PD'!AG5</f>
        <v>0</v>
      </c>
      <c r="R7" s="606">
        <f>+'PLANINDICATIVO PD'!AH5</f>
        <v>120000000</v>
      </c>
      <c r="S7" s="606"/>
      <c r="T7" s="606">
        <f>+H7</f>
        <v>0</v>
      </c>
      <c r="U7" s="606">
        <f>+'PLANINDICATIVO PD'!AJ5</f>
        <v>0</v>
      </c>
      <c r="V7" s="606" t="e">
        <f>+G7</f>
        <v>#REF!</v>
      </c>
      <c r="W7" s="596" t="e">
        <f>SUM(K7:V7)</f>
        <v>#REF!</v>
      </c>
      <c r="X7" s="597"/>
    </row>
    <row r="8" spans="1:24" ht="28.9" customHeight="1" thickBot="1" x14ac:dyDescent="0.25">
      <c r="A8" s="506"/>
      <c r="B8" s="500" t="s">
        <v>2739</v>
      </c>
      <c r="C8" s="1471" t="s">
        <v>4165</v>
      </c>
      <c r="D8" s="501" t="e">
        <f t="shared" ref="D8:W8" si="2">+D9</f>
        <v>#REF!</v>
      </c>
      <c r="E8" s="492"/>
      <c r="F8" s="521">
        <f t="shared" si="2"/>
        <v>0</v>
      </c>
      <c r="G8" s="521" t="e">
        <f t="shared" si="2"/>
        <v>#REF!</v>
      </c>
      <c r="H8" s="521">
        <f t="shared" si="2"/>
        <v>0</v>
      </c>
      <c r="I8" s="521" t="e">
        <f t="shared" si="2"/>
        <v>#REF!</v>
      </c>
      <c r="J8" s="593"/>
      <c r="K8" s="505">
        <f t="shared" si="2"/>
        <v>215000000</v>
      </c>
      <c r="L8" s="505">
        <f t="shared" si="2"/>
        <v>0</v>
      </c>
      <c r="M8" s="505">
        <f t="shared" si="2"/>
        <v>0</v>
      </c>
      <c r="N8" s="505">
        <f t="shared" si="2"/>
        <v>0</v>
      </c>
      <c r="O8" s="505">
        <f t="shared" si="2"/>
        <v>0</v>
      </c>
      <c r="P8" s="505">
        <f t="shared" si="2"/>
        <v>0</v>
      </c>
      <c r="Q8" s="505">
        <f t="shared" si="2"/>
        <v>100000000</v>
      </c>
      <c r="R8" s="505">
        <f t="shared" si="2"/>
        <v>105000000</v>
      </c>
      <c r="S8" s="505">
        <f t="shared" si="2"/>
        <v>15000000</v>
      </c>
      <c r="T8" s="505">
        <f t="shared" si="2"/>
        <v>0</v>
      </c>
      <c r="U8" s="505">
        <f t="shared" si="2"/>
        <v>0</v>
      </c>
      <c r="V8" s="505" t="e">
        <f t="shared" si="2"/>
        <v>#REF!</v>
      </c>
      <c r="W8" s="505" t="e">
        <f t="shared" si="2"/>
        <v>#REF!</v>
      </c>
      <c r="X8" s="597"/>
    </row>
    <row r="9" spans="1:24" ht="39" customHeight="1" thickBot="1" x14ac:dyDescent="0.25">
      <c r="A9" s="506"/>
      <c r="B9" s="507" t="s">
        <v>2740</v>
      </c>
      <c r="C9" s="1472"/>
      <c r="D9" s="508" t="e">
        <f>SUM(D10:D11)</f>
        <v>#REF!</v>
      </c>
      <c r="E9" s="492"/>
      <c r="F9" s="509">
        <f>SUM(F10:F11)</f>
        <v>0</v>
      </c>
      <c r="G9" s="509" t="e">
        <f>SUM(G10:G11)</f>
        <v>#REF!</v>
      </c>
      <c r="H9" s="509">
        <f>SUM(H10:H11)</f>
        <v>0</v>
      </c>
      <c r="I9" s="509" t="e">
        <f>SUM(I10:I11)</f>
        <v>#REF!</v>
      </c>
      <c r="J9" s="594"/>
      <c r="K9" s="512">
        <f t="shared" ref="K9:W9" si="3">SUM(K10:K11)</f>
        <v>215000000</v>
      </c>
      <c r="L9" s="512">
        <f t="shared" si="3"/>
        <v>0</v>
      </c>
      <c r="M9" s="512">
        <f t="shared" si="3"/>
        <v>0</v>
      </c>
      <c r="N9" s="512">
        <f t="shared" si="3"/>
        <v>0</v>
      </c>
      <c r="O9" s="512">
        <f t="shared" si="3"/>
        <v>0</v>
      </c>
      <c r="P9" s="512">
        <f t="shared" si="3"/>
        <v>0</v>
      </c>
      <c r="Q9" s="512">
        <f t="shared" si="3"/>
        <v>100000000</v>
      </c>
      <c r="R9" s="512">
        <f t="shared" si="3"/>
        <v>105000000</v>
      </c>
      <c r="S9" s="512">
        <f t="shared" si="3"/>
        <v>15000000</v>
      </c>
      <c r="T9" s="512">
        <f t="shared" si="3"/>
        <v>0</v>
      </c>
      <c r="U9" s="512">
        <f t="shared" si="3"/>
        <v>0</v>
      </c>
      <c r="V9" s="512" t="e">
        <f t="shared" si="3"/>
        <v>#REF!</v>
      </c>
      <c r="W9" s="512" t="e">
        <f t="shared" si="3"/>
        <v>#REF!</v>
      </c>
      <c r="X9" s="597"/>
    </row>
    <row r="10" spans="1:24" ht="20.45" customHeight="1" thickBot="1" x14ac:dyDescent="0.25">
      <c r="A10" s="506">
        <v>520</v>
      </c>
      <c r="B10" s="524" t="s">
        <v>2741</v>
      </c>
      <c r="C10" s="1472"/>
      <c r="D10" s="514" t="e">
        <f>+#REF!</f>
        <v>#REF!</v>
      </c>
      <c r="E10" s="492"/>
      <c r="F10" s="515">
        <f>SUM('PLANINDICATIVO PD'!AQ8)</f>
        <v>0</v>
      </c>
      <c r="G10" s="515" t="e">
        <f>SUM(#REF!)</f>
        <v>#REF!</v>
      </c>
      <c r="H10" s="515">
        <f>SUM('PLANINDICATIVO PD'!AS8)</f>
        <v>0</v>
      </c>
      <c r="I10" s="515" t="e">
        <f>+D10+F10+G10+H10</f>
        <v>#REF!</v>
      </c>
      <c r="J10" s="595"/>
      <c r="K10" s="773">
        <f>+'PLANINDICATIVO PD'!AA8</f>
        <v>25000000</v>
      </c>
      <c r="L10" s="606">
        <f>+'PLANINDICATIVO PD'!AB8</f>
        <v>0</v>
      </c>
      <c r="M10" s="606">
        <f>+'PLANINDICATIVO PD'!AC8</f>
        <v>0</v>
      </c>
      <c r="N10" s="606">
        <f>+'PLANINDICATIVO PD'!AD8</f>
        <v>0</v>
      </c>
      <c r="O10" s="606">
        <f>+'PLANINDICATIVO PD'!AE8</f>
        <v>0</v>
      </c>
      <c r="P10" s="606">
        <f>+'PLANINDICATIVO PD'!AF8</f>
        <v>0</v>
      </c>
      <c r="Q10" s="606">
        <f>+'PLANINDICATIVO PD'!AG8</f>
        <v>0</v>
      </c>
      <c r="R10" s="606">
        <f>+'PLANINDICATIVO PD'!AH8</f>
        <v>25000000</v>
      </c>
      <c r="S10" s="606">
        <f>+'PLANINDICATIVO PD'!BH8</f>
        <v>15000000</v>
      </c>
      <c r="T10" s="606">
        <f>+H10</f>
        <v>0</v>
      </c>
      <c r="U10" s="606">
        <f>+'PLANINDICATIVO PD'!AJ8</f>
        <v>0</v>
      </c>
      <c r="V10" s="606" t="e">
        <f>+G10</f>
        <v>#REF!</v>
      </c>
      <c r="W10" s="596" t="e">
        <f>SUM(K10:V10)</f>
        <v>#REF!</v>
      </c>
      <c r="X10" s="597"/>
    </row>
    <row r="11" spans="1:24" ht="30" customHeight="1" thickBot="1" x14ac:dyDescent="0.25">
      <c r="A11" s="506">
        <v>520</v>
      </c>
      <c r="B11" s="524" t="s">
        <v>2742</v>
      </c>
      <c r="C11" s="1473"/>
      <c r="D11" s="514" t="e">
        <f>+#REF!</f>
        <v>#REF!</v>
      </c>
      <c r="E11" s="492"/>
      <c r="F11" s="515">
        <f>SUM('PLANINDICATIVO PD'!AQ9)</f>
        <v>0</v>
      </c>
      <c r="G11" s="515" t="e">
        <f>SUM(#REF!)</f>
        <v>#REF!</v>
      </c>
      <c r="H11" s="515">
        <f>SUM('PLANINDICATIVO PD'!AS9)</f>
        <v>0</v>
      </c>
      <c r="I11" s="515" t="e">
        <f>+D11+F11+G11+H11</f>
        <v>#REF!</v>
      </c>
      <c r="J11" s="595"/>
      <c r="K11" s="606">
        <f>SUM('PLANINDICATIVO PD'!AA9:AA12)</f>
        <v>190000000</v>
      </c>
      <c r="L11" s="606">
        <f>SUM('PLANINDICATIVO PD'!AB9:AB12)</f>
        <v>0</v>
      </c>
      <c r="M11" s="606">
        <f>SUM('PLANINDICATIVO PD'!AC9:AC12)</f>
        <v>0</v>
      </c>
      <c r="N11" s="606">
        <f>SUM('PLANINDICATIVO PD'!AD9:AD12)</f>
        <v>0</v>
      </c>
      <c r="O11" s="606">
        <f>SUM('PLANINDICATIVO PD'!AE9:AE12)</f>
        <v>0</v>
      </c>
      <c r="P11" s="606">
        <f>SUM('PLANINDICATIVO PD'!AF9:AF12)</f>
        <v>0</v>
      </c>
      <c r="Q11" s="606">
        <f>SUM('PLANINDICATIVO PD'!AG9:AG12)</f>
        <v>100000000</v>
      </c>
      <c r="R11" s="606">
        <f>SUM('PLANINDICATIVO PD'!AH9:AH12)</f>
        <v>80000000</v>
      </c>
      <c r="S11" s="606"/>
      <c r="T11" s="606">
        <f>+H11</f>
        <v>0</v>
      </c>
      <c r="U11" s="606">
        <f>SUM('PLANINDICATIVO PD'!AJ9:AJ12)</f>
        <v>0</v>
      </c>
      <c r="V11" s="606" t="e">
        <f>+G11</f>
        <v>#REF!</v>
      </c>
      <c r="W11" s="596" t="e">
        <f>SUM(K11:V11)</f>
        <v>#REF!</v>
      </c>
      <c r="X11" s="597"/>
    </row>
    <row r="12" spans="1:24" ht="39" customHeight="1" thickBot="1" x14ac:dyDescent="0.25">
      <c r="A12" s="506"/>
      <c r="B12" s="500" t="s">
        <v>2743</v>
      </c>
      <c r="C12" s="802"/>
      <c r="D12" s="501" t="e">
        <f>+D13+D17+D22+D30</f>
        <v>#REF!</v>
      </c>
      <c r="E12" s="492"/>
      <c r="F12" s="521">
        <f>+F13+F17+F22+F30</f>
        <v>0</v>
      </c>
      <c r="G12" s="521" t="e">
        <f>+G13+G17+G22+G30</f>
        <v>#REF!</v>
      </c>
      <c r="H12" s="521">
        <f>+H13+H17+H22+H30</f>
        <v>17364326</v>
      </c>
      <c r="I12" s="521" t="e">
        <f>+I13+I17+I22+I30</f>
        <v>#REF!</v>
      </c>
      <c r="J12" s="783"/>
      <c r="K12" s="501">
        <f t="shared" ref="K12:W12" si="4">+K13+K17+K22+K30</f>
        <v>1895902120</v>
      </c>
      <c r="L12" s="501" t="e">
        <f t="shared" si="4"/>
        <v>#REF!</v>
      </c>
      <c r="M12" s="501">
        <f t="shared" si="4"/>
        <v>0</v>
      </c>
      <c r="N12" s="501">
        <f t="shared" si="4"/>
        <v>0</v>
      </c>
      <c r="O12" s="501">
        <f t="shared" si="4"/>
        <v>0</v>
      </c>
      <c r="P12" s="501">
        <f t="shared" si="4"/>
        <v>0</v>
      </c>
      <c r="Q12" s="501" t="e">
        <f t="shared" si="4"/>
        <v>#REF!</v>
      </c>
      <c r="R12" s="501">
        <f t="shared" si="4"/>
        <v>582000000</v>
      </c>
      <c r="S12" s="501">
        <f t="shared" si="4"/>
        <v>0</v>
      </c>
      <c r="T12" s="501">
        <f t="shared" si="4"/>
        <v>17364326</v>
      </c>
      <c r="U12" s="501">
        <f t="shared" si="4"/>
        <v>0</v>
      </c>
      <c r="V12" s="501" t="e">
        <f t="shared" si="4"/>
        <v>#REF!</v>
      </c>
      <c r="W12" s="501" t="e">
        <f t="shared" si="4"/>
        <v>#REF!</v>
      </c>
      <c r="X12" s="597"/>
    </row>
    <row r="13" spans="1:24" ht="39" customHeight="1" thickBot="1" x14ac:dyDescent="0.25">
      <c r="A13" s="499"/>
      <c r="B13" s="507" t="s">
        <v>2744</v>
      </c>
      <c r="C13" s="1462" t="s">
        <v>4167</v>
      </c>
      <c r="D13" s="508" t="e">
        <f>SUM(D14:D16)</f>
        <v>#REF!</v>
      </c>
      <c r="E13" s="492"/>
      <c r="F13" s="509">
        <f>SUM(F14:F16)</f>
        <v>0</v>
      </c>
      <c r="G13" s="509" t="e">
        <f>SUM(G14:G16)</f>
        <v>#REF!</v>
      </c>
      <c r="H13" s="509">
        <f>SUM(H14:H16)</f>
        <v>0</v>
      </c>
      <c r="I13" s="781" t="e">
        <f>SUM(I14:I16)</f>
        <v>#REF!</v>
      </c>
      <c r="J13" s="594"/>
      <c r="K13" s="778">
        <f t="shared" ref="K13:W13" si="5">SUM(K14:K16)</f>
        <v>250000000</v>
      </c>
      <c r="L13" s="508">
        <f t="shared" si="5"/>
        <v>0</v>
      </c>
      <c r="M13" s="508">
        <f t="shared" si="5"/>
        <v>0</v>
      </c>
      <c r="N13" s="508">
        <f t="shared" si="5"/>
        <v>0</v>
      </c>
      <c r="O13" s="508">
        <f t="shared" si="5"/>
        <v>0</v>
      </c>
      <c r="P13" s="508">
        <f t="shared" si="5"/>
        <v>0</v>
      </c>
      <c r="Q13" s="508">
        <f t="shared" si="5"/>
        <v>0</v>
      </c>
      <c r="R13" s="508">
        <f t="shared" si="5"/>
        <v>110000000</v>
      </c>
      <c r="S13" s="508">
        <f t="shared" si="5"/>
        <v>0</v>
      </c>
      <c r="T13" s="508">
        <f t="shared" si="5"/>
        <v>0</v>
      </c>
      <c r="U13" s="508">
        <f t="shared" si="5"/>
        <v>0</v>
      </c>
      <c r="V13" s="508" t="e">
        <f t="shared" si="5"/>
        <v>#REF!</v>
      </c>
      <c r="W13" s="508" t="e">
        <f t="shared" si="5"/>
        <v>#REF!</v>
      </c>
      <c r="X13" s="597"/>
    </row>
    <row r="14" spans="1:24" ht="27.6" customHeight="1" thickBot="1" x14ac:dyDescent="0.25">
      <c r="A14" s="506">
        <v>510</v>
      </c>
      <c r="B14" s="525" t="s">
        <v>2745</v>
      </c>
      <c r="C14" s="1463"/>
      <c r="D14" s="514" t="e">
        <f>+#REF!</f>
        <v>#REF!</v>
      </c>
      <c r="E14" s="492"/>
      <c r="F14" s="515"/>
      <c r="G14" s="515" t="e">
        <f>SUM(#REF!)</f>
        <v>#REF!</v>
      </c>
      <c r="H14" s="515"/>
      <c r="I14" s="515" t="e">
        <f t="shared" ref="I14:I32" si="6">+D14+F14+G14+H14</f>
        <v>#REF!</v>
      </c>
      <c r="J14" s="595"/>
      <c r="K14" s="606">
        <f>SUM('PLANINDICATIVO PD'!AA15:AA16)</f>
        <v>230000000</v>
      </c>
      <c r="L14" s="606">
        <f>SUM('PLANINDICATIVO PD'!AB15:AB16)</f>
        <v>0</v>
      </c>
      <c r="M14" s="606">
        <f>SUM('PLANINDICATIVO PD'!AC15:AC16)</f>
        <v>0</v>
      </c>
      <c r="N14" s="606">
        <f>SUM('PLANINDICATIVO PD'!AD15:AD16)</f>
        <v>0</v>
      </c>
      <c r="O14" s="606">
        <f>SUM('PLANINDICATIVO PD'!AE15:AE16)</f>
        <v>0</v>
      </c>
      <c r="P14" s="606">
        <f>SUM('PLANINDICATIVO PD'!AF15:AF16)</f>
        <v>0</v>
      </c>
      <c r="Q14" s="606">
        <f>SUM('PLANINDICATIVO PD'!AG15:AG16)</f>
        <v>0</v>
      </c>
      <c r="R14" s="606">
        <f>SUM('PLANINDICATIVO PD'!AH15:AH16)+'PLANINDICATIVO PD'!BG15</f>
        <v>90000000</v>
      </c>
      <c r="S14" s="606"/>
      <c r="T14" s="606">
        <f>+H14</f>
        <v>0</v>
      </c>
      <c r="U14" s="606">
        <f>SUM('PLANINDICATIVO PD'!AJ15:AJ16)</f>
        <v>0</v>
      </c>
      <c r="V14" s="606" t="e">
        <f>+G14</f>
        <v>#REF!</v>
      </c>
      <c r="W14" s="596" t="e">
        <f>SUM(K14:V14)</f>
        <v>#REF!</v>
      </c>
      <c r="X14" s="597"/>
    </row>
    <row r="15" spans="1:24" ht="28.15" customHeight="1" thickBot="1" x14ac:dyDescent="0.25">
      <c r="A15" s="506">
        <v>510</v>
      </c>
      <c r="B15" s="520" t="s">
        <v>2746</v>
      </c>
      <c r="C15" s="1463"/>
      <c r="D15" s="514" t="e">
        <f>+#REF!</f>
        <v>#REF!</v>
      </c>
      <c r="E15" s="492"/>
      <c r="F15" s="515"/>
      <c r="G15" s="515"/>
      <c r="H15" s="515"/>
      <c r="I15" s="515" t="e">
        <f t="shared" si="6"/>
        <v>#REF!</v>
      </c>
      <c r="J15" s="595"/>
      <c r="K15" s="606">
        <f>SUM('PLANINDICATIVO PD'!AA17)+'PLANINDICATIVO PD'!AZ17</f>
        <v>0</v>
      </c>
      <c r="L15" s="606">
        <f>SUM('PLANINDICATIVO PD'!AB17)</f>
        <v>0</v>
      </c>
      <c r="M15" s="606">
        <f>SUM('PLANINDICATIVO PD'!AC17)</f>
        <v>0</v>
      </c>
      <c r="N15" s="606">
        <f>SUM('PLANINDICATIVO PD'!AD17)</f>
        <v>0</v>
      </c>
      <c r="O15" s="606">
        <f>SUM('PLANINDICATIVO PD'!AE17)</f>
        <v>0</v>
      </c>
      <c r="P15" s="606">
        <f>SUM('PLANINDICATIVO PD'!AF17)</f>
        <v>0</v>
      </c>
      <c r="Q15" s="606">
        <f>SUM('PLANINDICATIVO PD'!AG17)</f>
        <v>0</v>
      </c>
      <c r="R15" s="606">
        <f>SUM('PLANINDICATIVO PD'!AH17)-10000000</f>
        <v>0</v>
      </c>
      <c r="S15" s="606"/>
      <c r="T15" s="606">
        <f>+H15</f>
        <v>0</v>
      </c>
      <c r="U15" s="606">
        <f>SUM('PLANINDICATIVO PD'!AJ17)</f>
        <v>0</v>
      </c>
      <c r="V15" s="606">
        <f>+G15</f>
        <v>0</v>
      </c>
      <c r="W15" s="596">
        <f>SUM(K15:V15)</f>
        <v>0</v>
      </c>
      <c r="X15" s="597"/>
    </row>
    <row r="16" spans="1:24" ht="27.75" customHeight="1" thickBot="1" x14ac:dyDescent="0.25">
      <c r="A16" s="506">
        <v>510</v>
      </c>
      <c r="B16" s="524" t="s">
        <v>2747</v>
      </c>
      <c r="C16" s="1463"/>
      <c r="D16" s="514" t="e">
        <f>+#REF!</f>
        <v>#REF!</v>
      </c>
      <c r="E16" s="492"/>
      <c r="F16" s="515"/>
      <c r="G16" s="515" t="e">
        <f>SUM(#REF!)</f>
        <v>#REF!</v>
      </c>
      <c r="H16" s="515"/>
      <c r="I16" s="515" t="e">
        <f t="shared" si="6"/>
        <v>#REF!</v>
      </c>
      <c r="J16" s="595"/>
      <c r="K16" s="606">
        <f>SUM('PLANINDICATIVO PD'!AA18)</f>
        <v>20000000</v>
      </c>
      <c r="L16" s="606">
        <f>SUM('PLANINDICATIVO PD'!AB18)</f>
        <v>0</v>
      </c>
      <c r="M16" s="606">
        <f>SUM('PLANINDICATIVO PD'!AC18)</f>
        <v>0</v>
      </c>
      <c r="N16" s="606">
        <f>SUM('PLANINDICATIVO PD'!AD18)</f>
        <v>0</v>
      </c>
      <c r="O16" s="606">
        <f>SUM('PLANINDICATIVO PD'!AE18)</f>
        <v>0</v>
      </c>
      <c r="P16" s="606">
        <f>SUM('PLANINDICATIVO PD'!AF18)</f>
        <v>0</v>
      </c>
      <c r="Q16" s="606">
        <f>SUM('PLANINDICATIVO PD'!AG18)</f>
        <v>0</v>
      </c>
      <c r="R16" s="606">
        <f>SUM('PLANINDICATIVO PD'!AH18)</f>
        <v>20000000</v>
      </c>
      <c r="S16" s="606"/>
      <c r="T16" s="606">
        <f>+H16</f>
        <v>0</v>
      </c>
      <c r="U16" s="606">
        <f>SUM('PLANINDICATIVO PD'!AJ18)</f>
        <v>0</v>
      </c>
      <c r="V16" s="606" t="e">
        <f>+G16</f>
        <v>#REF!</v>
      </c>
      <c r="W16" s="596" t="e">
        <f>SUM(K16:V16)</f>
        <v>#REF!</v>
      </c>
      <c r="X16" s="597"/>
    </row>
    <row r="17" spans="1:24" ht="28.5" customHeight="1" thickBot="1" x14ac:dyDescent="0.25">
      <c r="A17" s="506"/>
      <c r="B17" s="507" t="s">
        <v>2748</v>
      </c>
      <c r="C17" s="1462" t="s">
        <v>4167</v>
      </c>
      <c r="D17" s="508" t="e">
        <f>SUM(D18:D21)</f>
        <v>#REF!</v>
      </c>
      <c r="E17" s="492"/>
      <c r="F17" s="509">
        <f>SUM(F18:F21)</f>
        <v>0</v>
      </c>
      <c r="G17" s="509" t="e">
        <f>SUM(G18:G21)</f>
        <v>#REF!</v>
      </c>
      <c r="H17" s="509">
        <f>SUM(H18:H21)</f>
        <v>0</v>
      </c>
      <c r="I17" s="781" t="e">
        <f>SUM(I18:I21)</f>
        <v>#REF!</v>
      </c>
      <c r="J17" s="594"/>
      <c r="K17" s="784">
        <f t="shared" ref="K17:W17" si="7">SUM(K18:K21)</f>
        <v>520000000</v>
      </c>
      <c r="L17" s="508">
        <f t="shared" si="7"/>
        <v>0</v>
      </c>
      <c r="M17" s="508">
        <f t="shared" si="7"/>
        <v>0</v>
      </c>
      <c r="N17" s="508">
        <f t="shared" si="7"/>
        <v>0</v>
      </c>
      <c r="O17" s="508">
        <f t="shared" si="7"/>
        <v>0</v>
      </c>
      <c r="P17" s="508">
        <f t="shared" si="7"/>
        <v>0</v>
      </c>
      <c r="Q17" s="508">
        <f t="shared" si="7"/>
        <v>0</v>
      </c>
      <c r="R17" s="508">
        <f t="shared" si="7"/>
        <v>61000000</v>
      </c>
      <c r="S17" s="508">
        <f t="shared" si="7"/>
        <v>0</v>
      </c>
      <c r="T17" s="508">
        <f t="shared" si="7"/>
        <v>0</v>
      </c>
      <c r="U17" s="508">
        <f t="shared" si="7"/>
        <v>0</v>
      </c>
      <c r="V17" s="508" t="e">
        <f t="shared" si="7"/>
        <v>#REF!</v>
      </c>
      <c r="W17" s="508" t="e">
        <f t="shared" si="7"/>
        <v>#REF!</v>
      </c>
      <c r="X17" s="597"/>
    </row>
    <row r="18" spans="1:24" ht="30" customHeight="1" thickBot="1" x14ac:dyDescent="0.25">
      <c r="A18" s="506">
        <v>510</v>
      </c>
      <c r="B18" s="526" t="s">
        <v>2749</v>
      </c>
      <c r="C18" s="1463"/>
      <c r="D18" s="514" t="e">
        <f>+#REF!</f>
        <v>#REF!</v>
      </c>
      <c r="E18" s="492"/>
      <c r="F18" s="515">
        <f>SUM('PLANINDICATIVO PD'!AQ19)</f>
        <v>0</v>
      </c>
      <c r="G18" s="515" t="e">
        <f>SUM(#REF!)</f>
        <v>#REF!</v>
      </c>
      <c r="H18" s="515">
        <f>SUM('PLANINDICATIVO PD'!AS19)</f>
        <v>0</v>
      </c>
      <c r="I18" s="515" t="e">
        <f t="shared" si="6"/>
        <v>#REF!</v>
      </c>
      <c r="J18" s="595"/>
      <c r="K18" s="606">
        <f>+'PLANINDICATIVO PD'!AA19</f>
        <v>0</v>
      </c>
      <c r="L18" s="606">
        <f>+'PLANINDICATIVO PD'!AB19</f>
        <v>0</v>
      </c>
      <c r="M18" s="606">
        <f>+'PLANINDICATIVO PD'!AC19</f>
        <v>0</v>
      </c>
      <c r="N18" s="606">
        <f>+'PLANINDICATIVO PD'!AD19</f>
        <v>0</v>
      </c>
      <c r="O18" s="606">
        <f>+'PLANINDICATIVO PD'!AE19</f>
        <v>0</v>
      </c>
      <c r="P18" s="606">
        <f>+'PLANINDICATIVO PD'!AF19</f>
        <v>0</v>
      </c>
      <c r="Q18" s="606">
        <f>+'PLANINDICATIVO PD'!AG19</f>
        <v>0</v>
      </c>
      <c r="R18" s="606">
        <f>+'PLANINDICATIVO PD'!AH19</f>
        <v>20000000</v>
      </c>
      <c r="S18" s="606"/>
      <c r="T18" s="606">
        <f>+H18</f>
        <v>0</v>
      </c>
      <c r="U18" s="606">
        <f>+'PLANINDICATIVO PD'!AJ19</f>
        <v>0</v>
      </c>
      <c r="V18" s="606" t="e">
        <f>+G18</f>
        <v>#REF!</v>
      </c>
      <c r="W18" s="596" t="e">
        <f>SUM(K18:V18)</f>
        <v>#REF!</v>
      </c>
      <c r="X18" s="597"/>
    </row>
    <row r="19" spans="1:24" ht="38.25" customHeight="1" thickBot="1" x14ac:dyDescent="0.25">
      <c r="A19" s="506">
        <v>510</v>
      </c>
      <c r="B19" s="520" t="s">
        <v>2750</v>
      </c>
      <c r="C19" s="1463"/>
      <c r="D19" s="514" t="e">
        <f>+#REF!</f>
        <v>#REF!</v>
      </c>
      <c r="E19" s="492"/>
      <c r="F19" s="515"/>
      <c r="G19" s="515" t="e">
        <f>SUM(#REF!)</f>
        <v>#REF!</v>
      </c>
      <c r="H19" s="515"/>
      <c r="I19" s="515" t="e">
        <f t="shared" si="6"/>
        <v>#REF!</v>
      </c>
      <c r="J19" s="595"/>
      <c r="K19" s="606">
        <f>SUM('PLANINDICATIVO PD'!AA20:AA22)</f>
        <v>40000000</v>
      </c>
      <c r="L19" s="606">
        <f>SUM('PLANINDICATIVO PD'!AB20:AB22)</f>
        <v>0</v>
      </c>
      <c r="M19" s="606">
        <f>SUM('PLANINDICATIVO PD'!AC20:AC22)</f>
        <v>0</v>
      </c>
      <c r="N19" s="606">
        <f>SUM('PLANINDICATIVO PD'!AD20:AD22)</f>
        <v>0</v>
      </c>
      <c r="O19" s="606">
        <f>SUM('PLANINDICATIVO PD'!AE20:AE22)</f>
        <v>0</v>
      </c>
      <c r="P19" s="606">
        <f>SUM('PLANINDICATIVO PD'!AF20:AF22)</f>
        <v>0</v>
      </c>
      <c r="Q19" s="606">
        <f>SUM('PLANINDICATIVO PD'!AG20:AG22)</f>
        <v>0</v>
      </c>
      <c r="R19" s="606">
        <f>SUM('PLANINDICATIVO PD'!AH20:AH22)+'PLANINDICATIVO PD'!BG21</f>
        <v>31000000</v>
      </c>
      <c r="S19" s="606"/>
      <c r="T19" s="606">
        <f>+H19</f>
        <v>0</v>
      </c>
      <c r="U19" s="606">
        <f>SUM('PLANINDICATIVO PD'!AJ20:AJ22)</f>
        <v>0</v>
      </c>
      <c r="V19" s="606" t="e">
        <f>+G19</f>
        <v>#REF!</v>
      </c>
      <c r="W19" s="596" t="e">
        <f>SUM(K19:V19)</f>
        <v>#REF!</v>
      </c>
      <c r="X19" s="597"/>
    </row>
    <row r="20" spans="1:24" ht="39" customHeight="1" thickBot="1" x14ac:dyDescent="0.25">
      <c r="A20" s="506">
        <v>310</v>
      </c>
      <c r="B20" s="524" t="s">
        <v>2751</v>
      </c>
      <c r="C20" s="1463"/>
      <c r="D20" s="514" t="e">
        <f>+#REF!</f>
        <v>#REF!</v>
      </c>
      <c r="E20" s="492"/>
      <c r="F20" s="515">
        <f>SUM('PLANINDICATIVO PD'!AQ23)</f>
        <v>0</v>
      </c>
      <c r="G20" s="515">
        <f>SUM('PLANINDICATIVO PD'!AR23)</f>
        <v>0</v>
      </c>
      <c r="H20" s="515">
        <f>SUM('PLANINDICATIVO PD'!AS23)</f>
        <v>0</v>
      </c>
      <c r="I20" s="515" t="e">
        <f t="shared" si="6"/>
        <v>#REF!</v>
      </c>
      <c r="J20" s="595"/>
      <c r="K20" s="606">
        <f>+'PLANINDICATIVO PD'!AA23</f>
        <v>0</v>
      </c>
      <c r="L20" s="606">
        <f>+'PLANINDICATIVO PD'!AB23</f>
        <v>0</v>
      </c>
      <c r="M20" s="606">
        <f>+'PLANINDICATIVO PD'!AC23</f>
        <v>0</v>
      </c>
      <c r="N20" s="606">
        <f>+'PLANINDICATIVO PD'!AD23</f>
        <v>0</v>
      </c>
      <c r="O20" s="606">
        <f>+'PLANINDICATIVO PD'!AE23</f>
        <v>0</v>
      </c>
      <c r="P20" s="606">
        <f>+'PLANINDICATIVO PD'!AF23</f>
        <v>0</v>
      </c>
      <c r="Q20" s="606">
        <f>+'PLANINDICATIVO PD'!AG23</f>
        <v>0</v>
      </c>
      <c r="R20" s="606">
        <f>+'PLANINDICATIVO PD'!AH23</f>
        <v>10000000</v>
      </c>
      <c r="S20" s="606"/>
      <c r="T20" s="606">
        <f>+H20</f>
        <v>0</v>
      </c>
      <c r="U20" s="606">
        <f>+'PLANINDICATIVO PD'!AJ23</f>
        <v>0</v>
      </c>
      <c r="V20" s="606">
        <f t="shared" ref="V20:V32" si="8">+G20</f>
        <v>0</v>
      </c>
      <c r="W20" s="596">
        <f>SUM(K20:V20)</f>
        <v>10000000</v>
      </c>
      <c r="X20" s="597"/>
    </row>
    <row r="21" spans="1:24" ht="27" customHeight="1" thickBot="1" x14ac:dyDescent="0.25">
      <c r="A21" s="506">
        <v>310</v>
      </c>
      <c r="B21" s="524" t="s">
        <v>2752</v>
      </c>
      <c r="C21" s="1464"/>
      <c r="D21" s="514" t="e">
        <f>+#REF!</f>
        <v>#REF!</v>
      </c>
      <c r="E21" s="492"/>
      <c r="F21" s="515">
        <f>SUM('PLANINDICATIVO PD'!AQ24)</f>
        <v>0</v>
      </c>
      <c r="G21" s="515" t="e">
        <f>SUM(#REF!)</f>
        <v>#REF!</v>
      </c>
      <c r="H21" s="515">
        <f>SUM('PLANINDICATIVO PD'!AS24)</f>
        <v>0</v>
      </c>
      <c r="I21" s="515" t="e">
        <f t="shared" si="6"/>
        <v>#REF!</v>
      </c>
      <c r="J21" s="595"/>
      <c r="K21" s="606">
        <f>+'PLANINDICATIVO PD'!AA24</f>
        <v>480000000</v>
      </c>
      <c r="L21" s="606">
        <f>+'PLANINDICATIVO PD'!AB24</f>
        <v>0</v>
      </c>
      <c r="M21" s="606">
        <f>+'PLANINDICATIVO PD'!AC24</f>
        <v>0</v>
      </c>
      <c r="N21" s="606">
        <f>+'PLANINDICATIVO PD'!AD24</f>
        <v>0</v>
      </c>
      <c r="O21" s="606">
        <f>+'PLANINDICATIVO PD'!AE24</f>
        <v>0</v>
      </c>
      <c r="P21" s="606">
        <f>+'PLANINDICATIVO PD'!AF24</f>
        <v>0</v>
      </c>
      <c r="Q21" s="606">
        <f>+'PLANINDICATIVO PD'!AG24</f>
        <v>0</v>
      </c>
      <c r="R21" s="606">
        <f>+'PLANINDICATIVO PD'!AH24</f>
        <v>0</v>
      </c>
      <c r="S21" s="606"/>
      <c r="T21" s="606">
        <f>+H21</f>
        <v>0</v>
      </c>
      <c r="U21" s="606">
        <f>+'PLANINDICATIVO PD'!AJ24</f>
        <v>0</v>
      </c>
      <c r="V21" s="606" t="e">
        <f t="shared" si="8"/>
        <v>#REF!</v>
      </c>
      <c r="W21" s="596" t="e">
        <f>SUM(K21:V21)</f>
        <v>#REF!</v>
      </c>
      <c r="X21" s="597"/>
    </row>
    <row r="22" spans="1:24" ht="39" customHeight="1" thickBot="1" x14ac:dyDescent="0.25">
      <c r="A22" s="506"/>
      <c r="B22" s="507" t="s">
        <v>2753</v>
      </c>
      <c r="C22" s="1459" t="s">
        <v>3350</v>
      </c>
      <c r="D22" s="508" t="e">
        <f>SUM(D23:D29)</f>
        <v>#REF!</v>
      </c>
      <c r="E22" s="492"/>
      <c r="F22" s="509">
        <f>SUM(F23:F29)</f>
        <v>0</v>
      </c>
      <c r="G22" s="509" t="e">
        <f>SUM(G23:G29)</f>
        <v>#REF!</v>
      </c>
      <c r="H22" s="509">
        <f>SUM(H23:H29)</f>
        <v>17364326</v>
      </c>
      <c r="I22" s="781" t="e">
        <f>SUM(I23:I29)</f>
        <v>#REF!</v>
      </c>
      <c r="J22" s="594"/>
      <c r="K22" s="784">
        <f t="shared" ref="K22:W22" si="9">SUM(K23:K29)</f>
        <v>1105902120</v>
      </c>
      <c r="L22" s="508" t="e">
        <f t="shared" si="9"/>
        <v>#REF!</v>
      </c>
      <c r="M22" s="508">
        <f t="shared" si="9"/>
        <v>0</v>
      </c>
      <c r="N22" s="508">
        <f t="shared" si="9"/>
        <v>0</v>
      </c>
      <c r="O22" s="508">
        <f t="shared" si="9"/>
        <v>0</v>
      </c>
      <c r="P22" s="508">
        <f t="shared" si="9"/>
        <v>0</v>
      </c>
      <c r="Q22" s="508" t="e">
        <f t="shared" si="9"/>
        <v>#REF!</v>
      </c>
      <c r="R22" s="508">
        <f t="shared" si="9"/>
        <v>376000000</v>
      </c>
      <c r="S22" s="508">
        <f t="shared" si="9"/>
        <v>0</v>
      </c>
      <c r="T22" s="508">
        <f t="shared" si="9"/>
        <v>17364326</v>
      </c>
      <c r="U22" s="508">
        <f t="shared" si="9"/>
        <v>0</v>
      </c>
      <c r="V22" s="508" t="e">
        <f t="shared" si="9"/>
        <v>#REF!</v>
      </c>
      <c r="W22" s="508" t="e">
        <f t="shared" si="9"/>
        <v>#REF!</v>
      </c>
      <c r="X22" s="597"/>
    </row>
    <row r="23" spans="1:24" ht="37.5" customHeight="1" thickBot="1" x14ac:dyDescent="0.25">
      <c r="A23" s="506">
        <v>310</v>
      </c>
      <c r="B23" s="526" t="s">
        <v>2754</v>
      </c>
      <c r="C23" s="1460"/>
      <c r="D23" s="514" t="e">
        <f>+#REF!</f>
        <v>#REF!</v>
      </c>
      <c r="E23" s="492"/>
      <c r="F23" s="515">
        <f>SUM('PLANINDICATIVO PD'!AQ25)</f>
        <v>0</v>
      </c>
      <c r="G23" s="515" t="e">
        <f>SUM(#REF!)</f>
        <v>#REF!</v>
      </c>
      <c r="H23" s="515">
        <f>SUM('PLANINDICATIVO PD'!AS25)</f>
        <v>0</v>
      </c>
      <c r="I23" s="515" t="e">
        <f t="shared" si="6"/>
        <v>#REF!</v>
      </c>
      <c r="J23" s="595"/>
      <c r="K23" s="606">
        <f>+'PLANINDICATIVO PD'!AA25</f>
        <v>936970754</v>
      </c>
      <c r="L23" s="606">
        <f>+'PLANINDICATIVO PD'!AB25</f>
        <v>0</v>
      </c>
      <c r="M23" s="606">
        <f>+'PLANINDICATIVO PD'!AC25</f>
        <v>0</v>
      </c>
      <c r="N23" s="606">
        <f>+'PLANINDICATIVO PD'!AD25</f>
        <v>0</v>
      </c>
      <c r="O23" s="606">
        <f>+'PLANINDICATIVO PD'!AE25</f>
        <v>0</v>
      </c>
      <c r="P23" s="606">
        <f>+'PLANINDICATIVO PD'!AF25</f>
        <v>0</v>
      </c>
      <c r="Q23" s="606">
        <f>+'PLANINDICATIVO PD'!AG25</f>
        <v>0</v>
      </c>
      <c r="R23" s="606">
        <f>+'PLANINDICATIVO PD'!AH25</f>
        <v>0</v>
      </c>
      <c r="S23" s="606"/>
      <c r="T23" s="606">
        <f t="shared" ref="T23:T29" si="10">+H23</f>
        <v>0</v>
      </c>
      <c r="U23" s="606">
        <f>+'PLANINDICATIVO PD'!AJ25</f>
        <v>0</v>
      </c>
      <c r="V23" s="606" t="e">
        <f t="shared" si="8"/>
        <v>#REF!</v>
      </c>
      <c r="W23" s="596" t="e">
        <f t="shared" ref="W23:W29" si="11">SUM(K23:V23)</f>
        <v>#REF!</v>
      </c>
      <c r="X23" s="597"/>
    </row>
    <row r="24" spans="1:24" ht="30" customHeight="1" thickBot="1" x14ac:dyDescent="0.25">
      <c r="A24" s="506">
        <v>410</v>
      </c>
      <c r="B24" s="526" t="s">
        <v>2755</v>
      </c>
      <c r="C24" s="1460"/>
      <c r="D24" s="514" t="e">
        <f>+#REF!</f>
        <v>#REF!</v>
      </c>
      <c r="E24" s="492"/>
      <c r="F24" s="515">
        <f>SUM('PLANINDICATIVO PD'!AQ26:AQ28)</f>
        <v>0</v>
      </c>
      <c r="G24" s="515" t="e">
        <f>SUM(#REF!)</f>
        <v>#REF!</v>
      </c>
      <c r="H24" s="515">
        <f>SUM('PLANINDICATIVO PD MAYO'!AB27:AB28)</f>
        <v>8000000</v>
      </c>
      <c r="I24" s="515" t="e">
        <f t="shared" si="6"/>
        <v>#REF!</v>
      </c>
      <c r="J24" s="595"/>
      <c r="K24" s="606">
        <f>SUM('PLANINDICATIVO PD'!AA26:AA28)</f>
        <v>158931366</v>
      </c>
      <c r="L24" s="606">
        <f>SUM('PLANINDICATIVO PD'!AB26:AB28)+'PLANINDICATIVO PD'!BA27+'PLANINDICATIVO PD'!BA28</f>
        <v>38068634</v>
      </c>
      <c r="M24" s="606">
        <f>SUM('PLANINDICATIVO PD'!AC26:AC28)</f>
        <v>0</v>
      </c>
      <c r="N24" s="606">
        <f>SUM('PLANINDICATIVO PD'!AD26:AD28)</f>
        <v>0</v>
      </c>
      <c r="O24" s="606">
        <f>SUM('PLANINDICATIVO PD'!AE26:AE28)</f>
        <v>0</v>
      </c>
      <c r="P24" s="606">
        <f>SUM('PLANINDICATIVO PD'!AF26:AF28)</f>
        <v>0</v>
      </c>
      <c r="Q24" s="606">
        <f>SUM('PLANINDICATIVO PD'!AG26:AG28)</f>
        <v>0</v>
      </c>
      <c r="R24" s="606">
        <f>SUM('PLANINDICATIVO PD'!AH26:AH28)</f>
        <v>191000000</v>
      </c>
      <c r="S24" s="606"/>
      <c r="T24" s="606">
        <f t="shared" si="10"/>
        <v>8000000</v>
      </c>
      <c r="U24" s="606">
        <f>SUM('PLANINDICATIVO PD'!AJ26:AJ28)</f>
        <v>0</v>
      </c>
      <c r="V24" s="606" t="e">
        <f t="shared" si="8"/>
        <v>#REF!</v>
      </c>
      <c r="W24" s="596" t="e">
        <f t="shared" si="11"/>
        <v>#REF!</v>
      </c>
      <c r="X24" s="597"/>
    </row>
    <row r="25" spans="1:24" ht="30.75" customHeight="1" thickBot="1" x14ac:dyDescent="0.25">
      <c r="A25" s="506">
        <v>410</v>
      </c>
      <c r="B25" s="526" t="s">
        <v>2756</v>
      </c>
      <c r="C25" s="1460"/>
      <c r="D25" s="514" t="e">
        <f>+#REF!</f>
        <v>#REF!</v>
      </c>
      <c r="E25" s="492"/>
      <c r="F25" s="515">
        <f>SUM('PLANINDICATIVO PD'!AQ29:AQ30)</f>
        <v>0</v>
      </c>
      <c r="G25" s="515" t="e">
        <f>SUM(#REF!)</f>
        <v>#REF!</v>
      </c>
      <c r="H25" s="515">
        <f>SUM('PLANINDICATIVO PD'!AS29:AS30)</f>
        <v>0</v>
      </c>
      <c r="I25" s="515" t="e">
        <f t="shared" si="6"/>
        <v>#REF!</v>
      </c>
      <c r="J25" s="595"/>
      <c r="K25" s="606">
        <f>SUM('PLANINDICATIVO PD'!AA29:AA30)</f>
        <v>10000000</v>
      </c>
      <c r="L25" s="606">
        <f>+'PLANINDICATIVO PD'!BA29+'PLANINDICATIVO PD'!BA30</f>
        <v>120000000</v>
      </c>
      <c r="M25" s="606">
        <f>SUM('PLANINDICATIVO PD'!AC29:AC30)</f>
        <v>0</v>
      </c>
      <c r="N25" s="606">
        <f>SUM('PLANINDICATIVO PD'!AD29:AD30)</f>
        <v>0</v>
      </c>
      <c r="O25" s="606">
        <f>SUM('PLANINDICATIVO PD'!AE29:AE30)</f>
        <v>0</v>
      </c>
      <c r="P25" s="606">
        <f>SUM('PLANINDICATIVO PD'!AF29:AF30)</f>
        <v>0</v>
      </c>
      <c r="Q25" s="606">
        <f>SUM('PLANINDICATIVO PD'!AG29:AG30)</f>
        <v>0</v>
      </c>
      <c r="R25" s="606">
        <f>SUM('PLANINDICATIVO PD'!AH29:AH30)</f>
        <v>50000000</v>
      </c>
      <c r="S25" s="606"/>
      <c r="T25" s="606">
        <f t="shared" si="10"/>
        <v>0</v>
      </c>
      <c r="U25" s="606">
        <f>SUM('PLANINDICATIVO PD'!AJ29:AJ30)</f>
        <v>0</v>
      </c>
      <c r="V25" s="606" t="e">
        <f t="shared" si="8"/>
        <v>#REF!</v>
      </c>
      <c r="W25" s="596" t="e">
        <f t="shared" si="11"/>
        <v>#REF!</v>
      </c>
      <c r="X25" s="597"/>
    </row>
    <row r="26" spans="1:24" ht="27.75" customHeight="1" thickBot="1" x14ac:dyDescent="0.25">
      <c r="A26" s="506">
        <v>410</v>
      </c>
      <c r="B26" s="526" t="s">
        <v>2757</v>
      </c>
      <c r="C26" s="1460"/>
      <c r="D26" s="514" t="e">
        <f>+#REF!</f>
        <v>#REF!</v>
      </c>
      <c r="E26" s="492"/>
      <c r="F26" s="515"/>
      <c r="G26" s="515" t="e">
        <f>SUM(#REF!)</f>
        <v>#REF!</v>
      </c>
      <c r="H26" s="515">
        <f>SUM('PLANINDICATIVO PD'!AS31:AS32)</f>
        <v>0</v>
      </c>
      <c r="I26" s="515" t="e">
        <f t="shared" si="6"/>
        <v>#REF!</v>
      </c>
      <c r="J26" s="595"/>
      <c r="K26" s="606">
        <f>SUM('PLANINDICATIVO PD'!AA31:AA32)</f>
        <v>0</v>
      </c>
      <c r="L26" s="606" t="e">
        <f>SUM('PLANINDICATIVO PD'!AB31:AB32)+'PLANINDICATIVO PD'!BA31+'PLANINDICATIVO PD'!BA32</f>
        <v>#REF!</v>
      </c>
      <c r="M26" s="606">
        <f>SUM('PLANINDICATIVO PD'!AC31:AC32)</f>
        <v>0</v>
      </c>
      <c r="N26" s="606">
        <f>SUM('PLANINDICATIVO PD'!AD31:AD32)</f>
        <v>0</v>
      </c>
      <c r="O26" s="606">
        <f>SUM('PLANINDICATIVO PD'!AE31:AE32)</f>
        <v>0</v>
      </c>
      <c r="P26" s="606">
        <f>SUM('PLANINDICATIVO PD'!AF31:AF32)</f>
        <v>0</v>
      </c>
      <c r="Q26" s="606" t="e">
        <f>SUM('PLANINDICATIVO PD'!AG31:AG32)+'PLANINDICATIVO PD'!BF31+'PLANINDICATIVO PD'!BF32</f>
        <v>#REF!</v>
      </c>
      <c r="R26" s="606">
        <f>SUM('PLANINDICATIVO PD'!AH31:AH32)</f>
        <v>100000000</v>
      </c>
      <c r="S26" s="606"/>
      <c r="T26" s="606">
        <f t="shared" si="10"/>
        <v>0</v>
      </c>
      <c r="U26" s="606">
        <f>SUM('PLANINDICATIVO PD'!AJ31:AJ32)</f>
        <v>0</v>
      </c>
      <c r="V26" s="606" t="e">
        <f t="shared" si="8"/>
        <v>#REF!</v>
      </c>
      <c r="W26" s="596" t="e">
        <f t="shared" si="11"/>
        <v>#REF!</v>
      </c>
      <c r="X26" s="597"/>
    </row>
    <row r="27" spans="1:24" ht="28.5" customHeight="1" thickBot="1" x14ac:dyDescent="0.25">
      <c r="A27" s="506">
        <v>410</v>
      </c>
      <c r="B27" s="526" t="s">
        <v>2758</v>
      </c>
      <c r="C27" s="1460"/>
      <c r="D27" s="514" t="e">
        <f>+#REF!</f>
        <v>#REF!</v>
      </c>
      <c r="E27" s="492"/>
      <c r="F27" s="515">
        <f>SUM('PLANINDICATIVO PD'!AQ33)</f>
        <v>0</v>
      </c>
      <c r="G27" s="515"/>
      <c r="H27" s="515">
        <f>SUM('PLANINDICATIVO PD'!AS33)</f>
        <v>0</v>
      </c>
      <c r="I27" s="515" t="e">
        <f t="shared" si="6"/>
        <v>#REF!</v>
      </c>
      <c r="J27" s="595"/>
      <c r="K27" s="606">
        <f>+'PLANINDICATIVO PD'!AA33</f>
        <v>0</v>
      </c>
      <c r="L27" s="606">
        <f>+'PLANINDICATIVO PD'!AB33</f>
        <v>0</v>
      </c>
      <c r="M27" s="606">
        <f>+'PLANINDICATIVO PD'!AC33</f>
        <v>0</v>
      </c>
      <c r="N27" s="606">
        <f>+'PLANINDICATIVO PD'!AD33</f>
        <v>0</v>
      </c>
      <c r="O27" s="606">
        <f>+'PLANINDICATIVO PD'!AE33</f>
        <v>0</v>
      </c>
      <c r="P27" s="606">
        <f>+'PLANINDICATIVO PD'!AF33</f>
        <v>0</v>
      </c>
      <c r="Q27" s="606">
        <f>+'PLANINDICATIVO PD'!AG33</f>
        <v>0</v>
      </c>
      <c r="R27" s="606">
        <f>+'PLANINDICATIVO PD'!AH33</f>
        <v>10000000</v>
      </c>
      <c r="S27" s="606"/>
      <c r="T27" s="606">
        <f t="shared" si="10"/>
        <v>0</v>
      </c>
      <c r="U27" s="606">
        <f>+'PLANINDICATIVO PD'!AJ33</f>
        <v>0</v>
      </c>
      <c r="V27" s="606">
        <f t="shared" si="8"/>
        <v>0</v>
      </c>
      <c r="W27" s="596">
        <f t="shared" si="11"/>
        <v>10000000</v>
      </c>
      <c r="X27" s="597"/>
    </row>
    <row r="28" spans="1:24" ht="27.75" customHeight="1" thickBot="1" x14ac:dyDescent="0.25">
      <c r="A28" s="506">
        <v>410</v>
      </c>
      <c r="B28" s="526" t="s">
        <v>2759</v>
      </c>
      <c r="C28" s="1460"/>
      <c r="D28" s="514" t="e">
        <f>+#REF!</f>
        <v>#REF!</v>
      </c>
      <c r="E28" s="492"/>
      <c r="F28" s="515">
        <f>SUM('PLANINDICATIVO PD'!AQ34)</f>
        <v>0</v>
      </c>
      <c r="G28" s="515"/>
      <c r="H28" s="515">
        <f>SUM('PLANINDICATIVO PD'!AS34)</f>
        <v>0</v>
      </c>
      <c r="I28" s="515" t="e">
        <f t="shared" si="6"/>
        <v>#REF!</v>
      </c>
      <c r="J28" s="595"/>
      <c r="K28" s="606">
        <f>+'PLANINDICATIVO PD'!AA34</f>
        <v>0</v>
      </c>
      <c r="L28" s="606">
        <f>+'PLANINDICATIVO PD'!AB34</f>
        <v>0</v>
      </c>
      <c r="M28" s="606">
        <f>+'PLANINDICATIVO PD'!AC34</f>
        <v>0</v>
      </c>
      <c r="N28" s="606">
        <f>+'PLANINDICATIVO PD'!AD34</f>
        <v>0</v>
      </c>
      <c r="O28" s="606">
        <f>+'PLANINDICATIVO PD'!AE34</f>
        <v>0</v>
      </c>
      <c r="P28" s="606">
        <f>+'PLANINDICATIVO PD'!AF34</f>
        <v>0</v>
      </c>
      <c r="Q28" s="606">
        <f>+'PLANINDICATIVO PD'!AG34</f>
        <v>0</v>
      </c>
      <c r="R28" s="606">
        <f>+'PLANINDICATIVO PD'!AH34</f>
        <v>10000000</v>
      </c>
      <c r="S28" s="606"/>
      <c r="T28" s="606">
        <f t="shared" si="10"/>
        <v>0</v>
      </c>
      <c r="U28" s="606">
        <f>+'PLANINDICATIVO PD'!AJ34</f>
        <v>0</v>
      </c>
      <c r="V28" s="606">
        <f t="shared" si="8"/>
        <v>0</v>
      </c>
      <c r="W28" s="596">
        <f t="shared" si="11"/>
        <v>10000000</v>
      </c>
      <c r="X28" s="597"/>
    </row>
    <row r="29" spans="1:24" ht="23.25" customHeight="1" thickBot="1" x14ac:dyDescent="0.25">
      <c r="A29" s="506">
        <v>410</v>
      </c>
      <c r="B29" s="527" t="s">
        <v>2760</v>
      </c>
      <c r="C29" s="1460"/>
      <c r="D29" s="514" t="e">
        <f>+#REF!</f>
        <v>#REF!</v>
      </c>
      <c r="E29" s="492"/>
      <c r="F29" s="515">
        <f>SUM('PLANINDICATIVO PD'!AQ35)</f>
        <v>0</v>
      </c>
      <c r="G29" s="515"/>
      <c r="H29" s="515">
        <f>+'PLANINDICATIVO PD MAYO'!AB35</f>
        <v>9364326</v>
      </c>
      <c r="I29" s="515" t="e">
        <f t="shared" si="6"/>
        <v>#REF!</v>
      </c>
      <c r="J29" s="595"/>
      <c r="K29" s="606">
        <f>+'PLANINDICATIVO PD'!AA35</f>
        <v>0</v>
      </c>
      <c r="L29" s="606">
        <f>+'PLANINDICATIVO PD'!AB35</f>
        <v>0</v>
      </c>
      <c r="M29" s="606">
        <f>+'PLANINDICATIVO PD'!AC35</f>
        <v>0</v>
      </c>
      <c r="N29" s="606">
        <f>+'PLANINDICATIVO PD'!AD35</f>
        <v>0</v>
      </c>
      <c r="O29" s="606">
        <f>+'PLANINDICATIVO PD'!AE35</f>
        <v>0</v>
      </c>
      <c r="P29" s="606">
        <f>+'PLANINDICATIVO PD'!AF35</f>
        <v>0</v>
      </c>
      <c r="Q29" s="606">
        <f>+'PLANINDICATIVO PD'!AG35</f>
        <v>0</v>
      </c>
      <c r="R29" s="606">
        <f>+'PLANINDICATIVO PD'!AH35</f>
        <v>15000000</v>
      </c>
      <c r="S29" s="606"/>
      <c r="T29" s="606">
        <f t="shared" si="10"/>
        <v>9364326</v>
      </c>
      <c r="U29" s="606">
        <f>+'PLANINDICATIVO PD'!AJ35</f>
        <v>0</v>
      </c>
      <c r="V29" s="606">
        <f t="shared" si="8"/>
        <v>0</v>
      </c>
      <c r="W29" s="596">
        <f t="shared" si="11"/>
        <v>24364326</v>
      </c>
      <c r="X29" s="597"/>
    </row>
    <row r="30" spans="1:24" ht="39" customHeight="1" thickBot="1" x14ac:dyDescent="0.25">
      <c r="A30" s="506"/>
      <c r="B30" s="507" t="s">
        <v>2761</v>
      </c>
      <c r="C30" s="1460"/>
      <c r="D30" s="508" t="e">
        <f>SUM(D31:D32)</f>
        <v>#REF!</v>
      </c>
      <c r="E30" s="492"/>
      <c r="F30" s="509">
        <f>SUM(F31:F32)</f>
        <v>0</v>
      </c>
      <c r="G30" s="509" t="e">
        <f>SUM(G31:G32)</f>
        <v>#REF!</v>
      </c>
      <c r="H30" s="509">
        <f>SUM(H31:H32)</f>
        <v>0</v>
      </c>
      <c r="I30" s="781" t="e">
        <f>SUM(I31:I32)</f>
        <v>#REF!</v>
      </c>
      <c r="J30" s="594"/>
      <c r="K30" s="784">
        <f t="shared" ref="K30:W30" si="12">SUM(K31:K32)</f>
        <v>20000000</v>
      </c>
      <c r="L30" s="508">
        <f t="shared" si="12"/>
        <v>0</v>
      </c>
      <c r="M30" s="508">
        <f t="shared" si="12"/>
        <v>0</v>
      </c>
      <c r="N30" s="508">
        <f t="shared" si="12"/>
        <v>0</v>
      </c>
      <c r="O30" s="508">
        <f t="shared" si="12"/>
        <v>0</v>
      </c>
      <c r="P30" s="508">
        <f t="shared" si="12"/>
        <v>0</v>
      </c>
      <c r="Q30" s="508">
        <f t="shared" si="12"/>
        <v>0</v>
      </c>
      <c r="R30" s="508">
        <f t="shared" si="12"/>
        <v>35000000</v>
      </c>
      <c r="S30" s="508">
        <f t="shared" si="12"/>
        <v>0</v>
      </c>
      <c r="T30" s="508">
        <f t="shared" si="12"/>
        <v>0</v>
      </c>
      <c r="U30" s="508">
        <f t="shared" si="12"/>
        <v>0</v>
      </c>
      <c r="V30" s="508" t="e">
        <f t="shared" si="12"/>
        <v>#REF!</v>
      </c>
      <c r="W30" s="508" t="e">
        <f t="shared" si="12"/>
        <v>#REF!</v>
      </c>
      <c r="X30" s="597"/>
    </row>
    <row r="31" spans="1:24" ht="36" customHeight="1" thickBot="1" x14ac:dyDescent="0.25">
      <c r="A31" s="506">
        <v>510</v>
      </c>
      <c r="B31" s="526" t="s">
        <v>2762</v>
      </c>
      <c r="C31" s="1460"/>
      <c r="D31" s="514" t="e">
        <f>+#REF!</f>
        <v>#REF!</v>
      </c>
      <c r="E31" s="492"/>
      <c r="F31" s="515">
        <f>SUM('PLANINDICATIVO PD'!AQ36)</f>
        <v>0</v>
      </c>
      <c r="G31" s="515"/>
      <c r="H31" s="515">
        <f>SUM('PLANINDICATIVO PD'!AS36)</f>
        <v>0</v>
      </c>
      <c r="I31" s="515" t="e">
        <f t="shared" si="6"/>
        <v>#REF!</v>
      </c>
      <c r="J31" s="595"/>
      <c r="K31" s="606">
        <f>+'PLANINDICATIVO PD'!AA36</f>
        <v>0</v>
      </c>
      <c r="L31" s="606">
        <f>+'PLANINDICATIVO PD'!AB36</f>
        <v>0</v>
      </c>
      <c r="M31" s="606">
        <f>+'PLANINDICATIVO PD'!AC36</f>
        <v>0</v>
      </c>
      <c r="N31" s="606">
        <f>+'PLANINDICATIVO PD'!AD36</f>
        <v>0</v>
      </c>
      <c r="O31" s="606">
        <f>+'PLANINDICATIVO PD'!AE36</f>
        <v>0</v>
      </c>
      <c r="P31" s="606">
        <f>+'PLANINDICATIVO PD'!AF36</f>
        <v>0</v>
      </c>
      <c r="Q31" s="606">
        <f>+'PLANINDICATIVO PD'!AG36</f>
        <v>0</v>
      </c>
      <c r="R31" s="606">
        <f>+'PLANINDICATIVO PD'!AH36</f>
        <v>5000000</v>
      </c>
      <c r="S31" s="606"/>
      <c r="T31" s="606">
        <f>+H31</f>
        <v>0</v>
      </c>
      <c r="U31" s="606">
        <f>+'PLANINDICATIVO PD'!AJ36</f>
        <v>0</v>
      </c>
      <c r="V31" s="606">
        <f t="shared" si="8"/>
        <v>0</v>
      </c>
      <c r="W31" s="596">
        <f>SUM(K31:V31)</f>
        <v>5000000</v>
      </c>
      <c r="X31" s="597"/>
    </row>
    <row r="32" spans="1:24" ht="50.25" customHeight="1" thickBot="1" x14ac:dyDescent="0.25">
      <c r="A32" s="506">
        <v>510</v>
      </c>
      <c r="B32" s="525" t="s">
        <v>2763</v>
      </c>
      <c r="C32" s="1461"/>
      <c r="D32" s="514" t="e">
        <f>+#REF!</f>
        <v>#REF!</v>
      </c>
      <c r="E32" s="492"/>
      <c r="F32" s="515">
        <f>SUM('PLANINDICATIVO PD'!AQ37)</f>
        <v>0</v>
      </c>
      <c r="G32" s="515" t="e">
        <f>SUM(#REF!)</f>
        <v>#REF!</v>
      </c>
      <c r="H32" s="515">
        <f>SUM('PLANINDICATIVO PD'!AS37)</f>
        <v>0</v>
      </c>
      <c r="I32" s="515" t="e">
        <f t="shared" si="6"/>
        <v>#REF!</v>
      </c>
      <c r="J32" s="595"/>
      <c r="K32" s="606">
        <f>+'PLANINDICATIVO PD'!AA37</f>
        <v>20000000</v>
      </c>
      <c r="L32" s="606">
        <f>+'PLANINDICATIVO PD'!AB37</f>
        <v>0</v>
      </c>
      <c r="M32" s="606">
        <f>+'PLANINDICATIVO PD'!AC37</f>
        <v>0</v>
      </c>
      <c r="N32" s="606">
        <f>+'PLANINDICATIVO PD'!AD37</f>
        <v>0</v>
      </c>
      <c r="O32" s="606">
        <f>+'PLANINDICATIVO PD'!AE37</f>
        <v>0</v>
      </c>
      <c r="P32" s="606">
        <f>+'PLANINDICATIVO PD'!AF37</f>
        <v>0</v>
      </c>
      <c r="Q32" s="606">
        <f>+'PLANINDICATIVO PD'!AG37</f>
        <v>0</v>
      </c>
      <c r="R32" s="606">
        <f>+'PLANINDICATIVO PD'!AH37</f>
        <v>30000000</v>
      </c>
      <c r="S32" s="606"/>
      <c r="T32" s="606">
        <f>+H32</f>
        <v>0</v>
      </c>
      <c r="U32" s="606">
        <f>+'PLANINDICATIVO PD'!AJ37</f>
        <v>0</v>
      </c>
      <c r="V32" s="606" t="e">
        <f t="shared" si="8"/>
        <v>#REF!</v>
      </c>
      <c r="W32" s="596" t="e">
        <f>SUM(K32:V32)</f>
        <v>#REF!</v>
      </c>
      <c r="X32" s="597"/>
    </row>
    <row r="33" spans="1:24" ht="39" customHeight="1" thickBot="1" x14ac:dyDescent="0.25">
      <c r="A33" s="506"/>
      <c r="B33" s="500" t="s">
        <v>2764</v>
      </c>
      <c r="C33" s="802"/>
      <c r="D33" s="501" t="e">
        <f>+D34+D37</f>
        <v>#REF!</v>
      </c>
      <c r="E33" s="492"/>
      <c r="F33" s="521">
        <f>+F34+F37</f>
        <v>88829823</v>
      </c>
      <c r="G33" s="521" t="e">
        <f>+G34+G37</f>
        <v>#REF!</v>
      </c>
      <c r="H33" s="521">
        <f>+H34+H37</f>
        <v>210000000</v>
      </c>
      <c r="I33" s="521" t="e">
        <f>+I34+I37</f>
        <v>#REF!</v>
      </c>
      <c r="J33" s="783"/>
      <c r="K33" s="501">
        <f t="shared" ref="K33:W33" si="13">+K34+K37</f>
        <v>40000000</v>
      </c>
      <c r="L33" s="501" t="e">
        <f t="shared" si="13"/>
        <v>#REF!</v>
      </c>
      <c r="M33" s="501" t="e">
        <f t="shared" si="13"/>
        <v>#REF!</v>
      </c>
      <c r="N33" s="501">
        <f t="shared" si="13"/>
        <v>108878050</v>
      </c>
      <c r="O33" s="501">
        <f t="shared" si="13"/>
        <v>61623810</v>
      </c>
      <c r="P33" s="501">
        <f t="shared" si="13"/>
        <v>47000740</v>
      </c>
      <c r="Q33" s="501" t="e">
        <f t="shared" si="13"/>
        <v>#REF!</v>
      </c>
      <c r="R33" s="501">
        <f t="shared" si="13"/>
        <v>0</v>
      </c>
      <c r="S33" s="501" t="e">
        <f t="shared" si="13"/>
        <v>#REF!</v>
      </c>
      <c r="T33" s="501">
        <f t="shared" si="13"/>
        <v>338509417</v>
      </c>
      <c r="U33" s="501">
        <f t="shared" si="13"/>
        <v>0</v>
      </c>
      <c r="V33" s="501" t="e">
        <f>+V34+V37</f>
        <v>#REF!</v>
      </c>
      <c r="W33" s="501" t="e">
        <f t="shared" si="13"/>
        <v>#REF!</v>
      </c>
      <c r="X33" s="597"/>
    </row>
    <row r="34" spans="1:24" ht="39" customHeight="1" thickBot="1" x14ac:dyDescent="0.25">
      <c r="A34" s="506"/>
      <c r="B34" s="507" t="s">
        <v>2765</v>
      </c>
      <c r="C34" s="1462" t="s">
        <v>4168</v>
      </c>
      <c r="D34" s="508" t="e">
        <f>SUM(D35:D36)</f>
        <v>#REF!</v>
      </c>
      <c r="E34" s="492"/>
      <c r="F34" s="509">
        <f>SUM(F35:F36)</f>
        <v>0</v>
      </c>
      <c r="G34" s="509" t="e">
        <f>SUM(G35:G36)</f>
        <v>#REF!</v>
      </c>
      <c r="H34" s="509">
        <f>SUM(H35:H36)</f>
        <v>10000000</v>
      </c>
      <c r="I34" s="781" t="e">
        <f>SUM(I35:I36)</f>
        <v>#REF!</v>
      </c>
      <c r="J34" s="594"/>
      <c r="K34" s="778">
        <f t="shared" ref="K34:W34" si="14">SUM(K35:K36)</f>
        <v>40000000</v>
      </c>
      <c r="L34" s="508">
        <f t="shared" si="14"/>
        <v>0</v>
      </c>
      <c r="M34" s="508">
        <f t="shared" si="14"/>
        <v>0</v>
      </c>
      <c r="N34" s="508">
        <f t="shared" si="14"/>
        <v>0</v>
      </c>
      <c r="O34" s="508">
        <f t="shared" si="14"/>
        <v>0</v>
      </c>
      <c r="P34" s="508">
        <f t="shared" si="14"/>
        <v>0</v>
      </c>
      <c r="Q34" s="508">
        <f t="shared" si="14"/>
        <v>0</v>
      </c>
      <c r="R34" s="508">
        <f t="shared" si="14"/>
        <v>0</v>
      </c>
      <c r="S34" s="508">
        <f t="shared" si="14"/>
        <v>10000000</v>
      </c>
      <c r="T34" s="508">
        <f t="shared" si="14"/>
        <v>10000000</v>
      </c>
      <c r="U34" s="508">
        <f t="shared" si="14"/>
        <v>0</v>
      </c>
      <c r="V34" s="508" t="e">
        <f>SUM(V35:V36)</f>
        <v>#REF!</v>
      </c>
      <c r="W34" s="508" t="e">
        <f t="shared" si="14"/>
        <v>#REF!</v>
      </c>
      <c r="X34" s="597"/>
    </row>
    <row r="35" spans="1:24" ht="29.25" customHeight="1" thickBot="1" x14ac:dyDescent="0.25">
      <c r="A35" s="506">
        <v>510</v>
      </c>
      <c r="B35" s="525" t="s">
        <v>2766</v>
      </c>
      <c r="C35" s="1463"/>
      <c r="D35" s="514" t="e">
        <f>+#REF!</f>
        <v>#REF!</v>
      </c>
      <c r="E35" s="492"/>
      <c r="F35" s="515">
        <f>SUM('PLANINDICATIVO PD'!AQ40)</f>
        <v>0</v>
      </c>
      <c r="G35" s="515" t="e">
        <f>SUM(#REF!)</f>
        <v>#REF!</v>
      </c>
      <c r="H35" s="515">
        <f>SUM('PLANINDICATIVO PD MAYO'!AB40)</f>
        <v>10000000</v>
      </c>
      <c r="I35" s="515" t="e">
        <f>+D35+F35+G35+H35</f>
        <v>#REF!</v>
      </c>
      <c r="J35" s="595"/>
      <c r="K35" s="773">
        <f>SUM('PLANINDICATIVO PD'!AA40)</f>
        <v>40000000</v>
      </c>
      <c r="L35" s="606">
        <f>SUM('PLANINDICATIVO PD'!AB40)</f>
        <v>0</v>
      </c>
      <c r="M35" s="606">
        <f>SUM('PLANINDICATIVO PD'!AC40)</f>
        <v>0</v>
      </c>
      <c r="N35" s="606">
        <f>SUM('PLANINDICATIVO PD'!AD40)</f>
        <v>0</v>
      </c>
      <c r="O35" s="606">
        <f>SUM('PLANINDICATIVO PD'!AE40)</f>
        <v>0</v>
      </c>
      <c r="P35" s="606">
        <f>SUM('PLANINDICATIVO PD'!AF40)</f>
        <v>0</v>
      </c>
      <c r="Q35" s="606">
        <f>SUM('PLANINDICATIVO PD'!AG40)</f>
        <v>0</v>
      </c>
      <c r="R35" s="606">
        <f>SUM('PLANINDICATIVO PD'!AH40)</f>
        <v>0</v>
      </c>
      <c r="S35" s="606">
        <f>+'PLANINDICATIVO PD'!BH40</f>
        <v>10000000</v>
      </c>
      <c r="T35" s="606">
        <f>+H35</f>
        <v>10000000</v>
      </c>
      <c r="U35" s="606">
        <f>SUM('PLANINDICATIVO PD'!AJ40)</f>
        <v>0</v>
      </c>
      <c r="V35" s="606" t="e">
        <f>+G35</f>
        <v>#REF!</v>
      </c>
      <c r="W35" s="596" t="e">
        <f>SUM(K35:V35)</f>
        <v>#REF!</v>
      </c>
      <c r="X35" s="597"/>
    </row>
    <row r="36" spans="1:24" ht="31.5" customHeight="1" thickBot="1" x14ac:dyDescent="0.25">
      <c r="A36" s="506">
        <v>510</v>
      </c>
      <c r="B36" s="524" t="s">
        <v>2767</v>
      </c>
      <c r="C36" s="1464"/>
      <c r="D36" s="514" t="e">
        <f>+#REF!</f>
        <v>#REF!</v>
      </c>
      <c r="E36" s="492"/>
      <c r="F36" s="515">
        <f>SUM('PLANINDICATIVO PD'!AQ41)</f>
        <v>0</v>
      </c>
      <c r="G36" s="515">
        <f>SUM('PLANINDICATIVO PD'!AR41)</f>
        <v>0</v>
      </c>
      <c r="H36" s="515">
        <f>SUM('PLANINDICATIVO PD'!AS41)</f>
        <v>0</v>
      </c>
      <c r="I36" s="515" t="e">
        <f>+D36+F36+G36+H36</f>
        <v>#REF!</v>
      </c>
      <c r="J36" s="595"/>
      <c r="K36" s="606">
        <f>+'PLANINDICATIVO PD'!AA41</f>
        <v>0</v>
      </c>
      <c r="L36" s="606">
        <f>+'PLANINDICATIVO PD'!AB41</f>
        <v>0</v>
      </c>
      <c r="M36" s="606">
        <f>+'PLANINDICATIVO PD'!AC41</f>
        <v>0</v>
      </c>
      <c r="N36" s="606">
        <f>+'PLANINDICATIVO PD'!AD41</f>
        <v>0</v>
      </c>
      <c r="O36" s="606">
        <f>+'PLANINDICATIVO PD'!AE41</f>
        <v>0</v>
      </c>
      <c r="P36" s="606">
        <f>+'PLANINDICATIVO PD'!AF41</f>
        <v>0</v>
      </c>
      <c r="Q36" s="606">
        <f>+'PLANINDICATIVO PD'!AG41</f>
        <v>0</v>
      </c>
      <c r="R36" s="606">
        <f>+'PLANINDICATIVO PD'!AH41</f>
        <v>0</v>
      </c>
      <c r="S36" s="606"/>
      <c r="T36" s="606">
        <f>+H36</f>
        <v>0</v>
      </c>
      <c r="U36" s="606">
        <f>+'PLANINDICATIVO PD'!AJ41</f>
        <v>0</v>
      </c>
      <c r="V36" s="606">
        <f>+G36</f>
        <v>0</v>
      </c>
      <c r="W36" s="596">
        <f>SUM(K36:V36)</f>
        <v>0</v>
      </c>
      <c r="X36" s="597"/>
    </row>
    <row r="37" spans="1:24" ht="39" customHeight="1" thickBot="1" x14ac:dyDescent="0.25">
      <c r="A37" s="506"/>
      <c r="B37" s="507" t="s">
        <v>2768</v>
      </c>
      <c r="C37" s="1462" t="s">
        <v>4166</v>
      </c>
      <c r="D37" s="508" t="e">
        <f>SUM(D38:D42)</f>
        <v>#REF!</v>
      </c>
      <c r="E37" s="492"/>
      <c r="F37" s="509">
        <f>SUM(F38:F42)</f>
        <v>88829823</v>
      </c>
      <c r="G37" s="509" t="e">
        <f>SUM(G38:G42)</f>
        <v>#REF!</v>
      </c>
      <c r="H37" s="509">
        <f>SUM(H38:H42)</f>
        <v>200000000</v>
      </c>
      <c r="I37" s="781" t="e">
        <f>SUM(I38:I42)</f>
        <v>#REF!</v>
      </c>
      <c r="J37" s="594"/>
      <c r="K37" s="784">
        <f t="shared" ref="K37:U37" si="15">SUM(K38:K42)</f>
        <v>0</v>
      </c>
      <c r="L37" s="508" t="e">
        <f t="shared" si="15"/>
        <v>#REF!</v>
      </c>
      <c r="M37" s="508" t="e">
        <f t="shared" si="15"/>
        <v>#REF!</v>
      </c>
      <c r="N37" s="508">
        <f t="shared" si="15"/>
        <v>108878050</v>
      </c>
      <c r="O37" s="508">
        <f t="shared" si="15"/>
        <v>61623810</v>
      </c>
      <c r="P37" s="508">
        <f t="shared" si="15"/>
        <v>47000740</v>
      </c>
      <c r="Q37" s="508" t="e">
        <f t="shared" si="15"/>
        <v>#REF!</v>
      </c>
      <c r="R37" s="508">
        <f t="shared" si="15"/>
        <v>0</v>
      </c>
      <c r="S37" s="508" t="e">
        <f t="shared" si="15"/>
        <v>#REF!</v>
      </c>
      <c r="T37" s="508">
        <f t="shared" si="15"/>
        <v>328509417</v>
      </c>
      <c r="U37" s="508">
        <f t="shared" si="15"/>
        <v>0</v>
      </c>
      <c r="V37" s="508" t="e">
        <f>SUM(V38:V42)</f>
        <v>#REF!</v>
      </c>
      <c r="W37" s="508" t="e">
        <f>SUM(W38:W42)</f>
        <v>#REF!</v>
      </c>
      <c r="X37" s="597"/>
    </row>
    <row r="38" spans="1:24" ht="42" customHeight="1" thickBot="1" x14ac:dyDescent="0.25">
      <c r="A38" s="506">
        <v>111</v>
      </c>
      <c r="B38" s="526" t="s">
        <v>2769</v>
      </c>
      <c r="C38" s="1463"/>
      <c r="D38" s="514" t="e">
        <f>+#REF!</f>
        <v>#REF!</v>
      </c>
      <c r="E38" s="492"/>
      <c r="F38" s="515">
        <v>74921223</v>
      </c>
      <c r="G38" s="515" t="e">
        <f>SUM(#REF!)</f>
        <v>#REF!</v>
      </c>
      <c r="H38" s="515">
        <f>SUM('PLANINDICATIVO PD MAYO'!AB42)</f>
        <v>200000000</v>
      </c>
      <c r="I38" s="515" t="e">
        <f>+D38+F38+G38+H38</f>
        <v>#REF!</v>
      </c>
      <c r="J38" s="595"/>
      <c r="K38" s="606">
        <f>+'PLANINDICATIVO PD'!AA42</f>
        <v>0</v>
      </c>
      <c r="L38" s="606" t="e">
        <v>#REF!</v>
      </c>
      <c r="M38" s="606" t="e">
        <f>+#REF!</f>
        <v>#REF!</v>
      </c>
      <c r="N38" s="606">
        <v>79644050</v>
      </c>
      <c r="O38" s="606">
        <v>45678810</v>
      </c>
      <c r="P38" s="606">
        <f>+'PLANINDICATIVO PD'!AF42-15500000</f>
        <v>8000000</v>
      </c>
      <c r="Q38" s="606" t="e">
        <f>+'PLANINDICATIVO PD'!BF42</f>
        <v>#REF!</v>
      </c>
      <c r="R38" s="606">
        <f>+'PLANINDICATIVO PD'!AH42</f>
        <v>0</v>
      </c>
      <c r="S38" s="606" t="e">
        <f>+'PLANINDICATIVO PD'!BH42</f>
        <v>#REF!</v>
      </c>
      <c r="T38" s="606">
        <v>308654366</v>
      </c>
      <c r="U38" s="606">
        <f>+'PLANINDICATIVO PD'!AJ42</f>
        <v>0</v>
      </c>
      <c r="V38" s="606" t="e">
        <f>+G38</f>
        <v>#REF!</v>
      </c>
      <c r="W38" s="596" t="e">
        <f>SUM(K38:V38)</f>
        <v>#REF!</v>
      </c>
      <c r="X38" s="597"/>
    </row>
    <row r="39" spans="1:24" ht="39" customHeight="1" thickBot="1" x14ac:dyDescent="0.25">
      <c r="A39" s="506">
        <v>211</v>
      </c>
      <c r="B39" s="526" t="s">
        <v>2770</v>
      </c>
      <c r="C39" s="1463"/>
      <c r="D39" s="514" t="e">
        <f>+#REF!</f>
        <v>#REF!</v>
      </c>
      <c r="E39" s="492"/>
      <c r="F39" s="515">
        <v>13908600</v>
      </c>
      <c r="G39" s="515" t="e">
        <f>SUM(#REF!)</f>
        <v>#REF!</v>
      </c>
      <c r="H39" s="515">
        <f>SUM('PLANINDICATIVO PD'!AS43)</f>
        <v>0</v>
      </c>
      <c r="I39" s="515" t="e">
        <f>+D39+F39+G39+H39</f>
        <v>#REF!</v>
      </c>
      <c r="J39" s="595"/>
      <c r="K39" s="606">
        <f>+'PLANINDICATIVO PD'!AA43</f>
        <v>0</v>
      </c>
      <c r="L39" s="606">
        <f>+'PLANINDICATIVO PD'!AB43+'PLANINDICATIVO PD'!BA43</f>
        <v>310134781</v>
      </c>
      <c r="M39" s="606">
        <f>+'PLANINDICATIVO PD'!AC43</f>
        <v>0</v>
      </c>
      <c r="N39" s="606">
        <f>+'PLANINDICATIVO PD'!AD43-170400-7366000</f>
        <v>29234000</v>
      </c>
      <c r="O39" s="606">
        <f>+'PLANINDICATIVO PD'!AE43+10695000-4750000</f>
        <v>15945000</v>
      </c>
      <c r="P39" s="606">
        <f>+'PLANINDICATIVO PD'!AF43+15500000</f>
        <v>39000740</v>
      </c>
      <c r="Q39" s="606">
        <f>+'PLANINDICATIVO PD'!AG43</f>
        <v>0</v>
      </c>
      <c r="R39" s="606">
        <f>+'PLANINDICATIVO PD'!AH43</f>
        <v>0</v>
      </c>
      <c r="S39" s="606"/>
      <c r="T39" s="606">
        <f>+H39</f>
        <v>0</v>
      </c>
      <c r="U39" s="606">
        <f>+'PLANINDICATIVO PD'!AJ43</f>
        <v>0</v>
      </c>
      <c r="V39" s="606" t="e">
        <f>+G39</f>
        <v>#REF!</v>
      </c>
      <c r="W39" s="596" t="e">
        <f>SUM(K39:V39)</f>
        <v>#REF!</v>
      </c>
      <c r="X39" s="597"/>
    </row>
    <row r="40" spans="1:24" ht="39" customHeight="1" thickBot="1" x14ac:dyDescent="0.25">
      <c r="A40" s="506">
        <v>211</v>
      </c>
      <c r="B40" s="526" t="s">
        <v>2771</v>
      </c>
      <c r="C40" s="1463"/>
      <c r="D40" s="514" t="e">
        <f>+#REF!</f>
        <v>#REF!</v>
      </c>
      <c r="E40" s="492"/>
      <c r="F40" s="515">
        <f>SUM('PLANINDICATIVO PD'!AQ44)</f>
        <v>0</v>
      </c>
      <c r="G40" s="515" t="e">
        <f>SUM(#REF!)</f>
        <v>#REF!</v>
      </c>
      <c r="H40" s="515">
        <f>SUM('PLANINDICATIVO PD'!AS44)</f>
        <v>0</v>
      </c>
      <c r="I40" s="515" t="e">
        <f>+D40+F40+G40+H40</f>
        <v>#REF!</v>
      </c>
      <c r="J40" s="595"/>
      <c r="K40" s="606">
        <f>+'PLANINDICATIVO PD'!AA44</f>
        <v>0</v>
      </c>
      <c r="L40" s="606">
        <f>+'PLANINDICATIVO PD'!AB44</f>
        <v>200000000</v>
      </c>
      <c r="M40" s="606">
        <v>57144949</v>
      </c>
      <c r="N40" s="606">
        <f>+'PLANINDICATIVO PD'!AD44</f>
        <v>0</v>
      </c>
      <c r="O40" s="606">
        <f>+'PLANINDICATIVO PD'!AE44</f>
        <v>0</v>
      </c>
      <c r="P40" s="606">
        <f>+'PLANINDICATIVO PD'!AF44</f>
        <v>0</v>
      </c>
      <c r="Q40" s="606">
        <f>+'PLANINDICATIVO PD'!AG44</f>
        <v>1300000000</v>
      </c>
      <c r="R40" s="606">
        <f>+'PLANINDICATIVO PD'!AH44</f>
        <v>0</v>
      </c>
      <c r="S40" s="606">
        <f>+'PLANINDICATIVO PD'!BH44</f>
        <v>60000000</v>
      </c>
      <c r="T40" s="606">
        <v>19855051</v>
      </c>
      <c r="U40" s="606">
        <f>+'PLANINDICATIVO PD'!AJ44</f>
        <v>0</v>
      </c>
      <c r="V40" s="606" t="e">
        <f>+G40</f>
        <v>#REF!</v>
      </c>
      <c r="W40" s="596" t="e">
        <f>SUM(K40:V40)</f>
        <v>#REF!</v>
      </c>
      <c r="X40" s="597"/>
    </row>
    <row r="41" spans="1:24" ht="24" customHeight="1" thickBot="1" x14ac:dyDescent="0.25">
      <c r="A41" s="506">
        <v>111</v>
      </c>
      <c r="B41" s="525" t="s">
        <v>2772</v>
      </c>
      <c r="C41" s="1463"/>
      <c r="D41" s="514" t="e">
        <f>+#REF!</f>
        <v>#REF!</v>
      </c>
      <c r="E41" s="492"/>
      <c r="F41" s="515">
        <f>SUM('PLANINDICATIVO PD'!AQ45)</f>
        <v>0</v>
      </c>
      <c r="G41" s="515">
        <f>SUM('PLANINDICATIVO PD'!AR45)</f>
        <v>0</v>
      </c>
      <c r="H41" s="515">
        <f>SUM('PLANINDICATIVO PD'!AS45)</f>
        <v>0</v>
      </c>
      <c r="I41" s="515" t="e">
        <f>+D41+F41+G41+H41</f>
        <v>#REF!</v>
      </c>
      <c r="J41" s="595"/>
      <c r="K41" s="606">
        <f>+'PLANINDICATIVO PD'!AA45</f>
        <v>0</v>
      </c>
      <c r="L41" s="606">
        <f>+'PLANINDICATIVO PD'!AB45</f>
        <v>0</v>
      </c>
      <c r="M41" s="606">
        <f>+'PLANINDICATIVO PD'!AC45</f>
        <v>0</v>
      </c>
      <c r="N41" s="606">
        <f>+'PLANINDICATIVO PD'!AD45</f>
        <v>0</v>
      </c>
      <c r="O41" s="606">
        <f>+'PLANINDICATIVO PD'!AE45</f>
        <v>0</v>
      </c>
      <c r="P41" s="606">
        <f>+'PLANINDICATIVO PD'!AF45</f>
        <v>0</v>
      </c>
      <c r="Q41" s="606">
        <f>+'PLANINDICATIVO PD'!AG45</f>
        <v>0</v>
      </c>
      <c r="R41" s="606">
        <f>+'PLANINDICATIVO PD'!AH45</f>
        <v>0</v>
      </c>
      <c r="S41" s="606"/>
      <c r="T41" s="606">
        <f>+H41</f>
        <v>0</v>
      </c>
      <c r="U41" s="606">
        <f>+'PLANINDICATIVO PD'!AJ45</f>
        <v>0</v>
      </c>
      <c r="V41" s="606">
        <f>+G41</f>
        <v>0</v>
      </c>
      <c r="W41" s="596">
        <f>SUM(K41:V41)</f>
        <v>0</v>
      </c>
      <c r="X41" s="597"/>
    </row>
    <row r="42" spans="1:24" ht="24" customHeight="1" thickBot="1" x14ac:dyDescent="0.25">
      <c r="A42" s="506">
        <v>111</v>
      </c>
      <c r="B42" s="525" t="s">
        <v>4155</v>
      </c>
      <c r="C42" s="1464"/>
      <c r="D42" s="514"/>
      <c r="E42" s="492"/>
      <c r="F42" s="515"/>
      <c r="G42" s="515" t="e">
        <f>+#REF!</f>
        <v>#REF!</v>
      </c>
      <c r="H42" s="515"/>
      <c r="I42" s="515" t="e">
        <f>+D42+F42+G42+H42</f>
        <v>#REF!</v>
      </c>
      <c r="J42" s="595"/>
      <c r="K42" s="606"/>
      <c r="L42" s="606"/>
      <c r="M42" s="606"/>
      <c r="N42" s="606"/>
      <c r="O42" s="606"/>
      <c r="P42" s="606"/>
      <c r="Q42" s="606"/>
      <c r="R42" s="606"/>
      <c r="S42" s="606"/>
      <c r="T42" s="606">
        <f>+H42</f>
        <v>0</v>
      </c>
      <c r="U42" s="606"/>
      <c r="V42" s="606" t="e">
        <f>+G42</f>
        <v>#REF!</v>
      </c>
      <c r="W42" s="596" t="e">
        <f>SUM(K42:V42)</f>
        <v>#REF!</v>
      </c>
      <c r="X42" s="597"/>
    </row>
    <row r="43" spans="1:24" ht="39" customHeight="1" thickBot="1" x14ac:dyDescent="0.25">
      <c r="A43" s="506"/>
      <c r="B43" s="500" t="s">
        <v>2773</v>
      </c>
      <c r="C43" s="1465" t="s">
        <v>4165</v>
      </c>
      <c r="D43" s="501" t="e">
        <f t="shared" ref="D43:W43" si="16">+D44</f>
        <v>#REF!</v>
      </c>
      <c r="E43" s="492"/>
      <c r="F43" s="521">
        <f t="shared" si="16"/>
        <v>0</v>
      </c>
      <c r="G43" s="521">
        <f t="shared" si="16"/>
        <v>0</v>
      </c>
      <c r="H43" s="521">
        <f t="shared" si="16"/>
        <v>10000000</v>
      </c>
      <c r="I43" s="521" t="e">
        <f t="shared" si="16"/>
        <v>#REF!</v>
      </c>
      <c r="J43" s="783"/>
      <c r="K43" s="501">
        <f t="shared" si="16"/>
        <v>35000000</v>
      </c>
      <c r="L43" s="501">
        <f t="shared" si="16"/>
        <v>0</v>
      </c>
      <c r="M43" s="501">
        <f t="shared" si="16"/>
        <v>0</v>
      </c>
      <c r="N43" s="501">
        <f t="shared" si="16"/>
        <v>0</v>
      </c>
      <c r="O43" s="501">
        <f t="shared" si="16"/>
        <v>0</v>
      </c>
      <c r="P43" s="501">
        <f t="shared" si="16"/>
        <v>0</v>
      </c>
      <c r="Q43" s="501">
        <f t="shared" si="16"/>
        <v>0</v>
      </c>
      <c r="R43" s="501">
        <f t="shared" si="16"/>
        <v>0</v>
      </c>
      <c r="S43" s="501">
        <f t="shared" si="16"/>
        <v>10000000</v>
      </c>
      <c r="T43" s="501">
        <f t="shared" si="16"/>
        <v>10000000</v>
      </c>
      <c r="U43" s="501">
        <f t="shared" si="16"/>
        <v>0</v>
      </c>
      <c r="V43" s="501">
        <f t="shared" si="16"/>
        <v>0</v>
      </c>
      <c r="W43" s="501">
        <f t="shared" si="16"/>
        <v>55000000</v>
      </c>
      <c r="X43" s="597"/>
    </row>
    <row r="44" spans="1:24" ht="39" customHeight="1" thickBot="1" x14ac:dyDescent="0.25">
      <c r="A44" s="506"/>
      <c r="B44" s="507" t="s">
        <v>2774</v>
      </c>
      <c r="C44" s="1466"/>
      <c r="D44" s="508" t="e">
        <f>SUM(D45:D47)</f>
        <v>#REF!</v>
      </c>
      <c r="E44" s="492"/>
      <c r="F44" s="509">
        <f>SUM(F45:F47)</f>
        <v>0</v>
      </c>
      <c r="G44" s="509">
        <f>SUM(G45:G47)</f>
        <v>0</v>
      </c>
      <c r="H44" s="509">
        <f>SUM(H45:H47)</f>
        <v>10000000</v>
      </c>
      <c r="I44" s="781" t="e">
        <f>SUM(I45:I47)</f>
        <v>#REF!</v>
      </c>
      <c r="J44" s="594"/>
      <c r="K44" s="778">
        <f t="shared" ref="K44:W44" si="17">SUM(K45:K47)</f>
        <v>35000000</v>
      </c>
      <c r="L44" s="508">
        <f t="shared" si="17"/>
        <v>0</v>
      </c>
      <c r="M44" s="508">
        <f t="shared" si="17"/>
        <v>0</v>
      </c>
      <c r="N44" s="508">
        <f t="shared" si="17"/>
        <v>0</v>
      </c>
      <c r="O44" s="508">
        <f t="shared" si="17"/>
        <v>0</v>
      </c>
      <c r="P44" s="508">
        <f t="shared" si="17"/>
        <v>0</v>
      </c>
      <c r="Q44" s="508">
        <f t="shared" si="17"/>
        <v>0</v>
      </c>
      <c r="R44" s="508">
        <f t="shared" si="17"/>
        <v>0</v>
      </c>
      <c r="S44" s="508">
        <f t="shared" si="17"/>
        <v>10000000</v>
      </c>
      <c r="T44" s="508">
        <f t="shared" si="17"/>
        <v>10000000</v>
      </c>
      <c r="U44" s="508">
        <f t="shared" si="17"/>
        <v>0</v>
      </c>
      <c r="V44" s="508">
        <f>SUM(V45:V47)</f>
        <v>0</v>
      </c>
      <c r="W44" s="508">
        <f t="shared" si="17"/>
        <v>55000000</v>
      </c>
      <c r="X44" s="597"/>
    </row>
    <row r="45" spans="1:24" ht="30" customHeight="1" thickBot="1" x14ac:dyDescent="0.25">
      <c r="A45" s="506">
        <v>510</v>
      </c>
      <c r="B45" s="526" t="s">
        <v>2775</v>
      </c>
      <c r="C45" s="1466"/>
      <c r="D45" s="514" t="e">
        <f>+#REF!</f>
        <v>#REF!</v>
      </c>
      <c r="E45" s="492"/>
      <c r="F45" s="515">
        <f>SUM('PLANINDICATIVO PD'!AQ48)</f>
        <v>0</v>
      </c>
      <c r="G45" s="515">
        <f>SUM('PLANINDICATIVO PD'!AR48)</f>
        <v>0</v>
      </c>
      <c r="H45" s="515">
        <f>SUM('PLANINDICATIVO PD'!AS48)</f>
        <v>0</v>
      </c>
      <c r="I45" s="515" t="e">
        <f>+D45+F45+G45+H45</f>
        <v>#REF!</v>
      </c>
      <c r="J45" s="595"/>
      <c r="K45" s="606">
        <f>+'PLANINDICATIVO PD'!AA48</f>
        <v>35000000</v>
      </c>
      <c r="L45" s="606">
        <f>+'PLANINDICATIVO PD'!AB48</f>
        <v>0</v>
      </c>
      <c r="M45" s="606">
        <f>+'PLANINDICATIVO PD'!AC48</f>
        <v>0</v>
      </c>
      <c r="N45" s="606">
        <f>+'PLANINDICATIVO PD'!AD48</f>
        <v>0</v>
      </c>
      <c r="O45" s="606">
        <f>+'PLANINDICATIVO PD'!AE48</f>
        <v>0</v>
      </c>
      <c r="P45" s="606">
        <f>+'PLANINDICATIVO PD'!AF48</f>
        <v>0</v>
      </c>
      <c r="Q45" s="606">
        <f>+'PLANINDICATIVO PD'!AG48</f>
        <v>0</v>
      </c>
      <c r="R45" s="606">
        <f>+'PLANINDICATIVO PD'!AH48</f>
        <v>0</v>
      </c>
      <c r="S45" s="606"/>
      <c r="T45" s="606">
        <f>+H45</f>
        <v>0</v>
      </c>
      <c r="U45" s="606">
        <f>+'PLANINDICATIVO PD'!AJ48</f>
        <v>0</v>
      </c>
      <c r="V45" s="606">
        <f>+G45</f>
        <v>0</v>
      </c>
      <c r="W45" s="596">
        <f>SUM(K45:V45)</f>
        <v>35000000</v>
      </c>
      <c r="X45" s="597"/>
    </row>
    <row r="46" spans="1:24" ht="29.25" customHeight="1" thickBot="1" x14ac:dyDescent="0.25">
      <c r="A46" s="506">
        <v>510</v>
      </c>
      <c r="B46" s="526" t="s">
        <v>2776</v>
      </c>
      <c r="C46" s="1466"/>
      <c r="D46" s="514" t="e">
        <f>+#REF!</f>
        <v>#REF!</v>
      </c>
      <c r="E46" s="492"/>
      <c r="F46" s="515">
        <f>SUM('PLANINDICATIVO PD'!AQ49)</f>
        <v>0</v>
      </c>
      <c r="G46" s="515"/>
      <c r="H46" s="515">
        <f>SUM('PLANINDICATIVO PD MAYO'!AB50)</f>
        <v>10000000</v>
      </c>
      <c r="I46" s="515" t="e">
        <f>+D46+F46+G46+H46</f>
        <v>#REF!</v>
      </c>
      <c r="J46" s="595"/>
      <c r="K46" s="606">
        <f>+'PLANINDICATIVO PD'!AA49</f>
        <v>0</v>
      </c>
      <c r="L46" s="606">
        <f>+'PLANINDICATIVO PD'!AB49</f>
        <v>0</v>
      </c>
      <c r="M46" s="606">
        <f>+'PLANINDICATIVO PD'!AC49</f>
        <v>0</v>
      </c>
      <c r="N46" s="606">
        <f>+'PLANINDICATIVO PD'!AD49</f>
        <v>0</v>
      </c>
      <c r="O46" s="606">
        <f>+'PLANINDICATIVO PD'!AE49</f>
        <v>0</v>
      </c>
      <c r="P46" s="606">
        <f>+'PLANINDICATIVO PD'!AF49</f>
        <v>0</v>
      </c>
      <c r="Q46" s="606">
        <f>+'PLANINDICATIVO PD'!AG49</f>
        <v>0</v>
      </c>
      <c r="R46" s="606">
        <f>+'PLANINDICATIVO PD'!AH49</f>
        <v>0</v>
      </c>
      <c r="S46" s="606">
        <f>+'PLANINDICATIVO PD'!BH49</f>
        <v>10000000</v>
      </c>
      <c r="T46" s="606">
        <f>+H46</f>
        <v>10000000</v>
      </c>
      <c r="U46" s="606">
        <f>+'PLANINDICATIVO PD'!AJ49</f>
        <v>0</v>
      </c>
      <c r="V46" s="606">
        <f>+G46</f>
        <v>0</v>
      </c>
      <c r="W46" s="596">
        <f>SUM(K46:V46)</f>
        <v>20000000</v>
      </c>
      <c r="X46" s="597"/>
    </row>
    <row r="47" spans="1:24" ht="34.5" customHeight="1" thickBot="1" x14ac:dyDescent="0.25">
      <c r="A47" s="506">
        <v>510</v>
      </c>
      <c r="B47" s="526" t="s">
        <v>2777</v>
      </c>
      <c r="C47" s="1467"/>
      <c r="D47" s="514" t="e">
        <f>+#REF!</f>
        <v>#REF!</v>
      </c>
      <c r="E47" s="492"/>
      <c r="F47" s="515">
        <f>SUM('PLANINDICATIVO PD'!AQ50)</f>
        <v>0</v>
      </c>
      <c r="G47" s="515">
        <f>SUM('PLANINDICATIVO PD'!AR50)</f>
        <v>0</v>
      </c>
      <c r="H47" s="515">
        <f>SUM('PLANINDICATIVO PD'!AS50)</f>
        <v>0</v>
      </c>
      <c r="I47" s="515" t="e">
        <f>+D47+F47+G47+H47</f>
        <v>#REF!</v>
      </c>
      <c r="J47" s="595"/>
      <c r="K47" s="606">
        <f>+'PLANINDICATIVO PD'!AA50</f>
        <v>0</v>
      </c>
      <c r="L47" s="606">
        <f>+'PLANINDICATIVO PD'!AB50</f>
        <v>0</v>
      </c>
      <c r="M47" s="606">
        <f>+'PLANINDICATIVO PD'!AC50</f>
        <v>0</v>
      </c>
      <c r="N47" s="606">
        <f>+'PLANINDICATIVO PD'!AD50</f>
        <v>0</v>
      </c>
      <c r="O47" s="606">
        <f>+'PLANINDICATIVO PD'!AE50</f>
        <v>0</v>
      </c>
      <c r="P47" s="606">
        <f>+'PLANINDICATIVO PD'!AF50</f>
        <v>0</v>
      </c>
      <c r="Q47" s="606">
        <f>+'PLANINDICATIVO PD'!AG50</f>
        <v>0</v>
      </c>
      <c r="R47" s="606">
        <f>+'PLANINDICATIVO PD'!AH50</f>
        <v>0</v>
      </c>
      <c r="S47" s="606"/>
      <c r="T47" s="606">
        <f>+H47</f>
        <v>0</v>
      </c>
      <c r="U47" s="606">
        <f>+'PLANINDICATIVO PD'!AJ50</f>
        <v>0</v>
      </c>
      <c r="V47" s="606">
        <f>+G47</f>
        <v>0</v>
      </c>
      <c r="W47" s="596">
        <f>SUM(K47:V47)</f>
        <v>0</v>
      </c>
      <c r="X47" s="597"/>
    </row>
    <row r="48" spans="1:24" ht="29.25" customHeight="1" thickBot="1" x14ac:dyDescent="0.25">
      <c r="A48" s="506"/>
      <c r="B48" s="528" t="s">
        <v>2778</v>
      </c>
      <c r="C48" s="803"/>
      <c r="D48" s="501" t="e">
        <f>+D49+D52</f>
        <v>#REF!</v>
      </c>
      <c r="E48" s="492"/>
      <c r="F48" s="521">
        <f>+F49+F52</f>
        <v>0</v>
      </c>
      <c r="G48" s="521" t="e">
        <f>+G49+G52</f>
        <v>#REF!</v>
      </c>
      <c r="H48" s="521">
        <f>+H49+H52</f>
        <v>10000000</v>
      </c>
      <c r="I48" s="521" t="e">
        <f>+I49+I52</f>
        <v>#REF!</v>
      </c>
      <c r="J48" s="783"/>
      <c r="K48" s="501">
        <f t="shared" ref="K48:W48" si="18">+K49+K52</f>
        <v>150000000</v>
      </c>
      <c r="L48" s="501">
        <f t="shared" si="18"/>
        <v>0</v>
      </c>
      <c r="M48" s="501">
        <f t="shared" si="18"/>
        <v>0</v>
      </c>
      <c r="N48" s="501">
        <f t="shared" si="18"/>
        <v>0</v>
      </c>
      <c r="O48" s="501">
        <f t="shared" si="18"/>
        <v>0</v>
      </c>
      <c r="P48" s="501">
        <f t="shared" si="18"/>
        <v>0</v>
      </c>
      <c r="Q48" s="501">
        <f t="shared" si="18"/>
        <v>0</v>
      </c>
      <c r="R48" s="501">
        <f t="shared" si="18"/>
        <v>0</v>
      </c>
      <c r="S48" s="501">
        <f t="shared" si="18"/>
        <v>15000000</v>
      </c>
      <c r="T48" s="501">
        <f t="shared" si="18"/>
        <v>10000000</v>
      </c>
      <c r="U48" s="501">
        <f t="shared" si="18"/>
        <v>1355000000</v>
      </c>
      <c r="V48" s="501" t="e">
        <f>+V49+V52</f>
        <v>#REF!</v>
      </c>
      <c r="W48" s="501" t="e">
        <f t="shared" si="18"/>
        <v>#REF!</v>
      </c>
      <c r="X48" s="597"/>
    </row>
    <row r="49" spans="1:24" ht="29.25" customHeight="1" thickBot="1" x14ac:dyDescent="0.25">
      <c r="A49" s="506"/>
      <c r="B49" s="507" t="s">
        <v>2779</v>
      </c>
      <c r="C49" s="1462" t="s">
        <v>4169</v>
      </c>
      <c r="D49" s="508" t="e">
        <f>SUM(D50:D51)</f>
        <v>#REF!</v>
      </c>
      <c r="E49" s="492"/>
      <c r="F49" s="509">
        <f>SUM(F50:F51)</f>
        <v>0</v>
      </c>
      <c r="G49" s="509" t="e">
        <f>SUM(G50:G51)</f>
        <v>#REF!</v>
      </c>
      <c r="H49" s="509">
        <f>SUM(H50:H51)</f>
        <v>10000000</v>
      </c>
      <c r="I49" s="781" t="e">
        <f>SUM(I50:I51)</f>
        <v>#REF!</v>
      </c>
      <c r="J49" s="594"/>
      <c r="K49" s="778">
        <f t="shared" ref="K49:W49" si="19">SUM(K50:K51)</f>
        <v>150000000</v>
      </c>
      <c r="L49" s="508">
        <f t="shared" si="19"/>
        <v>0</v>
      </c>
      <c r="M49" s="508">
        <f t="shared" si="19"/>
        <v>0</v>
      </c>
      <c r="N49" s="508">
        <f t="shared" si="19"/>
        <v>0</v>
      </c>
      <c r="O49" s="508">
        <f t="shared" si="19"/>
        <v>0</v>
      </c>
      <c r="P49" s="508">
        <f t="shared" si="19"/>
        <v>0</v>
      </c>
      <c r="Q49" s="508">
        <f t="shared" si="19"/>
        <v>0</v>
      </c>
      <c r="R49" s="508">
        <f t="shared" si="19"/>
        <v>0</v>
      </c>
      <c r="S49" s="508">
        <f t="shared" si="19"/>
        <v>15000000</v>
      </c>
      <c r="T49" s="508">
        <f t="shared" si="19"/>
        <v>10000000</v>
      </c>
      <c r="U49" s="508">
        <f t="shared" si="19"/>
        <v>0</v>
      </c>
      <c r="V49" s="508" t="e">
        <f>SUM(V50:V51)</f>
        <v>#REF!</v>
      </c>
      <c r="W49" s="508" t="e">
        <f t="shared" si="19"/>
        <v>#REF!</v>
      </c>
      <c r="X49" s="597"/>
    </row>
    <row r="50" spans="1:24" ht="29.25" customHeight="1" thickBot="1" x14ac:dyDescent="0.25">
      <c r="A50" s="506">
        <v>310</v>
      </c>
      <c r="B50" s="526" t="s">
        <v>2780</v>
      </c>
      <c r="C50" s="1463"/>
      <c r="D50" s="514" t="e">
        <f>+#REF!</f>
        <v>#REF!</v>
      </c>
      <c r="E50" s="492"/>
      <c r="F50" s="515">
        <f>SUM('PLANINDICATIVO PD'!AQ53)</f>
        <v>0</v>
      </c>
      <c r="G50" s="515">
        <f>SUM('PLANINDICATIVO PD'!AR53)</f>
        <v>0</v>
      </c>
      <c r="H50" s="515">
        <f>SUM('PLANINDICATIVO PD'!AS53)</f>
        <v>0</v>
      </c>
      <c r="I50" s="515" t="e">
        <f>+D50+F50+G50+H50</f>
        <v>#REF!</v>
      </c>
      <c r="J50" s="595"/>
      <c r="K50" s="606">
        <f>+'PLANINDICATIVO PD'!AA53</f>
        <v>150000000</v>
      </c>
      <c r="L50" s="606">
        <f>+'PLANINDICATIVO PD'!AB53</f>
        <v>0</v>
      </c>
      <c r="M50" s="606">
        <f>+'PLANINDICATIVO PD'!AC53</f>
        <v>0</v>
      </c>
      <c r="N50" s="606">
        <f>+'PLANINDICATIVO PD'!AD53</f>
        <v>0</v>
      </c>
      <c r="O50" s="606">
        <f>+'PLANINDICATIVO PD'!AE53</f>
        <v>0</v>
      </c>
      <c r="P50" s="606">
        <f>+'PLANINDICATIVO PD'!AF53</f>
        <v>0</v>
      </c>
      <c r="Q50" s="606">
        <f>+'PLANINDICATIVO PD'!AG53</f>
        <v>0</v>
      </c>
      <c r="R50" s="606">
        <f>+'PLANINDICATIVO PD'!AH53</f>
        <v>0</v>
      </c>
      <c r="S50" s="606"/>
      <c r="T50" s="606">
        <f>+H50</f>
        <v>0</v>
      </c>
      <c r="U50" s="606">
        <f>+'PLANINDICATIVO PD'!AJ53</f>
        <v>0</v>
      </c>
      <c r="V50" s="606">
        <f>+G50</f>
        <v>0</v>
      </c>
      <c r="W50" s="596">
        <f>SUM(K50:V50)</f>
        <v>150000000</v>
      </c>
      <c r="X50" s="597"/>
    </row>
    <row r="51" spans="1:24" ht="29.25" customHeight="1" thickBot="1" x14ac:dyDescent="0.25">
      <c r="A51" s="506">
        <v>510</v>
      </c>
      <c r="B51" s="527" t="s">
        <v>2781</v>
      </c>
      <c r="C51" s="1463"/>
      <c r="D51" s="514" t="e">
        <f>+#REF!</f>
        <v>#REF!</v>
      </c>
      <c r="E51" s="492"/>
      <c r="F51" s="515">
        <f>SUM('PLANINDICATIVO PD'!AQ54)</f>
        <v>0</v>
      </c>
      <c r="G51" s="515" t="e">
        <f>SUM(#REF!)</f>
        <v>#REF!</v>
      </c>
      <c r="H51" s="515">
        <f>SUM('PLANINDICATIVO PD MAYO'!AB55)</f>
        <v>10000000</v>
      </c>
      <c r="I51" s="515" t="e">
        <f>+D51+F51+G51+H51</f>
        <v>#REF!</v>
      </c>
      <c r="J51" s="595"/>
      <c r="K51" s="606">
        <f>+'PLANINDICATIVO PD'!AA54</f>
        <v>0</v>
      </c>
      <c r="L51" s="606">
        <f>+'PLANINDICATIVO PD'!AB54</f>
        <v>0</v>
      </c>
      <c r="M51" s="606">
        <f>+'PLANINDICATIVO PD'!AC54</f>
        <v>0</v>
      </c>
      <c r="N51" s="606">
        <f>+'PLANINDICATIVO PD'!AD54</f>
        <v>0</v>
      </c>
      <c r="O51" s="606">
        <f>+'PLANINDICATIVO PD'!AE54</f>
        <v>0</v>
      </c>
      <c r="P51" s="606">
        <f>+'PLANINDICATIVO PD'!AF54</f>
        <v>0</v>
      </c>
      <c r="Q51" s="606">
        <f>+'PLANINDICATIVO PD'!AG54</f>
        <v>0</v>
      </c>
      <c r="R51" s="606">
        <f>+'PLANINDICATIVO PD'!AH54</f>
        <v>0</v>
      </c>
      <c r="S51" s="606">
        <f>+'PLANINDICATIVO PD'!BH54</f>
        <v>15000000</v>
      </c>
      <c r="T51" s="606">
        <f>+H51</f>
        <v>10000000</v>
      </c>
      <c r="U51" s="606">
        <f>+'PLANINDICATIVO PD'!AJ54</f>
        <v>0</v>
      </c>
      <c r="V51" s="606" t="e">
        <f>+G51</f>
        <v>#REF!</v>
      </c>
      <c r="W51" s="596" t="e">
        <f>SUM(K51:V51)</f>
        <v>#REF!</v>
      </c>
      <c r="X51" s="597"/>
    </row>
    <row r="52" spans="1:24" ht="29.25" customHeight="1" thickBot="1" x14ac:dyDescent="0.25">
      <c r="A52" s="506"/>
      <c r="B52" s="507" t="s">
        <v>2782</v>
      </c>
      <c r="C52" s="1463"/>
      <c r="D52" s="508" t="e">
        <f>SUM(D53:D55)</f>
        <v>#REF!</v>
      </c>
      <c r="E52" s="492"/>
      <c r="F52" s="509">
        <f>SUM(F53:F55)</f>
        <v>0</v>
      </c>
      <c r="G52" s="509" t="e">
        <f>SUM(G53:G55)</f>
        <v>#REF!</v>
      </c>
      <c r="H52" s="509">
        <f>SUM(H53:H55)</f>
        <v>0</v>
      </c>
      <c r="I52" s="781" t="e">
        <f>SUM(I53:I55)</f>
        <v>#REF!</v>
      </c>
      <c r="J52" s="594"/>
      <c r="K52" s="512">
        <f t="shared" ref="K52:W52" si="20">SUM(K53:K55)</f>
        <v>0</v>
      </c>
      <c r="L52" s="508">
        <f t="shared" si="20"/>
        <v>0</v>
      </c>
      <c r="M52" s="508">
        <f t="shared" si="20"/>
        <v>0</v>
      </c>
      <c r="N52" s="508">
        <f t="shared" si="20"/>
        <v>0</v>
      </c>
      <c r="O52" s="508">
        <f t="shared" si="20"/>
        <v>0</v>
      </c>
      <c r="P52" s="508">
        <f t="shared" si="20"/>
        <v>0</v>
      </c>
      <c r="Q52" s="508">
        <f t="shared" si="20"/>
        <v>0</v>
      </c>
      <c r="R52" s="508">
        <f t="shared" si="20"/>
        <v>0</v>
      </c>
      <c r="S52" s="508">
        <f t="shared" si="20"/>
        <v>0</v>
      </c>
      <c r="T52" s="508">
        <f t="shared" si="20"/>
        <v>0</v>
      </c>
      <c r="U52" s="508">
        <f t="shared" si="20"/>
        <v>1355000000</v>
      </c>
      <c r="V52" s="508" t="e">
        <f t="shared" si="20"/>
        <v>#REF!</v>
      </c>
      <c r="W52" s="508" t="e">
        <f t="shared" si="20"/>
        <v>#REF!</v>
      </c>
      <c r="X52" s="597"/>
    </row>
    <row r="53" spans="1:24" ht="25.5" customHeight="1" thickBot="1" x14ac:dyDescent="0.25">
      <c r="A53" s="506">
        <v>301</v>
      </c>
      <c r="B53" s="526" t="s">
        <v>2783</v>
      </c>
      <c r="C53" s="1463"/>
      <c r="D53" s="514" t="e">
        <f>+#REF!</f>
        <v>#REF!</v>
      </c>
      <c r="E53" s="492"/>
      <c r="F53" s="515">
        <f>SUM('PLANINDICATIVO PD MAYO'!X56:X61)</f>
        <v>40000000</v>
      </c>
      <c r="G53" s="515" t="e">
        <f>SUM(#REF!)</f>
        <v>#REF!</v>
      </c>
      <c r="H53" s="515"/>
      <c r="I53" s="515" t="e">
        <f>+D53+F53+G53+H53</f>
        <v>#REF!</v>
      </c>
      <c r="J53" s="595"/>
      <c r="K53" s="782">
        <f>SUM('PLANINDICATIVO PD'!AA55:AA60)</f>
        <v>0</v>
      </c>
      <c r="L53" s="606">
        <f>SUM('PLANINDICATIVO PD'!AB55:AB60)</f>
        <v>0</v>
      </c>
      <c r="M53" s="606">
        <f>SUM('PLANINDICATIVO PD'!AC55:AC60)</f>
        <v>0</v>
      </c>
      <c r="N53" s="606">
        <f>SUM('PLANINDICATIVO PD'!AD55:AD60)</f>
        <v>0</v>
      </c>
      <c r="O53" s="606">
        <f>SUM('PLANINDICATIVO PD'!AE55:AE60)</f>
        <v>0</v>
      </c>
      <c r="P53" s="606">
        <f>SUM('PLANINDICATIVO PD'!AF55:AF60)</f>
        <v>0</v>
      </c>
      <c r="Q53" s="606">
        <f>SUM('PLANINDICATIVO PD'!AG55:AG60)</f>
        <v>0</v>
      </c>
      <c r="R53" s="606">
        <f>SUM('PLANINDICATIVO PD'!AH55:AH60)</f>
        <v>0</v>
      </c>
      <c r="S53" s="606"/>
      <c r="T53" s="606">
        <f>+H53</f>
        <v>0</v>
      </c>
      <c r="U53" s="606">
        <f>SUM('PLANINDICATIVO PD'!AJ55:AJ60)+'PLANINDICATIVO PD'!BJ60+F53</f>
        <v>859000000</v>
      </c>
      <c r="V53" s="606" t="e">
        <f>+G53</f>
        <v>#REF!</v>
      </c>
      <c r="W53" s="596" t="e">
        <f>SUM(K53:V53)</f>
        <v>#REF!</v>
      </c>
      <c r="X53" s="597"/>
    </row>
    <row r="54" spans="1:24" ht="36.75" customHeight="1" thickBot="1" x14ac:dyDescent="0.25">
      <c r="A54" s="506">
        <v>301</v>
      </c>
      <c r="B54" s="526" t="s">
        <v>2784</v>
      </c>
      <c r="C54" s="1463"/>
      <c r="D54" s="514" t="e">
        <f>+#REF!</f>
        <v>#REF!</v>
      </c>
      <c r="E54" s="492"/>
      <c r="F54" s="515">
        <f>SUM('PLANINDICATIVO PD MAYO'!X62)</f>
        <v>-20000000</v>
      </c>
      <c r="G54" s="515" t="e">
        <f>SUM(#REF!)</f>
        <v>#REF!</v>
      </c>
      <c r="H54" s="515">
        <f>SUM('PLANINDICATIVO PD'!AS61)</f>
        <v>0</v>
      </c>
      <c r="I54" s="515" t="e">
        <f>+D54+F54+G54+H54</f>
        <v>#REF!</v>
      </c>
      <c r="J54" s="595"/>
      <c r="K54" s="606">
        <f>SUM('PLANINDICATIVO PD'!AA61)</f>
        <v>0</v>
      </c>
      <c r="L54" s="606">
        <f>SUM('PLANINDICATIVO PD'!AB61)</f>
        <v>0</v>
      </c>
      <c r="M54" s="606">
        <f>SUM('PLANINDICATIVO PD'!AC61)</f>
        <v>0</v>
      </c>
      <c r="N54" s="606">
        <f>SUM('PLANINDICATIVO PD'!AD61)</f>
        <v>0</v>
      </c>
      <c r="O54" s="606">
        <f>SUM('PLANINDICATIVO PD'!AE61)</f>
        <v>0</v>
      </c>
      <c r="P54" s="606">
        <f>SUM('PLANINDICATIVO PD'!AF61)</f>
        <v>0</v>
      </c>
      <c r="Q54" s="606">
        <f>SUM('PLANINDICATIVO PD'!AG61)</f>
        <v>0</v>
      </c>
      <c r="R54" s="606">
        <f>SUM('PLANINDICATIVO PD'!AH61)</f>
        <v>0</v>
      </c>
      <c r="S54" s="606"/>
      <c r="T54" s="606">
        <f>+H54</f>
        <v>0</v>
      </c>
      <c r="U54" s="606">
        <f>SUM('PLANINDICATIVO PD'!AJ61)+F54</f>
        <v>50000000</v>
      </c>
      <c r="V54" s="606" t="e">
        <f>+G54</f>
        <v>#REF!</v>
      </c>
      <c r="W54" s="596" t="e">
        <f>SUM(K54:V54)</f>
        <v>#REF!</v>
      </c>
      <c r="X54" s="597"/>
    </row>
    <row r="55" spans="1:24" ht="26.25" customHeight="1" thickBot="1" x14ac:dyDescent="0.25">
      <c r="A55" s="506">
        <v>301</v>
      </c>
      <c r="B55" s="526" t="s">
        <v>2785</v>
      </c>
      <c r="C55" s="1464"/>
      <c r="D55" s="514" t="e">
        <f>+#REF!</f>
        <v>#REF!</v>
      </c>
      <c r="E55" s="492"/>
      <c r="F55" s="515">
        <f>SUM('PLANINDICATIVO PD MAYO'!X63:X64)</f>
        <v>-20000000</v>
      </c>
      <c r="G55" s="515" t="e">
        <f>SUM(#REF!)</f>
        <v>#REF!</v>
      </c>
      <c r="H55" s="515"/>
      <c r="I55" s="515" t="e">
        <f>+D55+F55+G55+H55</f>
        <v>#REF!</v>
      </c>
      <c r="J55" s="595"/>
      <c r="K55" s="606">
        <f>SUM('PLANINDICATIVO PD'!AA62:AA63)</f>
        <v>0</v>
      </c>
      <c r="L55" s="606">
        <f>SUM('PLANINDICATIVO PD'!AB62:AB63)</f>
        <v>0</v>
      </c>
      <c r="M55" s="606">
        <f>SUM('PLANINDICATIVO PD'!AC62:AC63)</f>
        <v>0</v>
      </c>
      <c r="N55" s="606">
        <f>SUM('PLANINDICATIVO PD'!AD62:AD63)</f>
        <v>0</v>
      </c>
      <c r="O55" s="606">
        <f>SUM('PLANINDICATIVO PD'!AE62:AE63)</f>
        <v>0</v>
      </c>
      <c r="P55" s="606">
        <f>SUM('PLANINDICATIVO PD'!AF62:AF63)</f>
        <v>0</v>
      </c>
      <c r="Q55" s="606">
        <f>SUM('PLANINDICATIVO PD'!AG62:AG63)</f>
        <v>0</v>
      </c>
      <c r="R55" s="606">
        <f>SUM('PLANINDICATIVO PD'!AH62:AH63)</f>
        <v>0</v>
      </c>
      <c r="S55" s="606"/>
      <c r="T55" s="606">
        <f>+H55</f>
        <v>0</v>
      </c>
      <c r="U55" s="606">
        <f>SUM('PLANINDICATIVO PD'!AJ62:AJ63)+'PLANINDICATIVO PD'!BJ62+F55</f>
        <v>446000000</v>
      </c>
      <c r="V55" s="606" t="e">
        <f>+G55</f>
        <v>#REF!</v>
      </c>
      <c r="W55" s="596" t="e">
        <f>SUM(K55:V55)</f>
        <v>#REF!</v>
      </c>
      <c r="X55" s="597"/>
    </row>
    <row r="56" spans="1:24" ht="30" customHeight="1" thickBot="1" x14ac:dyDescent="0.25">
      <c r="A56" s="506"/>
      <c r="B56" s="528" t="s">
        <v>2786</v>
      </c>
      <c r="C56" s="1471" t="s">
        <v>4170</v>
      </c>
      <c r="D56" s="501" t="e">
        <f>+D57+D59</f>
        <v>#REF!</v>
      </c>
      <c r="E56" s="492"/>
      <c r="F56" s="521">
        <f>+F57+F59</f>
        <v>-88829823</v>
      </c>
      <c r="G56" s="521" t="e">
        <f>+G57+G59</f>
        <v>#REF!</v>
      </c>
      <c r="H56" s="521">
        <f>+H57+H59</f>
        <v>125624072</v>
      </c>
      <c r="I56" s="502" t="e">
        <f>+I57+I59</f>
        <v>#REF!</v>
      </c>
      <c r="J56" s="593"/>
      <c r="K56" s="777">
        <f t="shared" ref="K56:W56" si="21">+K57+K59</f>
        <v>20000000</v>
      </c>
      <c r="L56" s="501" t="e">
        <f t="shared" si="21"/>
        <v>#REF!</v>
      </c>
      <c r="M56" s="501">
        <f t="shared" si="21"/>
        <v>100821516</v>
      </c>
      <c r="N56" s="501">
        <f t="shared" si="21"/>
        <v>0</v>
      </c>
      <c r="O56" s="501">
        <f t="shared" si="21"/>
        <v>0</v>
      </c>
      <c r="P56" s="501" t="e">
        <f t="shared" si="21"/>
        <v>#REF!</v>
      </c>
      <c r="Q56" s="501">
        <f t="shared" si="21"/>
        <v>0</v>
      </c>
      <c r="R56" s="501">
        <f t="shared" si="21"/>
        <v>69000000</v>
      </c>
      <c r="S56" s="501">
        <f t="shared" si="21"/>
        <v>69452453</v>
      </c>
      <c r="T56" s="501">
        <f t="shared" si="21"/>
        <v>125624072</v>
      </c>
      <c r="U56" s="501">
        <f t="shared" si="21"/>
        <v>0</v>
      </c>
      <c r="V56" s="501" t="e">
        <f t="shared" si="21"/>
        <v>#REF!</v>
      </c>
      <c r="W56" s="501" t="e">
        <f t="shared" si="21"/>
        <v>#REF!</v>
      </c>
      <c r="X56" s="597"/>
    </row>
    <row r="57" spans="1:24" ht="26.25" customHeight="1" thickBot="1" x14ac:dyDescent="0.25">
      <c r="A57" s="506"/>
      <c r="B57" s="507" t="s">
        <v>2787</v>
      </c>
      <c r="C57" s="1472"/>
      <c r="D57" s="508" t="e">
        <f t="shared" ref="D57:W57" si="22">+D58</f>
        <v>#REF!</v>
      </c>
      <c r="E57" s="492"/>
      <c r="F57" s="509">
        <f t="shared" si="22"/>
        <v>0</v>
      </c>
      <c r="G57" s="509">
        <f t="shared" si="22"/>
        <v>0</v>
      </c>
      <c r="H57" s="509">
        <f t="shared" si="22"/>
        <v>10000000</v>
      </c>
      <c r="I57" s="509" t="e">
        <f t="shared" si="22"/>
        <v>#REF!</v>
      </c>
      <c r="J57" s="594"/>
      <c r="K57" s="778">
        <f t="shared" si="22"/>
        <v>0</v>
      </c>
      <c r="L57" s="508">
        <f t="shared" si="22"/>
        <v>0</v>
      </c>
      <c r="M57" s="508">
        <f t="shared" si="22"/>
        <v>0</v>
      </c>
      <c r="N57" s="508">
        <f t="shared" si="22"/>
        <v>0</v>
      </c>
      <c r="O57" s="508">
        <f t="shared" si="22"/>
        <v>0</v>
      </c>
      <c r="P57" s="508">
        <f t="shared" si="22"/>
        <v>0</v>
      </c>
      <c r="Q57" s="508">
        <f t="shared" si="22"/>
        <v>0</v>
      </c>
      <c r="R57" s="508">
        <f t="shared" si="22"/>
        <v>0</v>
      </c>
      <c r="S57" s="508">
        <f t="shared" si="22"/>
        <v>45777272</v>
      </c>
      <c r="T57" s="508">
        <f t="shared" si="22"/>
        <v>10000000</v>
      </c>
      <c r="U57" s="508">
        <f t="shared" si="22"/>
        <v>0</v>
      </c>
      <c r="V57" s="508">
        <f t="shared" si="22"/>
        <v>0</v>
      </c>
      <c r="W57" s="508">
        <f t="shared" si="22"/>
        <v>55777272</v>
      </c>
      <c r="X57" s="597"/>
    </row>
    <row r="58" spans="1:24" ht="37.5" customHeight="1" thickBot="1" x14ac:dyDescent="0.25">
      <c r="A58" s="506">
        <v>510</v>
      </c>
      <c r="B58" s="527" t="s">
        <v>2788</v>
      </c>
      <c r="C58" s="1472"/>
      <c r="D58" s="514" t="e">
        <f>+#REF!</f>
        <v>#REF!</v>
      </c>
      <c r="E58" s="492"/>
      <c r="F58" s="515">
        <f>SUM('PLANINDICATIVO PD'!AQ66:AQ67)</f>
        <v>0</v>
      </c>
      <c r="G58" s="515"/>
      <c r="H58" s="515">
        <f>+'PLANINDICATIVO PD MAYO'!AB67</f>
        <v>10000000</v>
      </c>
      <c r="I58" s="515" t="e">
        <f>+D58+F58+G58+H58</f>
        <v>#REF!</v>
      </c>
      <c r="J58" s="595"/>
      <c r="K58" s="779">
        <f>SUM('PLANINDICATIVO PD'!AA66:AA67)</f>
        <v>0</v>
      </c>
      <c r="L58" s="606">
        <f>SUM('PLANINDICATIVO PD'!AB66:AB67)</f>
        <v>0</v>
      </c>
      <c r="M58" s="606">
        <f>SUM('PLANINDICATIVO PD'!AC66:AC67)</f>
        <v>0</v>
      </c>
      <c r="N58" s="606">
        <f>SUM('PLANINDICATIVO PD'!AD66:AD67)</f>
        <v>0</v>
      </c>
      <c r="O58" s="606">
        <f>SUM('PLANINDICATIVO PD'!AE66:AE67)</f>
        <v>0</v>
      </c>
      <c r="P58" s="606">
        <f>SUM('PLANINDICATIVO PD'!AF66:AF67)</f>
        <v>0</v>
      </c>
      <c r="Q58" s="606">
        <f>SUM('PLANINDICATIVO PD'!AG66:AG67)</f>
        <v>0</v>
      </c>
      <c r="R58" s="606">
        <f>SUM('PLANINDICATIVO PD'!AH66:AH67)</f>
        <v>0</v>
      </c>
      <c r="S58" s="606">
        <f>+'PLANINDICATIVO PD'!BH66</f>
        <v>45777272</v>
      </c>
      <c r="T58" s="606">
        <f>+H58</f>
        <v>10000000</v>
      </c>
      <c r="U58" s="606">
        <f>SUM('PLANINDICATIVO PD'!AJ66:AJ67)</f>
        <v>0</v>
      </c>
      <c r="V58" s="606">
        <f>+G58</f>
        <v>0</v>
      </c>
      <c r="W58" s="596">
        <f>SUM(K58:V58)</f>
        <v>55777272</v>
      </c>
      <c r="X58" s="597"/>
    </row>
    <row r="59" spans="1:24" ht="42.75" thickBot="1" x14ac:dyDescent="0.25">
      <c r="A59" s="506"/>
      <c r="B59" s="529" t="s">
        <v>2789</v>
      </c>
      <c r="C59" s="1472"/>
      <c r="D59" s="508" t="e">
        <f>SUM(D60:D65)</f>
        <v>#REF!</v>
      </c>
      <c r="E59" s="492"/>
      <c r="F59" s="509">
        <f>SUM(F60:F65)</f>
        <v>-88829823</v>
      </c>
      <c r="G59" s="509" t="e">
        <f>SUM(G60:G65)</f>
        <v>#REF!</v>
      </c>
      <c r="H59" s="509">
        <f>SUM(H60:H65)</f>
        <v>115624072</v>
      </c>
      <c r="I59" s="509" t="e">
        <f>SUM(I60:I65)</f>
        <v>#REF!</v>
      </c>
      <c r="J59" s="594"/>
      <c r="K59" s="780">
        <f t="shared" ref="K59:V59" si="23">SUM(K60:K65)</f>
        <v>20000000</v>
      </c>
      <c r="L59" s="508" t="e">
        <f t="shared" si="23"/>
        <v>#REF!</v>
      </c>
      <c r="M59" s="508">
        <f t="shared" si="23"/>
        <v>100821516</v>
      </c>
      <c r="N59" s="508">
        <f t="shared" si="23"/>
        <v>0</v>
      </c>
      <c r="O59" s="508">
        <f t="shared" si="23"/>
        <v>0</v>
      </c>
      <c r="P59" s="508" t="e">
        <f t="shared" si="23"/>
        <v>#REF!</v>
      </c>
      <c r="Q59" s="508">
        <f t="shared" si="23"/>
        <v>0</v>
      </c>
      <c r="R59" s="508">
        <f t="shared" si="23"/>
        <v>69000000</v>
      </c>
      <c r="S59" s="508">
        <f t="shared" si="23"/>
        <v>23675181</v>
      </c>
      <c r="T59" s="508">
        <f t="shared" si="23"/>
        <v>115624072</v>
      </c>
      <c r="U59" s="508">
        <f t="shared" si="23"/>
        <v>0</v>
      </c>
      <c r="V59" s="508" t="e">
        <f t="shared" si="23"/>
        <v>#REF!</v>
      </c>
      <c r="W59" s="508" t="e">
        <f>SUM(W60:W65)</f>
        <v>#REF!</v>
      </c>
      <c r="X59" s="597"/>
    </row>
    <row r="60" spans="1:24" ht="28.5" customHeight="1" thickBot="1" x14ac:dyDescent="0.25">
      <c r="A60" s="506">
        <v>111</v>
      </c>
      <c r="B60" s="526" t="s">
        <v>2790</v>
      </c>
      <c r="C60" s="1472"/>
      <c r="D60" s="514" t="e">
        <f>+#REF!</f>
        <v>#REF!</v>
      </c>
      <c r="E60" s="492"/>
      <c r="F60" s="515"/>
      <c r="G60" s="515"/>
      <c r="H60" s="515"/>
      <c r="I60" s="515" t="e">
        <f t="shared" ref="I60:I65" si="24">+D60+F60+G60+H60</f>
        <v>#REF!</v>
      </c>
      <c r="J60" s="595"/>
      <c r="K60" s="606"/>
      <c r="L60" s="606"/>
      <c r="M60" s="606"/>
      <c r="N60" s="606"/>
      <c r="O60" s="606"/>
      <c r="P60" s="606"/>
      <c r="Q60" s="606"/>
      <c r="R60" s="606"/>
      <c r="S60" s="606"/>
      <c r="T60" s="606">
        <f t="shared" ref="T60:T65" si="25">+H60</f>
        <v>0</v>
      </c>
      <c r="U60" s="606"/>
      <c r="V60" s="606">
        <f t="shared" ref="V60:V65" si="26">+G60</f>
        <v>0</v>
      </c>
      <c r="W60" s="596">
        <f t="shared" ref="W60:W65" si="27">SUM(K60:V60)</f>
        <v>0</v>
      </c>
      <c r="X60" s="597"/>
    </row>
    <row r="61" spans="1:24" ht="27" customHeight="1" thickBot="1" x14ac:dyDescent="0.25">
      <c r="A61" s="506">
        <v>211</v>
      </c>
      <c r="B61" s="526" t="s">
        <v>2791</v>
      </c>
      <c r="C61" s="1472"/>
      <c r="D61" s="514" t="e">
        <f>+#REF!</f>
        <v>#REF!</v>
      </c>
      <c r="E61" s="492"/>
      <c r="F61" s="515"/>
      <c r="G61" s="515">
        <f>SUM('PLANINDICATIVO PD'!AR68)</f>
        <v>0</v>
      </c>
      <c r="H61" s="515"/>
      <c r="I61" s="515" t="e">
        <f t="shared" si="24"/>
        <v>#REF!</v>
      </c>
      <c r="J61" s="595"/>
      <c r="K61" s="606">
        <f>+'PLANINDICATIVO PD'!AA68</f>
        <v>0</v>
      </c>
      <c r="L61" s="606">
        <f>+'PLANINDICATIVO PD'!AB68</f>
        <v>0</v>
      </c>
      <c r="M61" s="606">
        <f>+'PLANINDICATIVO PD'!AC68+'PLANINDICATIVO PD'!BB68</f>
        <v>57821516</v>
      </c>
      <c r="N61" s="606">
        <f>+'PLANINDICATIVO PD'!AD68</f>
        <v>0</v>
      </c>
      <c r="O61" s="606">
        <f>+'PLANINDICATIVO PD'!AE68</f>
        <v>0</v>
      </c>
      <c r="P61" s="606">
        <f>+'PLANINDICATIVO PD'!AF68</f>
        <v>0</v>
      </c>
      <c r="Q61" s="606">
        <f>+'PLANINDICATIVO PD'!AG68</f>
        <v>0</v>
      </c>
      <c r="R61" s="606">
        <f>+'PLANINDICATIVO PD'!AH68</f>
        <v>0</v>
      </c>
      <c r="S61" s="606"/>
      <c r="T61" s="606">
        <f t="shared" si="25"/>
        <v>0</v>
      </c>
      <c r="U61" s="606">
        <f>+'PLANINDICATIVO PD'!AJ68</f>
        <v>0</v>
      </c>
      <c r="V61" s="606">
        <f t="shared" si="26"/>
        <v>0</v>
      </c>
      <c r="W61" s="596">
        <f t="shared" si="27"/>
        <v>57821516</v>
      </c>
      <c r="X61" s="597"/>
    </row>
    <row r="62" spans="1:24" ht="28.15" customHeight="1" thickBot="1" x14ac:dyDescent="0.25">
      <c r="A62" s="506">
        <v>510</v>
      </c>
      <c r="B62" s="526" t="s">
        <v>2792</v>
      </c>
      <c r="C62" s="1472"/>
      <c r="D62" s="514" t="e">
        <f>+#REF!</f>
        <v>#REF!</v>
      </c>
      <c r="E62" s="492"/>
      <c r="F62" s="515"/>
      <c r="G62" s="515" t="e">
        <f>SUM(#REF!)</f>
        <v>#REF!</v>
      </c>
      <c r="H62" s="515"/>
      <c r="I62" s="515" t="e">
        <f t="shared" si="24"/>
        <v>#REF!</v>
      </c>
      <c r="J62" s="595"/>
      <c r="K62" s="606">
        <f>+'PLANINDICATIVO PD'!AZ70</f>
        <v>20000000</v>
      </c>
      <c r="L62" s="606">
        <f>+'PLANINDICATIVO PD'!AB70</f>
        <v>0</v>
      </c>
      <c r="M62" s="606">
        <f>+'PLANINDICATIVO PD'!AC70</f>
        <v>0</v>
      </c>
      <c r="N62" s="606">
        <f>+'PLANINDICATIVO PD'!AD70</f>
        <v>0</v>
      </c>
      <c r="O62" s="606">
        <f>+'PLANINDICATIVO PD'!AE70</f>
        <v>0</v>
      </c>
      <c r="P62" s="606">
        <f>+'PLANINDICATIVO PD'!AF70</f>
        <v>0</v>
      </c>
      <c r="Q62" s="606">
        <f>+'PLANINDICATIVO PD'!AG70</f>
        <v>0</v>
      </c>
      <c r="R62" s="606">
        <f>+'PLANINDICATIVO PD'!BG70</f>
        <v>49000000</v>
      </c>
      <c r="S62" s="606">
        <f>+'PLANINDICATIVO PD'!BH70</f>
        <v>2000000</v>
      </c>
      <c r="T62" s="606">
        <f t="shared" si="25"/>
        <v>0</v>
      </c>
      <c r="U62" s="606">
        <f>+'PLANINDICATIVO PD'!AJ70</f>
        <v>0</v>
      </c>
      <c r="V62" s="606" t="e">
        <f t="shared" si="26"/>
        <v>#REF!</v>
      </c>
      <c r="W62" s="596" t="e">
        <f t="shared" si="27"/>
        <v>#REF!</v>
      </c>
      <c r="X62" s="597"/>
    </row>
    <row r="63" spans="1:24" ht="28.5" customHeight="1" thickBot="1" x14ac:dyDescent="0.25">
      <c r="A63" s="506">
        <v>111</v>
      </c>
      <c r="B63" s="526" t="s">
        <v>2793</v>
      </c>
      <c r="C63" s="1472"/>
      <c r="D63" s="514" t="e">
        <f>+#REF!</f>
        <v>#REF!</v>
      </c>
      <c r="E63" s="492"/>
      <c r="F63" s="515"/>
      <c r="G63" s="515"/>
      <c r="H63" s="515"/>
      <c r="I63" s="515" t="e">
        <f t="shared" si="24"/>
        <v>#REF!</v>
      </c>
      <c r="J63" s="595"/>
      <c r="K63" s="774"/>
      <c r="L63" s="774"/>
      <c r="M63" s="774"/>
      <c r="N63" s="774"/>
      <c r="O63" s="774"/>
      <c r="P63" s="774"/>
      <c r="Q63" s="774"/>
      <c r="R63" s="774"/>
      <c r="S63" s="774"/>
      <c r="T63" s="606">
        <f t="shared" si="25"/>
        <v>0</v>
      </c>
      <c r="U63" s="774"/>
      <c r="V63" s="606">
        <f t="shared" si="26"/>
        <v>0</v>
      </c>
      <c r="W63" s="596">
        <f t="shared" si="27"/>
        <v>0</v>
      </c>
      <c r="X63" s="597"/>
    </row>
    <row r="64" spans="1:24" ht="27" customHeight="1" thickBot="1" x14ac:dyDescent="0.25">
      <c r="A64" s="506">
        <v>211</v>
      </c>
      <c r="B64" s="526" t="s">
        <v>2794</v>
      </c>
      <c r="C64" s="1472"/>
      <c r="D64" s="514" t="e">
        <f>+#REF!</f>
        <v>#REF!</v>
      </c>
      <c r="E64" s="492"/>
      <c r="F64" s="515"/>
      <c r="G64" s="515"/>
      <c r="H64" s="515"/>
      <c r="I64" s="515" t="e">
        <f t="shared" si="24"/>
        <v>#REF!</v>
      </c>
      <c r="J64" s="595"/>
      <c r="K64" s="774"/>
      <c r="L64" s="774"/>
      <c r="M64" s="774"/>
      <c r="N64" s="774"/>
      <c r="O64" s="774"/>
      <c r="P64" s="774"/>
      <c r="Q64" s="774"/>
      <c r="R64" s="774"/>
      <c r="S64" s="774"/>
      <c r="T64" s="606">
        <f t="shared" si="25"/>
        <v>0</v>
      </c>
      <c r="U64" s="774"/>
      <c r="V64" s="606">
        <f t="shared" si="26"/>
        <v>0</v>
      </c>
      <c r="W64" s="596">
        <f t="shared" si="27"/>
        <v>0</v>
      </c>
      <c r="X64" s="597"/>
    </row>
    <row r="65" spans="1:28" ht="48" customHeight="1" thickBot="1" x14ac:dyDescent="0.25">
      <c r="A65" s="506">
        <v>211</v>
      </c>
      <c r="B65" s="527" t="s">
        <v>2795</v>
      </c>
      <c r="C65" s="1473"/>
      <c r="D65" s="514" t="e">
        <f>+#REF!</f>
        <v>#REF!</v>
      </c>
      <c r="E65" s="492"/>
      <c r="F65" s="515">
        <v>-88829823</v>
      </c>
      <c r="G65" s="515" t="e">
        <f>SUM(#REF!)</f>
        <v>#REF!</v>
      </c>
      <c r="H65" s="515">
        <f>+'PLANINDICATIVO PD MAYO'!AB72</f>
        <v>115624072</v>
      </c>
      <c r="I65" s="515" t="e">
        <f t="shared" si="24"/>
        <v>#REF!</v>
      </c>
      <c r="J65" s="595"/>
      <c r="K65" s="606">
        <f>+'PLANINDICATIVO PD'!AA71</f>
        <v>0</v>
      </c>
      <c r="L65" s="606" t="e">
        <f>+'PLANINDICATIVO PD'!AB71+'PLANINDICATIVO PD'!BA71</f>
        <v>#REF!</v>
      </c>
      <c r="M65" s="606">
        <v>43000000</v>
      </c>
      <c r="N65" s="606"/>
      <c r="O65" s="606"/>
      <c r="P65" s="606" t="e">
        <f>+'PLANINDICATIVO PD'!BE71</f>
        <v>#REF!</v>
      </c>
      <c r="Q65" s="606">
        <f>+'PLANINDICATIVO PD'!AG71</f>
        <v>0</v>
      </c>
      <c r="R65" s="606">
        <f>+'PLANINDICATIVO PD'!AH71</f>
        <v>20000000</v>
      </c>
      <c r="S65" s="606">
        <f>+'PLANINDICATIVO PD'!BH71</f>
        <v>21675181</v>
      </c>
      <c r="T65" s="606">
        <f t="shared" si="25"/>
        <v>115624072</v>
      </c>
      <c r="U65" s="606">
        <f>+'PLANINDICATIVO PD'!AJ71</f>
        <v>0</v>
      </c>
      <c r="V65" s="606" t="e">
        <f t="shared" si="26"/>
        <v>#REF!</v>
      </c>
      <c r="W65" s="596" t="e">
        <f t="shared" si="27"/>
        <v>#REF!</v>
      </c>
      <c r="X65" s="597"/>
      <c r="Y65" s="599"/>
    </row>
    <row r="66" spans="1:28" ht="14.25" customHeight="1" thickBot="1" x14ac:dyDescent="0.25">
      <c r="B66" s="531" t="s">
        <v>2796</v>
      </c>
      <c r="C66" s="801"/>
      <c r="D66" s="532" t="e">
        <f>+D56+D48+D43+D33+D12+D8+D3</f>
        <v>#REF!</v>
      </c>
      <c r="E66" s="492"/>
      <c r="F66" s="533">
        <f>+F56+F48+F43+F33+F12+F8+F3</f>
        <v>0</v>
      </c>
      <c r="G66" s="533" t="e">
        <f>+G56+G48+G43+G33+G12+G8+G3</f>
        <v>#REF!</v>
      </c>
      <c r="H66" s="533">
        <f>+H56+H48+H43+H33+H12+H8+H3</f>
        <v>372988398</v>
      </c>
      <c r="I66" s="776" t="e">
        <f>+I56+I48+I43+I33+I12+I8+I3</f>
        <v>#REF!</v>
      </c>
      <c r="J66" s="775"/>
      <c r="K66" s="532">
        <f t="shared" ref="K66:W66" si="28">+K56+K48+K43+K33+K12+K8+K3</f>
        <v>2475902120</v>
      </c>
      <c r="L66" s="532" t="e">
        <f t="shared" si="28"/>
        <v>#REF!</v>
      </c>
      <c r="M66" s="532" t="e">
        <f t="shared" si="28"/>
        <v>#REF!</v>
      </c>
      <c r="N66" s="532">
        <f t="shared" si="28"/>
        <v>108878050</v>
      </c>
      <c r="O66" s="532">
        <f t="shared" si="28"/>
        <v>61623810</v>
      </c>
      <c r="P66" s="532" t="e">
        <f t="shared" si="28"/>
        <v>#REF!</v>
      </c>
      <c r="Q66" s="532" t="e">
        <f t="shared" si="28"/>
        <v>#REF!</v>
      </c>
      <c r="R66" s="532">
        <f t="shared" si="28"/>
        <v>881000000</v>
      </c>
      <c r="S66" s="532" t="e">
        <f t="shared" si="28"/>
        <v>#REF!</v>
      </c>
      <c r="T66" s="532">
        <f t="shared" si="28"/>
        <v>501497815</v>
      </c>
      <c r="U66" s="532">
        <f t="shared" si="28"/>
        <v>1355000000</v>
      </c>
      <c r="V66" s="532" t="e">
        <f t="shared" si="28"/>
        <v>#REF!</v>
      </c>
      <c r="W66" s="532" t="e">
        <f t="shared" si="28"/>
        <v>#REF!</v>
      </c>
      <c r="X66" s="597"/>
    </row>
    <row r="67" spans="1:28" ht="14.25" customHeight="1" x14ac:dyDescent="0.2">
      <c r="B67" s="536"/>
      <c r="C67" s="536"/>
      <c r="E67" s="492"/>
      <c r="F67" s="492"/>
      <c r="K67" s="599"/>
      <c r="L67" s="599"/>
      <c r="M67" s="599"/>
      <c r="N67" s="599"/>
      <c r="O67" s="599"/>
      <c r="P67" s="599"/>
      <c r="Q67" s="599"/>
      <c r="R67" s="599"/>
      <c r="S67" s="599"/>
      <c r="T67" s="599"/>
      <c r="U67" s="599"/>
      <c r="V67" s="599"/>
      <c r="W67" s="599"/>
    </row>
    <row r="68" spans="1:28" ht="24" customHeight="1" x14ac:dyDescent="0.2">
      <c r="B68" s="1332" t="s">
        <v>2797</v>
      </c>
      <c r="C68" s="1333"/>
      <c r="D68" s="1333"/>
      <c r="E68" s="492"/>
      <c r="F68" s="492"/>
      <c r="L68" s="599"/>
      <c r="M68" s="599"/>
      <c r="N68" s="599"/>
      <c r="O68" s="599"/>
      <c r="P68" s="599"/>
      <c r="Q68" s="599"/>
      <c r="R68" s="599"/>
      <c r="S68" s="599"/>
      <c r="T68" s="599"/>
      <c r="U68" s="599"/>
      <c r="V68" s="599"/>
      <c r="W68" s="599"/>
    </row>
    <row r="69" spans="1:28" x14ac:dyDescent="0.2">
      <c r="B69" s="538" t="s">
        <v>2799</v>
      </c>
      <c r="C69" s="538"/>
      <c r="D69" s="600" t="e">
        <f>SUMIF($A$3:$A$66,"111",$D$3:$D$66)</f>
        <v>#REF!</v>
      </c>
      <c r="E69" s="601"/>
      <c r="F69" s="600">
        <f>SUMIF($A$3:$A$66,"111",$F$3:$F$66)</f>
        <v>74921223</v>
      </c>
      <c r="G69" s="600" t="e">
        <f>SUMIF($A$3:$A$66,"111",$G$3:$G$66)</f>
        <v>#REF!</v>
      </c>
      <c r="H69" s="600">
        <f>SUMIF($A$3:$A$66,"111",$H$3:$H$66)</f>
        <v>200000000</v>
      </c>
      <c r="I69" s="600" t="e">
        <f>SUMIF($A$3:$A$66,"111",$I$3:$I$66)</f>
        <v>#REF!</v>
      </c>
      <c r="J69" s="602"/>
      <c r="K69" s="539">
        <f>SUMIF($A$3:$A$66,"111",K$3:K66)</f>
        <v>0</v>
      </c>
      <c r="L69" s="539" t="e">
        <f>SUMIF($A$3:$A$66,"111",L$3:L66)</f>
        <v>#REF!</v>
      </c>
      <c r="M69" s="539" t="e">
        <f>SUMIF($A$3:$A$66,"111",M$3:M66)</f>
        <v>#REF!</v>
      </c>
      <c r="N69" s="539">
        <f>SUMIF($A$3:$A$66,"111",N$3:N66)</f>
        <v>79644050</v>
      </c>
      <c r="O69" s="539">
        <f>SUMIF($A$3:$A$66,"111",O$3:O66)</f>
        <v>45678810</v>
      </c>
      <c r="P69" s="539">
        <f>SUMIF($A$3:$A$66,"111",P$3:P66)</f>
        <v>8000000</v>
      </c>
      <c r="Q69" s="539" t="e">
        <f>SUMIF($A$3:$A$66,"111",Q$3:Q66)</f>
        <v>#REF!</v>
      </c>
      <c r="R69" s="539">
        <f>SUMIF($A$3:$A$66,"111",R$3:R66)</f>
        <v>0</v>
      </c>
      <c r="S69" s="539" t="e">
        <f>SUMIF($A$3:$A$66,"111",S$3:S66)</f>
        <v>#REF!</v>
      </c>
      <c r="T69" s="539">
        <f>SUMIF($A$3:$A$66,"111",T$3:T66)</f>
        <v>308654366</v>
      </c>
      <c r="U69" s="539">
        <f>SUMIF($A$3:$A$66,"111",U$3:U66)</f>
        <v>0</v>
      </c>
      <c r="V69" s="539" t="e">
        <f>SUMIF($A$3:$A$66,"111",V$3:V66)</f>
        <v>#REF!</v>
      </c>
      <c r="W69" s="539" t="e">
        <f>SUMIF($A$3:$A$66,"111",W$3:W66)</f>
        <v>#REF!</v>
      </c>
      <c r="X69" s="597"/>
      <c r="Y69" s="599"/>
      <c r="Z69" s="599"/>
    </row>
    <row r="70" spans="1:28" x14ac:dyDescent="0.2">
      <c r="B70" s="538" t="s">
        <v>2800</v>
      </c>
      <c r="C70" s="538"/>
      <c r="D70" s="600" t="e">
        <f>SUMIF($A$3:$A$66,"211",$D$3:$D$66)</f>
        <v>#REF!</v>
      </c>
      <c r="E70" s="601"/>
      <c r="F70" s="600">
        <f>SUMIF($A$3:$A$66,"211",$F$3:$F$66)</f>
        <v>-74921223</v>
      </c>
      <c r="G70" s="600" t="e">
        <f>SUMIF($A$3:$A$66,"211",$G$3:$G$66)</f>
        <v>#REF!</v>
      </c>
      <c r="H70" s="600">
        <f>SUMIF($A$3:$A$66,"211",$H$3:$H$66)</f>
        <v>115624072</v>
      </c>
      <c r="I70" s="600" t="e">
        <f>SUMIF($A$3:$A$66,"211",$I$3:$I$66)</f>
        <v>#REF!</v>
      </c>
      <c r="J70" s="602"/>
      <c r="K70" s="539">
        <f>SUMIF($A$3:$A$66,"211",K$3:K$66)</f>
        <v>0</v>
      </c>
      <c r="L70" s="539" t="e">
        <f t="shared" ref="L70:W70" si="29">SUMIF($A$3:$A$66,"211",L$3:L$66)</f>
        <v>#REF!</v>
      </c>
      <c r="M70" s="539">
        <f t="shared" si="29"/>
        <v>157966465</v>
      </c>
      <c r="N70" s="539">
        <f t="shared" si="29"/>
        <v>29234000</v>
      </c>
      <c r="O70" s="539">
        <f t="shared" si="29"/>
        <v>15945000</v>
      </c>
      <c r="P70" s="539" t="e">
        <f t="shared" si="29"/>
        <v>#REF!</v>
      </c>
      <c r="Q70" s="539">
        <f t="shared" si="29"/>
        <v>1300000000</v>
      </c>
      <c r="R70" s="539">
        <f t="shared" si="29"/>
        <v>20000000</v>
      </c>
      <c r="S70" s="539">
        <f t="shared" si="29"/>
        <v>81675181</v>
      </c>
      <c r="T70" s="539">
        <f t="shared" si="29"/>
        <v>135479123</v>
      </c>
      <c r="U70" s="539">
        <f t="shared" si="29"/>
        <v>0</v>
      </c>
      <c r="V70" s="539" t="e">
        <f t="shared" si="29"/>
        <v>#REF!</v>
      </c>
      <c r="W70" s="539" t="e">
        <f t="shared" si="29"/>
        <v>#REF!</v>
      </c>
      <c r="X70" s="597"/>
      <c r="Y70" s="599"/>
      <c r="Z70" s="599"/>
      <c r="AA70" s="599"/>
      <c r="AB70" s="599"/>
    </row>
    <row r="71" spans="1:28" x14ac:dyDescent="0.2">
      <c r="B71" s="538" t="s">
        <v>2801</v>
      </c>
      <c r="C71" s="538"/>
      <c r="D71" s="600" t="e">
        <f>SUMIF($A$3:$A$66,"310",$D$3:$D$66)</f>
        <v>#REF!</v>
      </c>
      <c r="E71" s="601"/>
      <c r="F71" s="600">
        <f>SUMIF($A$3:$A$66,"310",$F$3:$F$66)</f>
        <v>0</v>
      </c>
      <c r="G71" s="600" t="e">
        <f>SUMIF($A$3:$A$66,"310",$G$3:$G$66)</f>
        <v>#REF!</v>
      </c>
      <c r="H71" s="600">
        <f>SUMIF($A$3:$A$66,"310",$H$3:$H$66)</f>
        <v>0</v>
      </c>
      <c r="I71" s="600" t="e">
        <f>SUMIF($A$3:$A$66,"310",$I$3:$I$66)</f>
        <v>#REF!</v>
      </c>
      <c r="J71" s="602"/>
      <c r="K71" s="539">
        <f>SUMIF($A$3:$A$66,"310",K$3:K$66)</f>
        <v>1566970754</v>
      </c>
      <c r="L71" s="539">
        <f t="shared" ref="L71:W71" si="30">SUMIF($A$3:$A$66,"310",L$3:L$66)</f>
        <v>0</v>
      </c>
      <c r="M71" s="539">
        <f t="shared" si="30"/>
        <v>0</v>
      </c>
      <c r="N71" s="539">
        <f t="shared" si="30"/>
        <v>0</v>
      </c>
      <c r="O71" s="539">
        <f t="shared" si="30"/>
        <v>0</v>
      </c>
      <c r="P71" s="539">
        <f t="shared" si="30"/>
        <v>0</v>
      </c>
      <c r="Q71" s="539">
        <f t="shared" si="30"/>
        <v>0</v>
      </c>
      <c r="R71" s="539">
        <f t="shared" si="30"/>
        <v>10000000</v>
      </c>
      <c r="S71" s="539">
        <f t="shared" si="30"/>
        <v>0</v>
      </c>
      <c r="T71" s="539">
        <f t="shared" si="30"/>
        <v>0</v>
      </c>
      <c r="U71" s="539">
        <f t="shared" si="30"/>
        <v>0</v>
      </c>
      <c r="V71" s="539" t="e">
        <f t="shared" si="30"/>
        <v>#REF!</v>
      </c>
      <c r="W71" s="539" t="e">
        <f t="shared" si="30"/>
        <v>#REF!</v>
      </c>
      <c r="X71" s="597"/>
      <c r="Y71" s="599"/>
      <c r="Z71" s="599"/>
    </row>
    <row r="72" spans="1:28" x14ac:dyDescent="0.2">
      <c r="B72" s="538" t="s">
        <v>2802</v>
      </c>
      <c r="C72" s="538"/>
      <c r="D72" s="600" t="e">
        <f>SUMIF($A$3:$A$66,"410",$D$3:$D$66)</f>
        <v>#REF!</v>
      </c>
      <c r="E72" s="601"/>
      <c r="F72" s="600">
        <f>SUMIF($A$3:$A$66,"410",$F$3:$F$66)</f>
        <v>0</v>
      </c>
      <c r="G72" s="600" t="e">
        <f>SUMIF($A$3:$A$66,"410",$G$3:$G$66)</f>
        <v>#REF!</v>
      </c>
      <c r="H72" s="600">
        <f>SUMIF($A$3:$A$66,"410",$H$3:$H$66)</f>
        <v>17364326</v>
      </c>
      <c r="I72" s="600" t="e">
        <f>SUMIF($A$3:$A$66,"410",$I$3:$I$66)</f>
        <v>#REF!</v>
      </c>
      <c r="J72" s="602"/>
      <c r="K72" s="539">
        <f>SUMIF($A$3:$A$66,"410",K$3:K$66)</f>
        <v>168931366</v>
      </c>
      <c r="L72" s="539" t="e">
        <f t="shared" ref="L72:W72" si="31">SUMIF($A$3:$A$66,"410",L$3:L$66)</f>
        <v>#REF!</v>
      </c>
      <c r="M72" s="539">
        <f t="shared" si="31"/>
        <v>0</v>
      </c>
      <c r="N72" s="539">
        <f t="shared" si="31"/>
        <v>0</v>
      </c>
      <c r="O72" s="539">
        <f t="shared" si="31"/>
        <v>0</v>
      </c>
      <c r="P72" s="539">
        <f t="shared" si="31"/>
        <v>0</v>
      </c>
      <c r="Q72" s="539" t="e">
        <f t="shared" si="31"/>
        <v>#REF!</v>
      </c>
      <c r="R72" s="539">
        <f t="shared" si="31"/>
        <v>376000000</v>
      </c>
      <c r="S72" s="539">
        <f t="shared" si="31"/>
        <v>0</v>
      </c>
      <c r="T72" s="539">
        <f t="shared" si="31"/>
        <v>17364326</v>
      </c>
      <c r="U72" s="539">
        <f t="shared" si="31"/>
        <v>0</v>
      </c>
      <c r="V72" s="539" t="e">
        <f t="shared" si="31"/>
        <v>#REF!</v>
      </c>
      <c r="W72" s="539" t="e">
        <f t="shared" si="31"/>
        <v>#REF!</v>
      </c>
      <c r="X72" s="597"/>
      <c r="Y72" s="599"/>
      <c r="Z72" s="599"/>
    </row>
    <row r="73" spans="1:28" x14ac:dyDescent="0.2">
      <c r="B73" s="538" t="s">
        <v>2803</v>
      </c>
      <c r="C73" s="538"/>
      <c r="D73" s="600" t="e">
        <f>SUMIF($A$3:$A$66,"510",$D$3:$D$66)</f>
        <v>#REF!</v>
      </c>
      <c r="E73" s="601"/>
      <c r="F73" s="600">
        <f>SUMIF($A$3:$A$66,"510",$F$3:$F$66)</f>
        <v>0</v>
      </c>
      <c r="G73" s="600" t="e">
        <f>SUMIF($A$3:$A$66,"510",$G$3:$G$66)</f>
        <v>#REF!</v>
      </c>
      <c r="H73" s="600">
        <f>SUMIF($A$3:$A$66,"510",$H$3:$H$66)</f>
        <v>40000000</v>
      </c>
      <c r="I73" s="600" t="e">
        <f>SUMIF($A$3:$A$66,"510",$I$3:$I$66)</f>
        <v>#REF!</v>
      </c>
      <c r="J73" s="602"/>
      <c r="K73" s="539">
        <f>SUMIF($A$3:$A$66,"510",K$3:K$66)</f>
        <v>525000000</v>
      </c>
      <c r="L73" s="539">
        <f t="shared" ref="L73:W73" si="32">SUMIF($A$3:$A$66,"510",L$3:L$66)</f>
        <v>0</v>
      </c>
      <c r="M73" s="539">
        <f t="shared" si="32"/>
        <v>0</v>
      </c>
      <c r="N73" s="539">
        <f t="shared" si="32"/>
        <v>0</v>
      </c>
      <c r="O73" s="539">
        <f t="shared" si="32"/>
        <v>0</v>
      </c>
      <c r="P73" s="539">
        <f t="shared" si="32"/>
        <v>0</v>
      </c>
      <c r="Q73" s="539">
        <f t="shared" si="32"/>
        <v>0</v>
      </c>
      <c r="R73" s="539">
        <f t="shared" si="32"/>
        <v>370000000</v>
      </c>
      <c r="S73" s="539">
        <f t="shared" si="32"/>
        <v>82777272</v>
      </c>
      <c r="T73" s="539">
        <f t="shared" si="32"/>
        <v>40000000</v>
      </c>
      <c r="U73" s="539">
        <f t="shared" si="32"/>
        <v>0</v>
      </c>
      <c r="V73" s="539" t="e">
        <f t="shared" si="32"/>
        <v>#REF!</v>
      </c>
      <c r="W73" s="539" t="e">
        <f t="shared" si="32"/>
        <v>#REF!</v>
      </c>
      <c r="X73" s="597"/>
      <c r="Y73" s="599"/>
      <c r="Z73" s="599"/>
    </row>
    <row r="74" spans="1:28" x14ac:dyDescent="0.2">
      <c r="B74" s="538" t="s">
        <v>2804</v>
      </c>
      <c r="C74" s="538"/>
      <c r="D74" s="600" t="e">
        <f>SUMIF($A$3:$A$66,"520",$D$3:$D$66)</f>
        <v>#REF!</v>
      </c>
      <c r="E74" s="601"/>
      <c r="F74" s="600">
        <f>SUMIF($A$3:$A$66,"520",$F$3:$F$66)</f>
        <v>0</v>
      </c>
      <c r="G74" s="600" t="e">
        <f>SUMIF($A$3:$A$66,"520",$G$3:$G$66)</f>
        <v>#REF!</v>
      </c>
      <c r="H74" s="600">
        <f>SUMIF($A$3:$A$66,"520",$H$3:$H$66)</f>
        <v>0</v>
      </c>
      <c r="I74" s="600" t="e">
        <f>SUMIF($A$3:$A$66,"520",$I$3:$I$66)</f>
        <v>#REF!</v>
      </c>
      <c r="J74" s="602"/>
      <c r="K74" s="539">
        <f>SUMIF($A$3:$A$66,"520",K$3:K$66)</f>
        <v>215000000</v>
      </c>
      <c r="L74" s="539">
        <f t="shared" ref="L74:W74" si="33">SUMIF($A$3:$A$66,"520",L$3:L$66)</f>
        <v>0</v>
      </c>
      <c r="M74" s="539">
        <f t="shared" si="33"/>
        <v>0</v>
      </c>
      <c r="N74" s="539">
        <f t="shared" si="33"/>
        <v>0</v>
      </c>
      <c r="O74" s="539">
        <f t="shared" si="33"/>
        <v>0</v>
      </c>
      <c r="P74" s="539">
        <f t="shared" si="33"/>
        <v>0</v>
      </c>
      <c r="Q74" s="539">
        <f t="shared" si="33"/>
        <v>100000000</v>
      </c>
      <c r="R74" s="539">
        <f t="shared" si="33"/>
        <v>105000000</v>
      </c>
      <c r="S74" s="539">
        <f t="shared" si="33"/>
        <v>15000000</v>
      </c>
      <c r="T74" s="539">
        <f t="shared" si="33"/>
        <v>0</v>
      </c>
      <c r="U74" s="539">
        <f t="shared" si="33"/>
        <v>0</v>
      </c>
      <c r="V74" s="539" t="e">
        <f t="shared" si="33"/>
        <v>#REF!</v>
      </c>
      <c r="W74" s="539" t="e">
        <f t="shared" si="33"/>
        <v>#REF!</v>
      </c>
      <c r="X74" s="597"/>
      <c r="Y74" s="599"/>
      <c r="Z74" s="599"/>
    </row>
    <row r="75" spans="1:28" ht="18" customHeight="1" x14ac:dyDescent="0.2">
      <c r="B75" s="540" t="s">
        <v>2805</v>
      </c>
      <c r="C75" s="540"/>
      <c r="D75" s="603" t="e">
        <f>SUM(D69:D74)</f>
        <v>#REF!</v>
      </c>
      <c r="E75" s="601"/>
      <c r="F75" s="604">
        <f>SUM(F69:F74)</f>
        <v>0</v>
      </c>
      <c r="G75" s="604" t="e">
        <f>SUM(G69:G74)</f>
        <v>#REF!</v>
      </c>
      <c r="H75" s="604">
        <f>SUM(H69:H74)</f>
        <v>372988398</v>
      </c>
      <c r="I75" s="604" t="e">
        <f>SUM(I69:I74)</f>
        <v>#REF!</v>
      </c>
      <c r="J75" s="602"/>
      <c r="K75" s="541">
        <f>SUM(K69:K74)</f>
        <v>2475902120</v>
      </c>
      <c r="L75" s="541" t="e">
        <f t="shared" ref="L75:W75" si="34">SUM(L69:L74)</f>
        <v>#REF!</v>
      </c>
      <c r="M75" s="541" t="e">
        <f t="shared" si="34"/>
        <v>#REF!</v>
      </c>
      <c r="N75" s="541">
        <f t="shared" si="34"/>
        <v>108878050</v>
      </c>
      <c r="O75" s="541">
        <f t="shared" si="34"/>
        <v>61623810</v>
      </c>
      <c r="P75" s="541" t="e">
        <f t="shared" si="34"/>
        <v>#REF!</v>
      </c>
      <c r="Q75" s="541" t="e">
        <f t="shared" si="34"/>
        <v>#REF!</v>
      </c>
      <c r="R75" s="541">
        <f t="shared" si="34"/>
        <v>881000000</v>
      </c>
      <c r="S75" s="541" t="e">
        <f t="shared" si="34"/>
        <v>#REF!</v>
      </c>
      <c r="T75" s="541">
        <f t="shared" si="34"/>
        <v>501497815</v>
      </c>
      <c r="U75" s="541">
        <f t="shared" si="34"/>
        <v>0</v>
      </c>
      <c r="V75" s="541" t="e">
        <f>SUM(V69:V74)</f>
        <v>#REF!</v>
      </c>
      <c r="W75" s="541" t="e">
        <f t="shared" si="34"/>
        <v>#REF!</v>
      </c>
    </row>
    <row r="76" spans="1:28" x14ac:dyDescent="0.2">
      <c r="B76" s="543" t="s">
        <v>2806</v>
      </c>
      <c r="C76" s="543"/>
      <c r="D76" s="600" t="e">
        <f>SUMIF($A$3:$A$66,"301",$D$3:$D$66)</f>
        <v>#REF!</v>
      </c>
      <c r="E76" s="601"/>
      <c r="F76" s="600">
        <f>SUMIF($A$3:$A$66,"301",$F$3:$F$66)</f>
        <v>0</v>
      </c>
      <c r="G76" s="600" t="e">
        <f>SUMIF($A$3:$A$66,"301",$G$3:$G$66)</f>
        <v>#REF!</v>
      </c>
      <c r="H76" s="600">
        <f>SUMIF($A$3:$A$66,"301",$H$3:$H$66)</f>
        <v>0</v>
      </c>
      <c r="I76" s="600" t="e">
        <f>SUMIF($A$3:$A$66,"301",$I$3:$I$66)</f>
        <v>#REF!</v>
      </c>
      <c r="J76" s="602"/>
      <c r="K76" s="539">
        <f>SUMIF($A$3:$A$66,"301",K$3:K$66)</f>
        <v>0</v>
      </c>
      <c r="L76" s="539">
        <f t="shared" ref="L76:W76" si="35">SUMIF($A$3:$A$66,"301",L$3:L$66)</f>
        <v>0</v>
      </c>
      <c r="M76" s="539">
        <f t="shared" si="35"/>
        <v>0</v>
      </c>
      <c r="N76" s="539">
        <f t="shared" si="35"/>
        <v>0</v>
      </c>
      <c r="O76" s="539">
        <f t="shared" si="35"/>
        <v>0</v>
      </c>
      <c r="P76" s="539">
        <f t="shared" si="35"/>
        <v>0</v>
      </c>
      <c r="Q76" s="539">
        <f t="shared" si="35"/>
        <v>0</v>
      </c>
      <c r="R76" s="539">
        <f t="shared" si="35"/>
        <v>0</v>
      </c>
      <c r="S76" s="539">
        <f t="shared" si="35"/>
        <v>0</v>
      </c>
      <c r="T76" s="539">
        <f t="shared" si="35"/>
        <v>0</v>
      </c>
      <c r="U76" s="539">
        <f t="shared" si="35"/>
        <v>1355000000</v>
      </c>
      <c r="V76" s="539" t="e">
        <f t="shared" si="35"/>
        <v>#REF!</v>
      </c>
      <c r="W76" s="539" t="e">
        <f t="shared" si="35"/>
        <v>#REF!</v>
      </c>
      <c r="X76" s="597"/>
      <c r="Y76" s="599"/>
      <c r="Z76" s="599"/>
    </row>
    <row r="77" spans="1:28" x14ac:dyDescent="0.2">
      <c r="B77" s="540" t="s">
        <v>2807</v>
      </c>
      <c r="C77" s="540"/>
      <c r="D77" s="603" t="e">
        <f>+D75+D76</f>
        <v>#REF!</v>
      </c>
      <c r="E77" s="601"/>
      <c r="F77" s="604">
        <f>+F75+F76</f>
        <v>0</v>
      </c>
      <c r="G77" s="604" t="e">
        <f>+G75+G76</f>
        <v>#REF!</v>
      </c>
      <c r="H77" s="604">
        <f>+H75+H76</f>
        <v>372988398</v>
      </c>
      <c r="I77" s="604" t="e">
        <f>+I75+I76</f>
        <v>#REF!</v>
      </c>
      <c r="J77" s="602"/>
      <c r="K77" s="541">
        <f>+K75+K76</f>
        <v>2475902120</v>
      </c>
      <c r="L77" s="541" t="e">
        <f t="shared" ref="L77:W77" si="36">+L75+L76</f>
        <v>#REF!</v>
      </c>
      <c r="M77" s="541" t="e">
        <f t="shared" si="36"/>
        <v>#REF!</v>
      </c>
      <c r="N77" s="541">
        <f t="shared" si="36"/>
        <v>108878050</v>
      </c>
      <c r="O77" s="541">
        <f t="shared" si="36"/>
        <v>61623810</v>
      </c>
      <c r="P77" s="541" t="e">
        <f t="shared" si="36"/>
        <v>#REF!</v>
      </c>
      <c r="Q77" s="541" t="e">
        <f t="shared" si="36"/>
        <v>#REF!</v>
      </c>
      <c r="R77" s="541">
        <f t="shared" si="36"/>
        <v>881000000</v>
      </c>
      <c r="S77" s="541" t="e">
        <f t="shared" si="36"/>
        <v>#REF!</v>
      </c>
      <c r="T77" s="541">
        <f t="shared" si="36"/>
        <v>501497815</v>
      </c>
      <c r="U77" s="541">
        <f t="shared" si="36"/>
        <v>1355000000</v>
      </c>
      <c r="V77" s="541" t="e">
        <f>+V75+V76</f>
        <v>#REF!</v>
      </c>
      <c r="W77" s="541" t="e">
        <f t="shared" si="36"/>
        <v>#REF!</v>
      </c>
      <c r="X77" s="597"/>
      <c r="Y77" s="599"/>
      <c r="Z77" s="599"/>
    </row>
    <row r="78" spans="1:28" x14ac:dyDescent="0.2">
      <c r="L78" s="599"/>
    </row>
    <row r="79" spans="1:28" x14ac:dyDescent="0.2">
      <c r="F79" s="597"/>
      <c r="G79" s="597" t="e">
        <f>+G77+H77-F65</f>
        <v>#REF!</v>
      </c>
      <c r="W79" s="599"/>
    </row>
    <row r="85" spans="2:3" x14ac:dyDescent="0.2">
      <c r="B85" s="544"/>
      <c r="C85" s="544"/>
    </row>
  </sheetData>
  <mergeCells count="22">
    <mergeCell ref="H1:H2"/>
    <mergeCell ref="I1:I2"/>
    <mergeCell ref="F1:F2"/>
    <mergeCell ref="K1:Q1"/>
    <mergeCell ref="R1:W1"/>
    <mergeCell ref="G1:G2"/>
    <mergeCell ref="E1:E2"/>
    <mergeCell ref="C1:C2"/>
    <mergeCell ref="C3:C7"/>
    <mergeCell ref="C8:C11"/>
    <mergeCell ref="C56:C65"/>
    <mergeCell ref="C13:C16"/>
    <mergeCell ref="C17:C21"/>
    <mergeCell ref="B68:D68"/>
    <mergeCell ref="A1:A2"/>
    <mergeCell ref="B1:B2"/>
    <mergeCell ref="D1:D2"/>
    <mergeCell ref="C22:C32"/>
    <mergeCell ref="C34:C36"/>
    <mergeCell ref="C37:C42"/>
    <mergeCell ref="C43:C47"/>
    <mergeCell ref="C49:C55"/>
  </mergeCells>
  <printOptions horizontalCentered="1" verticalCentered="1"/>
  <pageMargins left="0.43307086614173229" right="0.15748031496062992" top="0.78740157480314965" bottom="0.47244094488188981" header="0.55118110236220474" footer="0"/>
  <pageSetup scale="75" orientation="portrait" r:id="rId1"/>
  <headerFooter alignWithMargins="0">
    <oddHeader>&amp;C&amp;"-,Negrita"&amp;14PLAN OPERATIVO ANUAL DE INVERSIONES 2010</oddHeader>
    <oddFooter>&amp;L&amp;8UNIDAD DE PLANEAMIENTO ECONÓMICO Y ADMINISTRATIVO&amp;COFICINA DE PLANEACIÓN&amp;R&amp;D</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2"/>
  <dimension ref="A1:AY147"/>
  <sheetViews>
    <sheetView topLeftCell="F1" zoomScale="70" zoomScaleNormal="70" zoomScalePageLayoutView="50" workbookViewId="0">
      <pane ySplit="3" topLeftCell="A5" activePane="bottomLeft" state="frozen"/>
      <selection pane="bottomLeft" activeCell="N11" sqref="N11"/>
    </sheetView>
  </sheetViews>
  <sheetFormatPr baseColWidth="10" defaultColWidth="11.42578125" defaultRowHeight="15" x14ac:dyDescent="0.25"/>
  <cols>
    <col min="1" max="1" width="7.28515625" customWidth="1"/>
    <col min="2" max="2" width="12" customWidth="1"/>
    <col min="3" max="3" width="6.7109375" customWidth="1"/>
    <col min="4" max="4" width="15.28515625" customWidth="1"/>
    <col min="5" max="5" width="8.85546875" customWidth="1"/>
    <col min="6" max="6" width="20.42578125" customWidth="1"/>
    <col min="7" max="7" width="14" customWidth="1"/>
    <col min="8" max="8" width="12.5703125" customWidth="1"/>
    <col min="9" max="9" width="14.42578125" customWidth="1"/>
    <col min="10" max="10" width="8.42578125" customWidth="1"/>
    <col min="11" max="11" width="12.7109375" customWidth="1"/>
    <col min="12" max="12" width="15.5703125" customWidth="1"/>
    <col min="13" max="14" width="13.5703125" customWidth="1"/>
    <col min="15" max="18" width="12.7109375" customWidth="1"/>
    <col min="19" max="19" width="15.85546875" customWidth="1"/>
    <col min="20" max="20" width="14.7109375" hidden="1" customWidth="1"/>
    <col min="21" max="21" width="12.42578125" customWidth="1"/>
    <col min="22" max="22" width="15.85546875" customWidth="1"/>
    <col min="23" max="23" width="11.85546875" customWidth="1"/>
    <col min="24" max="24" width="7.28515625" customWidth="1"/>
    <col min="25" max="25" width="14.140625" hidden="1" customWidth="1"/>
    <col min="26" max="26" width="14.42578125" customWidth="1"/>
    <col min="27" max="27" width="15" customWidth="1"/>
    <col min="28" max="28" width="14.42578125" customWidth="1"/>
    <col min="29" max="29" width="14.5703125" customWidth="1"/>
    <col min="30" max="31" width="12.7109375" customWidth="1"/>
    <col min="32" max="32" width="6.5703125" customWidth="1"/>
    <col min="33" max="33" width="14.7109375" hidden="1" customWidth="1"/>
    <col min="34" max="34" width="8" customWidth="1"/>
    <col min="49" max="50" width="13.7109375" customWidth="1"/>
  </cols>
  <sheetData>
    <row r="1" spans="1:51" ht="18" customHeight="1" thickTop="1" x14ac:dyDescent="0.3">
      <c r="A1" s="1218" t="s">
        <v>3338</v>
      </c>
      <c r="B1" s="1219"/>
      <c r="C1" s="1219"/>
      <c r="D1" s="1219"/>
      <c r="E1" s="1219"/>
      <c r="F1" s="1219"/>
      <c r="G1" s="1220" t="s">
        <v>3428</v>
      </c>
      <c r="H1" s="1221"/>
      <c r="I1" s="1221"/>
      <c r="J1" s="1222"/>
      <c r="K1" s="1230" t="s">
        <v>3427</v>
      </c>
      <c r="L1" s="1221"/>
      <c r="M1" s="1221"/>
      <c r="N1" s="1221"/>
      <c r="O1" s="1221"/>
      <c r="P1" s="1487" t="s">
        <v>4049</v>
      </c>
      <c r="Q1" s="1487"/>
      <c r="R1" s="1487"/>
      <c r="S1" s="1221" t="s">
        <v>3429</v>
      </c>
      <c r="T1" s="1221"/>
      <c r="U1" s="1221"/>
      <c r="V1" s="1221"/>
      <c r="W1" s="1221"/>
      <c r="X1" s="1222"/>
      <c r="Y1" s="314"/>
      <c r="Z1" s="1230" t="s">
        <v>3339</v>
      </c>
      <c r="AA1" s="1221"/>
      <c r="AB1" s="1221"/>
      <c r="AC1" s="1221"/>
      <c r="AD1" s="1231"/>
      <c r="AE1" s="1486" t="s">
        <v>4046</v>
      </c>
      <c r="AF1" s="1322" t="s">
        <v>447</v>
      </c>
      <c r="AH1" s="1316" t="s">
        <v>3347</v>
      </c>
      <c r="AI1" s="1220" t="s">
        <v>3467</v>
      </c>
      <c r="AJ1" s="1221"/>
      <c r="AK1" s="1221"/>
      <c r="AL1" s="1221"/>
      <c r="AM1" s="1220" t="s">
        <v>3468</v>
      </c>
      <c r="AN1" s="1221"/>
      <c r="AO1" s="1221"/>
      <c r="AP1" s="1221"/>
      <c r="AQ1" s="1220" t="s">
        <v>3469</v>
      </c>
      <c r="AR1" s="1221"/>
      <c r="AS1" s="1221"/>
      <c r="AT1" s="1221"/>
      <c r="AU1" s="1230" t="s">
        <v>3470</v>
      </c>
      <c r="AV1" s="1221"/>
      <c r="AW1" s="1221"/>
      <c r="AX1" s="1221"/>
      <c r="AY1" s="1231"/>
    </row>
    <row r="2" spans="1:51" ht="30.75" customHeight="1" x14ac:dyDescent="0.25">
      <c r="A2" s="1235" t="s">
        <v>3137</v>
      </c>
      <c r="B2" s="1236"/>
      <c r="C2" s="1235" t="s">
        <v>3283</v>
      </c>
      <c r="D2" s="1236"/>
      <c r="E2" s="1235" t="s">
        <v>3139</v>
      </c>
      <c r="F2" s="1239"/>
      <c r="G2" s="1241" t="s">
        <v>3414</v>
      </c>
      <c r="H2" s="1310" t="s">
        <v>3419</v>
      </c>
      <c r="I2" s="1310"/>
      <c r="J2" s="1310"/>
      <c r="K2" s="1232" t="s">
        <v>461</v>
      </c>
      <c r="L2" s="1232"/>
      <c r="M2" s="1232"/>
      <c r="N2" s="1233" t="s">
        <v>3421</v>
      </c>
      <c r="O2" s="1488"/>
      <c r="P2" s="1487"/>
      <c r="Q2" s="1487"/>
      <c r="R2" s="1487"/>
      <c r="S2" s="1236" t="s">
        <v>3415</v>
      </c>
      <c r="T2" s="1293" t="s">
        <v>3284</v>
      </c>
      <c r="U2" s="1310" t="s">
        <v>3420</v>
      </c>
      <c r="V2" s="1310"/>
      <c r="W2" s="1310"/>
      <c r="X2" s="1310"/>
      <c r="Y2" s="1315"/>
      <c r="Z2" s="1232" t="s">
        <v>461</v>
      </c>
      <c r="AA2" s="1232"/>
      <c r="AB2" s="1232"/>
      <c r="AC2" s="1233" t="s">
        <v>3421</v>
      </c>
      <c r="AD2" s="1234"/>
      <c r="AE2" s="1486"/>
      <c r="AF2" s="1323"/>
      <c r="AG2" s="1319" t="s">
        <v>3320</v>
      </c>
      <c r="AH2" s="1317"/>
      <c r="AI2" s="1241" t="s">
        <v>3415</v>
      </c>
      <c r="AJ2" s="1310" t="s">
        <v>3420</v>
      </c>
      <c r="AK2" s="1310"/>
      <c r="AL2" s="1315"/>
      <c r="AM2" s="1241" t="s">
        <v>3415</v>
      </c>
      <c r="AN2" s="1310" t="s">
        <v>3420</v>
      </c>
      <c r="AO2" s="1310"/>
      <c r="AP2" s="1315"/>
      <c r="AQ2" s="1241" t="s">
        <v>3415</v>
      </c>
      <c r="AR2" s="1310" t="s">
        <v>3420</v>
      </c>
      <c r="AS2" s="1310"/>
      <c r="AT2" s="1315"/>
      <c r="AU2" s="1232" t="s">
        <v>461</v>
      </c>
      <c r="AV2" s="1232"/>
      <c r="AW2" s="1232"/>
      <c r="AX2" s="1233" t="s">
        <v>3421</v>
      </c>
      <c r="AY2" s="1234"/>
    </row>
    <row r="3" spans="1:51" x14ac:dyDescent="0.25">
      <c r="A3" s="1237"/>
      <c r="B3" s="1238"/>
      <c r="C3" s="1237"/>
      <c r="D3" s="1238"/>
      <c r="E3" s="1237"/>
      <c r="F3" s="1240"/>
      <c r="G3" s="1242"/>
      <c r="H3" s="386" t="s">
        <v>1</v>
      </c>
      <c r="I3" s="386" t="s">
        <v>458</v>
      </c>
      <c r="J3" s="386" t="s">
        <v>459</v>
      </c>
      <c r="K3" s="362" t="s">
        <v>1</v>
      </c>
      <c r="L3" s="362" t="s">
        <v>2</v>
      </c>
      <c r="M3" s="362" t="s">
        <v>460</v>
      </c>
      <c r="N3" s="269" t="s">
        <v>433</v>
      </c>
      <c r="O3" s="615" t="s">
        <v>3422</v>
      </c>
      <c r="P3" s="675" t="s">
        <v>4045</v>
      </c>
      <c r="Q3" s="675" t="s">
        <v>4048</v>
      </c>
      <c r="R3" s="675" t="s">
        <v>4050</v>
      </c>
      <c r="S3" s="1238"/>
      <c r="T3" s="1294"/>
      <c r="U3" s="386" t="s">
        <v>1</v>
      </c>
      <c r="V3" s="386" t="s">
        <v>458</v>
      </c>
      <c r="W3" s="628" t="s">
        <v>459</v>
      </c>
      <c r="X3" s="628" t="s">
        <v>4047</v>
      </c>
      <c r="Y3" s="386" t="s">
        <v>460</v>
      </c>
      <c r="Z3" s="362" t="s">
        <v>1</v>
      </c>
      <c r="AA3" s="362" t="s">
        <v>2</v>
      </c>
      <c r="AB3" s="362" t="s">
        <v>460</v>
      </c>
      <c r="AC3" s="269" t="s">
        <v>433</v>
      </c>
      <c r="AD3" s="306" t="s">
        <v>3422</v>
      </c>
      <c r="AE3" s="632" t="s">
        <v>4045</v>
      </c>
      <c r="AF3" s="1324"/>
      <c r="AG3" s="1320"/>
      <c r="AH3" s="1318"/>
      <c r="AI3" s="1242"/>
      <c r="AJ3" s="386" t="s">
        <v>1</v>
      </c>
      <c r="AK3" s="386" t="s">
        <v>459</v>
      </c>
      <c r="AL3" s="386" t="s">
        <v>460</v>
      </c>
      <c r="AM3" s="1242"/>
      <c r="AN3" s="386" t="s">
        <v>1</v>
      </c>
      <c r="AO3" s="386" t="s">
        <v>459</v>
      </c>
      <c r="AP3" s="386" t="s">
        <v>460</v>
      </c>
      <c r="AQ3" s="1242"/>
      <c r="AR3" s="386" t="s">
        <v>1</v>
      </c>
      <c r="AS3" s="386" t="s">
        <v>459</v>
      </c>
      <c r="AT3" s="386" t="s">
        <v>460</v>
      </c>
      <c r="AU3" s="362" t="s">
        <v>1</v>
      </c>
      <c r="AV3" s="362" t="s">
        <v>2</v>
      </c>
      <c r="AW3" s="362" t="s">
        <v>460</v>
      </c>
      <c r="AX3" s="269" t="s">
        <v>433</v>
      </c>
      <c r="AY3" s="306" t="s">
        <v>3422</v>
      </c>
    </row>
    <row r="4" spans="1:51" ht="86.45" customHeight="1" x14ac:dyDescent="0.25">
      <c r="A4" s="1243" t="s">
        <v>3079</v>
      </c>
      <c r="B4" s="1243" t="s">
        <v>3080</v>
      </c>
      <c r="C4" s="1243" t="s">
        <v>3081</v>
      </c>
      <c r="D4" s="1243" t="s">
        <v>3260</v>
      </c>
      <c r="E4" s="2" t="s">
        <v>3087</v>
      </c>
      <c r="F4" s="303" t="s">
        <v>3194</v>
      </c>
      <c r="G4" s="307">
        <v>200000000</v>
      </c>
      <c r="H4" s="363" t="s">
        <v>3089</v>
      </c>
      <c r="I4" s="365" t="s">
        <v>3275</v>
      </c>
      <c r="J4" s="110">
        <v>0.5</v>
      </c>
      <c r="K4" s="2" t="s">
        <v>315</v>
      </c>
      <c r="L4" s="154" t="s">
        <v>3195</v>
      </c>
      <c r="M4" s="158">
        <v>12500000</v>
      </c>
      <c r="N4" s="149">
        <v>2071086</v>
      </c>
      <c r="O4" s="637">
        <v>0.3125</v>
      </c>
      <c r="P4" s="639">
        <f>+O4*J4</f>
        <v>0.15625</v>
      </c>
      <c r="Q4" s="639">
        <f>+N4/M4</f>
        <v>0.16568688000000001</v>
      </c>
      <c r="R4" s="639">
        <f t="shared" ref="R4:R9" si="0">+P4*Q4</f>
        <v>2.5888575E-2</v>
      </c>
      <c r="S4" s="276">
        <v>5000000</v>
      </c>
      <c r="T4" s="107">
        <v>200000000</v>
      </c>
      <c r="U4" s="363" t="s">
        <v>3089</v>
      </c>
      <c r="V4" s="365" t="s">
        <v>3275</v>
      </c>
      <c r="W4" s="618"/>
      <c r="X4" s="110">
        <v>0.1</v>
      </c>
      <c r="Y4" s="101">
        <v>0</v>
      </c>
      <c r="Z4" s="2" t="s">
        <v>315</v>
      </c>
      <c r="AA4" s="154" t="s">
        <v>3195</v>
      </c>
      <c r="AB4" s="158">
        <v>5000000</v>
      </c>
      <c r="AC4" s="149">
        <v>0</v>
      </c>
      <c r="AD4" s="308">
        <v>1</v>
      </c>
      <c r="AE4" s="630">
        <f t="shared" ref="AE4:AE9" si="1">+AD4*X4</f>
        <v>0.1</v>
      </c>
      <c r="AF4" s="277">
        <v>510</v>
      </c>
      <c r="AG4" s="157" t="e">
        <f>+#REF!-#REF!</f>
        <v>#REF!</v>
      </c>
      <c r="AH4" s="355" t="s">
        <v>3348</v>
      </c>
      <c r="AI4" s="307">
        <v>5000000</v>
      </c>
      <c r="AJ4" s="363" t="s">
        <v>3089</v>
      </c>
      <c r="AK4" s="110">
        <v>0.4</v>
      </c>
      <c r="AL4" s="101">
        <v>0</v>
      </c>
      <c r="AM4" s="307"/>
      <c r="AN4" s="363" t="s">
        <v>3089</v>
      </c>
      <c r="AO4" s="110"/>
      <c r="AP4" s="101">
        <v>0</v>
      </c>
      <c r="AQ4" s="307">
        <f>+G4+S4+AI4+AM4</f>
        <v>210000000</v>
      </c>
      <c r="AR4" s="363" t="s">
        <v>3089</v>
      </c>
      <c r="AS4" s="110"/>
      <c r="AT4" s="101">
        <v>0</v>
      </c>
      <c r="AU4" s="2" t="s">
        <v>315</v>
      </c>
      <c r="AV4" s="154" t="s">
        <v>3195</v>
      </c>
      <c r="AW4" s="158">
        <f>+M4+AB4</f>
        <v>17500000</v>
      </c>
      <c r="AX4" s="149">
        <f>+N4+AC4</f>
        <v>2071086</v>
      </c>
      <c r="AY4" s="308">
        <f>+O4+AD4</f>
        <v>1.3125</v>
      </c>
    </row>
    <row r="5" spans="1:51" ht="99.6" customHeight="1" x14ac:dyDescent="0.25">
      <c r="A5" s="1244"/>
      <c r="B5" s="1244"/>
      <c r="C5" s="1244"/>
      <c r="D5" s="1244"/>
      <c r="E5" s="2" t="s">
        <v>3083</v>
      </c>
      <c r="F5" s="303" t="s">
        <v>3265</v>
      </c>
      <c r="G5" s="307">
        <v>50000000</v>
      </c>
      <c r="H5" s="2" t="s">
        <v>3085</v>
      </c>
      <c r="I5" s="100" t="s">
        <v>3279</v>
      </c>
      <c r="J5" s="110">
        <v>0.5</v>
      </c>
      <c r="K5" s="2" t="s">
        <v>317</v>
      </c>
      <c r="L5" s="154" t="s">
        <v>3281</v>
      </c>
      <c r="M5" s="158">
        <v>0</v>
      </c>
      <c r="N5" s="149">
        <v>0</v>
      </c>
      <c r="O5" s="637">
        <v>1</v>
      </c>
      <c r="P5" s="639">
        <v>1</v>
      </c>
      <c r="Q5" s="639">
        <v>1</v>
      </c>
      <c r="R5" s="639">
        <f t="shared" si="0"/>
        <v>1</v>
      </c>
      <c r="S5" s="276">
        <v>50000000</v>
      </c>
      <c r="T5" s="107">
        <v>50000000</v>
      </c>
      <c r="U5" s="2" t="s">
        <v>3085</v>
      </c>
      <c r="V5" s="100" t="s">
        <v>3279</v>
      </c>
      <c r="W5" s="100"/>
      <c r="X5" s="110">
        <v>0.5</v>
      </c>
      <c r="Y5" s="101">
        <v>0</v>
      </c>
      <c r="Z5" s="2" t="s">
        <v>317</v>
      </c>
      <c r="AA5" s="154" t="s">
        <v>3281</v>
      </c>
      <c r="AB5" s="158"/>
      <c r="AC5" s="149"/>
      <c r="AD5" s="637"/>
      <c r="AE5" s="639">
        <f t="shared" si="1"/>
        <v>0</v>
      </c>
      <c r="AF5" s="277">
        <v>510</v>
      </c>
      <c r="AG5" s="157" t="e">
        <f>+#REF!-#REF!</f>
        <v>#REF!</v>
      </c>
      <c r="AH5" s="183" t="s">
        <v>3348</v>
      </c>
      <c r="AI5" s="307">
        <v>50000000</v>
      </c>
      <c r="AJ5" s="2" t="s">
        <v>3085</v>
      </c>
      <c r="AK5" s="110">
        <v>0.5</v>
      </c>
      <c r="AL5" s="101">
        <v>0</v>
      </c>
      <c r="AM5" s="307">
        <v>50000000</v>
      </c>
      <c r="AN5" s="2" t="s">
        <v>3085</v>
      </c>
      <c r="AO5" s="110">
        <v>0.5</v>
      </c>
      <c r="AP5" s="101">
        <v>0</v>
      </c>
      <c r="AQ5" s="307">
        <v>50000000</v>
      </c>
      <c r="AR5" s="2" t="s">
        <v>3085</v>
      </c>
      <c r="AS5" s="110">
        <v>0.5</v>
      </c>
      <c r="AT5" s="101">
        <v>0</v>
      </c>
      <c r="AU5" s="2" t="s">
        <v>317</v>
      </c>
      <c r="AV5" s="154" t="s">
        <v>3281</v>
      </c>
      <c r="AW5" s="158">
        <f t="shared" ref="AW5:AX8" si="2">+M5+AB5</f>
        <v>0</v>
      </c>
      <c r="AX5" s="149">
        <f t="shared" si="2"/>
        <v>0</v>
      </c>
      <c r="AY5" s="309"/>
    </row>
    <row r="6" spans="1:51" ht="45" customHeight="1" x14ac:dyDescent="0.25">
      <c r="A6" s="1244"/>
      <c r="B6" s="1244"/>
      <c r="C6" s="1244"/>
      <c r="D6" s="1244"/>
      <c r="E6" s="1243" t="s">
        <v>3091</v>
      </c>
      <c r="F6" s="1292" t="s">
        <v>3092</v>
      </c>
      <c r="G6" s="1307">
        <v>75000000</v>
      </c>
      <c r="H6" s="1311" t="s">
        <v>3093</v>
      </c>
      <c r="I6" s="1311" t="s">
        <v>3276</v>
      </c>
      <c r="J6" s="1312">
        <v>0.3</v>
      </c>
      <c r="K6" s="109" t="s">
        <v>156</v>
      </c>
      <c r="L6" s="154" t="s">
        <v>3196</v>
      </c>
      <c r="M6" s="158">
        <v>12500000</v>
      </c>
      <c r="N6" s="149">
        <v>12498800</v>
      </c>
      <c r="O6" s="637">
        <v>0.05</v>
      </c>
      <c r="P6" s="639">
        <f>+O6*J6</f>
        <v>1.4999999999999999E-2</v>
      </c>
      <c r="Q6" s="639">
        <f>+N6/M6</f>
        <v>0.99990400000000002</v>
      </c>
      <c r="R6" s="639">
        <f t="shared" si="0"/>
        <v>1.4998559999999999E-2</v>
      </c>
      <c r="S6" s="1265">
        <v>25000000</v>
      </c>
      <c r="T6" s="1279">
        <v>25000000</v>
      </c>
      <c r="U6" s="1311" t="s">
        <v>3093</v>
      </c>
      <c r="V6" s="1311" t="s">
        <v>3276</v>
      </c>
      <c r="W6" s="627"/>
      <c r="X6" s="1312">
        <v>0.2</v>
      </c>
      <c r="Y6" s="128"/>
      <c r="Z6" s="109" t="s">
        <v>156</v>
      </c>
      <c r="AA6" s="154" t="s">
        <v>3196</v>
      </c>
      <c r="AB6" s="158">
        <v>166536786</v>
      </c>
      <c r="AC6" s="149">
        <v>97035779</v>
      </c>
      <c r="AD6" s="637">
        <v>0.98</v>
      </c>
      <c r="AE6" s="639">
        <f t="shared" si="1"/>
        <v>0.19600000000000001</v>
      </c>
      <c r="AF6" s="277">
        <v>510</v>
      </c>
      <c r="AG6" s="157" t="e">
        <f>+#REF!-#REF!</f>
        <v>#REF!</v>
      </c>
      <c r="AH6" s="355" t="s">
        <v>3349</v>
      </c>
      <c r="AI6" s="1307">
        <v>25000000</v>
      </c>
      <c r="AJ6" s="1311" t="s">
        <v>3093</v>
      </c>
      <c r="AK6" s="1312">
        <v>0.2</v>
      </c>
      <c r="AL6" s="1296"/>
      <c r="AM6" s="1307">
        <v>25000000</v>
      </c>
      <c r="AN6" s="1311" t="s">
        <v>3093</v>
      </c>
      <c r="AO6" s="1312">
        <v>0.2</v>
      </c>
      <c r="AP6" s="1296"/>
      <c r="AQ6" s="1307">
        <v>25000000</v>
      </c>
      <c r="AR6" s="1311" t="s">
        <v>3093</v>
      </c>
      <c r="AS6" s="1312">
        <v>0.2</v>
      </c>
      <c r="AT6" s="1296"/>
      <c r="AU6" s="109" t="s">
        <v>156</v>
      </c>
      <c r="AV6" s="154" t="s">
        <v>3196</v>
      </c>
      <c r="AW6" s="158">
        <f t="shared" si="2"/>
        <v>179036786</v>
      </c>
      <c r="AX6" s="149">
        <f t="shared" si="2"/>
        <v>109534579</v>
      </c>
      <c r="AY6" s="309"/>
    </row>
    <row r="7" spans="1:51" ht="35.25" customHeight="1" x14ac:dyDescent="0.25">
      <c r="A7" s="1244"/>
      <c r="B7" s="1244"/>
      <c r="C7" s="1244"/>
      <c r="D7" s="1244"/>
      <c r="E7" s="1244"/>
      <c r="F7" s="1293"/>
      <c r="G7" s="1308"/>
      <c r="H7" s="1204"/>
      <c r="I7" s="1204"/>
      <c r="J7" s="1313"/>
      <c r="K7" s="111" t="s">
        <v>327</v>
      </c>
      <c r="L7" s="159" t="s">
        <v>3282</v>
      </c>
      <c r="M7" s="168">
        <v>5000000</v>
      </c>
      <c r="N7" s="149">
        <v>0</v>
      </c>
      <c r="O7" s="637">
        <v>0</v>
      </c>
      <c r="P7" s="639">
        <f>+O7*J7</f>
        <v>0</v>
      </c>
      <c r="Q7" s="639">
        <f>+N7/M7</f>
        <v>0</v>
      </c>
      <c r="R7" s="639">
        <f t="shared" si="0"/>
        <v>0</v>
      </c>
      <c r="S7" s="1278"/>
      <c r="T7" s="1280"/>
      <c r="U7" s="1204"/>
      <c r="V7" s="1204"/>
      <c r="W7" s="609"/>
      <c r="X7" s="1313"/>
      <c r="Y7" s="182"/>
      <c r="Z7" s="111" t="s">
        <v>327</v>
      </c>
      <c r="AA7" s="159" t="s">
        <v>3282</v>
      </c>
      <c r="AB7" s="158">
        <v>15000000</v>
      </c>
      <c r="AC7" s="149">
        <v>9030320</v>
      </c>
      <c r="AD7" s="637">
        <v>0.5</v>
      </c>
      <c r="AE7" s="639">
        <f t="shared" si="1"/>
        <v>0</v>
      </c>
      <c r="AF7" s="277">
        <v>510</v>
      </c>
      <c r="AG7" s="157" t="e">
        <f>+#REF!-#REF!</f>
        <v>#REF!</v>
      </c>
      <c r="AH7" s="355" t="s">
        <v>3348</v>
      </c>
      <c r="AI7" s="1308"/>
      <c r="AJ7" s="1204"/>
      <c r="AK7" s="1313"/>
      <c r="AL7" s="1249"/>
      <c r="AM7" s="1308"/>
      <c r="AN7" s="1204"/>
      <c r="AO7" s="1313"/>
      <c r="AP7" s="1249"/>
      <c r="AQ7" s="1308"/>
      <c r="AR7" s="1204"/>
      <c r="AS7" s="1313"/>
      <c r="AT7" s="1249"/>
      <c r="AU7" s="111" t="s">
        <v>327</v>
      </c>
      <c r="AV7" s="159" t="s">
        <v>3282</v>
      </c>
      <c r="AW7" s="158">
        <f t="shared" si="2"/>
        <v>20000000</v>
      </c>
      <c r="AX7" s="149">
        <f t="shared" si="2"/>
        <v>9030320</v>
      </c>
      <c r="AY7" s="309"/>
    </row>
    <row r="8" spans="1:51" ht="28.5" customHeight="1" x14ac:dyDescent="0.25">
      <c r="A8" s="1244"/>
      <c r="B8" s="1244"/>
      <c r="C8" s="1244"/>
      <c r="D8" s="1244"/>
      <c r="E8" s="1244"/>
      <c r="F8" s="1293"/>
      <c r="G8" s="1309"/>
      <c r="H8" s="1210"/>
      <c r="I8" s="1210"/>
      <c r="J8" s="1314"/>
      <c r="K8" s="363" t="s">
        <v>389</v>
      </c>
      <c r="L8" s="171" t="s">
        <v>390</v>
      </c>
      <c r="M8" s="173">
        <v>57394998</v>
      </c>
      <c r="N8" s="149">
        <v>52393600</v>
      </c>
      <c r="O8" s="637">
        <v>1</v>
      </c>
      <c r="P8" s="639">
        <f>+O8*J8</f>
        <v>0</v>
      </c>
      <c r="Q8" s="639">
        <f>+N8/M8</f>
        <v>0.91286003703667695</v>
      </c>
      <c r="R8" s="639">
        <f t="shared" si="0"/>
        <v>0</v>
      </c>
      <c r="S8" s="1485"/>
      <c r="T8" s="1321"/>
      <c r="U8" s="1210"/>
      <c r="V8" s="1210"/>
      <c r="W8" s="612"/>
      <c r="X8" s="1314"/>
      <c r="Y8" s="182"/>
      <c r="Z8" s="363" t="s">
        <v>389</v>
      </c>
      <c r="AA8" s="171" t="s">
        <v>390</v>
      </c>
      <c r="AB8" s="158">
        <v>12240662</v>
      </c>
      <c r="AC8" s="149">
        <v>9657902</v>
      </c>
      <c r="AD8" s="637">
        <v>0.85</v>
      </c>
      <c r="AE8" s="639">
        <f t="shared" si="1"/>
        <v>0</v>
      </c>
      <c r="AF8" s="278">
        <v>510</v>
      </c>
      <c r="AG8" s="232" t="e">
        <f>+#REF!-#REF!</f>
        <v>#REF!</v>
      </c>
      <c r="AH8" s="388" t="s">
        <v>3350</v>
      </c>
      <c r="AI8" s="1309"/>
      <c r="AJ8" s="1210"/>
      <c r="AK8" s="1314"/>
      <c r="AL8" s="1250"/>
      <c r="AM8" s="1309"/>
      <c r="AN8" s="1210"/>
      <c r="AO8" s="1314"/>
      <c r="AP8" s="1250"/>
      <c r="AQ8" s="1309"/>
      <c r="AR8" s="1210"/>
      <c r="AS8" s="1314"/>
      <c r="AT8" s="1250"/>
      <c r="AU8" s="363" t="s">
        <v>389</v>
      </c>
      <c r="AV8" s="171" t="s">
        <v>390</v>
      </c>
      <c r="AW8" s="158">
        <f t="shared" si="2"/>
        <v>69635660</v>
      </c>
      <c r="AX8" s="149">
        <f t="shared" si="2"/>
        <v>62051502</v>
      </c>
      <c r="AY8" s="309"/>
    </row>
    <row r="9" spans="1:51" ht="24.75" customHeight="1" thickBot="1" x14ac:dyDescent="0.3">
      <c r="A9" s="1209" t="s">
        <v>3405</v>
      </c>
      <c r="B9" s="1209"/>
      <c r="C9" s="1209"/>
      <c r="D9" s="1209"/>
      <c r="E9" s="1209"/>
      <c r="F9" s="1207"/>
      <c r="G9" s="310">
        <f>SUM(G4:G8)</f>
        <v>325000000</v>
      </c>
      <c r="H9" s="635"/>
      <c r="I9" s="635"/>
      <c r="J9" s="636">
        <f>AVERAGE(J4:J8)</f>
        <v>0.43333333333333335</v>
      </c>
      <c r="K9" s="1223"/>
      <c r="L9" s="1224"/>
      <c r="M9" s="311">
        <f>SUM(M4:M8)</f>
        <v>87394998</v>
      </c>
      <c r="N9" s="311">
        <f>SUM(N4:N8)</f>
        <v>66963486</v>
      </c>
      <c r="O9" s="641">
        <f>AVERAGE(O4:O8)</f>
        <v>0.47249999999999998</v>
      </c>
      <c r="P9" s="678">
        <f>AVERAGE(P4:P8)</f>
        <v>0.23424999999999999</v>
      </c>
      <c r="Q9" s="677">
        <f>+N9/M9</f>
        <v>0.76621646012280931</v>
      </c>
      <c r="R9" s="640">
        <f t="shared" si="0"/>
        <v>0.17948620578376806</v>
      </c>
      <c r="S9" s="642">
        <f>SUM(S4:S8)</f>
        <v>80000000</v>
      </c>
      <c r="T9" s="315">
        <f>SUM(T4:T8)</f>
        <v>275000000</v>
      </c>
      <c r="U9" s="635"/>
      <c r="V9" s="635"/>
      <c r="W9" s="633"/>
      <c r="X9" s="636">
        <f>AVERAGE(X4:X8)</f>
        <v>0.26666666666666666</v>
      </c>
      <c r="Y9" s="634"/>
      <c r="Z9" s="1223"/>
      <c r="AA9" s="1224"/>
      <c r="AB9" s="311">
        <f>SUM(AB4:AB8)</f>
        <v>198777448</v>
      </c>
      <c r="AC9" s="311">
        <f>SUM(AC4:AC8)</f>
        <v>115724001</v>
      </c>
      <c r="AD9" s="638">
        <f>AVERAGE(AD4:AD8)</f>
        <v>0.83250000000000002</v>
      </c>
      <c r="AE9" s="640">
        <f t="shared" si="1"/>
        <v>0.222</v>
      </c>
      <c r="AF9" s="1208"/>
      <c r="AG9" s="1208"/>
      <c r="AH9" s="1217"/>
      <c r="AI9" s="310">
        <f>SUM(AI4:AI8)</f>
        <v>80000000</v>
      </c>
      <c r="AJ9" s="1223"/>
      <c r="AK9" s="1224"/>
      <c r="AL9" s="1295"/>
      <c r="AM9" s="310">
        <f>SUM(AM4:AM8)</f>
        <v>75000000</v>
      </c>
      <c r="AN9" s="1223"/>
      <c r="AO9" s="1224"/>
      <c r="AP9" s="1295"/>
      <c r="AQ9" s="310">
        <f>SUM(AQ4:AQ8)</f>
        <v>285000000</v>
      </c>
      <c r="AR9" s="1223"/>
      <c r="AS9" s="1224"/>
      <c r="AT9" s="1295"/>
      <c r="AU9" s="1223"/>
      <c r="AV9" s="1224"/>
      <c r="AW9" s="311">
        <f>SUM(AW4:AW8)</f>
        <v>286172446</v>
      </c>
      <c r="AX9" s="311">
        <f>SUM(AX4:AX8)</f>
        <v>182687487</v>
      </c>
      <c r="AY9" s="316"/>
    </row>
    <row r="10" spans="1:51" ht="17.25" customHeight="1" thickTop="1" x14ac:dyDescent="0.25">
      <c r="A10" s="117"/>
      <c r="B10" s="117"/>
      <c r="C10" s="117"/>
      <c r="D10" s="117"/>
      <c r="E10" s="117"/>
      <c r="F10" s="118"/>
      <c r="G10" s="304"/>
      <c r="H10" s="233"/>
      <c r="I10" s="233"/>
      <c r="J10" s="305"/>
      <c r="K10" s="305"/>
      <c r="L10" s="305"/>
      <c r="M10" s="305"/>
      <c r="N10" s="305"/>
      <c r="O10" s="305"/>
      <c r="P10" s="676"/>
      <c r="Q10" s="305"/>
      <c r="R10" s="305"/>
      <c r="S10" s="304"/>
      <c r="T10" s="304"/>
      <c r="U10" s="233"/>
      <c r="V10" s="233"/>
      <c r="W10" s="233"/>
      <c r="X10" s="305"/>
      <c r="Y10" s="313"/>
      <c r="Z10" s="233"/>
      <c r="AA10" s="224"/>
      <c r="AB10" s="225"/>
      <c r="AC10" s="222"/>
      <c r="AD10" s="222"/>
      <c r="AE10" s="222"/>
      <c r="AF10" s="164"/>
      <c r="AG10" s="164"/>
      <c r="AH10" s="185"/>
      <c r="AI10" s="304"/>
      <c r="AJ10" s="233"/>
      <c r="AK10" s="305"/>
      <c r="AL10" s="313"/>
    </row>
    <row r="11" spans="1:51" ht="66.75" customHeight="1" x14ac:dyDescent="0.25">
      <c r="A11" s="1209" t="s">
        <v>3095</v>
      </c>
      <c r="B11" s="1209" t="s">
        <v>648</v>
      </c>
      <c r="C11" s="1209" t="s">
        <v>3097</v>
      </c>
      <c r="D11" s="1209" t="s">
        <v>3197</v>
      </c>
      <c r="E11" s="385" t="s">
        <v>3106</v>
      </c>
      <c r="F11" s="372" t="s">
        <v>3107</v>
      </c>
      <c r="G11" s="383">
        <v>10000000</v>
      </c>
      <c r="H11" s="371" t="s">
        <v>3108</v>
      </c>
      <c r="I11" s="372" t="s">
        <v>3229</v>
      </c>
      <c r="J11" s="371">
        <v>2</v>
      </c>
      <c r="K11" s="371" t="s">
        <v>20</v>
      </c>
      <c r="L11" s="371" t="s">
        <v>3433</v>
      </c>
      <c r="M11" s="168">
        <v>40591374</v>
      </c>
      <c r="N11" s="149">
        <v>27000000</v>
      </c>
      <c r="O11" s="613">
        <v>2</v>
      </c>
      <c r="P11" s="613"/>
      <c r="Q11" s="613"/>
      <c r="R11" s="667"/>
      <c r="S11" s="284">
        <v>15000000</v>
      </c>
      <c r="T11" s="383">
        <v>15000000</v>
      </c>
      <c r="U11" s="371" t="s">
        <v>3108</v>
      </c>
      <c r="V11" s="372" t="s">
        <v>3229</v>
      </c>
      <c r="W11" s="621"/>
      <c r="X11" s="371">
        <v>1</v>
      </c>
      <c r="Y11" s="375">
        <v>0</v>
      </c>
      <c r="Z11" s="371" t="s">
        <v>20</v>
      </c>
      <c r="AA11" s="165" t="s">
        <v>3201</v>
      </c>
      <c r="AB11" s="167">
        <v>0</v>
      </c>
      <c r="AC11" s="149" t="e">
        <f>+#REF!</f>
        <v>#REF!</v>
      </c>
      <c r="AD11" s="149"/>
      <c r="AE11" s="149"/>
      <c r="AF11" s="151">
        <v>520</v>
      </c>
      <c r="AG11" s="157" t="e">
        <f>+#REF!-#REF!</f>
        <v>#REF!</v>
      </c>
      <c r="AH11" s="1227" t="s">
        <v>3352</v>
      </c>
      <c r="AI11" s="383">
        <v>15000000</v>
      </c>
      <c r="AJ11" s="371" t="s">
        <v>3108</v>
      </c>
      <c r="AK11" s="371">
        <v>1</v>
      </c>
      <c r="AL11" s="375">
        <v>0</v>
      </c>
    </row>
    <row r="12" spans="1:51" ht="52.5" customHeight="1" x14ac:dyDescent="0.25">
      <c r="A12" s="1209"/>
      <c r="B12" s="1209"/>
      <c r="C12" s="1209"/>
      <c r="D12" s="1209"/>
      <c r="E12" s="1296" t="s">
        <v>3106</v>
      </c>
      <c r="F12" s="1243" t="s">
        <v>3107</v>
      </c>
      <c r="G12" s="1297"/>
      <c r="H12" s="1243"/>
      <c r="I12" s="1243"/>
      <c r="J12" s="1243"/>
      <c r="K12" s="1293"/>
      <c r="L12" s="1286"/>
      <c r="M12" s="1286"/>
      <c r="N12" s="1286"/>
      <c r="O12" s="1301"/>
      <c r="P12" s="645"/>
      <c r="Q12" s="624"/>
      <c r="R12" s="624"/>
      <c r="S12" s="1265">
        <v>15000000</v>
      </c>
      <c r="T12" s="383"/>
      <c r="U12" s="1243" t="s">
        <v>3108</v>
      </c>
      <c r="V12" s="1243" t="s">
        <v>3432</v>
      </c>
      <c r="W12" s="616"/>
      <c r="X12" s="1243" t="s">
        <v>3434</v>
      </c>
      <c r="Y12" s="377"/>
      <c r="Z12" s="371" t="e">
        <f>+#REF!</f>
        <v>#REF!</v>
      </c>
      <c r="AA12" s="371" t="e">
        <f>+#REF!</f>
        <v>#REF!</v>
      </c>
      <c r="AB12" s="158" t="e">
        <f>+#REF!</f>
        <v>#REF!</v>
      </c>
      <c r="AC12" s="149" t="e">
        <f>+#REF!</f>
        <v>#REF!</v>
      </c>
      <c r="AD12" s="149"/>
      <c r="AE12" s="149"/>
      <c r="AF12" s="151"/>
      <c r="AG12" s="157"/>
      <c r="AH12" s="1228"/>
      <c r="AI12" s="1262">
        <v>15000000</v>
      </c>
      <c r="AJ12" s="1243" t="s">
        <v>3108</v>
      </c>
      <c r="AK12" s="1243" t="s">
        <v>3434</v>
      </c>
      <c r="AL12" s="377"/>
    </row>
    <row r="13" spans="1:51" ht="46.5" customHeight="1" x14ac:dyDescent="0.25">
      <c r="A13" s="1209"/>
      <c r="B13" s="1209"/>
      <c r="C13" s="1209"/>
      <c r="D13" s="1209"/>
      <c r="E13" s="1249"/>
      <c r="F13" s="1244"/>
      <c r="G13" s="1298"/>
      <c r="H13" s="1244"/>
      <c r="I13" s="1244"/>
      <c r="J13" s="1244"/>
      <c r="K13" s="1293"/>
      <c r="L13" s="1286"/>
      <c r="M13" s="1286"/>
      <c r="N13" s="1286"/>
      <c r="O13" s="1301"/>
      <c r="P13" s="645"/>
      <c r="Q13" s="624"/>
      <c r="R13" s="624"/>
      <c r="S13" s="1278"/>
      <c r="T13" s="383"/>
      <c r="U13" s="1244"/>
      <c r="V13" s="1244"/>
      <c r="W13" s="617"/>
      <c r="X13" s="1244"/>
      <c r="Y13" s="377"/>
      <c r="Z13" s="371" t="e">
        <f>+#REF!</f>
        <v>#REF!</v>
      </c>
      <c r="AA13" s="371" t="e">
        <f>+#REF!</f>
        <v>#REF!</v>
      </c>
      <c r="AB13" s="158" t="e">
        <f>+#REF!</f>
        <v>#REF!</v>
      </c>
      <c r="AC13" s="149" t="e">
        <f>+#REF!</f>
        <v>#REF!</v>
      </c>
      <c r="AD13" s="149"/>
      <c r="AE13" s="149"/>
      <c r="AF13" s="151"/>
      <c r="AG13" s="157"/>
      <c r="AH13" s="1228"/>
      <c r="AI13" s="1277"/>
      <c r="AJ13" s="1244"/>
      <c r="AK13" s="1244"/>
      <c r="AL13" s="377"/>
    </row>
    <row r="14" spans="1:51" ht="45" customHeight="1" x14ac:dyDescent="0.25">
      <c r="A14" s="1209"/>
      <c r="B14" s="1209"/>
      <c r="C14" s="1209"/>
      <c r="D14" s="1209"/>
      <c r="E14" s="1249"/>
      <c r="F14" s="1244"/>
      <c r="G14" s="1298"/>
      <c r="H14" s="1244"/>
      <c r="I14" s="1244"/>
      <c r="J14" s="1244"/>
      <c r="K14" s="1293"/>
      <c r="L14" s="1286"/>
      <c r="M14" s="1286"/>
      <c r="N14" s="1286"/>
      <c r="O14" s="1301"/>
      <c r="P14" s="645"/>
      <c r="Q14" s="624"/>
      <c r="R14" s="624"/>
      <c r="S14" s="1278"/>
      <c r="T14" s="383"/>
      <c r="U14" s="1244"/>
      <c r="V14" s="1244"/>
      <c r="W14" s="617"/>
      <c r="X14" s="1244"/>
      <c r="Y14" s="377"/>
      <c r="Z14" s="371" t="e">
        <f>+#REF!</f>
        <v>#REF!</v>
      </c>
      <c r="AA14" s="371" t="e">
        <f>+#REF!</f>
        <v>#REF!</v>
      </c>
      <c r="AB14" s="158" t="e">
        <f>+#REF!</f>
        <v>#REF!</v>
      </c>
      <c r="AC14" s="149" t="e">
        <f>+#REF!</f>
        <v>#REF!</v>
      </c>
      <c r="AD14" s="149"/>
      <c r="AE14" s="149"/>
      <c r="AF14" s="151"/>
      <c r="AG14" s="157"/>
      <c r="AH14" s="1228"/>
      <c r="AI14" s="1277"/>
      <c r="AJ14" s="1244"/>
      <c r="AK14" s="1244"/>
      <c r="AL14" s="377"/>
    </row>
    <row r="15" spans="1:51" ht="52.5" customHeight="1" x14ac:dyDescent="0.25">
      <c r="A15" s="1209"/>
      <c r="B15" s="1209"/>
      <c r="C15" s="1209"/>
      <c r="D15" s="1209"/>
      <c r="E15" s="1249"/>
      <c r="F15" s="1244"/>
      <c r="G15" s="1298"/>
      <c r="H15" s="1244"/>
      <c r="I15" s="1244"/>
      <c r="J15" s="1244"/>
      <c r="K15" s="1293"/>
      <c r="L15" s="1286"/>
      <c r="M15" s="1286"/>
      <c r="N15" s="1286"/>
      <c r="O15" s="1301"/>
      <c r="P15" s="645"/>
      <c r="Q15" s="624"/>
      <c r="R15" s="624"/>
      <c r="S15" s="1278"/>
      <c r="T15" s="383"/>
      <c r="U15" s="1244"/>
      <c r="V15" s="1244"/>
      <c r="W15" s="617"/>
      <c r="X15" s="1244"/>
      <c r="Y15" s="377"/>
      <c r="Z15" s="371" t="e">
        <f>+#REF!</f>
        <v>#REF!</v>
      </c>
      <c r="AA15" s="371" t="e">
        <f>+#REF!</f>
        <v>#REF!</v>
      </c>
      <c r="AB15" s="158" t="e">
        <f>+#REF!</f>
        <v>#REF!</v>
      </c>
      <c r="AC15" s="149" t="e">
        <f>+#REF!</f>
        <v>#REF!</v>
      </c>
      <c r="AD15" s="149"/>
      <c r="AE15" s="149"/>
      <c r="AF15" s="151"/>
      <c r="AG15" s="157"/>
      <c r="AH15" s="1228"/>
      <c r="AI15" s="1277"/>
      <c r="AJ15" s="1244"/>
      <c r="AK15" s="1244"/>
      <c r="AL15" s="377"/>
    </row>
    <row r="16" spans="1:51" ht="56.25" customHeight="1" x14ac:dyDescent="0.25">
      <c r="A16" s="1209"/>
      <c r="B16" s="1209"/>
      <c r="C16" s="1209"/>
      <c r="D16" s="1209"/>
      <c r="E16" s="1249"/>
      <c r="F16" s="1260"/>
      <c r="G16" s="1299"/>
      <c r="H16" s="1260"/>
      <c r="I16" s="1260"/>
      <c r="J16" s="1260"/>
      <c r="K16" s="1294"/>
      <c r="L16" s="1302"/>
      <c r="M16" s="1302"/>
      <c r="N16" s="1302"/>
      <c r="O16" s="1303"/>
      <c r="P16" s="646"/>
      <c r="Q16" s="625"/>
      <c r="R16" s="625"/>
      <c r="S16" s="1484"/>
      <c r="T16" s="383"/>
      <c r="U16" s="1260"/>
      <c r="V16" s="1260"/>
      <c r="W16" s="620"/>
      <c r="X16" s="1260"/>
      <c r="Y16" s="377"/>
      <c r="Z16" s="371" t="e">
        <f>+#REF!</f>
        <v>#REF!</v>
      </c>
      <c r="AA16" s="371" t="e">
        <f>+#REF!</f>
        <v>#REF!</v>
      </c>
      <c r="AB16" s="158" t="e">
        <f>+#REF!</f>
        <v>#REF!</v>
      </c>
      <c r="AC16" s="149" t="e">
        <f>+#REF!</f>
        <v>#REF!</v>
      </c>
      <c r="AD16" s="149"/>
      <c r="AE16" s="149"/>
      <c r="AF16" s="151"/>
      <c r="AG16" s="157"/>
      <c r="AH16" s="1228"/>
      <c r="AI16" s="1300"/>
      <c r="AJ16" s="1260"/>
      <c r="AK16" s="1260"/>
      <c r="AL16" s="377"/>
    </row>
    <row r="17" spans="1:38" ht="75.75" customHeight="1" x14ac:dyDescent="0.25">
      <c r="A17" s="1209"/>
      <c r="B17" s="1209"/>
      <c r="C17" s="1209"/>
      <c r="D17" s="1209"/>
      <c r="E17" s="1209" t="s">
        <v>3099</v>
      </c>
      <c r="F17" s="325" t="s">
        <v>3198</v>
      </c>
      <c r="G17" s="107">
        <v>100000000</v>
      </c>
      <c r="H17" s="2" t="s">
        <v>3104</v>
      </c>
      <c r="I17" s="100" t="s">
        <v>3287</v>
      </c>
      <c r="J17" s="2">
        <v>111</v>
      </c>
      <c r="K17" s="2" t="s">
        <v>18</v>
      </c>
      <c r="L17" s="154" t="s">
        <v>19</v>
      </c>
      <c r="M17" s="113">
        <v>50000000</v>
      </c>
      <c r="N17" s="107">
        <v>0</v>
      </c>
      <c r="O17" s="2">
        <v>72</v>
      </c>
      <c r="P17" s="647"/>
      <c r="Q17" s="668"/>
      <c r="R17" s="668"/>
      <c r="S17" s="276">
        <v>100000000</v>
      </c>
      <c r="T17" s="107">
        <v>100000000</v>
      </c>
      <c r="U17" s="2" t="s">
        <v>3104</v>
      </c>
      <c r="V17" s="100" t="s">
        <v>3287</v>
      </c>
      <c r="W17" s="100"/>
      <c r="X17" s="2">
        <v>111</v>
      </c>
      <c r="Y17" s="104"/>
      <c r="Z17" s="2" t="s">
        <v>18</v>
      </c>
      <c r="AA17" s="154" t="s">
        <v>19</v>
      </c>
      <c r="AB17" s="158" t="e">
        <f>+#REF!</f>
        <v>#REF!</v>
      </c>
      <c r="AC17" s="149" t="e">
        <f>+#REF!</f>
        <v>#REF!</v>
      </c>
      <c r="AD17" s="149"/>
      <c r="AE17" s="149"/>
      <c r="AF17" s="151">
        <v>520</v>
      </c>
      <c r="AG17" s="157" t="e">
        <f>+#REF!-#REF!</f>
        <v>#REF!</v>
      </c>
      <c r="AH17" s="1228"/>
      <c r="AI17" s="107">
        <v>100000000</v>
      </c>
      <c r="AJ17" s="2" t="s">
        <v>3104</v>
      </c>
      <c r="AK17" s="2">
        <v>111</v>
      </c>
      <c r="AL17" s="104"/>
    </row>
    <row r="18" spans="1:38" ht="68.25" customHeight="1" x14ac:dyDescent="0.25">
      <c r="A18" s="1209"/>
      <c r="B18" s="1209"/>
      <c r="C18" s="1209"/>
      <c r="D18" s="1209"/>
      <c r="E18" s="1209"/>
      <c r="F18" s="325" t="s">
        <v>3199</v>
      </c>
      <c r="G18" s="107">
        <v>150000000</v>
      </c>
      <c r="H18" s="2" t="s">
        <v>3285</v>
      </c>
      <c r="I18" s="100" t="s">
        <v>3288</v>
      </c>
      <c r="J18" s="2">
        <v>1</v>
      </c>
      <c r="K18" s="2" t="s">
        <v>22</v>
      </c>
      <c r="L18" s="154" t="s">
        <v>3200</v>
      </c>
      <c r="M18" s="113">
        <v>123281913</v>
      </c>
      <c r="N18" s="107">
        <v>99146583</v>
      </c>
      <c r="O18" s="2">
        <v>1</v>
      </c>
      <c r="P18" s="647"/>
      <c r="Q18" s="668"/>
      <c r="R18" s="668"/>
      <c r="S18" s="276">
        <v>165000000</v>
      </c>
      <c r="T18" s="107">
        <v>165000000</v>
      </c>
      <c r="U18" s="2" t="s">
        <v>3285</v>
      </c>
      <c r="V18" s="100" t="s">
        <v>3288</v>
      </c>
      <c r="W18" s="100"/>
      <c r="X18" s="2">
        <v>1</v>
      </c>
      <c r="Y18" s="104"/>
      <c r="Z18" s="2" t="s">
        <v>22</v>
      </c>
      <c r="AA18" s="154" t="s">
        <v>3200</v>
      </c>
      <c r="AB18" s="158" t="e">
        <f>+#REF!</f>
        <v>#REF!</v>
      </c>
      <c r="AC18" s="149" t="e">
        <f>+#REF!</f>
        <v>#REF!</v>
      </c>
      <c r="AD18" s="149"/>
      <c r="AE18" s="149"/>
      <c r="AF18" s="151">
        <v>520</v>
      </c>
      <c r="AG18" s="157" t="e">
        <f>+#REF!-#REF!</f>
        <v>#REF!</v>
      </c>
      <c r="AH18" s="1228"/>
      <c r="AI18" s="107">
        <v>165000000</v>
      </c>
      <c r="AJ18" s="2" t="s">
        <v>3285</v>
      </c>
      <c r="AK18" s="2">
        <v>1</v>
      </c>
      <c r="AL18" s="104"/>
    </row>
    <row r="19" spans="1:38" ht="84.75" customHeight="1" x14ac:dyDescent="0.25">
      <c r="A19" s="1209"/>
      <c r="B19" s="1209"/>
      <c r="C19" s="1209"/>
      <c r="D19" s="1209"/>
      <c r="E19" s="1209"/>
      <c r="F19" s="326" t="s">
        <v>3290</v>
      </c>
      <c r="G19" s="113">
        <v>25000000</v>
      </c>
      <c r="H19" s="111" t="s">
        <v>3286</v>
      </c>
      <c r="I19" s="112" t="s">
        <v>3228</v>
      </c>
      <c r="J19" s="111">
        <v>5</v>
      </c>
      <c r="K19" s="2" t="s">
        <v>24</v>
      </c>
      <c r="L19" s="159" t="s">
        <v>25</v>
      </c>
      <c r="M19" s="113">
        <v>16000000</v>
      </c>
      <c r="N19" s="107">
        <v>0</v>
      </c>
      <c r="O19" s="111">
        <v>5</v>
      </c>
      <c r="P19" s="648"/>
      <c r="Q19" s="629"/>
      <c r="R19" s="629"/>
      <c r="S19" s="643">
        <v>25000000</v>
      </c>
      <c r="T19" s="113">
        <v>25000000</v>
      </c>
      <c r="U19" s="111" t="s">
        <v>3286</v>
      </c>
      <c r="V19" s="112" t="s">
        <v>3228</v>
      </c>
      <c r="W19" s="112"/>
      <c r="X19" s="111">
        <v>5</v>
      </c>
      <c r="Y19" s="114">
        <v>0</v>
      </c>
      <c r="Z19" s="111" t="s">
        <v>24</v>
      </c>
      <c r="AA19" s="159" t="s">
        <v>25</v>
      </c>
      <c r="AB19" s="158" t="e">
        <f>+#REF!</f>
        <v>#REF!</v>
      </c>
      <c r="AC19" s="149" t="e">
        <f>+#REF!</f>
        <v>#REF!</v>
      </c>
      <c r="AD19" s="149"/>
      <c r="AE19" s="149"/>
      <c r="AF19" s="151">
        <v>520</v>
      </c>
      <c r="AG19" s="157" t="e">
        <f>+#REF!-#REF!</f>
        <v>#REF!</v>
      </c>
      <c r="AH19" s="1228"/>
      <c r="AI19" s="113">
        <v>25000000</v>
      </c>
      <c r="AJ19" s="111" t="s">
        <v>3286</v>
      </c>
      <c r="AK19" s="111">
        <v>5</v>
      </c>
      <c r="AL19" s="114">
        <v>0</v>
      </c>
    </row>
    <row r="20" spans="1:38" ht="68.25" hidden="1" customHeight="1" x14ac:dyDescent="0.25">
      <c r="A20" s="1209"/>
      <c r="B20" s="1209"/>
      <c r="C20" s="1209"/>
      <c r="D20" s="1209"/>
      <c r="E20" s="1209"/>
      <c r="F20" s="325" t="s">
        <v>3198</v>
      </c>
      <c r="G20" s="1304"/>
      <c r="H20" s="1208"/>
      <c r="I20" s="1208"/>
      <c r="J20" s="1208"/>
      <c r="K20" s="1305"/>
      <c r="L20" s="1305"/>
      <c r="M20" s="1305"/>
      <c r="N20" s="1305"/>
      <c r="O20" s="1306"/>
      <c r="P20" s="649"/>
      <c r="Q20" s="626"/>
      <c r="R20" s="626"/>
      <c r="S20" s="1226"/>
      <c r="T20" s="1226"/>
      <c r="U20" s="1226"/>
      <c r="V20" s="1226"/>
      <c r="W20" s="1226"/>
      <c r="X20" s="1226"/>
      <c r="Y20" s="223"/>
      <c r="Z20" s="111" t="s">
        <v>3417</v>
      </c>
      <c r="AA20" s="159" t="e">
        <f>+#REF!</f>
        <v>#REF!</v>
      </c>
      <c r="AB20" s="158" t="e">
        <f>+#REF!</f>
        <v>#REF!</v>
      </c>
      <c r="AC20" s="149">
        <v>13905000</v>
      </c>
      <c r="AD20" s="149"/>
      <c r="AE20" s="149"/>
      <c r="AF20" s="151">
        <v>520</v>
      </c>
      <c r="AG20" s="285"/>
      <c r="AH20" s="1229"/>
      <c r="AI20" s="1225"/>
      <c r="AJ20" s="1226"/>
      <c r="AK20" s="1226"/>
      <c r="AL20" s="223"/>
    </row>
    <row r="21" spans="1:38" ht="30.75" customHeight="1" x14ac:dyDescent="0.25">
      <c r="A21" s="1209" t="s">
        <v>3406</v>
      </c>
      <c r="B21" s="1209"/>
      <c r="C21" s="1209"/>
      <c r="D21" s="1209"/>
      <c r="E21" s="1209"/>
      <c r="F21" s="1209"/>
      <c r="G21" s="380">
        <f>SUM(G11:G19)</f>
        <v>285000000</v>
      </c>
      <c r="H21" s="1207"/>
      <c r="I21" s="1208"/>
      <c r="J21" s="1208"/>
      <c r="K21" s="1207"/>
      <c r="L21" s="1208"/>
      <c r="M21" s="380">
        <f>SUM(M11:M19)</f>
        <v>229873287</v>
      </c>
      <c r="N21" s="380">
        <f>SUM(N11:N19)</f>
        <v>126146583</v>
      </c>
      <c r="O21" s="267"/>
      <c r="P21" s="650"/>
      <c r="Q21" s="267"/>
      <c r="R21" s="267"/>
      <c r="S21" s="644">
        <f>SUM(S12:S19)</f>
        <v>305000000</v>
      </c>
      <c r="T21" s="380">
        <f>SUM(T11:T19)</f>
        <v>305000000</v>
      </c>
      <c r="U21" s="1207"/>
      <c r="V21" s="1208"/>
      <c r="W21" s="1208"/>
      <c r="X21" s="1208"/>
      <c r="Y21" s="1217"/>
      <c r="Z21" s="1207"/>
      <c r="AA21" s="1208"/>
      <c r="AB21" s="133" t="e">
        <f>SUM(AB12:AB20)</f>
        <v>#REF!</v>
      </c>
      <c r="AC21" s="133" t="e">
        <f>SUM(AC12:AC20)</f>
        <v>#REF!</v>
      </c>
      <c r="AD21" s="133"/>
      <c r="AE21" s="216"/>
      <c r="AF21" s="1207"/>
      <c r="AG21" s="1208"/>
      <c r="AH21" s="1217"/>
      <c r="AI21" s="380">
        <f>SUM(AI12:AI19)</f>
        <v>305000000</v>
      </c>
      <c r="AJ21" s="1207"/>
      <c r="AK21" s="1208"/>
      <c r="AL21" s="1217"/>
    </row>
    <row r="22" spans="1:38" ht="15.75" customHeight="1" x14ac:dyDescent="0.25">
      <c r="A22" s="123"/>
      <c r="B22" s="123"/>
      <c r="C22" s="123"/>
      <c r="D22" s="123"/>
      <c r="E22" s="123"/>
      <c r="F22" s="123"/>
      <c r="G22" s="123"/>
      <c r="H22" s="123"/>
      <c r="I22" s="123"/>
      <c r="J22" s="123"/>
      <c r="K22" s="123"/>
      <c r="L22" s="123"/>
      <c r="M22" s="123"/>
      <c r="N22" s="123"/>
      <c r="O22" s="123"/>
      <c r="P22" s="651"/>
      <c r="Q22" s="123"/>
      <c r="R22" s="123"/>
      <c r="S22" s="123"/>
      <c r="T22" s="123"/>
      <c r="U22" s="123"/>
      <c r="V22" s="123"/>
      <c r="W22" s="123"/>
      <c r="X22" s="123"/>
      <c r="Y22" s="123"/>
      <c r="Z22" s="230"/>
      <c r="AA22" s="231"/>
      <c r="AB22" s="231"/>
      <c r="AC22" s="268"/>
      <c r="AD22" s="268"/>
      <c r="AE22" s="268"/>
      <c r="AF22" s="164"/>
      <c r="AG22" s="164"/>
      <c r="AH22" s="185"/>
    </row>
    <row r="23" spans="1:38" ht="51.75" customHeight="1" x14ac:dyDescent="0.25">
      <c r="A23" s="1244" t="s">
        <v>2923</v>
      </c>
      <c r="B23" s="1244" t="s">
        <v>3162</v>
      </c>
      <c r="C23" s="1244" t="s">
        <v>2925</v>
      </c>
      <c r="D23" s="1244" t="s">
        <v>3163</v>
      </c>
      <c r="E23" s="1244" t="s">
        <v>2927</v>
      </c>
      <c r="F23" s="1244" t="s">
        <v>3164</v>
      </c>
      <c r="G23" s="383">
        <v>50000000</v>
      </c>
      <c r="H23" s="371" t="s">
        <v>2929</v>
      </c>
      <c r="I23" s="372" t="s">
        <v>3217</v>
      </c>
      <c r="J23" s="371">
        <v>2</v>
      </c>
      <c r="K23" s="371" t="s">
        <v>42</v>
      </c>
      <c r="L23" s="165" t="s">
        <v>3165</v>
      </c>
      <c r="M23" s="113">
        <v>160000000</v>
      </c>
      <c r="N23" s="113">
        <v>106971735</v>
      </c>
      <c r="O23" s="371">
        <v>1</v>
      </c>
      <c r="P23" s="652"/>
      <c r="Q23" s="625"/>
      <c r="R23" s="625"/>
      <c r="S23" s="284">
        <v>50000000</v>
      </c>
      <c r="T23" s="383">
        <v>200000000</v>
      </c>
      <c r="U23" s="371" t="s">
        <v>2929</v>
      </c>
      <c r="V23" s="372" t="s">
        <v>3217</v>
      </c>
      <c r="W23" s="621"/>
      <c r="X23" s="371">
        <v>2</v>
      </c>
      <c r="Y23" s="375">
        <v>0</v>
      </c>
      <c r="Z23" s="371" t="s">
        <v>42</v>
      </c>
      <c r="AA23" s="165" t="s">
        <v>3165</v>
      </c>
      <c r="AB23" s="167" t="e">
        <f>+#REF!</f>
        <v>#REF!</v>
      </c>
      <c r="AC23" s="149" t="e">
        <f>+#REF!</f>
        <v>#REF!</v>
      </c>
      <c r="AD23" s="149"/>
      <c r="AE23" s="149"/>
      <c r="AF23" s="151">
        <v>510</v>
      </c>
      <c r="AG23" s="157" t="e">
        <f>+#REF!-#REF!</f>
        <v>#REF!</v>
      </c>
      <c r="AH23" s="1287" t="s">
        <v>3351</v>
      </c>
    </row>
    <row r="24" spans="1:38" ht="57" customHeight="1" x14ac:dyDescent="0.25">
      <c r="A24" s="1244"/>
      <c r="B24" s="1244"/>
      <c r="C24" s="1244"/>
      <c r="D24" s="1244"/>
      <c r="E24" s="1260"/>
      <c r="F24" s="1260"/>
      <c r="G24" s="383">
        <v>30000000</v>
      </c>
      <c r="H24" s="2" t="s">
        <v>2933</v>
      </c>
      <c r="I24" s="100" t="s">
        <v>3218</v>
      </c>
      <c r="J24" s="2">
        <v>0</v>
      </c>
      <c r="K24" s="2" t="s">
        <v>54</v>
      </c>
      <c r="L24" s="154" t="s">
        <v>3166</v>
      </c>
      <c r="M24" s="113">
        <v>30000000</v>
      </c>
      <c r="N24" s="113">
        <v>9943857</v>
      </c>
      <c r="O24" s="2">
        <v>0</v>
      </c>
      <c r="P24" s="647"/>
      <c r="Q24" s="668"/>
      <c r="R24" s="668"/>
      <c r="S24" s="106">
        <v>0</v>
      </c>
      <c r="T24" s="101">
        <v>0</v>
      </c>
      <c r="U24" s="2" t="s">
        <v>2933</v>
      </c>
      <c r="V24" s="100" t="s">
        <v>3218</v>
      </c>
      <c r="W24" s="100"/>
      <c r="X24" s="2">
        <v>0</v>
      </c>
      <c r="Y24" s="101">
        <v>0</v>
      </c>
      <c r="Z24" s="2" t="s">
        <v>54</v>
      </c>
      <c r="AA24" s="154" t="s">
        <v>3166</v>
      </c>
      <c r="AB24" s="167" t="e">
        <f>+#REF!</f>
        <v>#REF!</v>
      </c>
      <c r="AC24" s="149" t="e">
        <f>+#REF!</f>
        <v>#REF!</v>
      </c>
      <c r="AD24" s="283"/>
      <c r="AE24" s="283"/>
      <c r="AF24" s="151">
        <v>510</v>
      </c>
      <c r="AG24" s="157" t="e">
        <f>+#REF!-#REF!</f>
        <v>#REF!</v>
      </c>
      <c r="AH24" s="1288"/>
    </row>
    <row r="25" spans="1:38" ht="57" customHeight="1" x14ac:dyDescent="0.25">
      <c r="A25" s="1244"/>
      <c r="B25" s="1244"/>
      <c r="C25" s="1244"/>
      <c r="D25" s="1244"/>
      <c r="E25" s="2" t="s">
        <v>2935</v>
      </c>
      <c r="F25" s="100" t="s">
        <v>3167</v>
      </c>
      <c r="G25" s="107">
        <v>20000000</v>
      </c>
      <c r="H25" s="2" t="s">
        <v>2937</v>
      </c>
      <c r="I25" s="100" t="s">
        <v>3219</v>
      </c>
      <c r="J25" s="2">
        <v>2</v>
      </c>
      <c r="K25" s="2" t="s">
        <v>48</v>
      </c>
      <c r="L25" s="154" t="s">
        <v>3168</v>
      </c>
      <c r="M25" s="113">
        <v>0</v>
      </c>
      <c r="N25" s="113">
        <v>0</v>
      </c>
      <c r="O25" s="2">
        <v>0</v>
      </c>
      <c r="P25" s="647"/>
      <c r="Q25" s="668"/>
      <c r="R25" s="668"/>
      <c r="S25" s="276">
        <v>20000000</v>
      </c>
      <c r="T25" s="107">
        <v>20000000</v>
      </c>
      <c r="U25" s="2" t="s">
        <v>2937</v>
      </c>
      <c r="V25" s="100" t="s">
        <v>3219</v>
      </c>
      <c r="W25" s="100"/>
      <c r="X25" s="2">
        <v>2</v>
      </c>
      <c r="Y25" s="101">
        <v>0</v>
      </c>
      <c r="Z25" s="2" t="s">
        <v>48</v>
      </c>
      <c r="AA25" s="154" t="s">
        <v>3168</v>
      </c>
      <c r="AB25" s="167" t="e">
        <f>+#REF!</f>
        <v>#REF!</v>
      </c>
      <c r="AC25" s="149" t="e">
        <f>+#REF!</f>
        <v>#REF!</v>
      </c>
      <c r="AD25" s="149"/>
      <c r="AE25" s="149"/>
      <c r="AF25" s="151">
        <v>510</v>
      </c>
      <c r="AG25" s="157" t="e">
        <f>+#REF!-#REF!</f>
        <v>#REF!</v>
      </c>
      <c r="AH25" s="1289"/>
    </row>
    <row r="26" spans="1:38" ht="57" customHeight="1" x14ac:dyDescent="0.25">
      <c r="A26" s="1260"/>
      <c r="B26" s="1260"/>
      <c r="C26" s="1260"/>
      <c r="D26" s="1260"/>
      <c r="E26" s="2" t="s">
        <v>2939</v>
      </c>
      <c r="F26" s="100" t="s">
        <v>3169</v>
      </c>
      <c r="G26" s="107">
        <v>40000000</v>
      </c>
      <c r="H26" s="2" t="s">
        <v>2940</v>
      </c>
      <c r="I26" s="100" t="s">
        <v>3220</v>
      </c>
      <c r="J26" s="2">
        <v>1</v>
      </c>
      <c r="K26" s="2" t="s">
        <v>358</v>
      </c>
      <c r="L26" s="154" t="s">
        <v>3169</v>
      </c>
      <c r="M26" s="113">
        <v>31500000</v>
      </c>
      <c r="N26" s="113">
        <v>5050000</v>
      </c>
      <c r="O26" s="2">
        <v>0</v>
      </c>
      <c r="P26" s="647"/>
      <c r="Q26" s="668"/>
      <c r="R26" s="668"/>
      <c r="S26" s="276">
        <v>40000000</v>
      </c>
      <c r="T26" s="107">
        <v>40000000</v>
      </c>
      <c r="U26" s="2" t="s">
        <v>2940</v>
      </c>
      <c r="V26" s="100" t="s">
        <v>3220</v>
      </c>
      <c r="W26" s="100"/>
      <c r="X26" s="2">
        <v>1</v>
      </c>
      <c r="Y26" s="101">
        <v>0</v>
      </c>
      <c r="Z26" s="2" t="s">
        <v>358</v>
      </c>
      <c r="AA26" s="154" t="s">
        <v>3169</v>
      </c>
      <c r="AB26" s="167" t="e">
        <f>+#REF!</f>
        <v>#REF!</v>
      </c>
      <c r="AC26" s="149" t="e">
        <f>+#REF!</f>
        <v>#REF!</v>
      </c>
      <c r="AD26" s="149"/>
      <c r="AE26" s="149"/>
      <c r="AF26" s="151">
        <v>510</v>
      </c>
      <c r="AG26" s="157" t="e">
        <f>+#REF!-#REF!</f>
        <v>#REF!</v>
      </c>
      <c r="AH26" s="355" t="s">
        <v>3353</v>
      </c>
    </row>
    <row r="27" spans="1:38" ht="51" x14ac:dyDescent="0.25">
      <c r="A27" s="1243" t="s">
        <v>2923</v>
      </c>
      <c r="B27" s="1243" t="s">
        <v>3162</v>
      </c>
      <c r="C27" s="1243" t="s">
        <v>3003</v>
      </c>
      <c r="D27" s="1243" t="s">
        <v>3184</v>
      </c>
      <c r="E27" s="2" t="s">
        <v>3005</v>
      </c>
      <c r="F27" s="100" t="s">
        <v>3293</v>
      </c>
      <c r="G27" s="107">
        <v>10000000</v>
      </c>
      <c r="H27" s="2" t="s">
        <v>3007</v>
      </c>
      <c r="I27" s="100" t="s">
        <v>3239</v>
      </c>
      <c r="J27" s="2">
        <v>2</v>
      </c>
      <c r="K27" s="2" t="s">
        <v>368</v>
      </c>
      <c r="L27" s="154" t="s">
        <v>3238</v>
      </c>
      <c r="M27" s="113">
        <v>21500000</v>
      </c>
      <c r="N27" s="113">
        <v>18249832</v>
      </c>
      <c r="O27" s="334" t="s">
        <v>3440</v>
      </c>
      <c r="P27" s="653"/>
      <c r="Q27" s="669"/>
      <c r="R27" s="669"/>
      <c r="S27" s="276">
        <v>20000000</v>
      </c>
      <c r="T27" s="107">
        <v>20000000</v>
      </c>
      <c r="U27" s="2" t="s">
        <v>3007</v>
      </c>
      <c r="V27" s="100" t="s">
        <v>3239</v>
      </c>
      <c r="W27" s="100"/>
      <c r="X27" s="2">
        <v>2</v>
      </c>
      <c r="Y27" s="101">
        <v>0</v>
      </c>
      <c r="Z27" s="2" t="s">
        <v>368</v>
      </c>
      <c r="AA27" s="154" t="s">
        <v>3238</v>
      </c>
      <c r="AB27" s="167" t="e">
        <f>+#REF!</f>
        <v>#REF!</v>
      </c>
      <c r="AC27" s="149" t="e">
        <f>+#REF!</f>
        <v>#REF!</v>
      </c>
      <c r="AD27" s="149"/>
      <c r="AE27" s="149"/>
      <c r="AF27" s="151">
        <v>510</v>
      </c>
      <c r="AG27" s="157" t="e">
        <f>+#REF!-#REF!</f>
        <v>#REF!</v>
      </c>
      <c r="AH27" s="355" t="s">
        <v>3353</v>
      </c>
    </row>
    <row r="28" spans="1:38" ht="51" x14ac:dyDescent="0.25">
      <c r="A28" s="1244"/>
      <c r="B28" s="1244"/>
      <c r="C28" s="1244"/>
      <c r="D28" s="1244"/>
      <c r="E28" s="1243" t="s">
        <v>3018</v>
      </c>
      <c r="F28" s="1243" t="s">
        <v>3292</v>
      </c>
      <c r="G28" s="107">
        <v>10000000</v>
      </c>
      <c r="H28" s="2" t="s">
        <v>3020</v>
      </c>
      <c r="I28" s="100" t="s">
        <v>3295</v>
      </c>
      <c r="J28" s="2">
        <v>1</v>
      </c>
      <c r="K28" s="2" t="s">
        <v>46</v>
      </c>
      <c r="L28" s="154" t="s">
        <v>3186</v>
      </c>
      <c r="M28" s="113">
        <v>0</v>
      </c>
      <c r="N28" s="113">
        <v>0</v>
      </c>
      <c r="O28" s="2">
        <v>0</v>
      </c>
      <c r="P28" s="647"/>
      <c r="Q28" s="668"/>
      <c r="R28" s="668"/>
      <c r="S28" s="276">
        <v>10000000</v>
      </c>
      <c r="T28" s="107">
        <v>10000000</v>
      </c>
      <c r="U28" s="2" t="s">
        <v>3020</v>
      </c>
      <c r="V28" s="100" t="s">
        <v>3295</v>
      </c>
      <c r="W28" s="100"/>
      <c r="X28" s="2">
        <v>1</v>
      </c>
      <c r="Y28" s="101">
        <v>0</v>
      </c>
      <c r="Z28" s="2" t="s">
        <v>46</v>
      </c>
      <c r="AA28" s="154" t="s">
        <v>3186</v>
      </c>
      <c r="AB28" s="167" t="e">
        <f>+#REF!</f>
        <v>#REF!</v>
      </c>
      <c r="AC28" s="149" t="e">
        <f>+#REF!</f>
        <v>#REF!</v>
      </c>
      <c r="AD28" s="149"/>
      <c r="AE28" s="149"/>
      <c r="AF28" s="151">
        <v>510</v>
      </c>
      <c r="AG28" s="157" t="e">
        <f>+#REF!-#REF!</f>
        <v>#REF!</v>
      </c>
      <c r="AH28" s="1287" t="s">
        <v>3351</v>
      </c>
    </row>
    <row r="29" spans="1:38" ht="63.75" x14ac:dyDescent="0.25">
      <c r="A29" s="1244"/>
      <c r="B29" s="1244"/>
      <c r="C29" s="1244"/>
      <c r="D29" s="1244"/>
      <c r="E29" s="1244"/>
      <c r="F29" s="1244"/>
      <c r="G29" s="107">
        <v>40000000</v>
      </c>
      <c r="H29" s="2" t="s">
        <v>3023</v>
      </c>
      <c r="I29" s="100" t="s">
        <v>3294</v>
      </c>
      <c r="J29" s="2">
        <v>2</v>
      </c>
      <c r="K29" s="2" t="s">
        <v>52</v>
      </c>
      <c r="L29" s="154" t="s">
        <v>3291</v>
      </c>
      <c r="M29" s="113">
        <v>33841485</v>
      </c>
      <c r="N29" s="113">
        <v>33322108</v>
      </c>
      <c r="O29" s="2">
        <v>2</v>
      </c>
      <c r="P29" s="647"/>
      <c r="Q29" s="668"/>
      <c r="R29" s="668"/>
      <c r="S29" s="276">
        <v>80000000</v>
      </c>
      <c r="T29" s="107">
        <v>80000000</v>
      </c>
      <c r="U29" s="2" t="s">
        <v>3023</v>
      </c>
      <c r="V29" s="100" t="s">
        <v>3294</v>
      </c>
      <c r="W29" s="100"/>
      <c r="X29" s="2">
        <v>2</v>
      </c>
      <c r="Y29" s="101">
        <v>0</v>
      </c>
      <c r="Z29" s="2" t="s">
        <v>52</v>
      </c>
      <c r="AA29" s="154" t="s">
        <v>3291</v>
      </c>
      <c r="AB29" s="167" t="e">
        <f>+#REF!</f>
        <v>#REF!</v>
      </c>
      <c r="AC29" s="149" t="e">
        <f>+#REF!</f>
        <v>#REF!</v>
      </c>
      <c r="AD29" s="149"/>
      <c r="AE29" s="149"/>
      <c r="AF29" s="151">
        <v>510</v>
      </c>
      <c r="AG29" s="157" t="e">
        <f>+#REF!-#REF!</f>
        <v>#REF!</v>
      </c>
      <c r="AH29" s="1289"/>
    </row>
    <row r="30" spans="1:38" ht="63.75" x14ac:dyDescent="0.25">
      <c r="A30" s="1244"/>
      <c r="B30" s="1244"/>
      <c r="C30" s="1244"/>
      <c r="D30" s="1244"/>
      <c r="E30" s="1260"/>
      <c r="F30" s="1260"/>
      <c r="G30" s="107">
        <v>0</v>
      </c>
      <c r="H30" s="363" t="s">
        <v>3289</v>
      </c>
      <c r="I30" s="365" t="s">
        <v>3274</v>
      </c>
      <c r="J30" s="363">
        <v>7</v>
      </c>
      <c r="K30" s="2" t="s">
        <v>370</v>
      </c>
      <c r="L30" s="154" t="s">
        <v>3187</v>
      </c>
      <c r="M30" s="113">
        <v>0</v>
      </c>
      <c r="N30" s="113">
        <v>0</v>
      </c>
      <c r="O30" s="363">
        <v>0</v>
      </c>
      <c r="P30" s="654"/>
      <c r="Q30" s="623"/>
      <c r="R30" s="623"/>
      <c r="S30" s="276">
        <v>21000000</v>
      </c>
      <c r="T30" s="107">
        <v>21000000</v>
      </c>
      <c r="U30" s="363" t="s">
        <v>3289</v>
      </c>
      <c r="V30" s="365" t="s">
        <v>3274</v>
      </c>
      <c r="W30" s="618"/>
      <c r="X30" s="363">
        <v>7</v>
      </c>
      <c r="Y30" s="101">
        <v>0</v>
      </c>
      <c r="Z30" s="2" t="s">
        <v>370</v>
      </c>
      <c r="AA30" s="154" t="s">
        <v>3187</v>
      </c>
      <c r="AB30" s="167" t="e">
        <f>+#REF!</f>
        <v>#REF!</v>
      </c>
      <c r="AC30" s="149" t="e">
        <f>+#REF!</f>
        <v>#REF!</v>
      </c>
      <c r="AD30" s="149"/>
      <c r="AE30" s="149"/>
      <c r="AF30" s="151">
        <v>510</v>
      </c>
      <c r="AG30" s="157" t="e">
        <f>+#REF!-#REF!</f>
        <v>#REF!</v>
      </c>
      <c r="AH30" s="355" t="s">
        <v>3353</v>
      </c>
    </row>
    <row r="31" spans="1:38" ht="115.5" customHeight="1" x14ac:dyDescent="0.25">
      <c r="A31" s="1244"/>
      <c r="B31" s="1244"/>
      <c r="C31" s="1244"/>
      <c r="D31" s="1244"/>
      <c r="E31" s="2" t="s">
        <v>3014</v>
      </c>
      <c r="F31" s="100" t="s">
        <v>3299</v>
      </c>
      <c r="G31" s="107">
        <v>10000000</v>
      </c>
      <c r="H31" s="2" t="s">
        <v>3016</v>
      </c>
      <c r="I31" s="100" t="s">
        <v>3225</v>
      </c>
      <c r="J31" s="2">
        <v>20</v>
      </c>
      <c r="K31" s="2" t="s">
        <v>16</v>
      </c>
      <c r="L31" s="154" t="s">
        <v>3147</v>
      </c>
      <c r="M31" s="113">
        <v>10000000</v>
      </c>
      <c r="N31" s="113">
        <v>10000000</v>
      </c>
      <c r="O31" s="2">
        <v>0</v>
      </c>
      <c r="P31" s="647"/>
      <c r="Q31" s="668"/>
      <c r="R31" s="668"/>
      <c r="S31" s="276">
        <v>10000000</v>
      </c>
      <c r="T31" s="107">
        <v>10000000</v>
      </c>
      <c r="U31" s="2" t="s">
        <v>3016</v>
      </c>
      <c r="V31" s="100" t="s">
        <v>3225</v>
      </c>
      <c r="W31" s="100"/>
      <c r="X31" s="2">
        <v>20</v>
      </c>
      <c r="Y31" s="101">
        <v>0</v>
      </c>
      <c r="Z31" s="2" t="s">
        <v>16</v>
      </c>
      <c r="AA31" s="154" t="s">
        <v>3147</v>
      </c>
      <c r="AB31" s="167" t="e">
        <f>+#REF!</f>
        <v>#REF!</v>
      </c>
      <c r="AC31" s="149" t="e">
        <f>+#REF!</f>
        <v>#REF!</v>
      </c>
      <c r="AD31" s="149"/>
      <c r="AE31" s="149"/>
      <c r="AF31" s="151">
        <v>310</v>
      </c>
      <c r="AG31" s="157" t="e">
        <f>+#REF!-#REF!</f>
        <v>#REF!</v>
      </c>
      <c r="AH31" s="183" t="s">
        <v>3354</v>
      </c>
    </row>
    <row r="32" spans="1:38" ht="57" customHeight="1" x14ac:dyDescent="0.25">
      <c r="A32" s="1260"/>
      <c r="B32" s="1260"/>
      <c r="C32" s="1260"/>
      <c r="D32" s="1260"/>
      <c r="E32" s="2" t="s">
        <v>3009</v>
      </c>
      <c r="F32" s="100" t="s">
        <v>3185</v>
      </c>
      <c r="G32" s="107">
        <v>150000000</v>
      </c>
      <c r="H32" s="2" t="s">
        <v>3011</v>
      </c>
      <c r="I32" s="100" t="s">
        <v>3224</v>
      </c>
      <c r="J32" s="2">
        <v>75</v>
      </c>
      <c r="K32" s="2" t="s">
        <v>356</v>
      </c>
      <c r="L32" s="154" t="s">
        <v>3146</v>
      </c>
      <c r="M32" s="113">
        <v>125661371</v>
      </c>
      <c r="N32" s="113">
        <v>108027639</v>
      </c>
      <c r="O32" s="363">
        <f>+ROUND(N32/600000,0)</f>
        <v>180</v>
      </c>
      <c r="P32" s="654"/>
      <c r="Q32" s="623"/>
      <c r="R32" s="623"/>
      <c r="S32" s="276">
        <v>250000000</v>
      </c>
      <c r="T32" s="107">
        <v>250000000</v>
      </c>
      <c r="U32" s="2" t="s">
        <v>3011</v>
      </c>
      <c r="V32" s="100" t="s">
        <v>3224</v>
      </c>
      <c r="W32" s="100"/>
      <c r="X32" s="2">
        <v>75</v>
      </c>
      <c r="Y32" s="101">
        <v>0</v>
      </c>
      <c r="Z32" s="2" t="s">
        <v>356</v>
      </c>
      <c r="AA32" s="154" t="s">
        <v>3146</v>
      </c>
      <c r="AB32" s="167" t="e">
        <f>+#REF!</f>
        <v>#REF!</v>
      </c>
      <c r="AC32" s="149" t="e">
        <f>+#REF!</f>
        <v>#REF!</v>
      </c>
      <c r="AD32" s="149"/>
      <c r="AE32" s="631"/>
      <c r="AF32" s="152">
        <v>310</v>
      </c>
      <c r="AG32" s="157" t="e">
        <f>+#REF!-#REF!</f>
        <v>#REF!</v>
      </c>
      <c r="AH32" s="355" t="s">
        <v>3353</v>
      </c>
    </row>
    <row r="33" spans="1:34" ht="39.75" customHeight="1" x14ac:dyDescent="0.25">
      <c r="A33" s="1243" t="s">
        <v>2923</v>
      </c>
      <c r="B33" s="1245" t="s">
        <v>3162</v>
      </c>
      <c r="C33" s="1243" t="s">
        <v>2943</v>
      </c>
      <c r="D33" s="1245" t="s">
        <v>3170</v>
      </c>
      <c r="E33" s="1243" t="s">
        <v>2961</v>
      </c>
      <c r="F33" s="1245" t="s">
        <v>3177</v>
      </c>
      <c r="G33" s="1262">
        <v>900000000</v>
      </c>
      <c r="H33" s="1209" t="s">
        <v>2964</v>
      </c>
      <c r="I33" s="1209" t="s">
        <v>3221</v>
      </c>
      <c r="J33" s="1209">
        <v>9</v>
      </c>
      <c r="K33" s="2" t="s">
        <v>134</v>
      </c>
      <c r="L33" s="154" t="s">
        <v>129</v>
      </c>
      <c r="M33" s="113">
        <v>34000000</v>
      </c>
      <c r="N33" s="113">
        <v>27947548</v>
      </c>
      <c r="O33" s="359" t="s">
        <v>3435</v>
      </c>
      <c r="P33" s="645"/>
      <c r="Q33" s="624"/>
      <c r="R33" s="624"/>
      <c r="S33" s="1265">
        <v>900000000</v>
      </c>
      <c r="T33" s="1268">
        <v>900000000</v>
      </c>
      <c r="U33" s="1209" t="s">
        <v>2964</v>
      </c>
      <c r="V33" s="1209" t="s">
        <v>3221</v>
      </c>
      <c r="W33" s="611"/>
      <c r="X33" s="1209">
        <v>9</v>
      </c>
      <c r="Y33" s="106">
        <v>0</v>
      </c>
      <c r="Z33" s="2" t="s">
        <v>134</v>
      </c>
      <c r="AA33" s="154" t="s">
        <v>129</v>
      </c>
      <c r="AB33" s="167" t="e">
        <f>+#REF!</f>
        <v>#REF!</v>
      </c>
      <c r="AC33" s="149" t="e">
        <f>+#REF!</f>
        <v>#REF!</v>
      </c>
      <c r="AD33" s="149"/>
      <c r="AE33" s="149"/>
      <c r="AF33" s="151">
        <v>310</v>
      </c>
      <c r="AG33" s="157" t="e">
        <f>+#REF!-#REF!</f>
        <v>#REF!</v>
      </c>
      <c r="AH33" s="355" t="s">
        <v>3355</v>
      </c>
    </row>
    <row r="34" spans="1:34" ht="25.5" x14ac:dyDescent="0.25">
      <c r="A34" s="1244"/>
      <c r="B34" s="1246"/>
      <c r="C34" s="1244"/>
      <c r="D34" s="1246"/>
      <c r="E34" s="1244"/>
      <c r="F34" s="1246"/>
      <c r="G34" s="1277"/>
      <c r="H34" s="1209"/>
      <c r="I34" s="1209"/>
      <c r="J34" s="1209"/>
      <c r="K34" s="2" t="s">
        <v>163</v>
      </c>
      <c r="L34" s="154" t="s">
        <v>158</v>
      </c>
      <c r="M34" s="113">
        <v>0</v>
      </c>
      <c r="N34" s="113">
        <v>0</v>
      </c>
      <c r="O34" s="359">
        <v>0</v>
      </c>
      <c r="P34" s="645"/>
      <c r="Q34" s="624"/>
      <c r="R34" s="624"/>
      <c r="S34" s="1278"/>
      <c r="T34" s="1284"/>
      <c r="U34" s="1209"/>
      <c r="V34" s="1209"/>
      <c r="W34" s="611"/>
      <c r="X34" s="1209"/>
      <c r="Y34" s="376"/>
      <c r="Z34" s="2" t="s">
        <v>163</v>
      </c>
      <c r="AA34" s="154" t="s">
        <v>158</v>
      </c>
      <c r="AB34" s="167" t="e">
        <f>+#REF!</f>
        <v>#REF!</v>
      </c>
      <c r="AC34" s="149" t="e">
        <f>+#REF!</f>
        <v>#REF!</v>
      </c>
      <c r="AD34" s="149"/>
      <c r="AE34" s="149"/>
      <c r="AF34" s="151">
        <v>310</v>
      </c>
      <c r="AG34" s="157" t="e">
        <f>+#REF!-#REF!</f>
        <v>#REF!</v>
      </c>
      <c r="AH34" s="355" t="s">
        <v>3355</v>
      </c>
    </row>
    <row r="35" spans="1:34" ht="51" x14ac:dyDescent="0.25">
      <c r="A35" s="1244"/>
      <c r="B35" s="1246"/>
      <c r="C35" s="1244"/>
      <c r="D35" s="1246"/>
      <c r="E35" s="1244"/>
      <c r="F35" s="1246"/>
      <c r="G35" s="1277"/>
      <c r="H35" s="1209"/>
      <c r="I35" s="1209"/>
      <c r="J35" s="1209"/>
      <c r="K35" s="2" t="s">
        <v>153</v>
      </c>
      <c r="L35" s="154" t="s">
        <v>148</v>
      </c>
      <c r="M35" s="113">
        <v>42935553</v>
      </c>
      <c r="N35" s="113">
        <v>38179008</v>
      </c>
      <c r="O35" s="359" t="s">
        <v>3436</v>
      </c>
      <c r="P35" s="645"/>
      <c r="Q35" s="624"/>
      <c r="R35" s="624"/>
      <c r="S35" s="1278"/>
      <c r="T35" s="1284"/>
      <c r="U35" s="1209"/>
      <c r="V35" s="1209"/>
      <c r="W35" s="611"/>
      <c r="X35" s="1209"/>
      <c r="Y35" s="376"/>
      <c r="Z35" s="2" t="s">
        <v>153</v>
      </c>
      <c r="AA35" s="154" t="s">
        <v>148</v>
      </c>
      <c r="AB35" s="167" t="e">
        <f>+#REF!</f>
        <v>#REF!</v>
      </c>
      <c r="AC35" s="149" t="e">
        <f>+#REF!</f>
        <v>#REF!</v>
      </c>
      <c r="AD35" s="149"/>
      <c r="AE35" s="149"/>
      <c r="AF35" s="151">
        <v>310</v>
      </c>
      <c r="AG35" s="157" t="e">
        <f>+#REF!-#REF!</f>
        <v>#REF!</v>
      </c>
      <c r="AH35" s="355" t="s">
        <v>3355</v>
      </c>
    </row>
    <row r="36" spans="1:34" ht="38.25" x14ac:dyDescent="0.25">
      <c r="A36" s="1244"/>
      <c r="B36" s="1246"/>
      <c r="C36" s="1244"/>
      <c r="D36" s="1246"/>
      <c r="E36" s="1244"/>
      <c r="F36" s="1246"/>
      <c r="G36" s="1277"/>
      <c r="H36" s="1209"/>
      <c r="I36" s="1209"/>
      <c r="J36" s="1209"/>
      <c r="K36" s="2" t="s">
        <v>141</v>
      </c>
      <c r="L36" s="154" t="s">
        <v>136</v>
      </c>
      <c r="M36" s="113">
        <v>0</v>
      </c>
      <c r="N36" s="113">
        <v>0</v>
      </c>
      <c r="O36" s="359">
        <v>0</v>
      </c>
      <c r="P36" s="645"/>
      <c r="Q36" s="624"/>
      <c r="R36" s="624"/>
      <c r="S36" s="1278"/>
      <c r="T36" s="1284"/>
      <c r="U36" s="1209"/>
      <c r="V36" s="1209"/>
      <c r="W36" s="611"/>
      <c r="X36" s="1209"/>
      <c r="Y36" s="376"/>
      <c r="Z36" s="2" t="s">
        <v>141</v>
      </c>
      <c r="AA36" s="154" t="s">
        <v>136</v>
      </c>
      <c r="AB36" s="167" t="e">
        <f>+#REF!</f>
        <v>#REF!</v>
      </c>
      <c r="AC36" s="149" t="e">
        <f>+#REF!</f>
        <v>#REF!</v>
      </c>
      <c r="AD36" s="149"/>
      <c r="AE36" s="149"/>
      <c r="AF36" s="151">
        <v>310</v>
      </c>
      <c r="AG36" s="157" t="e">
        <f>+#REF!-#REF!</f>
        <v>#REF!</v>
      </c>
      <c r="AH36" s="355" t="s">
        <v>3355</v>
      </c>
    </row>
    <row r="37" spans="1:34" ht="38.25" x14ac:dyDescent="0.25">
      <c r="A37" s="1244"/>
      <c r="B37" s="1246"/>
      <c r="C37" s="1244"/>
      <c r="D37" s="1246"/>
      <c r="E37" s="1244"/>
      <c r="F37" s="1246"/>
      <c r="G37" s="1277"/>
      <c r="H37" s="1209"/>
      <c r="I37" s="1209"/>
      <c r="J37" s="1209"/>
      <c r="K37" s="2" t="s">
        <v>171</v>
      </c>
      <c r="L37" s="154" t="s">
        <v>3296</v>
      </c>
      <c r="M37" s="113">
        <v>30000000</v>
      </c>
      <c r="N37" s="113">
        <v>29998560</v>
      </c>
      <c r="O37" s="359" t="s">
        <v>3437</v>
      </c>
      <c r="P37" s="645"/>
      <c r="Q37" s="624"/>
      <c r="R37" s="624"/>
      <c r="S37" s="1278"/>
      <c r="T37" s="1284"/>
      <c r="U37" s="1209"/>
      <c r="V37" s="1209"/>
      <c r="W37" s="611"/>
      <c r="X37" s="1209"/>
      <c r="Y37" s="376"/>
      <c r="Z37" s="2" t="s">
        <v>171</v>
      </c>
      <c r="AA37" s="154" t="s">
        <v>3296</v>
      </c>
      <c r="AB37" s="167" t="e">
        <f>+#REF!</f>
        <v>#REF!</v>
      </c>
      <c r="AC37" s="149" t="e">
        <f>+#REF!</f>
        <v>#REF!</v>
      </c>
      <c r="AD37" s="149"/>
      <c r="AE37" s="149"/>
      <c r="AF37" s="151">
        <v>310</v>
      </c>
      <c r="AG37" s="157" t="e">
        <f>+#REF!-#REF!</f>
        <v>#REF!</v>
      </c>
      <c r="AH37" s="355" t="s">
        <v>3355</v>
      </c>
    </row>
    <row r="38" spans="1:34" ht="25.5" x14ac:dyDescent="0.25">
      <c r="A38" s="1244"/>
      <c r="B38" s="1246"/>
      <c r="C38" s="1244"/>
      <c r="D38" s="1246"/>
      <c r="E38" s="1244"/>
      <c r="F38" s="1246"/>
      <c r="G38" s="1277"/>
      <c r="H38" s="1209"/>
      <c r="I38" s="1209"/>
      <c r="J38" s="1209"/>
      <c r="K38" s="2" t="s">
        <v>179</v>
      </c>
      <c r="L38" s="154" t="s">
        <v>174</v>
      </c>
      <c r="M38" s="113">
        <v>37376721</v>
      </c>
      <c r="N38" s="113">
        <v>37376721</v>
      </c>
      <c r="O38" s="359" t="s">
        <v>3438</v>
      </c>
      <c r="P38" s="645"/>
      <c r="Q38" s="624"/>
      <c r="R38" s="624"/>
      <c r="S38" s="1278"/>
      <c r="T38" s="1284"/>
      <c r="U38" s="1209"/>
      <c r="V38" s="1209"/>
      <c r="W38" s="611"/>
      <c r="X38" s="1209"/>
      <c r="Y38" s="376"/>
      <c r="Z38" s="2" t="s">
        <v>179</v>
      </c>
      <c r="AA38" s="154" t="s">
        <v>174</v>
      </c>
      <c r="AB38" s="167" t="e">
        <f>+#REF!</f>
        <v>#REF!</v>
      </c>
      <c r="AC38" s="149" t="e">
        <f>+#REF!</f>
        <v>#REF!</v>
      </c>
      <c r="AD38" s="149"/>
      <c r="AE38" s="149"/>
      <c r="AF38" s="151">
        <v>310</v>
      </c>
      <c r="AG38" s="157" t="e">
        <f>+#REF!-#REF!</f>
        <v>#REF!</v>
      </c>
      <c r="AH38" s="355" t="s">
        <v>3355</v>
      </c>
    </row>
    <row r="39" spans="1:34" ht="25.5" x14ac:dyDescent="0.25">
      <c r="A39" s="1244"/>
      <c r="B39" s="1246"/>
      <c r="C39" s="1244"/>
      <c r="D39" s="1246"/>
      <c r="E39" s="1244"/>
      <c r="F39" s="1246"/>
      <c r="G39" s="1263"/>
      <c r="H39" s="1209"/>
      <c r="I39" s="1209"/>
      <c r="J39" s="1209"/>
      <c r="K39" s="2" t="s">
        <v>187</v>
      </c>
      <c r="L39" s="154" t="s">
        <v>182</v>
      </c>
      <c r="M39" s="113">
        <v>0</v>
      </c>
      <c r="N39" s="113">
        <v>0</v>
      </c>
      <c r="O39" s="359">
        <v>0</v>
      </c>
      <c r="P39" s="645"/>
      <c r="Q39" s="624"/>
      <c r="R39" s="624"/>
      <c r="S39" s="1266"/>
      <c r="T39" s="1269"/>
      <c r="U39" s="1209"/>
      <c r="V39" s="1209"/>
      <c r="W39" s="611"/>
      <c r="X39" s="1209"/>
      <c r="Y39" s="102"/>
      <c r="Z39" s="2" t="s">
        <v>187</v>
      </c>
      <c r="AA39" s="154" t="s">
        <v>182</v>
      </c>
      <c r="AB39" s="167" t="e">
        <f>+#REF!</f>
        <v>#REF!</v>
      </c>
      <c r="AC39" s="149" t="e">
        <f>+#REF!</f>
        <v>#REF!</v>
      </c>
      <c r="AD39" s="149"/>
      <c r="AE39" s="149"/>
      <c r="AF39" s="151">
        <v>310</v>
      </c>
      <c r="AG39" s="157" t="e">
        <f>+#REF!-#REF!</f>
        <v>#REF!</v>
      </c>
      <c r="AH39" s="355" t="s">
        <v>3355</v>
      </c>
    </row>
    <row r="40" spans="1:34" ht="75.75" customHeight="1" x14ac:dyDescent="0.25">
      <c r="A40" s="1243" t="s">
        <v>2923</v>
      </c>
      <c r="B40" s="1243" t="s">
        <v>3162</v>
      </c>
      <c r="C40" s="1243" t="s">
        <v>2943</v>
      </c>
      <c r="D40" s="1243" t="s">
        <v>3170</v>
      </c>
      <c r="E40" s="2" t="s">
        <v>2945</v>
      </c>
      <c r="F40" s="100" t="s">
        <v>3171</v>
      </c>
      <c r="G40" s="107">
        <v>420000000</v>
      </c>
      <c r="H40" s="2" t="s">
        <v>2948</v>
      </c>
      <c r="I40" s="100" t="s">
        <v>3232</v>
      </c>
      <c r="J40" s="2">
        <v>3</v>
      </c>
      <c r="K40" s="2" t="s">
        <v>63</v>
      </c>
      <c r="L40" s="154" t="s">
        <v>3172</v>
      </c>
      <c r="M40" s="113">
        <v>40125307</v>
      </c>
      <c r="N40" s="113">
        <v>28150307</v>
      </c>
      <c r="O40" s="371" t="s">
        <v>3441</v>
      </c>
      <c r="P40" s="652"/>
      <c r="Q40" s="625"/>
      <c r="R40" s="625"/>
      <c r="S40" s="276">
        <v>440000000</v>
      </c>
      <c r="T40" s="107">
        <v>440000000</v>
      </c>
      <c r="U40" s="2" t="s">
        <v>2948</v>
      </c>
      <c r="V40" s="100" t="s">
        <v>3232</v>
      </c>
      <c r="W40" s="100"/>
      <c r="X40" s="2">
        <v>3</v>
      </c>
      <c r="Y40" s="101">
        <v>0</v>
      </c>
      <c r="Z40" s="2" t="s">
        <v>63</v>
      </c>
      <c r="AA40" s="154" t="s">
        <v>3172</v>
      </c>
      <c r="AB40" s="167" t="e">
        <f>+#REF!</f>
        <v>#REF!</v>
      </c>
      <c r="AC40" s="149" t="e">
        <f>+#REF!</f>
        <v>#REF!</v>
      </c>
      <c r="AD40" s="149" t="s">
        <v>3447</v>
      </c>
      <c r="AE40" s="149"/>
      <c r="AF40" s="151">
        <v>410</v>
      </c>
      <c r="AG40" s="157" t="e">
        <f>+#REF!-#REF!</f>
        <v>#REF!</v>
      </c>
      <c r="AH40" s="1287" t="s">
        <v>3356</v>
      </c>
    </row>
    <row r="41" spans="1:34" ht="63.75" x14ac:dyDescent="0.25">
      <c r="A41" s="1244"/>
      <c r="B41" s="1244"/>
      <c r="C41" s="1244"/>
      <c r="D41" s="1244"/>
      <c r="E41" s="2" t="s">
        <v>2945</v>
      </c>
      <c r="F41" s="100" t="s">
        <v>3173</v>
      </c>
      <c r="G41" s="107">
        <v>160000000</v>
      </c>
      <c r="H41" s="2" t="s">
        <v>2952</v>
      </c>
      <c r="I41" s="100" t="s">
        <v>3271</v>
      </c>
      <c r="J41" s="2">
        <v>1</v>
      </c>
      <c r="K41" s="2" t="s">
        <v>61</v>
      </c>
      <c r="L41" s="154" t="s">
        <v>3264</v>
      </c>
      <c r="M41" s="113">
        <v>0</v>
      </c>
      <c r="N41" s="113">
        <v>0</v>
      </c>
      <c r="O41" s="2" t="s">
        <v>3442</v>
      </c>
      <c r="P41" s="647"/>
      <c r="Q41" s="668"/>
      <c r="R41" s="668"/>
      <c r="S41" s="276">
        <v>170000000</v>
      </c>
      <c r="T41" s="107">
        <v>170000000</v>
      </c>
      <c r="U41" s="2" t="s">
        <v>2952</v>
      </c>
      <c r="V41" s="100" t="s">
        <v>3271</v>
      </c>
      <c r="W41" s="100"/>
      <c r="X41" s="2">
        <v>1</v>
      </c>
      <c r="Y41" s="101">
        <v>0</v>
      </c>
      <c r="Z41" s="2" t="s">
        <v>61</v>
      </c>
      <c r="AA41" s="154" t="s">
        <v>3264</v>
      </c>
      <c r="AB41" s="167" t="e">
        <f>+#REF!</f>
        <v>#REF!</v>
      </c>
      <c r="AC41" s="149" t="e">
        <f>+#REF!</f>
        <v>#REF!</v>
      </c>
      <c r="AD41" s="149" t="s">
        <v>3448</v>
      </c>
      <c r="AE41" s="149"/>
      <c r="AF41" s="151">
        <v>410</v>
      </c>
      <c r="AG41" s="157" t="e">
        <f>+#REF!-#REF!</f>
        <v>#REF!</v>
      </c>
      <c r="AH41" s="1288"/>
    </row>
    <row r="42" spans="1:34" ht="64.5" customHeight="1" x14ac:dyDescent="0.25">
      <c r="A42" s="1260"/>
      <c r="B42" s="1260"/>
      <c r="C42" s="1260"/>
      <c r="D42" s="1260"/>
      <c r="E42" s="2" t="s">
        <v>2945</v>
      </c>
      <c r="F42" s="100" t="s">
        <v>3174</v>
      </c>
      <c r="G42" s="373">
        <v>56000000</v>
      </c>
      <c r="H42" s="363" t="s">
        <v>2955</v>
      </c>
      <c r="I42" s="365" t="s">
        <v>3233</v>
      </c>
      <c r="J42" s="363">
        <v>1</v>
      </c>
      <c r="K42" s="363" t="s">
        <v>59</v>
      </c>
      <c r="L42" s="171" t="s">
        <v>60</v>
      </c>
      <c r="M42" s="373">
        <v>52229374</v>
      </c>
      <c r="N42" s="373">
        <v>52229374</v>
      </c>
      <c r="O42" s="363" t="s">
        <v>3443</v>
      </c>
      <c r="P42" s="654"/>
      <c r="Q42" s="623"/>
      <c r="R42" s="623"/>
      <c r="S42" s="622">
        <v>58000000</v>
      </c>
      <c r="T42" s="373">
        <v>58000000</v>
      </c>
      <c r="U42" s="363" t="s">
        <v>2955</v>
      </c>
      <c r="V42" s="365" t="s">
        <v>3233</v>
      </c>
      <c r="W42" s="618"/>
      <c r="X42" s="2">
        <v>1</v>
      </c>
      <c r="Y42" s="101">
        <v>0</v>
      </c>
      <c r="Z42" s="2" t="s">
        <v>59</v>
      </c>
      <c r="AA42" s="154" t="s">
        <v>60</v>
      </c>
      <c r="AB42" s="167" t="e">
        <f>+#REF!</f>
        <v>#REF!</v>
      </c>
      <c r="AC42" s="149" t="e">
        <f>+#REF!</f>
        <v>#REF!</v>
      </c>
      <c r="AD42" s="149" t="s">
        <v>3449</v>
      </c>
      <c r="AE42" s="149"/>
      <c r="AF42" s="151">
        <v>410</v>
      </c>
      <c r="AG42" s="157" t="e">
        <f>+#REF!-#REF!</f>
        <v>#REF!</v>
      </c>
      <c r="AH42" s="1289"/>
    </row>
    <row r="43" spans="1:34" ht="40.5" customHeight="1" x14ac:dyDescent="0.25">
      <c r="A43" s="1243" t="s">
        <v>2923</v>
      </c>
      <c r="B43" s="1243" t="s">
        <v>3162</v>
      </c>
      <c r="C43" s="1243" t="s">
        <v>2943</v>
      </c>
      <c r="D43" s="1243" t="s">
        <v>3170</v>
      </c>
      <c r="E43" s="1243" t="s">
        <v>2988</v>
      </c>
      <c r="F43" s="1292" t="s">
        <v>3180</v>
      </c>
      <c r="G43" s="1214">
        <v>122000000</v>
      </c>
      <c r="H43" s="1209" t="s">
        <v>2990</v>
      </c>
      <c r="I43" s="1209" t="s">
        <v>3272</v>
      </c>
      <c r="J43" s="1209">
        <v>5</v>
      </c>
      <c r="K43" s="359" t="s">
        <v>391</v>
      </c>
      <c r="L43" s="331" t="s">
        <v>3181</v>
      </c>
      <c r="M43" s="380">
        <v>11261724</v>
      </c>
      <c r="N43" s="380">
        <v>11261724</v>
      </c>
      <c r="O43" s="359">
        <v>21</v>
      </c>
      <c r="P43" s="655"/>
      <c r="Q43" s="610"/>
      <c r="R43" s="610"/>
      <c r="S43" s="1480">
        <v>170000000</v>
      </c>
      <c r="T43" s="1290">
        <v>170000000</v>
      </c>
      <c r="U43" s="1209" t="s">
        <v>2990</v>
      </c>
      <c r="V43" s="1209" t="s">
        <v>3439</v>
      </c>
      <c r="W43" s="624"/>
      <c r="X43" s="1285">
        <v>5</v>
      </c>
      <c r="Y43" s="106">
        <v>0</v>
      </c>
      <c r="Z43" s="2" t="s">
        <v>391</v>
      </c>
      <c r="AA43" s="154" t="s">
        <v>3181</v>
      </c>
      <c r="AB43" s="167" t="e">
        <f>+#REF!</f>
        <v>#REF!</v>
      </c>
      <c r="AC43" s="149" t="e">
        <f>+#REF!</f>
        <v>#REF!</v>
      </c>
      <c r="AD43" s="149"/>
      <c r="AE43" s="149"/>
      <c r="AF43" s="151">
        <v>410</v>
      </c>
      <c r="AG43" s="157" t="e">
        <f>+#REF!-#REF!</f>
        <v>#REF!</v>
      </c>
      <c r="AH43" s="1205" t="s">
        <v>3350</v>
      </c>
    </row>
    <row r="44" spans="1:34" ht="40.5" customHeight="1" x14ac:dyDescent="0.25">
      <c r="A44" s="1244"/>
      <c r="B44" s="1244"/>
      <c r="C44" s="1244"/>
      <c r="D44" s="1244"/>
      <c r="E44" s="1244"/>
      <c r="F44" s="1293"/>
      <c r="G44" s="1214"/>
      <c r="H44" s="1209"/>
      <c r="I44" s="1209"/>
      <c r="J44" s="1209"/>
      <c r="K44" s="359" t="s">
        <v>379</v>
      </c>
      <c r="L44" s="331" t="s">
        <v>3237</v>
      </c>
      <c r="M44" s="380">
        <v>11750000</v>
      </c>
      <c r="N44" s="380">
        <v>0</v>
      </c>
      <c r="O44" s="359">
        <v>21</v>
      </c>
      <c r="P44" s="655"/>
      <c r="Q44" s="610"/>
      <c r="R44" s="610"/>
      <c r="S44" s="1480"/>
      <c r="T44" s="1291"/>
      <c r="U44" s="1209"/>
      <c r="V44" s="1209"/>
      <c r="W44" s="624"/>
      <c r="X44" s="1286"/>
      <c r="Y44" s="102"/>
      <c r="Z44" s="2" t="s">
        <v>379</v>
      </c>
      <c r="AA44" s="154" t="s">
        <v>3237</v>
      </c>
      <c r="AB44" s="167" t="e">
        <f>+#REF!</f>
        <v>#REF!</v>
      </c>
      <c r="AC44" s="149" t="e">
        <f>+#REF!</f>
        <v>#REF!</v>
      </c>
      <c r="AD44" s="149"/>
      <c r="AE44" s="149"/>
      <c r="AF44" s="151">
        <v>410</v>
      </c>
      <c r="AG44" s="157" t="e">
        <f>+#REF!-#REF!</f>
        <v>#REF!</v>
      </c>
      <c r="AH44" s="1199"/>
    </row>
    <row r="45" spans="1:34" ht="39" customHeight="1" x14ac:dyDescent="0.25">
      <c r="A45" s="1244"/>
      <c r="B45" s="1244"/>
      <c r="C45" s="1244"/>
      <c r="D45" s="1244"/>
      <c r="E45" s="1244"/>
      <c r="F45" s="1293"/>
      <c r="G45" s="1214"/>
      <c r="H45" s="1209"/>
      <c r="I45" s="1209"/>
      <c r="J45" s="1209"/>
      <c r="K45" s="359" t="s">
        <v>393</v>
      </c>
      <c r="L45" s="331" t="s">
        <v>394</v>
      </c>
      <c r="M45" s="380">
        <v>49500000</v>
      </c>
      <c r="N45" s="380">
        <v>40458993</v>
      </c>
      <c r="O45" s="359">
        <v>0</v>
      </c>
      <c r="P45" s="655"/>
      <c r="Q45" s="610"/>
      <c r="R45" s="610"/>
      <c r="S45" s="1480"/>
      <c r="T45" s="1291"/>
      <c r="U45" s="1209"/>
      <c r="V45" s="1209"/>
      <c r="W45" s="624"/>
      <c r="X45" s="1286"/>
      <c r="Y45" s="102"/>
      <c r="Z45" s="2" t="s">
        <v>393</v>
      </c>
      <c r="AA45" s="154" t="s">
        <v>394</v>
      </c>
      <c r="AB45" s="167" t="e">
        <f>+#REF!</f>
        <v>#REF!</v>
      </c>
      <c r="AC45" s="149" t="e">
        <f>+#REF!</f>
        <v>#REF!</v>
      </c>
      <c r="AD45" s="149"/>
      <c r="AE45" s="149"/>
      <c r="AF45" s="151">
        <v>410</v>
      </c>
      <c r="AG45" s="157" t="e">
        <f>+#REF!-#REF!</f>
        <v>#REF!</v>
      </c>
      <c r="AH45" s="1206"/>
    </row>
    <row r="46" spans="1:34" ht="72" customHeight="1" x14ac:dyDescent="0.25">
      <c r="A46" s="1260"/>
      <c r="B46" s="1260"/>
      <c r="C46" s="1260"/>
      <c r="D46" s="1260"/>
      <c r="E46" s="1260"/>
      <c r="F46" s="1294"/>
      <c r="G46" s="1214"/>
      <c r="H46" s="1209"/>
      <c r="I46" s="1209"/>
      <c r="J46" s="1209"/>
      <c r="K46" s="359"/>
      <c r="L46" s="331"/>
      <c r="M46" s="380"/>
      <c r="N46" s="380"/>
      <c r="O46" s="359"/>
      <c r="P46" s="655"/>
      <c r="Q46" s="610"/>
      <c r="R46" s="610"/>
      <c r="S46" s="1480"/>
      <c r="T46" s="381"/>
      <c r="U46" s="1209"/>
      <c r="V46" s="1209"/>
      <c r="W46" s="624"/>
      <c r="X46" s="1286"/>
      <c r="Y46" s="102"/>
      <c r="Z46" s="2" t="s">
        <v>3423</v>
      </c>
      <c r="AA46" s="154" t="s">
        <v>3424</v>
      </c>
      <c r="AB46" s="167" t="e">
        <f>+#REF!</f>
        <v>#REF!</v>
      </c>
      <c r="AC46" s="149" t="e">
        <f>+#REF!</f>
        <v>#REF!</v>
      </c>
      <c r="AD46" s="149"/>
      <c r="AE46" s="149"/>
      <c r="AF46" s="151"/>
      <c r="AG46" s="157"/>
      <c r="AH46" s="357"/>
    </row>
    <row r="47" spans="1:34" ht="76.5" x14ac:dyDescent="0.25">
      <c r="A47" s="1243" t="s">
        <v>2923</v>
      </c>
      <c r="B47" s="1243" t="s">
        <v>3162</v>
      </c>
      <c r="C47" s="1243" t="s">
        <v>2943</v>
      </c>
      <c r="D47" s="1243" t="s">
        <v>3170</v>
      </c>
      <c r="E47" s="2" t="s">
        <v>2973</v>
      </c>
      <c r="F47" s="100" t="s">
        <v>3205</v>
      </c>
      <c r="G47" s="383">
        <v>90000000</v>
      </c>
      <c r="H47" s="371" t="s">
        <v>2975</v>
      </c>
      <c r="I47" s="372" t="s">
        <v>3222</v>
      </c>
      <c r="J47" s="371">
        <v>1</v>
      </c>
      <c r="K47" s="371" t="s">
        <v>383</v>
      </c>
      <c r="L47" s="165" t="s">
        <v>3178</v>
      </c>
      <c r="M47" s="387">
        <v>535312097</v>
      </c>
      <c r="N47" s="387">
        <v>429163788</v>
      </c>
      <c r="O47" s="176" t="s">
        <v>3446</v>
      </c>
      <c r="P47" s="656"/>
      <c r="Q47" s="670"/>
      <c r="R47" s="670"/>
      <c r="S47" s="284">
        <v>105000000</v>
      </c>
      <c r="T47" s="383">
        <v>105000000</v>
      </c>
      <c r="U47" s="371" t="s">
        <v>2975</v>
      </c>
      <c r="V47" s="372" t="s">
        <v>3222</v>
      </c>
      <c r="W47" s="621"/>
      <c r="X47" s="371">
        <v>1</v>
      </c>
      <c r="Y47" s="101">
        <v>0</v>
      </c>
      <c r="Z47" s="2" t="s">
        <v>383</v>
      </c>
      <c r="AA47" s="154" t="s">
        <v>3178</v>
      </c>
      <c r="AB47" s="167" t="e">
        <f>+#REF!</f>
        <v>#REF!</v>
      </c>
      <c r="AC47" s="149" t="e">
        <f>+#REF!</f>
        <v>#REF!</v>
      </c>
      <c r="AD47" s="149"/>
      <c r="AE47" s="149"/>
      <c r="AF47" s="151">
        <v>410</v>
      </c>
      <c r="AG47" s="157" t="e">
        <f>+#REF!-#REF!</f>
        <v>#REF!</v>
      </c>
      <c r="AH47" s="356" t="s">
        <v>3350</v>
      </c>
    </row>
    <row r="48" spans="1:34" ht="76.5" customHeight="1" x14ac:dyDescent="0.25">
      <c r="A48" s="1260"/>
      <c r="B48" s="1260"/>
      <c r="C48" s="1260"/>
      <c r="D48" s="1260"/>
      <c r="E48" s="2" t="s">
        <v>2973</v>
      </c>
      <c r="F48" s="100" t="s">
        <v>3206</v>
      </c>
      <c r="G48" s="107">
        <v>760000000</v>
      </c>
      <c r="H48" s="2" t="s">
        <v>2978</v>
      </c>
      <c r="I48" s="100" t="s">
        <v>3235</v>
      </c>
      <c r="J48" s="2">
        <v>1</v>
      </c>
      <c r="K48" s="2" t="s">
        <v>65</v>
      </c>
      <c r="L48" s="154" t="s">
        <v>3179</v>
      </c>
      <c r="M48" s="113">
        <v>10000000</v>
      </c>
      <c r="N48" s="113">
        <v>7999999</v>
      </c>
      <c r="O48" s="2" t="s">
        <v>3444</v>
      </c>
      <c r="P48" s="647"/>
      <c r="Q48" s="668"/>
      <c r="R48" s="668"/>
      <c r="S48" s="276">
        <v>780000000</v>
      </c>
      <c r="T48" s="107">
        <v>780000000</v>
      </c>
      <c r="U48" s="2" t="s">
        <v>2978</v>
      </c>
      <c r="V48" s="100" t="s">
        <v>3235</v>
      </c>
      <c r="W48" s="100"/>
      <c r="X48" s="2">
        <v>1</v>
      </c>
      <c r="Y48" s="101">
        <v>0</v>
      </c>
      <c r="Z48" s="2" t="s">
        <v>65</v>
      </c>
      <c r="AA48" s="154" t="s">
        <v>3179</v>
      </c>
      <c r="AB48" s="167" t="e">
        <f>+#REF!</f>
        <v>#REF!</v>
      </c>
      <c r="AC48" s="149">
        <v>490840301</v>
      </c>
      <c r="AD48" s="149"/>
      <c r="AE48" s="149"/>
      <c r="AF48" s="151">
        <v>410</v>
      </c>
      <c r="AG48" s="157" t="e">
        <f>+#REF!-#REF!</f>
        <v>#REF!</v>
      </c>
      <c r="AH48" s="392" t="s">
        <v>3357</v>
      </c>
    </row>
    <row r="49" spans="1:34" ht="69.75" customHeight="1" x14ac:dyDescent="0.25">
      <c r="A49" s="2" t="s">
        <v>2923</v>
      </c>
      <c r="B49" s="100" t="s">
        <v>3162</v>
      </c>
      <c r="C49" s="2" t="s">
        <v>2943</v>
      </c>
      <c r="D49" s="100" t="s">
        <v>3170</v>
      </c>
      <c r="E49" s="2" t="s">
        <v>2980</v>
      </c>
      <c r="F49" s="100" t="s">
        <v>3230</v>
      </c>
      <c r="G49" s="107">
        <v>30000000</v>
      </c>
      <c r="H49" s="2" t="s">
        <v>2982</v>
      </c>
      <c r="I49" s="100" t="s">
        <v>3236</v>
      </c>
      <c r="J49" s="2">
        <v>1</v>
      </c>
      <c r="K49" s="2" t="s">
        <v>385</v>
      </c>
      <c r="L49" s="154" t="s">
        <v>3231</v>
      </c>
      <c r="M49" s="113">
        <v>9664000</v>
      </c>
      <c r="N49" s="113">
        <v>2000000</v>
      </c>
      <c r="O49" s="2" t="s">
        <v>3445</v>
      </c>
      <c r="P49" s="647"/>
      <c r="Q49" s="668"/>
      <c r="R49" s="668"/>
      <c r="S49" s="276">
        <v>30000000</v>
      </c>
      <c r="T49" s="107">
        <v>30000000</v>
      </c>
      <c r="U49" s="2" t="s">
        <v>2982</v>
      </c>
      <c r="V49" s="100" t="s">
        <v>3236</v>
      </c>
      <c r="W49" s="100"/>
      <c r="X49" s="2">
        <v>1</v>
      </c>
      <c r="Y49" s="101">
        <v>0</v>
      </c>
      <c r="Z49" s="2" t="s">
        <v>385</v>
      </c>
      <c r="AA49" s="154" t="s">
        <v>3231</v>
      </c>
      <c r="AB49" s="167" t="e">
        <f>+#REF!</f>
        <v>#REF!</v>
      </c>
      <c r="AC49" s="149">
        <v>12967923</v>
      </c>
      <c r="AD49" s="149"/>
      <c r="AE49" s="149"/>
      <c r="AF49" s="151">
        <v>410</v>
      </c>
      <c r="AG49" s="157" t="e">
        <f>+#REF!-#REF!</f>
        <v>#REF!</v>
      </c>
      <c r="AH49" s="1205" t="s">
        <v>3350</v>
      </c>
    </row>
    <row r="50" spans="1:34" ht="63.75" x14ac:dyDescent="0.25">
      <c r="A50" s="2" t="s">
        <v>2923</v>
      </c>
      <c r="B50" s="100" t="s">
        <v>3162</v>
      </c>
      <c r="C50" s="2" t="s">
        <v>2943</v>
      </c>
      <c r="D50" s="100" t="s">
        <v>3170</v>
      </c>
      <c r="E50" s="2" t="s">
        <v>2984</v>
      </c>
      <c r="F50" s="100" t="s">
        <v>2985</v>
      </c>
      <c r="G50" s="107">
        <v>5000000</v>
      </c>
      <c r="H50" s="363" t="s">
        <v>2986</v>
      </c>
      <c r="I50" s="365" t="s">
        <v>3223</v>
      </c>
      <c r="J50" s="363">
        <v>0</v>
      </c>
      <c r="K50" s="2" t="s">
        <v>387</v>
      </c>
      <c r="L50" s="154" t="s">
        <v>388</v>
      </c>
      <c r="M50" s="113">
        <v>4000000</v>
      </c>
      <c r="N50" s="113">
        <v>500000</v>
      </c>
      <c r="O50" s="363">
        <v>0</v>
      </c>
      <c r="P50" s="654"/>
      <c r="Q50" s="623"/>
      <c r="R50" s="623"/>
      <c r="S50" s="276">
        <v>20000000</v>
      </c>
      <c r="T50" s="107">
        <v>20000000</v>
      </c>
      <c r="U50" s="363" t="s">
        <v>2986</v>
      </c>
      <c r="V50" s="365" t="s">
        <v>3223</v>
      </c>
      <c r="W50" s="618"/>
      <c r="X50" s="363">
        <v>0</v>
      </c>
      <c r="Y50" s="101">
        <v>0</v>
      </c>
      <c r="Z50" s="2" t="s">
        <v>387</v>
      </c>
      <c r="AA50" s="154" t="s">
        <v>388</v>
      </c>
      <c r="AB50" s="167" t="e">
        <f>+#REF!</f>
        <v>#REF!</v>
      </c>
      <c r="AC50" s="149">
        <v>0</v>
      </c>
      <c r="AD50" s="149"/>
      <c r="AE50" s="149"/>
      <c r="AF50" s="151">
        <v>410</v>
      </c>
      <c r="AG50" s="157" t="e">
        <f>+#REF!-#REF!</f>
        <v>#REF!</v>
      </c>
      <c r="AH50" s="1199"/>
    </row>
    <row r="51" spans="1:34" ht="51" x14ac:dyDescent="0.25">
      <c r="A51" s="2" t="s">
        <v>2923</v>
      </c>
      <c r="B51" s="100" t="s">
        <v>3162</v>
      </c>
      <c r="C51" s="2" t="s">
        <v>2943</v>
      </c>
      <c r="D51" s="100" t="s">
        <v>3170</v>
      </c>
      <c r="E51" s="2" t="s">
        <v>2957</v>
      </c>
      <c r="F51" s="100" t="s">
        <v>3175</v>
      </c>
      <c r="G51" s="107">
        <v>15000000</v>
      </c>
      <c r="H51" s="363" t="s">
        <v>2959</v>
      </c>
      <c r="I51" s="365" t="s">
        <v>3234</v>
      </c>
      <c r="J51" s="363">
        <v>0</v>
      </c>
      <c r="K51" s="2" t="s">
        <v>381</v>
      </c>
      <c r="L51" s="154" t="s">
        <v>3176</v>
      </c>
      <c r="M51" s="113">
        <v>6500000</v>
      </c>
      <c r="N51" s="113">
        <v>0</v>
      </c>
      <c r="O51" s="363">
        <v>0</v>
      </c>
      <c r="P51" s="654"/>
      <c r="Q51" s="623"/>
      <c r="R51" s="623"/>
      <c r="S51" s="276">
        <v>50000000</v>
      </c>
      <c r="T51" s="107">
        <v>50000000</v>
      </c>
      <c r="U51" s="363" t="s">
        <v>2959</v>
      </c>
      <c r="V51" s="365" t="s">
        <v>3234</v>
      </c>
      <c r="W51" s="618"/>
      <c r="X51" s="363">
        <v>0</v>
      </c>
      <c r="Y51" s="101">
        <v>0</v>
      </c>
      <c r="Z51" s="2" t="s">
        <v>381</v>
      </c>
      <c r="AA51" s="154" t="s">
        <v>3176</v>
      </c>
      <c r="AB51" s="167" t="e">
        <f>+#REF!</f>
        <v>#REF!</v>
      </c>
      <c r="AC51" s="149">
        <v>16339871</v>
      </c>
      <c r="AD51" s="149"/>
      <c r="AE51" s="149"/>
      <c r="AF51" s="151">
        <v>410</v>
      </c>
      <c r="AG51" s="157" t="e">
        <f>+#REF!-#REF!</f>
        <v>#REF!</v>
      </c>
      <c r="AH51" s="1206"/>
    </row>
    <row r="52" spans="1:34" ht="66.75" customHeight="1" x14ac:dyDescent="0.25">
      <c r="A52" s="2" t="s">
        <v>2923</v>
      </c>
      <c r="B52" s="100" t="s">
        <v>3162</v>
      </c>
      <c r="C52" s="2" t="s">
        <v>2992</v>
      </c>
      <c r="D52" s="100" t="s">
        <v>3182</v>
      </c>
      <c r="E52" s="2" t="s">
        <v>2999</v>
      </c>
      <c r="F52" s="100" t="s">
        <v>3300</v>
      </c>
      <c r="G52" s="107">
        <v>5000000</v>
      </c>
      <c r="H52" s="2" t="s">
        <v>3001</v>
      </c>
      <c r="I52" s="100" t="s">
        <v>3240</v>
      </c>
      <c r="J52" s="2">
        <v>0</v>
      </c>
      <c r="K52" s="2" t="s">
        <v>366</v>
      </c>
      <c r="L52" s="154" t="s">
        <v>3183</v>
      </c>
      <c r="M52" s="113">
        <v>0</v>
      </c>
      <c r="N52" s="113">
        <v>0</v>
      </c>
      <c r="O52" s="2">
        <v>0</v>
      </c>
      <c r="P52" s="647"/>
      <c r="Q52" s="668"/>
      <c r="R52" s="668"/>
      <c r="S52" s="276">
        <v>5000000</v>
      </c>
      <c r="T52" s="107">
        <v>5000000</v>
      </c>
      <c r="U52" s="2" t="s">
        <v>3001</v>
      </c>
      <c r="V52" s="100" t="s">
        <v>3240</v>
      </c>
      <c r="W52" s="100"/>
      <c r="X52" s="2">
        <v>0</v>
      </c>
      <c r="Y52" s="101">
        <v>0</v>
      </c>
      <c r="Z52" s="2" t="s">
        <v>366</v>
      </c>
      <c r="AA52" s="154" t="s">
        <v>3183</v>
      </c>
      <c r="AB52" s="167" t="e">
        <f>+#REF!</f>
        <v>#REF!</v>
      </c>
      <c r="AC52" s="149">
        <v>0</v>
      </c>
      <c r="AD52" s="149"/>
      <c r="AE52" s="149"/>
      <c r="AF52" s="151">
        <v>510</v>
      </c>
      <c r="AG52" s="157" t="e">
        <f>+#REF!-#REF!</f>
        <v>#REF!</v>
      </c>
      <c r="AH52" s="355" t="s">
        <v>3353</v>
      </c>
    </row>
    <row r="53" spans="1:34" ht="76.5" x14ac:dyDescent="0.25">
      <c r="A53" s="363" t="s">
        <v>2923</v>
      </c>
      <c r="B53" s="365" t="s">
        <v>3162</v>
      </c>
      <c r="C53" s="363" t="s">
        <v>2992</v>
      </c>
      <c r="D53" s="365" t="s">
        <v>3182</v>
      </c>
      <c r="E53" s="363" t="s">
        <v>2994</v>
      </c>
      <c r="F53" s="365" t="s">
        <v>3301</v>
      </c>
      <c r="G53" s="373">
        <v>100000000</v>
      </c>
      <c r="H53" s="364" t="s">
        <v>2996</v>
      </c>
      <c r="I53" s="366" t="s">
        <v>3273</v>
      </c>
      <c r="J53" s="364">
        <v>4</v>
      </c>
      <c r="K53" s="363" t="s">
        <v>241</v>
      </c>
      <c r="L53" s="171" t="s">
        <v>242</v>
      </c>
      <c r="M53" s="113">
        <v>80700000</v>
      </c>
      <c r="N53" s="113">
        <v>59931712</v>
      </c>
      <c r="O53" s="364" t="s">
        <v>3450</v>
      </c>
      <c r="P53" s="657"/>
      <c r="Q53" s="624"/>
      <c r="R53" s="624"/>
      <c r="S53" s="622">
        <v>100000000</v>
      </c>
      <c r="T53" s="373">
        <v>100000000</v>
      </c>
      <c r="U53" s="364" t="s">
        <v>2996</v>
      </c>
      <c r="V53" s="366" t="s">
        <v>3273</v>
      </c>
      <c r="W53" s="619"/>
      <c r="X53" s="364">
        <v>4</v>
      </c>
      <c r="Y53" s="116">
        <v>0</v>
      </c>
      <c r="Z53" s="363" t="s">
        <v>241</v>
      </c>
      <c r="AA53" s="171" t="s">
        <v>242</v>
      </c>
      <c r="AB53" s="167" t="e">
        <f>+#REF!</f>
        <v>#REF!</v>
      </c>
      <c r="AC53" s="149">
        <v>25853367</v>
      </c>
      <c r="AD53" s="149"/>
      <c r="AE53" s="241"/>
      <c r="AF53" s="199">
        <v>510</v>
      </c>
      <c r="AG53" s="232" t="e">
        <f>+#REF!-#REF!</f>
        <v>#REF!</v>
      </c>
      <c r="AH53" s="388" t="s">
        <v>3358</v>
      </c>
    </row>
    <row r="54" spans="1:34" ht="22.5" customHeight="1" x14ac:dyDescent="0.25">
      <c r="A54" s="1209" t="s">
        <v>3407</v>
      </c>
      <c r="B54" s="1209"/>
      <c r="C54" s="1209"/>
      <c r="D54" s="1209"/>
      <c r="E54" s="1209"/>
      <c r="F54" s="1209"/>
      <c r="G54" s="380">
        <f>SUM(G23:G53)</f>
        <v>3023000000</v>
      </c>
      <c r="H54" s="1207"/>
      <c r="I54" s="1208"/>
      <c r="J54" s="1208"/>
      <c r="K54" s="1207"/>
      <c r="L54" s="1208"/>
      <c r="M54" s="380">
        <f>SUM(M23:M53)</f>
        <v>1367857632</v>
      </c>
      <c r="N54" s="380">
        <f>SUM(N23:N53)</f>
        <v>1056762905</v>
      </c>
      <c r="O54" s="267"/>
      <c r="P54" s="650"/>
      <c r="Q54" s="267"/>
      <c r="R54" s="267"/>
      <c r="S54" s="644">
        <f>SUM(S23:S53)</f>
        <v>3329000000</v>
      </c>
      <c r="T54" s="380">
        <f>SUM(T47:T53)</f>
        <v>1090000000</v>
      </c>
      <c r="U54" s="1207"/>
      <c r="V54" s="1208"/>
      <c r="W54" s="1208"/>
      <c r="X54" s="1208"/>
      <c r="Y54" s="1217"/>
      <c r="Z54" s="1207"/>
      <c r="AA54" s="1208"/>
      <c r="AB54" s="133" t="e">
        <f>SUM(AB23:AB53)</f>
        <v>#REF!</v>
      </c>
      <c r="AC54" s="133" t="e">
        <f>SUM(AC23:AC53)</f>
        <v>#REF!</v>
      </c>
      <c r="AD54" s="133"/>
      <c r="AE54" s="216"/>
      <c r="AF54" s="1207"/>
      <c r="AG54" s="1208"/>
      <c r="AH54" s="1217"/>
    </row>
    <row r="55" spans="1:34" ht="18.75" customHeight="1" x14ac:dyDescent="0.25">
      <c r="A55" s="117"/>
      <c r="B55" s="118"/>
      <c r="C55" s="117"/>
      <c r="D55" s="118"/>
      <c r="E55" s="117"/>
      <c r="F55" s="118"/>
      <c r="G55" s="119"/>
      <c r="H55" s="117"/>
      <c r="I55" s="117"/>
      <c r="J55" s="117"/>
      <c r="K55" s="117"/>
      <c r="L55" s="117"/>
      <c r="M55" s="117"/>
      <c r="N55" s="117"/>
      <c r="O55" s="117"/>
      <c r="P55" s="658"/>
      <c r="Q55" s="117"/>
      <c r="R55" s="117"/>
      <c r="S55" s="119"/>
      <c r="T55" s="119"/>
      <c r="U55" s="117"/>
      <c r="V55" s="117"/>
      <c r="W55" s="117"/>
      <c r="X55" s="117"/>
      <c r="Y55" s="121"/>
      <c r="Z55" s="233"/>
      <c r="AA55" s="224"/>
      <c r="AB55" s="225"/>
      <c r="AC55" s="222"/>
      <c r="AD55" s="222"/>
      <c r="AE55" s="222"/>
      <c r="AF55" s="164"/>
      <c r="AG55" s="164"/>
      <c r="AH55" s="185"/>
    </row>
    <row r="56" spans="1:34" ht="63.75" x14ac:dyDescent="0.25">
      <c r="A56" s="1243" t="s">
        <v>2814</v>
      </c>
      <c r="B56" s="1245" t="s">
        <v>3138</v>
      </c>
      <c r="C56" s="1243" t="s">
        <v>2816</v>
      </c>
      <c r="D56" s="1245" t="s">
        <v>3140</v>
      </c>
      <c r="E56" s="1243" t="s">
        <v>2822</v>
      </c>
      <c r="F56" s="1245" t="s">
        <v>2823</v>
      </c>
      <c r="G56" s="1262">
        <v>50000000</v>
      </c>
      <c r="H56" s="1209" t="s">
        <v>2824</v>
      </c>
      <c r="I56" s="1209" t="s">
        <v>3451</v>
      </c>
      <c r="J56" s="1209">
        <v>0</v>
      </c>
      <c r="K56" s="109" t="s">
        <v>323</v>
      </c>
      <c r="L56" s="154" t="s">
        <v>3145</v>
      </c>
      <c r="M56" s="113">
        <v>18500000</v>
      </c>
      <c r="N56" s="113">
        <v>18500000</v>
      </c>
      <c r="O56" s="359"/>
      <c r="P56" s="645"/>
      <c r="Q56" s="624"/>
      <c r="R56" s="624"/>
      <c r="S56" s="1265">
        <v>100000000</v>
      </c>
      <c r="T56" s="1268">
        <v>100000000</v>
      </c>
      <c r="U56" s="1209" t="s">
        <v>2824</v>
      </c>
      <c r="V56" s="1209" t="s">
        <v>3141</v>
      </c>
      <c r="W56" s="611"/>
      <c r="X56" s="1209">
        <v>1</v>
      </c>
      <c r="Y56" s="1200">
        <v>0</v>
      </c>
      <c r="Z56" s="109" t="s">
        <v>323</v>
      </c>
      <c r="AA56" s="154" t="s">
        <v>3145</v>
      </c>
      <c r="AB56" s="158" t="e">
        <f>+#REF!</f>
        <v>#REF!</v>
      </c>
      <c r="AC56" s="149">
        <v>41065933</v>
      </c>
      <c r="AD56" s="149"/>
      <c r="AE56" s="149"/>
      <c r="AF56" s="151">
        <v>510</v>
      </c>
      <c r="AG56" s="157" t="e">
        <f>+#REF!-#REF!</f>
        <v>#REF!</v>
      </c>
      <c r="AH56" s="1202" t="s">
        <v>3348</v>
      </c>
    </row>
    <row r="57" spans="1:34" ht="63.75" x14ac:dyDescent="0.25">
      <c r="A57" s="1244"/>
      <c r="B57" s="1246"/>
      <c r="C57" s="1244"/>
      <c r="D57" s="1246"/>
      <c r="E57" s="1244"/>
      <c r="F57" s="1246"/>
      <c r="G57" s="1277"/>
      <c r="H57" s="1209"/>
      <c r="I57" s="1209"/>
      <c r="J57" s="1209"/>
      <c r="K57" s="109" t="s">
        <v>319</v>
      </c>
      <c r="L57" s="154" t="s">
        <v>3143</v>
      </c>
      <c r="M57" s="113">
        <v>5000000</v>
      </c>
      <c r="N57" s="113">
        <v>1090000</v>
      </c>
      <c r="O57" s="359"/>
      <c r="P57" s="645"/>
      <c r="Q57" s="624"/>
      <c r="R57" s="624"/>
      <c r="S57" s="1278"/>
      <c r="T57" s="1284"/>
      <c r="U57" s="1209"/>
      <c r="V57" s="1209"/>
      <c r="W57" s="611"/>
      <c r="X57" s="1209"/>
      <c r="Y57" s="1201"/>
      <c r="Z57" s="109" t="s">
        <v>319</v>
      </c>
      <c r="AA57" s="154" t="s">
        <v>3143</v>
      </c>
      <c r="AB57" s="158" t="e">
        <f>+#REF!</f>
        <v>#REF!</v>
      </c>
      <c r="AC57" s="149" t="e">
        <f>+#REF!</f>
        <v>#REF!</v>
      </c>
      <c r="AD57" s="149"/>
      <c r="AE57" s="149"/>
      <c r="AF57" s="151">
        <v>510</v>
      </c>
      <c r="AG57" s="157" t="e">
        <f>+#REF!-#REF!</f>
        <v>#REF!</v>
      </c>
      <c r="AH57" s="1202"/>
    </row>
    <row r="58" spans="1:34" ht="76.5" x14ac:dyDescent="0.25">
      <c r="A58" s="1244"/>
      <c r="B58" s="1246"/>
      <c r="C58" s="1244"/>
      <c r="D58" s="1246"/>
      <c r="E58" s="1244"/>
      <c r="F58" s="1246"/>
      <c r="G58" s="1263"/>
      <c r="H58" s="1209"/>
      <c r="I58" s="1209"/>
      <c r="J58" s="1209"/>
      <c r="K58" s="109" t="s">
        <v>321</v>
      </c>
      <c r="L58" s="154" t="s">
        <v>3144</v>
      </c>
      <c r="M58" s="113">
        <v>1500000</v>
      </c>
      <c r="N58" s="113">
        <v>0</v>
      </c>
      <c r="O58" s="359"/>
      <c r="P58" s="645"/>
      <c r="Q58" s="624"/>
      <c r="R58" s="624"/>
      <c r="S58" s="1266"/>
      <c r="T58" s="1269"/>
      <c r="U58" s="1209"/>
      <c r="V58" s="1209"/>
      <c r="W58" s="611"/>
      <c r="X58" s="1209"/>
      <c r="Y58" s="1201"/>
      <c r="Z58" s="109" t="s">
        <v>321</v>
      </c>
      <c r="AA58" s="154" t="s">
        <v>3144</v>
      </c>
      <c r="AB58" s="158" t="e">
        <f>+#REF!</f>
        <v>#REF!</v>
      </c>
      <c r="AC58" s="149" t="e">
        <f>+#REF!</f>
        <v>#REF!</v>
      </c>
      <c r="AD58" s="149"/>
      <c r="AE58" s="149"/>
      <c r="AF58" s="151">
        <v>510</v>
      </c>
      <c r="AG58" s="157" t="e">
        <f>+#REF!-#REF!</f>
        <v>#REF!</v>
      </c>
      <c r="AH58" s="1202"/>
    </row>
    <row r="59" spans="1:34" ht="63.75" customHeight="1" x14ac:dyDescent="0.25">
      <c r="A59" s="2" t="s">
        <v>2814</v>
      </c>
      <c r="B59" s="100" t="s">
        <v>3138</v>
      </c>
      <c r="C59" s="2" t="s">
        <v>2816</v>
      </c>
      <c r="D59" s="100" t="s">
        <v>3140</v>
      </c>
      <c r="E59" s="2" t="s">
        <v>2818</v>
      </c>
      <c r="F59" s="100" t="s">
        <v>2819</v>
      </c>
      <c r="G59" s="107">
        <v>5000000</v>
      </c>
      <c r="H59" s="124" t="s">
        <v>2820</v>
      </c>
      <c r="I59" s="125" t="s">
        <v>3141</v>
      </c>
      <c r="J59" s="345">
        <v>0.4</v>
      </c>
      <c r="K59" s="371" t="s">
        <v>325</v>
      </c>
      <c r="L59" s="165" t="s">
        <v>3142</v>
      </c>
      <c r="M59" s="113">
        <v>43500000</v>
      </c>
      <c r="N59" s="113">
        <v>40431058</v>
      </c>
      <c r="O59" s="359"/>
      <c r="P59" s="645"/>
      <c r="Q59" s="624"/>
      <c r="R59" s="624"/>
      <c r="S59" s="276">
        <v>5000000</v>
      </c>
      <c r="T59" s="107">
        <v>5000000</v>
      </c>
      <c r="U59" s="124" t="s">
        <v>2820</v>
      </c>
      <c r="V59" s="125" t="s">
        <v>3141</v>
      </c>
      <c r="W59" s="125"/>
      <c r="X59" s="346">
        <v>0.1</v>
      </c>
      <c r="Y59" s="374">
        <v>0</v>
      </c>
      <c r="Z59" s="371" t="s">
        <v>325</v>
      </c>
      <c r="AA59" s="165" t="s">
        <v>3142</v>
      </c>
      <c r="AB59" s="158" t="e">
        <f>+#REF!</f>
        <v>#REF!</v>
      </c>
      <c r="AC59" s="149" t="e">
        <f>+#REF!</f>
        <v>#REF!</v>
      </c>
      <c r="AD59" s="149"/>
      <c r="AE59" s="149"/>
      <c r="AF59" s="151">
        <v>510</v>
      </c>
      <c r="AG59" s="157" t="e">
        <f>+#REF!-#REF!</f>
        <v>#REF!</v>
      </c>
      <c r="AH59" s="355" t="s">
        <v>3348</v>
      </c>
    </row>
    <row r="60" spans="1:34" ht="38.25" x14ac:dyDescent="0.25">
      <c r="A60" s="1243" t="s">
        <v>2814</v>
      </c>
      <c r="B60" s="1245" t="s">
        <v>3138</v>
      </c>
      <c r="C60" s="1243" t="s">
        <v>3030</v>
      </c>
      <c r="D60" s="1245" t="s">
        <v>3259</v>
      </c>
      <c r="E60" s="1243" t="s">
        <v>3032</v>
      </c>
      <c r="F60" s="1245" t="s">
        <v>3340</v>
      </c>
      <c r="G60" s="1262">
        <v>4600000000</v>
      </c>
      <c r="H60" s="1209" t="s">
        <v>3035</v>
      </c>
      <c r="I60" s="1209" t="s">
        <v>3036</v>
      </c>
      <c r="J60" s="359" t="s">
        <v>3454</v>
      </c>
      <c r="K60" s="109" t="s">
        <v>232</v>
      </c>
      <c r="L60" s="154" t="s">
        <v>3297</v>
      </c>
      <c r="M60" s="113">
        <v>4830889623</v>
      </c>
      <c r="N60" s="113">
        <v>113437936</v>
      </c>
      <c r="O60" s="359"/>
      <c r="P60" s="645"/>
      <c r="Q60" s="624"/>
      <c r="R60" s="624"/>
      <c r="S60" s="1265">
        <v>3500000000</v>
      </c>
      <c r="T60" s="1268">
        <v>3500000000</v>
      </c>
      <c r="U60" s="1209" t="s">
        <v>3035</v>
      </c>
      <c r="V60" s="1209" t="s">
        <v>3036</v>
      </c>
      <c r="W60" s="611"/>
      <c r="X60" s="359" t="s">
        <v>3457</v>
      </c>
      <c r="Y60" s="106">
        <v>0</v>
      </c>
      <c r="Z60" s="2" t="s">
        <v>232</v>
      </c>
      <c r="AA60" s="154" t="s">
        <v>3297</v>
      </c>
      <c r="AB60" s="158" t="e">
        <f>+#REF!</f>
        <v>#REF!</v>
      </c>
      <c r="AC60" s="149">
        <v>2919730921</v>
      </c>
      <c r="AD60" s="149"/>
      <c r="AE60" s="149"/>
      <c r="AF60" s="151">
        <v>111</v>
      </c>
      <c r="AG60" s="157" t="e">
        <f>+#REF!-#REF!</f>
        <v>#REF!</v>
      </c>
      <c r="AH60" s="1283" t="s">
        <v>3359</v>
      </c>
    </row>
    <row r="61" spans="1:34" ht="25.5" x14ac:dyDescent="0.25">
      <c r="A61" s="1244"/>
      <c r="B61" s="1246"/>
      <c r="C61" s="1244"/>
      <c r="D61" s="1246"/>
      <c r="E61" s="1244"/>
      <c r="F61" s="1246"/>
      <c r="G61" s="1277"/>
      <c r="H61" s="1209"/>
      <c r="I61" s="1209"/>
      <c r="J61" s="359" t="s">
        <v>3455</v>
      </c>
      <c r="K61" s="109" t="s">
        <v>230</v>
      </c>
      <c r="L61" s="154" t="s">
        <v>2811</v>
      </c>
      <c r="M61" s="113">
        <v>618650000</v>
      </c>
      <c r="N61" s="113">
        <v>358328172</v>
      </c>
      <c r="O61" s="359"/>
      <c r="P61" s="645"/>
      <c r="Q61" s="624"/>
      <c r="R61" s="624"/>
      <c r="S61" s="1278"/>
      <c r="T61" s="1284"/>
      <c r="U61" s="1209"/>
      <c r="V61" s="1209"/>
      <c r="W61" s="611"/>
      <c r="X61" s="359" t="s">
        <v>3458</v>
      </c>
      <c r="Y61" s="376"/>
      <c r="Z61" s="2" t="s">
        <v>230</v>
      </c>
      <c r="AA61" s="154" t="s">
        <v>2811</v>
      </c>
      <c r="AB61" s="158" t="e">
        <f>+#REF!</f>
        <v>#REF!</v>
      </c>
      <c r="AC61" s="149">
        <v>420908963</v>
      </c>
      <c r="AD61" s="149"/>
      <c r="AE61" s="149"/>
      <c r="AF61" s="151">
        <v>111</v>
      </c>
      <c r="AG61" s="157" t="e">
        <f>+#REF!-#REF!</f>
        <v>#REF!</v>
      </c>
      <c r="AH61" s="1283"/>
    </row>
    <row r="62" spans="1:34" ht="39" customHeight="1" x14ac:dyDescent="0.25">
      <c r="A62" s="1244"/>
      <c r="B62" s="1246"/>
      <c r="C62" s="1244"/>
      <c r="D62" s="1246"/>
      <c r="E62" s="1244"/>
      <c r="F62" s="1246"/>
      <c r="G62" s="1263"/>
      <c r="H62" s="1203"/>
      <c r="I62" s="1203"/>
      <c r="J62" s="359" t="s">
        <v>3456</v>
      </c>
      <c r="K62" s="247" t="s">
        <v>234</v>
      </c>
      <c r="L62" s="154" t="s">
        <v>3298</v>
      </c>
      <c r="M62" s="113"/>
      <c r="N62" s="113"/>
      <c r="O62" s="359"/>
      <c r="P62" s="645"/>
      <c r="Q62" s="624"/>
      <c r="R62" s="624"/>
      <c r="S62" s="1266"/>
      <c r="T62" s="1269"/>
      <c r="U62" s="1203"/>
      <c r="V62" s="1203"/>
      <c r="W62" s="608"/>
      <c r="X62" s="359" t="s">
        <v>3456</v>
      </c>
      <c r="Y62" s="102"/>
      <c r="Z62" s="363" t="s">
        <v>234</v>
      </c>
      <c r="AA62" s="154" t="s">
        <v>3298</v>
      </c>
      <c r="AB62" s="158" t="e">
        <f>+#REF!</f>
        <v>#REF!</v>
      </c>
      <c r="AC62" s="149" t="e">
        <f>+#REF!</f>
        <v>#REF!</v>
      </c>
      <c r="AD62" s="149"/>
      <c r="AE62" s="149"/>
      <c r="AF62" s="151">
        <v>111</v>
      </c>
      <c r="AG62" s="157" t="e">
        <f>+#REF!-#REF!</f>
        <v>#REF!</v>
      </c>
      <c r="AH62" s="355" t="s">
        <v>3361</v>
      </c>
    </row>
    <row r="63" spans="1:34" ht="49.5" customHeight="1" x14ac:dyDescent="0.25">
      <c r="A63" s="1209" t="s">
        <v>2814</v>
      </c>
      <c r="B63" s="1209" t="s">
        <v>3138</v>
      </c>
      <c r="C63" s="1209" t="s">
        <v>3030</v>
      </c>
      <c r="D63" s="1209" t="s">
        <v>3259</v>
      </c>
      <c r="E63" s="1209" t="s">
        <v>3032</v>
      </c>
      <c r="F63" s="1209" t="s">
        <v>3188</v>
      </c>
      <c r="G63" s="1214">
        <v>300000000</v>
      </c>
      <c r="H63" s="1209" t="s">
        <v>3042</v>
      </c>
      <c r="I63" s="1209" t="s">
        <v>3226</v>
      </c>
      <c r="J63" s="1209" t="s">
        <v>3459</v>
      </c>
      <c r="K63" s="359" t="s">
        <v>91</v>
      </c>
      <c r="L63" s="174" t="s">
        <v>3192</v>
      </c>
      <c r="M63" s="113">
        <v>67619227</v>
      </c>
      <c r="N63" s="113">
        <v>62537481</v>
      </c>
      <c r="O63" s="359"/>
      <c r="P63" s="659"/>
      <c r="Q63" s="671"/>
      <c r="R63" s="671"/>
      <c r="S63" s="1481">
        <v>680000000</v>
      </c>
      <c r="T63" s="1214">
        <v>680000000</v>
      </c>
      <c r="U63" s="1209" t="s">
        <v>3042</v>
      </c>
      <c r="V63" s="1209" t="s">
        <v>3226</v>
      </c>
      <c r="W63" s="611"/>
      <c r="X63" s="1209" t="s">
        <v>3460</v>
      </c>
      <c r="Y63" s="4"/>
      <c r="Z63" s="359" t="s">
        <v>91</v>
      </c>
      <c r="AA63" s="174" t="s">
        <v>3192</v>
      </c>
      <c r="AB63" s="158" t="e">
        <f>+#REF!</f>
        <v>#REF!</v>
      </c>
      <c r="AC63" s="149">
        <v>0</v>
      </c>
      <c r="AD63" s="149"/>
      <c r="AE63" s="149"/>
      <c r="AF63" s="151">
        <v>211</v>
      </c>
      <c r="AG63" s="157" t="e">
        <f>+#REF!-#REF!</f>
        <v>#REF!</v>
      </c>
      <c r="AH63" s="1205" t="s">
        <v>3360</v>
      </c>
    </row>
    <row r="64" spans="1:34" ht="49.5" customHeight="1" x14ac:dyDescent="0.25">
      <c r="A64" s="1209"/>
      <c r="B64" s="1209"/>
      <c r="C64" s="1209"/>
      <c r="D64" s="1209"/>
      <c r="E64" s="1209"/>
      <c r="F64" s="1209"/>
      <c r="G64" s="1214"/>
      <c r="H64" s="1209"/>
      <c r="I64" s="1209"/>
      <c r="J64" s="1209"/>
      <c r="K64" s="359" t="s">
        <v>93</v>
      </c>
      <c r="L64" s="174" t="s">
        <v>3189</v>
      </c>
      <c r="M64" s="113">
        <v>2057660</v>
      </c>
      <c r="N64" s="113">
        <v>1922700</v>
      </c>
      <c r="O64" s="359"/>
      <c r="P64" s="660"/>
      <c r="Q64" s="624"/>
      <c r="R64" s="624"/>
      <c r="S64" s="1482"/>
      <c r="T64" s="1214"/>
      <c r="U64" s="1209"/>
      <c r="V64" s="1209"/>
      <c r="W64" s="611"/>
      <c r="X64" s="1209"/>
      <c r="Y64" s="381">
        <v>0</v>
      </c>
      <c r="Z64" s="359" t="s">
        <v>93</v>
      </c>
      <c r="AA64" s="174" t="s">
        <v>3189</v>
      </c>
      <c r="AB64" s="158" t="e">
        <f>+#REF!</f>
        <v>#REF!</v>
      </c>
      <c r="AC64" s="149">
        <v>0</v>
      </c>
      <c r="AD64" s="149"/>
      <c r="AE64" s="149"/>
      <c r="AF64" s="151">
        <v>211</v>
      </c>
      <c r="AG64" s="157" t="e">
        <f>+#REF!-#REF!</f>
        <v>#REF!</v>
      </c>
      <c r="AH64" s="1199"/>
    </row>
    <row r="65" spans="1:34" ht="48.75" customHeight="1" x14ac:dyDescent="0.25">
      <c r="A65" s="1209"/>
      <c r="B65" s="1209"/>
      <c r="C65" s="1209"/>
      <c r="D65" s="1209"/>
      <c r="E65" s="1209"/>
      <c r="F65" s="1209"/>
      <c r="G65" s="1214"/>
      <c r="H65" s="1209"/>
      <c r="I65" s="1209"/>
      <c r="J65" s="1209"/>
      <c r="K65" s="359" t="s">
        <v>97</v>
      </c>
      <c r="L65" s="174" t="s">
        <v>3190</v>
      </c>
      <c r="M65" s="113">
        <v>27384250</v>
      </c>
      <c r="N65" s="113">
        <v>14840001</v>
      </c>
      <c r="O65" s="359"/>
      <c r="P65" s="660"/>
      <c r="Q65" s="624"/>
      <c r="R65" s="624"/>
      <c r="S65" s="1482"/>
      <c r="T65" s="1214"/>
      <c r="U65" s="1209"/>
      <c r="V65" s="1209"/>
      <c r="W65" s="611"/>
      <c r="X65" s="1209"/>
      <c r="Y65" s="128"/>
      <c r="Z65" s="359" t="s">
        <v>97</v>
      </c>
      <c r="AA65" s="174" t="s">
        <v>3190</v>
      </c>
      <c r="AB65" s="158" t="e">
        <f>+#REF!</f>
        <v>#REF!</v>
      </c>
      <c r="AC65" s="149">
        <v>0</v>
      </c>
      <c r="AD65" s="149"/>
      <c r="AE65" s="149"/>
      <c r="AF65" s="151">
        <v>211</v>
      </c>
      <c r="AG65" s="157" t="e">
        <f>+#REF!-#REF!</f>
        <v>#REF!</v>
      </c>
      <c r="AH65" s="1206"/>
    </row>
    <row r="66" spans="1:34" ht="50.25" customHeight="1" x14ac:dyDescent="0.25">
      <c r="A66" s="1209"/>
      <c r="B66" s="1209"/>
      <c r="C66" s="1209"/>
      <c r="D66" s="1209"/>
      <c r="E66" s="1209"/>
      <c r="F66" s="1209"/>
      <c r="G66" s="1214"/>
      <c r="H66" s="1209"/>
      <c r="I66" s="1209"/>
      <c r="J66" s="1209"/>
      <c r="K66" s="359" t="s">
        <v>95</v>
      </c>
      <c r="L66" s="174" t="s">
        <v>3191</v>
      </c>
      <c r="M66" s="113">
        <v>758380774</v>
      </c>
      <c r="N66" s="113">
        <v>526508834</v>
      </c>
      <c r="O66" s="359"/>
      <c r="P66" s="661"/>
      <c r="Q66" s="626"/>
      <c r="R66" s="626"/>
      <c r="S66" s="1483"/>
      <c r="T66" s="1214"/>
      <c r="U66" s="1209"/>
      <c r="V66" s="1209"/>
      <c r="W66" s="611"/>
      <c r="X66" s="1209"/>
      <c r="Y66" s="128"/>
      <c r="Z66" s="359" t="s">
        <v>95</v>
      </c>
      <c r="AA66" s="174" t="s">
        <v>3191</v>
      </c>
      <c r="AB66" s="158" t="e">
        <f>+#REF!</f>
        <v>#REF!</v>
      </c>
      <c r="AC66" s="149">
        <v>7254712</v>
      </c>
      <c r="AD66" s="149"/>
      <c r="AE66" s="149"/>
      <c r="AF66" s="151">
        <v>211</v>
      </c>
      <c r="AG66" s="157" t="e">
        <f>+#REF!-#REF!</f>
        <v>#REF!</v>
      </c>
      <c r="AH66" s="355" t="s">
        <v>3361</v>
      </c>
    </row>
    <row r="67" spans="1:34" ht="25.5" customHeight="1" x14ac:dyDescent="0.25">
      <c r="A67" s="1209" t="s">
        <v>2814</v>
      </c>
      <c r="B67" s="1209" t="s">
        <v>3138</v>
      </c>
      <c r="C67" s="1209" t="s">
        <v>3030</v>
      </c>
      <c r="D67" s="1209" t="s">
        <v>3259</v>
      </c>
      <c r="E67" s="1209" t="s">
        <v>3032</v>
      </c>
      <c r="F67" s="1209" t="s">
        <v>3193</v>
      </c>
      <c r="G67" s="1214">
        <v>2300000000</v>
      </c>
      <c r="H67" s="1209" t="s">
        <v>3052</v>
      </c>
      <c r="I67" s="1209" t="s">
        <v>3227</v>
      </c>
      <c r="J67" s="1203" t="s">
        <v>3461</v>
      </c>
      <c r="K67" s="2" t="s">
        <v>299</v>
      </c>
      <c r="L67" s="154" t="s">
        <v>300</v>
      </c>
      <c r="M67" s="113"/>
      <c r="N67" s="113"/>
      <c r="O67" s="359"/>
      <c r="P67" s="655"/>
      <c r="Q67" s="610"/>
      <c r="R67" s="610"/>
      <c r="S67" s="1480">
        <v>2650000000</v>
      </c>
      <c r="T67" s="351">
        <v>2750000000</v>
      </c>
      <c r="U67" s="1209" t="s">
        <v>3052</v>
      </c>
      <c r="V67" s="1209" t="s">
        <v>3227</v>
      </c>
      <c r="W67" s="608"/>
      <c r="X67" s="1203" t="s">
        <v>3462</v>
      </c>
      <c r="Y67" s="106">
        <v>0</v>
      </c>
      <c r="Z67" s="2" t="s">
        <v>299</v>
      </c>
      <c r="AA67" s="154" t="s">
        <v>300</v>
      </c>
      <c r="AB67" s="158" t="e">
        <f>+#REF!</f>
        <v>#REF!</v>
      </c>
      <c r="AC67" s="149">
        <v>0</v>
      </c>
      <c r="AD67" s="149"/>
      <c r="AE67" s="149"/>
      <c r="AF67" s="151">
        <v>211</v>
      </c>
      <c r="AG67" s="157" t="e">
        <f>+#REF!-#REF!</f>
        <v>#REF!</v>
      </c>
      <c r="AH67" s="355" t="s">
        <v>3362</v>
      </c>
    </row>
    <row r="68" spans="1:34" ht="25.5" x14ac:dyDescent="0.25">
      <c r="A68" s="1209"/>
      <c r="B68" s="1209"/>
      <c r="C68" s="1209"/>
      <c r="D68" s="1209"/>
      <c r="E68" s="1209"/>
      <c r="F68" s="1209"/>
      <c r="G68" s="1214"/>
      <c r="H68" s="1209"/>
      <c r="I68" s="1209"/>
      <c r="J68" s="1204"/>
      <c r="K68" s="2"/>
      <c r="L68" s="154" t="s">
        <v>3452</v>
      </c>
      <c r="M68" s="113">
        <v>73635000</v>
      </c>
      <c r="N68" s="113">
        <v>11985910</v>
      </c>
      <c r="O68" s="359"/>
      <c r="P68" s="655"/>
      <c r="Q68" s="610"/>
      <c r="R68" s="610"/>
      <c r="S68" s="1480"/>
      <c r="T68" s="352"/>
      <c r="U68" s="1209"/>
      <c r="V68" s="1209"/>
      <c r="W68" s="609"/>
      <c r="X68" s="1204"/>
      <c r="Y68" s="376"/>
      <c r="Z68" s="2"/>
      <c r="AA68" s="154"/>
      <c r="AB68" s="158"/>
      <c r="AC68" s="149"/>
      <c r="AD68" s="149"/>
      <c r="AE68" s="149"/>
      <c r="AF68" s="151"/>
      <c r="AG68" s="157"/>
      <c r="AH68" s="355"/>
    </row>
    <row r="69" spans="1:34" ht="39.75" customHeight="1" x14ac:dyDescent="0.25">
      <c r="A69" s="1209"/>
      <c r="B69" s="1209"/>
      <c r="C69" s="1209"/>
      <c r="D69" s="1209"/>
      <c r="E69" s="1209"/>
      <c r="F69" s="1209"/>
      <c r="G69" s="1214"/>
      <c r="H69" s="1209"/>
      <c r="I69" s="1209"/>
      <c r="J69" s="1204"/>
      <c r="K69" s="2" t="s">
        <v>277</v>
      </c>
      <c r="L69" s="154" t="s">
        <v>3251</v>
      </c>
      <c r="M69" s="113"/>
      <c r="N69" s="113"/>
      <c r="O69" s="359"/>
      <c r="P69" s="655"/>
      <c r="Q69" s="610"/>
      <c r="R69" s="610"/>
      <c r="S69" s="1480"/>
      <c r="T69" s="352"/>
      <c r="U69" s="1209"/>
      <c r="V69" s="1209"/>
      <c r="W69" s="609"/>
      <c r="X69" s="1204"/>
      <c r="Y69" s="376"/>
      <c r="Z69" s="2" t="s">
        <v>277</v>
      </c>
      <c r="AA69" s="154" t="s">
        <v>3251</v>
      </c>
      <c r="AB69" s="158" t="e">
        <f>+#REF!</f>
        <v>#REF!</v>
      </c>
      <c r="AC69" s="149">
        <v>8293965</v>
      </c>
      <c r="AD69" s="149"/>
      <c r="AE69" s="149"/>
      <c r="AF69" s="151">
        <v>211</v>
      </c>
      <c r="AG69" s="157" t="e">
        <f>+#REF!-#REF!</f>
        <v>#REF!</v>
      </c>
      <c r="AH69" s="355" t="s">
        <v>3362</v>
      </c>
    </row>
    <row r="70" spans="1:34" ht="42" customHeight="1" x14ac:dyDescent="0.25">
      <c r="A70" s="1209"/>
      <c r="B70" s="1209"/>
      <c r="C70" s="1209"/>
      <c r="D70" s="1209"/>
      <c r="E70" s="1209"/>
      <c r="F70" s="1209"/>
      <c r="G70" s="1214"/>
      <c r="H70" s="1209"/>
      <c r="I70" s="1209"/>
      <c r="J70" s="1204"/>
      <c r="K70" s="2" t="s">
        <v>180</v>
      </c>
      <c r="L70" s="154" t="s">
        <v>3247</v>
      </c>
      <c r="M70" s="113"/>
      <c r="N70" s="113"/>
      <c r="O70" s="359"/>
      <c r="P70" s="655"/>
      <c r="Q70" s="610"/>
      <c r="R70" s="610"/>
      <c r="S70" s="1480"/>
      <c r="T70" s="352"/>
      <c r="U70" s="1209"/>
      <c r="V70" s="1209"/>
      <c r="W70" s="609"/>
      <c r="X70" s="1204"/>
      <c r="Y70" s="376"/>
      <c r="Z70" s="2" t="s">
        <v>180</v>
      </c>
      <c r="AA70" s="154" t="s">
        <v>3247</v>
      </c>
      <c r="AB70" s="158" t="e">
        <f>+#REF!</f>
        <v>#REF!</v>
      </c>
      <c r="AC70" s="149">
        <v>0</v>
      </c>
      <c r="AD70" s="149"/>
      <c r="AE70" s="149"/>
      <c r="AF70" s="151">
        <v>211</v>
      </c>
      <c r="AG70" s="157" t="e">
        <f>+#REF!-#REF!</f>
        <v>#REF!</v>
      </c>
      <c r="AH70" s="355" t="s">
        <v>3362</v>
      </c>
    </row>
    <row r="71" spans="1:34" ht="25.5" x14ac:dyDescent="0.25">
      <c r="A71" s="1209"/>
      <c r="B71" s="1209"/>
      <c r="C71" s="1209"/>
      <c r="D71" s="1209"/>
      <c r="E71" s="1209"/>
      <c r="F71" s="1209"/>
      <c r="G71" s="1214"/>
      <c r="H71" s="1209"/>
      <c r="I71" s="1209"/>
      <c r="J71" s="1204"/>
      <c r="K71" s="2"/>
      <c r="L71" s="154" t="s">
        <v>3453</v>
      </c>
      <c r="M71" s="113">
        <v>25000000</v>
      </c>
      <c r="N71" s="113">
        <v>20100400</v>
      </c>
      <c r="O71" s="359"/>
      <c r="P71" s="655"/>
      <c r="Q71" s="610"/>
      <c r="R71" s="610"/>
      <c r="S71" s="1480"/>
      <c r="T71" s="352"/>
      <c r="U71" s="1209"/>
      <c r="V71" s="1209"/>
      <c r="W71" s="609"/>
      <c r="X71" s="1204"/>
      <c r="Y71" s="376"/>
      <c r="Z71" s="2"/>
      <c r="AA71" s="154"/>
      <c r="AB71" s="158"/>
      <c r="AC71" s="149"/>
      <c r="AD71" s="149"/>
      <c r="AE71" s="149"/>
      <c r="AF71" s="151"/>
      <c r="AG71" s="157"/>
      <c r="AH71" s="355"/>
    </row>
    <row r="72" spans="1:34" ht="40.5" customHeight="1" x14ac:dyDescent="0.25">
      <c r="A72" s="1209"/>
      <c r="B72" s="1209"/>
      <c r="C72" s="1209"/>
      <c r="D72" s="1209"/>
      <c r="E72" s="1209"/>
      <c r="F72" s="1209"/>
      <c r="G72" s="1214"/>
      <c r="H72" s="1209"/>
      <c r="I72" s="1209"/>
      <c r="J72" s="1204"/>
      <c r="K72" s="2" t="s">
        <v>284</v>
      </c>
      <c r="L72" s="154" t="s">
        <v>3255</v>
      </c>
      <c r="M72" s="113"/>
      <c r="N72" s="113"/>
      <c r="O72" s="359"/>
      <c r="P72" s="655"/>
      <c r="Q72" s="610"/>
      <c r="R72" s="610"/>
      <c r="S72" s="1480"/>
      <c r="T72" s="352"/>
      <c r="U72" s="1209"/>
      <c r="V72" s="1209"/>
      <c r="W72" s="609"/>
      <c r="X72" s="1204"/>
      <c r="Y72" s="376"/>
      <c r="Z72" s="2" t="s">
        <v>284</v>
      </c>
      <c r="AA72" s="154" t="s">
        <v>3255</v>
      </c>
      <c r="AB72" s="158" t="e">
        <f>+#REF!</f>
        <v>#REF!</v>
      </c>
      <c r="AC72" s="149">
        <v>0</v>
      </c>
      <c r="AD72" s="149"/>
      <c r="AE72" s="149"/>
      <c r="AF72" s="151">
        <v>211</v>
      </c>
      <c r="AG72" s="157" t="e">
        <f>+#REF!-#REF!</f>
        <v>#REF!</v>
      </c>
      <c r="AH72" s="355" t="s">
        <v>3363</v>
      </c>
    </row>
    <row r="73" spans="1:34" ht="41.25" customHeight="1" x14ac:dyDescent="0.25">
      <c r="A73" s="1209"/>
      <c r="B73" s="1209"/>
      <c r="C73" s="1209"/>
      <c r="D73" s="1209"/>
      <c r="E73" s="1209"/>
      <c r="F73" s="1209"/>
      <c r="G73" s="1214"/>
      <c r="H73" s="1209"/>
      <c r="I73" s="1209"/>
      <c r="J73" s="1204"/>
      <c r="K73" s="2" t="s">
        <v>289</v>
      </c>
      <c r="L73" s="154" t="s">
        <v>3246</v>
      </c>
      <c r="M73" s="113">
        <v>174000000</v>
      </c>
      <c r="N73" s="113">
        <v>173638600</v>
      </c>
      <c r="O73" s="359"/>
      <c r="P73" s="655"/>
      <c r="Q73" s="610"/>
      <c r="R73" s="610"/>
      <c r="S73" s="1480"/>
      <c r="T73" s="352"/>
      <c r="U73" s="1209"/>
      <c r="V73" s="1209"/>
      <c r="W73" s="609"/>
      <c r="X73" s="1204"/>
      <c r="Y73" s="376"/>
      <c r="Z73" s="2" t="s">
        <v>289</v>
      </c>
      <c r="AA73" s="154" t="s">
        <v>3246</v>
      </c>
      <c r="AB73" s="158" t="e">
        <f>+#REF!</f>
        <v>#REF!</v>
      </c>
      <c r="AC73" s="149">
        <v>0</v>
      </c>
      <c r="AD73" s="149"/>
      <c r="AE73" s="149"/>
      <c r="AF73" s="151">
        <v>211</v>
      </c>
      <c r="AG73" s="157" t="e">
        <f>+#REF!-#REF!</f>
        <v>#REF!</v>
      </c>
      <c r="AH73" s="355" t="s">
        <v>3363</v>
      </c>
    </row>
    <row r="74" spans="1:34" ht="37.5" customHeight="1" x14ac:dyDescent="0.25">
      <c r="A74" s="1209"/>
      <c r="B74" s="1209"/>
      <c r="C74" s="1209"/>
      <c r="D74" s="1209"/>
      <c r="E74" s="1209"/>
      <c r="F74" s="1209"/>
      <c r="G74" s="1214"/>
      <c r="H74" s="1209"/>
      <c r="I74" s="1209"/>
      <c r="J74" s="1204"/>
      <c r="K74" s="2" t="s">
        <v>294</v>
      </c>
      <c r="L74" s="154" t="s">
        <v>3254</v>
      </c>
      <c r="M74" s="113"/>
      <c r="N74" s="113"/>
      <c r="O74" s="359"/>
      <c r="P74" s="655"/>
      <c r="Q74" s="610"/>
      <c r="R74" s="610"/>
      <c r="S74" s="1480"/>
      <c r="T74" s="352"/>
      <c r="U74" s="1209"/>
      <c r="V74" s="1209"/>
      <c r="W74" s="609"/>
      <c r="X74" s="1204"/>
      <c r="Y74" s="376"/>
      <c r="Z74" s="2" t="s">
        <v>294</v>
      </c>
      <c r="AA74" s="154" t="s">
        <v>3254</v>
      </c>
      <c r="AB74" s="158" t="e">
        <f>+#REF!</f>
        <v>#REF!</v>
      </c>
      <c r="AC74" s="149">
        <v>0</v>
      </c>
      <c r="AD74" s="149"/>
      <c r="AE74" s="149"/>
      <c r="AF74" s="151">
        <v>211</v>
      </c>
      <c r="AG74" s="157" t="e">
        <f>+#REF!-#REF!</f>
        <v>#REF!</v>
      </c>
      <c r="AH74" s="355" t="s">
        <v>3363</v>
      </c>
    </row>
    <row r="75" spans="1:34" ht="67.5" customHeight="1" x14ac:dyDescent="0.25">
      <c r="A75" s="1209"/>
      <c r="B75" s="1209"/>
      <c r="C75" s="1209"/>
      <c r="D75" s="1209"/>
      <c r="E75" s="1209"/>
      <c r="F75" s="1209"/>
      <c r="G75" s="1214"/>
      <c r="H75" s="1209"/>
      <c r="I75" s="1209"/>
      <c r="J75" s="1204"/>
      <c r="K75" s="2" t="s">
        <v>308</v>
      </c>
      <c r="L75" s="154" t="s">
        <v>3242</v>
      </c>
      <c r="M75" s="113"/>
      <c r="N75" s="113"/>
      <c r="O75" s="359"/>
      <c r="P75" s="655"/>
      <c r="Q75" s="610"/>
      <c r="R75" s="610"/>
      <c r="S75" s="1480"/>
      <c r="T75" s="352"/>
      <c r="U75" s="1209"/>
      <c r="V75" s="1209"/>
      <c r="W75" s="609"/>
      <c r="X75" s="1204"/>
      <c r="Y75" s="102"/>
      <c r="Z75" s="2" t="s">
        <v>308</v>
      </c>
      <c r="AA75" s="154" t="s">
        <v>3242</v>
      </c>
      <c r="AB75" s="158" t="e">
        <f>+#REF!</f>
        <v>#REF!</v>
      </c>
      <c r="AC75" s="149">
        <v>0</v>
      </c>
      <c r="AD75" s="149"/>
      <c r="AE75" s="149"/>
      <c r="AF75" s="151">
        <v>211</v>
      </c>
      <c r="AG75" s="157" t="e">
        <f>+#REF!-#REF!</f>
        <v>#REF!</v>
      </c>
      <c r="AH75" s="355" t="s">
        <v>3363</v>
      </c>
    </row>
    <row r="76" spans="1:34" ht="39" customHeight="1" x14ac:dyDescent="0.25">
      <c r="A76" s="1209"/>
      <c r="B76" s="1209"/>
      <c r="C76" s="1209"/>
      <c r="D76" s="1209"/>
      <c r="E76" s="1209"/>
      <c r="F76" s="1209"/>
      <c r="G76" s="1214"/>
      <c r="H76" s="1209"/>
      <c r="I76" s="1209"/>
      <c r="J76" s="1204"/>
      <c r="K76" s="2" t="s">
        <v>188</v>
      </c>
      <c r="L76" s="154" t="s">
        <v>3244</v>
      </c>
      <c r="M76" s="113"/>
      <c r="N76" s="113"/>
      <c r="O76" s="359"/>
      <c r="P76" s="655"/>
      <c r="Q76" s="610"/>
      <c r="R76" s="610"/>
      <c r="S76" s="1480"/>
      <c r="T76" s="352"/>
      <c r="U76" s="1209"/>
      <c r="V76" s="1209"/>
      <c r="W76" s="609"/>
      <c r="X76" s="1204"/>
      <c r="Y76" s="102"/>
      <c r="Z76" s="2" t="s">
        <v>188</v>
      </c>
      <c r="AA76" s="154" t="s">
        <v>3244</v>
      </c>
      <c r="AB76" s="158" t="e">
        <f>+#REF!</f>
        <v>#REF!</v>
      </c>
      <c r="AC76" s="149">
        <v>0</v>
      </c>
      <c r="AD76" s="149"/>
      <c r="AE76" s="149"/>
      <c r="AF76" s="151">
        <v>211</v>
      </c>
      <c r="AG76" s="157" t="e">
        <f>+#REF!-#REF!</f>
        <v>#REF!</v>
      </c>
      <c r="AH76" s="355" t="s">
        <v>3363</v>
      </c>
    </row>
    <row r="77" spans="1:34" ht="66" customHeight="1" x14ac:dyDescent="0.25">
      <c r="A77" s="1209"/>
      <c r="B77" s="1209"/>
      <c r="C77" s="1209"/>
      <c r="D77" s="1209"/>
      <c r="E77" s="1209"/>
      <c r="F77" s="1209"/>
      <c r="G77" s="1214"/>
      <c r="H77" s="1209"/>
      <c r="I77" s="1209"/>
      <c r="J77" s="1204"/>
      <c r="K77" s="2" t="s">
        <v>154</v>
      </c>
      <c r="L77" s="154" t="s">
        <v>155</v>
      </c>
      <c r="M77" s="113"/>
      <c r="N77" s="113"/>
      <c r="O77" s="359"/>
      <c r="P77" s="655"/>
      <c r="Q77" s="610"/>
      <c r="R77" s="610"/>
      <c r="S77" s="1480"/>
      <c r="T77" s="352"/>
      <c r="U77" s="1209"/>
      <c r="V77" s="1209"/>
      <c r="W77" s="609"/>
      <c r="X77" s="1204"/>
      <c r="Y77" s="102"/>
      <c r="Z77" s="2" t="s">
        <v>154</v>
      </c>
      <c r="AA77" s="154" t="s">
        <v>155</v>
      </c>
      <c r="AB77" s="158" t="e">
        <f>+#REF!</f>
        <v>#REF!</v>
      </c>
      <c r="AC77" s="149">
        <v>0</v>
      </c>
      <c r="AD77" s="149"/>
      <c r="AE77" s="149"/>
      <c r="AF77" s="151">
        <v>211</v>
      </c>
      <c r="AG77" s="157" t="e">
        <f>+#REF!-#REF!</f>
        <v>#REF!</v>
      </c>
      <c r="AH77" s="355" t="s">
        <v>3366</v>
      </c>
    </row>
    <row r="78" spans="1:34" ht="30.75" customHeight="1" x14ac:dyDescent="0.25">
      <c r="A78" s="1209"/>
      <c r="B78" s="1209"/>
      <c r="C78" s="1209"/>
      <c r="D78" s="1209"/>
      <c r="E78" s="1209"/>
      <c r="F78" s="1209"/>
      <c r="G78" s="1214"/>
      <c r="H78" s="1209"/>
      <c r="I78" s="1209"/>
      <c r="J78" s="1204"/>
      <c r="K78" s="2" t="s">
        <v>146</v>
      </c>
      <c r="L78" s="154" t="s">
        <v>3252</v>
      </c>
      <c r="M78" s="113"/>
      <c r="N78" s="113"/>
      <c r="O78" s="359"/>
      <c r="P78" s="655"/>
      <c r="Q78" s="610"/>
      <c r="R78" s="610"/>
      <c r="S78" s="1480"/>
      <c r="T78" s="352"/>
      <c r="U78" s="1209"/>
      <c r="V78" s="1209"/>
      <c r="W78" s="609"/>
      <c r="X78" s="1204"/>
      <c r="Y78" s="102"/>
      <c r="Z78" s="2" t="s">
        <v>146</v>
      </c>
      <c r="AA78" s="154" t="s">
        <v>3252</v>
      </c>
      <c r="AB78" s="158" t="e">
        <f>+#REF!</f>
        <v>#REF!</v>
      </c>
      <c r="AC78" s="149">
        <v>0</v>
      </c>
      <c r="AD78" s="149"/>
      <c r="AE78" s="149"/>
      <c r="AF78" s="151">
        <v>211</v>
      </c>
      <c r="AG78" s="157" t="e">
        <f>+#REF!-#REF!</f>
        <v>#REF!</v>
      </c>
      <c r="AH78" s="355" t="s">
        <v>3364</v>
      </c>
    </row>
    <row r="79" spans="1:34" ht="31.5" customHeight="1" x14ac:dyDescent="0.25">
      <c r="A79" s="1209"/>
      <c r="B79" s="1209"/>
      <c r="C79" s="1209"/>
      <c r="D79" s="1209"/>
      <c r="E79" s="1209"/>
      <c r="F79" s="1209"/>
      <c r="G79" s="1214"/>
      <c r="H79" s="1209"/>
      <c r="I79" s="1209"/>
      <c r="J79" s="1204"/>
      <c r="K79" s="2" t="s">
        <v>144</v>
      </c>
      <c r="L79" s="154" t="s">
        <v>3256</v>
      </c>
      <c r="M79" s="113"/>
      <c r="N79" s="113"/>
      <c r="O79" s="359"/>
      <c r="P79" s="655"/>
      <c r="Q79" s="610"/>
      <c r="R79" s="610"/>
      <c r="S79" s="1480"/>
      <c r="T79" s="352"/>
      <c r="U79" s="1209"/>
      <c r="V79" s="1209"/>
      <c r="W79" s="609"/>
      <c r="X79" s="1204"/>
      <c r="Y79" s="102"/>
      <c r="Z79" s="2" t="s">
        <v>144</v>
      </c>
      <c r="AA79" s="154" t="s">
        <v>3256</v>
      </c>
      <c r="AB79" s="158" t="e">
        <f>+#REF!</f>
        <v>#REF!</v>
      </c>
      <c r="AC79" s="149">
        <v>0</v>
      </c>
      <c r="AD79" s="149"/>
      <c r="AE79" s="149"/>
      <c r="AF79" s="151">
        <v>211</v>
      </c>
      <c r="AG79" s="157" t="e">
        <f>+#REF!-#REF!</f>
        <v>#REF!</v>
      </c>
      <c r="AH79" s="355" t="s">
        <v>3364</v>
      </c>
    </row>
    <row r="80" spans="1:34" ht="32.25" customHeight="1" x14ac:dyDescent="0.25">
      <c r="A80" s="1209"/>
      <c r="B80" s="1209"/>
      <c r="C80" s="1209"/>
      <c r="D80" s="1209"/>
      <c r="E80" s="1209"/>
      <c r="F80" s="1209"/>
      <c r="G80" s="1214"/>
      <c r="H80" s="1209"/>
      <c r="I80" s="1209"/>
      <c r="J80" s="1204"/>
      <c r="K80" s="2" t="s">
        <v>142</v>
      </c>
      <c r="L80" s="154" t="s">
        <v>3245</v>
      </c>
      <c r="M80" s="113"/>
      <c r="N80" s="113"/>
      <c r="O80" s="359"/>
      <c r="P80" s="655"/>
      <c r="Q80" s="610"/>
      <c r="R80" s="610"/>
      <c r="S80" s="1480"/>
      <c r="T80" s="352"/>
      <c r="U80" s="1209"/>
      <c r="V80" s="1209"/>
      <c r="W80" s="609"/>
      <c r="X80" s="1204"/>
      <c r="Y80" s="102"/>
      <c r="Z80" s="2" t="s">
        <v>142</v>
      </c>
      <c r="AA80" s="154" t="s">
        <v>3245</v>
      </c>
      <c r="AB80" s="158" t="e">
        <f>+#REF!</f>
        <v>#REF!</v>
      </c>
      <c r="AC80" s="149">
        <v>0</v>
      </c>
      <c r="AD80" s="149"/>
      <c r="AE80" s="149"/>
      <c r="AF80" s="151">
        <v>211</v>
      </c>
      <c r="AG80" s="157" t="e">
        <f>+#REF!-#REF!</f>
        <v>#REF!</v>
      </c>
      <c r="AH80" s="355" t="s">
        <v>3364</v>
      </c>
    </row>
    <row r="81" spans="1:34" ht="27.75" customHeight="1" x14ac:dyDescent="0.25">
      <c r="A81" s="1209"/>
      <c r="B81" s="1209"/>
      <c r="C81" s="1209"/>
      <c r="D81" s="1209"/>
      <c r="E81" s="1209"/>
      <c r="F81" s="1209"/>
      <c r="G81" s="1214"/>
      <c r="H81" s="1209"/>
      <c r="I81" s="1209"/>
      <c r="J81" s="1204"/>
      <c r="K81" s="2" t="s">
        <v>250</v>
      </c>
      <c r="L81" s="154" t="s">
        <v>251</v>
      </c>
      <c r="M81" s="113"/>
      <c r="N81" s="113"/>
      <c r="O81" s="359"/>
      <c r="P81" s="655"/>
      <c r="Q81" s="610"/>
      <c r="R81" s="610"/>
      <c r="S81" s="1480"/>
      <c r="T81" s="352"/>
      <c r="U81" s="1209"/>
      <c r="V81" s="1209"/>
      <c r="W81" s="609"/>
      <c r="X81" s="1204"/>
      <c r="Y81" s="102"/>
      <c r="Z81" s="2" t="s">
        <v>250</v>
      </c>
      <c r="AA81" s="154" t="s">
        <v>251</v>
      </c>
      <c r="AB81" s="158" t="e">
        <f>+#REF!</f>
        <v>#REF!</v>
      </c>
      <c r="AC81" s="149">
        <v>0</v>
      </c>
      <c r="AD81" s="149"/>
      <c r="AE81" s="149"/>
      <c r="AF81" s="151">
        <v>211</v>
      </c>
      <c r="AG81" s="157" t="e">
        <f>+#REF!-#REF!</f>
        <v>#REF!</v>
      </c>
      <c r="AH81" s="355" t="s">
        <v>3364</v>
      </c>
    </row>
    <row r="82" spans="1:34" ht="28.5" customHeight="1" x14ac:dyDescent="0.25">
      <c r="A82" s="1209"/>
      <c r="B82" s="1209"/>
      <c r="C82" s="1209"/>
      <c r="D82" s="1209"/>
      <c r="E82" s="1209"/>
      <c r="F82" s="1209"/>
      <c r="G82" s="1214"/>
      <c r="H82" s="1209"/>
      <c r="I82" s="1209"/>
      <c r="J82" s="1204"/>
      <c r="K82" s="2" t="s">
        <v>164</v>
      </c>
      <c r="L82" s="154" t="s">
        <v>165</v>
      </c>
      <c r="M82" s="113"/>
      <c r="N82" s="113"/>
      <c r="O82" s="359"/>
      <c r="P82" s="655"/>
      <c r="Q82" s="610"/>
      <c r="R82" s="610"/>
      <c r="S82" s="1480"/>
      <c r="T82" s="352"/>
      <c r="U82" s="1209"/>
      <c r="V82" s="1209"/>
      <c r="W82" s="609"/>
      <c r="X82" s="1204"/>
      <c r="Y82" s="102"/>
      <c r="Z82" s="2" t="s">
        <v>164</v>
      </c>
      <c r="AA82" s="154" t="s">
        <v>165</v>
      </c>
      <c r="AB82" s="158" t="e">
        <f>+#REF!</f>
        <v>#REF!</v>
      </c>
      <c r="AC82" s="149">
        <v>0</v>
      </c>
      <c r="AD82" s="149"/>
      <c r="AE82" s="149"/>
      <c r="AF82" s="151">
        <v>211</v>
      </c>
      <c r="AG82" s="157" t="e">
        <f>+#REF!-#REF!</f>
        <v>#REF!</v>
      </c>
      <c r="AH82" s="355" t="s">
        <v>3368</v>
      </c>
    </row>
    <row r="83" spans="1:34" ht="58.5" customHeight="1" x14ac:dyDescent="0.25">
      <c r="A83" s="1209"/>
      <c r="B83" s="1209"/>
      <c r="C83" s="1209"/>
      <c r="D83" s="1209"/>
      <c r="E83" s="1209"/>
      <c r="F83" s="1209"/>
      <c r="G83" s="1214"/>
      <c r="H83" s="1209"/>
      <c r="I83" s="1209"/>
      <c r="J83" s="1204"/>
      <c r="K83" s="2" t="s">
        <v>172</v>
      </c>
      <c r="L83" s="154" t="s">
        <v>3249</v>
      </c>
      <c r="M83" s="113"/>
      <c r="N83" s="113"/>
      <c r="O83" s="359"/>
      <c r="P83" s="655"/>
      <c r="Q83" s="610"/>
      <c r="R83" s="610"/>
      <c r="S83" s="1480"/>
      <c r="T83" s="352"/>
      <c r="U83" s="1209"/>
      <c r="V83" s="1209"/>
      <c r="W83" s="609"/>
      <c r="X83" s="1204"/>
      <c r="Y83" s="102"/>
      <c r="Z83" s="2" t="s">
        <v>172</v>
      </c>
      <c r="AA83" s="154" t="s">
        <v>3249</v>
      </c>
      <c r="AB83" s="158" t="e">
        <f>+#REF!</f>
        <v>#REF!</v>
      </c>
      <c r="AC83" s="149">
        <v>0</v>
      </c>
      <c r="AD83" s="149"/>
      <c r="AE83" s="149"/>
      <c r="AF83" s="151">
        <v>211</v>
      </c>
      <c r="AG83" s="157" t="e">
        <f>+#REF!-#REF!</f>
        <v>#REF!</v>
      </c>
      <c r="AH83" s="355" t="s">
        <v>3367</v>
      </c>
    </row>
    <row r="84" spans="1:34" ht="37.5" customHeight="1" x14ac:dyDescent="0.25">
      <c r="A84" s="1209"/>
      <c r="B84" s="1209"/>
      <c r="C84" s="1209"/>
      <c r="D84" s="1209"/>
      <c r="E84" s="1209"/>
      <c r="F84" s="1209"/>
      <c r="G84" s="1214"/>
      <c r="H84" s="1209"/>
      <c r="I84" s="1209"/>
      <c r="J84" s="1204"/>
      <c r="K84" s="2" t="s">
        <v>73</v>
      </c>
      <c r="L84" s="154" t="s">
        <v>74</v>
      </c>
      <c r="M84" s="113">
        <v>15000000</v>
      </c>
      <c r="N84" s="113">
        <v>15000000</v>
      </c>
      <c r="O84" s="359"/>
      <c r="P84" s="655"/>
      <c r="Q84" s="610"/>
      <c r="R84" s="610"/>
      <c r="S84" s="1480"/>
      <c r="T84" s="352"/>
      <c r="U84" s="1209"/>
      <c r="V84" s="1209"/>
      <c r="W84" s="609"/>
      <c r="X84" s="1204"/>
      <c r="Y84" s="102"/>
      <c r="Z84" s="2" t="s">
        <v>73</v>
      </c>
      <c r="AA84" s="154" t="s">
        <v>74</v>
      </c>
      <c r="AB84" s="158" t="e">
        <f>+#REF!</f>
        <v>#REF!</v>
      </c>
      <c r="AC84" s="149">
        <v>0</v>
      </c>
      <c r="AD84" s="149"/>
      <c r="AE84" s="149"/>
      <c r="AF84" s="151">
        <v>211</v>
      </c>
      <c r="AG84" s="157" t="e">
        <f>+#REF!-#REF!</f>
        <v>#REF!</v>
      </c>
      <c r="AH84" s="355" t="s">
        <v>3365</v>
      </c>
    </row>
    <row r="85" spans="1:34" ht="37.5" customHeight="1" x14ac:dyDescent="0.25">
      <c r="A85" s="1209"/>
      <c r="B85" s="1209"/>
      <c r="C85" s="1209"/>
      <c r="D85" s="1209"/>
      <c r="E85" s="1209"/>
      <c r="F85" s="1209"/>
      <c r="G85" s="1214"/>
      <c r="H85" s="1209"/>
      <c r="I85" s="1209"/>
      <c r="J85" s="1204"/>
      <c r="K85" s="2" t="s">
        <v>206</v>
      </c>
      <c r="L85" s="154" t="s">
        <v>3250</v>
      </c>
      <c r="M85" s="113"/>
      <c r="N85" s="113"/>
      <c r="O85" s="359"/>
      <c r="P85" s="655"/>
      <c r="Q85" s="610"/>
      <c r="R85" s="610"/>
      <c r="S85" s="1480"/>
      <c r="T85" s="352"/>
      <c r="U85" s="1209"/>
      <c r="V85" s="1209"/>
      <c r="W85" s="609"/>
      <c r="X85" s="1204"/>
      <c r="Y85" s="102"/>
      <c r="Z85" s="2" t="s">
        <v>206</v>
      </c>
      <c r="AA85" s="154" t="s">
        <v>3250</v>
      </c>
      <c r="AB85" s="158" t="e">
        <f>+#REF!</f>
        <v>#REF!</v>
      </c>
      <c r="AC85" s="149">
        <v>0</v>
      </c>
      <c r="AD85" s="149"/>
      <c r="AE85" s="149"/>
      <c r="AF85" s="151">
        <v>211</v>
      </c>
      <c r="AG85" s="157" t="e">
        <f>+#REF!-#REF!</f>
        <v>#REF!</v>
      </c>
      <c r="AH85" s="355" t="s">
        <v>3365</v>
      </c>
    </row>
    <row r="86" spans="1:34" ht="51" customHeight="1" x14ac:dyDescent="0.25">
      <c r="A86" s="1209"/>
      <c r="B86" s="1209"/>
      <c r="C86" s="1209"/>
      <c r="D86" s="1209"/>
      <c r="E86" s="1209"/>
      <c r="F86" s="1209"/>
      <c r="G86" s="1214"/>
      <c r="H86" s="1209"/>
      <c r="I86" s="1209"/>
      <c r="J86" s="1204"/>
      <c r="K86" s="2" t="s">
        <v>208</v>
      </c>
      <c r="L86" s="154" t="s">
        <v>3243</v>
      </c>
      <c r="M86" s="113"/>
      <c r="N86" s="113"/>
      <c r="O86" s="359"/>
      <c r="P86" s="655"/>
      <c r="Q86" s="610"/>
      <c r="R86" s="610"/>
      <c r="S86" s="1480"/>
      <c r="T86" s="352"/>
      <c r="U86" s="1209"/>
      <c r="V86" s="1209"/>
      <c r="W86" s="609"/>
      <c r="X86" s="1204"/>
      <c r="Y86" s="102"/>
      <c r="Z86" s="2" t="s">
        <v>208</v>
      </c>
      <c r="AA86" s="154" t="s">
        <v>3243</v>
      </c>
      <c r="AB86" s="158" t="e">
        <f>+#REF!</f>
        <v>#REF!</v>
      </c>
      <c r="AC86" s="149">
        <v>0</v>
      </c>
      <c r="AD86" s="149"/>
      <c r="AE86" s="149"/>
      <c r="AF86" s="151">
        <v>211</v>
      </c>
      <c r="AG86" s="157" t="e">
        <f>+#REF!-#REF!</f>
        <v>#REF!</v>
      </c>
      <c r="AH86" s="355" t="s">
        <v>3365</v>
      </c>
    </row>
    <row r="87" spans="1:34" ht="31.5" customHeight="1" x14ac:dyDescent="0.25">
      <c r="A87" s="1209"/>
      <c r="B87" s="1209"/>
      <c r="C87" s="1209"/>
      <c r="D87" s="1209"/>
      <c r="E87" s="1209"/>
      <c r="F87" s="1209"/>
      <c r="G87" s="1214"/>
      <c r="H87" s="1209"/>
      <c r="I87" s="1209"/>
      <c r="J87" s="1204"/>
      <c r="K87" s="2" t="s">
        <v>203</v>
      </c>
      <c r="L87" s="154" t="s">
        <v>3257</v>
      </c>
      <c r="M87" s="113"/>
      <c r="N87" s="113"/>
      <c r="O87" s="359"/>
      <c r="P87" s="655"/>
      <c r="Q87" s="610"/>
      <c r="R87" s="610"/>
      <c r="S87" s="1480"/>
      <c r="T87" s="352"/>
      <c r="U87" s="1209"/>
      <c r="V87" s="1209"/>
      <c r="W87" s="609"/>
      <c r="X87" s="1204"/>
      <c r="Y87" s="102"/>
      <c r="Z87" s="2" t="s">
        <v>203</v>
      </c>
      <c r="AA87" s="154" t="s">
        <v>3257</v>
      </c>
      <c r="AB87" s="158" t="e">
        <f>+#REF!</f>
        <v>#REF!</v>
      </c>
      <c r="AC87" s="149">
        <v>0</v>
      </c>
      <c r="AD87" s="149"/>
      <c r="AE87" s="149"/>
      <c r="AF87" s="151">
        <v>211</v>
      </c>
      <c r="AG87" s="157" t="e">
        <f>+#REF!-#REF!</f>
        <v>#REF!</v>
      </c>
      <c r="AH87" s="355" t="s">
        <v>3365</v>
      </c>
    </row>
    <row r="88" spans="1:34" ht="38.25" x14ac:dyDescent="0.25">
      <c r="A88" s="1209"/>
      <c r="B88" s="1209"/>
      <c r="C88" s="1209"/>
      <c r="D88" s="1209"/>
      <c r="E88" s="1209"/>
      <c r="F88" s="1209"/>
      <c r="G88" s="1214"/>
      <c r="H88" s="1209"/>
      <c r="I88" s="1209"/>
      <c r="J88" s="1204"/>
      <c r="K88" s="2" t="s">
        <v>210</v>
      </c>
      <c r="L88" s="154" t="s">
        <v>3248</v>
      </c>
      <c r="M88" s="113"/>
      <c r="N88" s="113"/>
      <c r="O88" s="359"/>
      <c r="P88" s="655"/>
      <c r="Q88" s="610"/>
      <c r="R88" s="610"/>
      <c r="S88" s="1480"/>
      <c r="T88" s="352"/>
      <c r="U88" s="1209"/>
      <c r="V88" s="1209"/>
      <c r="W88" s="609"/>
      <c r="X88" s="1204"/>
      <c r="Y88" s="102"/>
      <c r="Z88" s="2" t="s">
        <v>210</v>
      </c>
      <c r="AA88" s="154" t="s">
        <v>3248</v>
      </c>
      <c r="AB88" s="158" t="e">
        <f>+#REF!</f>
        <v>#REF!</v>
      </c>
      <c r="AC88" s="149">
        <v>0</v>
      </c>
      <c r="AD88" s="149"/>
      <c r="AE88" s="149"/>
      <c r="AF88" s="151">
        <v>211</v>
      </c>
      <c r="AG88" s="157" t="e">
        <f>+#REF!-#REF!</f>
        <v>#REF!</v>
      </c>
      <c r="AH88" s="355" t="s">
        <v>3365</v>
      </c>
    </row>
    <row r="89" spans="1:34" ht="41.25" customHeight="1" x14ac:dyDescent="0.25">
      <c r="A89" s="1209" t="s">
        <v>2814</v>
      </c>
      <c r="B89" s="1209" t="s">
        <v>3138</v>
      </c>
      <c r="C89" s="1203" t="s">
        <v>3030</v>
      </c>
      <c r="D89" s="1203" t="s">
        <v>3259</v>
      </c>
      <c r="E89" s="1203" t="s">
        <v>3032</v>
      </c>
      <c r="F89" s="1203" t="s">
        <v>3193</v>
      </c>
      <c r="G89" s="1251"/>
      <c r="H89" s="1203" t="s">
        <v>3052</v>
      </c>
      <c r="I89" s="1203" t="s">
        <v>3227</v>
      </c>
      <c r="J89" s="1209" t="s">
        <v>3461</v>
      </c>
      <c r="K89" s="2" t="s">
        <v>1652</v>
      </c>
      <c r="L89" s="154" t="s">
        <v>3253</v>
      </c>
      <c r="M89" s="113">
        <v>97700000</v>
      </c>
      <c r="N89" s="113">
        <v>56540745</v>
      </c>
      <c r="O89" s="359"/>
      <c r="P89" s="659"/>
      <c r="Q89" s="671"/>
      <c r="R89" s="671"/>
      <c r="S89" s="1477"/>
      <c r="T89" s="352"/>
      <c r="U89" s="1203" t="s">
        <v>3052</v>
      </c>
      <c r="V89" s="1203" t="s">
        <v>3227</v>
      </c>
      <c r="W89" s="608"/>
      <c r="X89" s="1209" t="s">
        <v>3462</v>
      </c>
      <c r="Y89" s="102"/>
      <c r="Z89" s="2" t="s">
        <v>1652</v>
      </c>
      <c r="AA89" s="154" t="s">
        <v>3253</v>
      </c>
      <c r="AB89" s="158" t="e">
        <f>+#REF!</f>
        <v>#REF!</v>
      </c>
      <c r="AC89" s="149">
        <v>0</v>
      </c>
      <c r="AD89" s="149"/>
      <c r="AE89" s="149"/>
      <c r="AF89" s="151">
        <v>211</v>
      </c>
      <c r="AG89" s="157" t="e">
        <f>+#REF!-#REF!</f>
        <v>#REF!</v>
      </c>
      <c r="AH89" s="355" t="s">
        <v>3369</v>
      </c>
    </row>
    <row r="90" spans="1:34" ht="39" customHeight="1" x14ac:dyDescent="0.25">
      <c r="A90" s="1209"/>
      <c r="B90" s="1209"/>
      <c r="C90" s="1204"/>
      <c r="D90" s="1204"/>
      <c r="E90" s="1204"/>
      <c r="F90" s="1204"/>
      <c r="G90" s="1252"/>
      <c r="H90" s="1204"/>
      <c r="I90" s="1204"/>
      <c r="J90" s="1209"/>
      <c r="K90" s="2" t="s">
        <v>3341</v>
      </c>
      <c r="L90" s="154" t="s">
        <v>3342</v>
      </c>
      <c r="M90" s="113">
        <v>300146151</v>
      </c>
      <c r="N90" s="113">
        <v>244968174</v>
      </c>
      <c r="O90" s="359"/>
      <c r="P90" s="660"/>
      <c r="Q90" s="624"/>
      <c r="R90" s="624"/>
      <c r="S90" s="1478"/>
      <c r="T90" s="353"/>
      <c r="U90" s="1204"/>
      <c r="V90" s="1204"/>
      <c r="W90" s="609"/>
      <c r="X90" s="1209"/>
      <c r="Y90" s="102"/>
      <c r="Z90" s="2" t="s">
        <v>3341</v>
      </c>
      <c r="AA90" s="154" t="s">
        <v>3342</v>
      </c>
      <c r="AB90" s="158" t="e">
        <f>+#REF!</f>
        <v>#REF!</v>
      </c>
      <c r="AC90" s="149">
        <v>0</v>
      </c>
      <c r="AD90" s="149"/>
      <c r="AE90" s="149"/>
      <c r="AF90" s="151">
        <v>211</v>
      </c>
      <c r="AG90" s="157"/>
      <c r="AH90" s="355" t="s">
        <v>3364</v>
      </c>
    </row>
    <row r="91" spans="1:34" ht="39" customHeight="1" x14ac:dyDescent="0.25">
      <c r="A91" s="1209"/>
      <c r="B91" s="1209"/>
      <c r="C91" s="1204"/>
      <c r="D91" s="1204"/>
      <c r="E91" s="1210"/>
      <c r="F91" s="1210"/>
      <c r="G91" s="1253"/>
      <c r="H91" s="1210"/>
      <c r="I91" s="1210"/>
      <c r="J91" s="1209"/>
      <c r="K91" s="2" t="s">
        <v>3412</v>
      </c>
      <c r="L91" s="154" t="s">
        <v>3413</v>
      </c>
      <c r="M91" s="113"/>
      <c r="N91" s="113"/>
      <c r="O91" s="369"/>
      <c r="P91" s="661"/>
      <c r="Q91" s="626"/>
      <c r="R91" s="626"/>
      <c r="S91" s="1479"/>
      <c r="T91" s="367"/>
      <c r="U91" s="1210"/>
      <c r="V91" s="1210"/>
      <c r="W91" s="612"/>
      <c r="X91" s="1209"/>
      <c r="Y91" s="102"/>
      <c r="Z91" s="2" t="s">
        <v>3412</v>
      </c>
      <c r="AA91" s="154" t="s">
        <v>3413</v>
      </c>
      <c r="AB91" s="158" t="e">
        <f>+#REF!</f>
        <v>#REF!</v>
      </c>
      <c r="AC91" s="149">
        <v>0</v>
      </c>
      <c r="AD91" s="149"/>
      <c r="AE91" s="241"/>
      <c r="AF91" s="199">
        <v>211</v>
      </c>
      <c r="AG91" s="232"/>
      <c r="AH91" s="355" t="s">
        <v>3365</v>
      </c>
    </row>
    <row r="92" spans="1:34" ht="92.25" customHeight="1" x14ac:dyDescent="0.25">
      <c r="A92" s="1209"/>
      <c r="B92" s="1209"/>
      <c r="C92" s="1210"/>
      <c r="D92" s="1210"/>
      <c r="E92" s="359" t="s">
        <v>3076</v>
      </c>
      <c r="F92" s="131" t="s">
        <v>237</v>
      </c>
      <c r="G92" s="380">
        <v>10000000</v>
      </c>
      <c r="H92" s="359" t="s">
        <v>3077</v>
      </c>
      <c r="I92" s="131" t="s">
        <v>3258</v>
      </c>
      <c r="J92" s="379">
        <v>0</v>
      </c>
      <c r="K92" s="363" t="s">
        <v>236</v>
      </c>
      <c r="L92" s="171" t="s">
        <v>237</v>
      </c>
      <c r="M92" s="113"/>
      <c r="N92" s="113"/>
      <c r="O92" s="359"/>
      <c r="P92" s="655"/>
      <c r="Q92" s="610"/>
      <c r="R92" s="610"/>
      <c r="S92" s="644">
        <v>90000000</v>
      </c>
      <c r="T92" s="380">
        <v>90000000</v>
      </c>
      <c r="U92" s="359" t="s">
        <v>3077</v>
      </c>
      <c r="V92" s="131" t="s">
        <v>3258</v>
      </c>
      <c r="W92" s="235"/>
      <c r="X92" s="384">
        <v>1</v>
      </c>
      <c r="Y92" s="116">
        <v>0</v>
      </c>
      <c r="Z92" s="363" t="s">
        <v>236</v>
      </c>
      <c r="AA92" s="171" t="s">
        <v>237</v>
      </c>
      <c r="AB92" s="158" t="e">
        <f>+#REF!</f>
        <v>#REF!</v>
      </c>
      <c r="AC92" s="149">
        <v>0</v>
      </c>
      <c r="AD92" s="149"/>
      <c r="AE92" s="241"/>
      <c r="AF92" s="199">
        <v>111</v>
      </c>
      <c r="AG92" s="232" t="e">
        <f>+#REF!-#REF!</f>
        <v>#REF!</v>
      </c>
      <c r="AH92" s="388" t="s">
        <v>3359</v>
      </c>
    </row>
    <row r="93" spans="1:34" ht="31.5" customHeight="1" x14ac:dyDescent="0.25">
      <c r="A93" s="1209" t="s">
        <v>3408</v>
      </c>
      <c r="B93" s="1209"/>
      <c r="C93" s="1209"/>
      <c r="D93" s="1209"/>
      <c r="E93" s="1209"/>
      <c r="F93" s="1209"/>
      <c r="G93" s="380">
        <f>SUM(G56:G92)</f>
        <v>7265000000</v>
      </c>
      <c r="H93" s="1207"/>
      <c r="I93" s="1208"/>
      <c r="J93" s="1208"/>
      <c r="K93" s="1207"/>
      <c r="L93" s="1208"/>
      <c r="M93" s="380">
        <f>SUM(M56:M92)</f>
        <v>7058962685</v>
      </c>
      <c r="N93" s="380">
        <f>SUM(N56:N92)</f>
        <v>1659830011</v>
      </c>
      <c r="O93" s="267"/>
      <c r="P93" s="650"/>
      <c r="Q93" s="267"/>
      <c r="R93" s="267"/>
      <c r="S93" s="644">
        <f>SUM(S56:S92)</f>
        <v>7025000000</v>
      </c>
      <c r="T93" s="380">
        <f>SUM(T56:T92)</f>
        <v>7125000000</v>
      </c>
      <c r="U93" s="1207"/>
      <c r="V93" s="1208"/>
      <c r="W93" s="1208"/>
      <c r="X93" s="1208"/>
      <c r="Y93" s="1217"/>
      <c r="Z93" s="1207"/>
      <c r="AA93" s="1208"/>
      <c r="AB93" s="133" t="e">
        <f>SUM(AB56:AB92)</f>
        <v>#REF!</v>
      </c>
      <c r="AC93" s="133" t="e">
        <f>SUM(AC56:AC92)</f>
        <v>#REF!</v>
      </c>
      <c r="AD93" s="133"/>
      <c r="AE93" s="133"/>
      <c r="AF93" s="1209"/>
      <c r="AG93" s="1209"/>
      <c r="AH93" s="1209"/>
    </row>
    <row r="94" spans="1:34" ht="19.5" customHeight="1" x14ac:dyDescent="0.25">
      <c r="A94" s="117"/>
      <c r="B94" s="117"/>
      <c r="C94" s="117"/>
      <c r="D94" s="117"/>
      <c r="E94" s="117"/>
      <c r="F94" s="117"/>
      <c r="G94" s="129"/>
      <c r="H94" s="117"/>
      <c r="I94" s="117"/>
      <c r="J94" s="117"/>
      <c r="K94" s="117"/>
      <c r="L94" s="117"/>
      <c r="M94" s="117"/>
      <c r="N94" s="117"/>
      <c r="O94" s="117"/>
      <c r="P94" s="658"/>
      <c r="Q94" s="117"/>
      <c r="R94" s="117"/>
      <c r="S94" s="129"/>
      <c r="T94" s="129"/>
      <c r="U94" s="117"/>
      <c r="V94" s="117"/>
      <c r="W94" s="117"/>
      <c r="X94" s="117"/>
      <c r="Y94" s="121"/>
      <c r="Z94" s="233"/>
      <c r="AA94" s="224"/>
      <c r="AB94" s="225"/>
      <c r="AC94" s="222"/>
      <c r="AD94" s="222"/>
      <c r="AE94" s="222"/>
      <c r="AF94" s="164"/>
      <c r="AG94" s="164"/>
      <c r="AH94" s="185"/>
    </row>
    <row r="95" spans="1:34" ht="63.75" x14ac:dyDescent="0.25">
      <c r="A95" s="2" t="s">
        <v>3111</v>
      </c>
      <c r="B95" s="100" t="s">
        <v>3112</v>
      </c>
      <c r="C95" s="2" t="s">
        <v>3113</v>
      </c>
      <c r="D95" s="100" t="s">
        <v>3202</v>
      </c>
      <c r="E95" s="2" t="s">
        <v>3115</v>
      </c>
      <c r="F95" s="100" t="s">
        <v>3266</v>
      </c>
      <c r="G95" s="107">
        <v>25000000</v>
      </c>
      <c r="H95" s="2" t="s">
        <v>3117</v>
      </c>
      <c r="I95" s="100" t="s">
        <v>3277</v>
      </c>
      <c r="J95" s="110">
        <v>0.3</v>
      </c>
      <c r="K95" s="2" t="s">
        <v>196</v>
      </c>
      <c r="L95" s="154" t="s">
        <v>3207</v>
      </c>
      <c r="M95" s="113">
        <v>11598885</v>
      </c>
      <c r="N95" s="113">
        <v>11159653</v>
      </c>
      <c r="O95" s="110">
        <v>0.33</v>
      </c>
      <c r="P95" s="662"/>
      <c r="Q95" s="672"/>
      <c r="R95" s="672"/>
      <c r="S95" s="276">
        <v>25000000</v>
      </c>
      <c r="T95" s="107">
        <v>25000000</v>
      </c>
      <c r="U95" s="2" t="s">
        <v>3117</v>
      </c>
      <c r="V95" s="100" t="s">
        <v>3277</v>
      </c>
      <c r="W95" s="100"/>
      <c r="X95" s="110">
        <v>0.3</v>
      </c>
      <c r="Y95" s="101">
        <v>0</v>
      </c>
      <c r="Z95" s="2" t="s">
        <v>196</v>
      </c>
      <c r="AA95" s="154" t="s">
        <v>3207</v>
      </c>
      <c r="AB95" s="158" t="e">
        <f>+#REF!</f>
        <v>#REF!</v>
      </c>
      <c r="AC95" s="149">
        <v>32622093</v>
      </c>
      <c r="AD95" s="149"/>
      <c r="AE95" s="149"/>
      <c r="AF95" s="151">
        <v>510</v>
      </c>
      <c r="AG95" s="157" t="e">
        <f>+#REF!-#REF!</f>
        <v>#REF!</v>
      </c>
      <c r="AH95" s="1205" t="s">
        <v>3359</v>
      </c>
    </row>
    <row r="96" spans="1:34" ht="76.5" x14ac:dyDescent="0.25">
      <c r="A96" s="2" t="s">
        <v>3111</v>
      </c>
      <c r="B96" s="100" t="s">
        <v>3112</v>
      </c>
      <c r="C96" s="2" t="s">
        <v>3113</v>
      </c>
      <c r="D96" s="100" t="s">
        <v>3202</v>
      </c>
      <c r="E96" s="2" t="s">
        <v>3125</v>
      </c>
      <c r="F96" s="100" t="s">
        <v>3268</v>
      </c>
      <c r="G96" s="107">
        <v>30000000</v>
      </c>
      <c r="H96" s="2" t="s">
        <v>3127</v>
      </c>
      <c r="I96" s="100" t="s">
        <v>3280</v>
      </c>
      <c r="J96" s="2">
        <v>4</v>
      </c>
      <c r="K96" s="2" t="s">
        <v>194</v>
      </c>
      <c r="L96" s="154" t="s">
        <v>195</v>
      </c>
      <c r="M96" s="113">
        <v>1200000</v>
      </c>
      <c r="N96" s="113">
        <v>244368</v>
      </c>
      <c r="O96" s="2">
        <v>0</v>
      </c>
      <c r="P96" s="647"/>
      <c r="Q96" s="668"/>
      <c r="R96" s="668"/>
      <c r="S96" s="276">
        <v>30000000</v>
      </c>
      <c r="T96" s="107">
        <v>30000000</v>
      </c>
      <c r="U96" s="2" t="s">
        <v>3127</v>
      </c>
      <c r="V96" s="100" t="s">
        <v>3280</v>
      </c>
      <c r="W96" s="100"/>
      <c r="X96" s="2">
        <v>4</v>
      </c>
      <c r="Y96" s="101">
        <v>0</v>
      </c>
      <c r="Z96" s="2" t="s">
        <v>194</v>
      </c>
      <c r="AA96" s="154" t="s">
        <v>195</v>
      </c>
      <c r="AB96" s="158" t="e">
        <f>+#REF!</f>
        <v>#REF!</v>
      </c>
      <c r="AC96" s="149">
        <v>28486666</v>
      </c>
      <c r="AD96" s="149"/>
      <c r="AE96" s="149"/>
      <c r="AF96" s="151">
        <v>510</v>
      </c>
      <c r="AG96" s="157" t="e">
        <f>+#REF!-#REF!</f>
        <v>#REF!</v>
      </c>
      <c r="AH96" s="1206"/>
    </row>
    <row r="97" spans="1:34" ht="81.75" customHeight="1" x14ac:dyDescent="0.25">
      <c r="A97" s="363" t="s">
        <v>3111</v>
      </c>
      <c r="B97" s="365" t="s">
        <v>3112</v>
      </c>
      <c r="C97" s="363" t="s">
        <v>3113</v>
      </c>
      <c r="D97" s="365" t="s">
        <v>3202</v>
      </c>
      <c r="E97" s="363" t="s">
        <v>3120</v>
      </c>
      <c r="F97" s="365" t="s">
        <v>3267</v>
      </c>
      <c r="G97" s="373">
        <v>10000000</v>
      </c>
      <c r="H97" s="363" t="s">
        <v>3122</v>
      </c>
      <c r="I97" s="365" t="s">
        <v>3278</v>
      </c>
      <c r="J97" s="363">
        <v>4</v>
      </c>
      <c r="K97" s="363" t="s">
        <v>50</v>
      </c>
      <c r="L97" s="171" t="s">
        <v>3385</v>
      </c>
      <c r="M97" s="113">
        <v>0</v>
      </c>
      <c r="N97" s="113">
        <v>0</v>
      </c>
      <c r="O97" s="363">
        <v>21</v>
      </c>
      <c r="P97" s="654"/>
      <c r="Q97" s="623"/>
      <c r="R97" s="623"/>
      <c r="S97" s="622">
        <v>10000000</v>
      </c>
      <c r="T97" s="373">
        <v>10000000</v>
      </c>
      <c r="U97" s="363" t="s">
        <v>3122</v>
      </c>
      <c r="V97" s="365" t="s">
        <v>3278</v>
      </c>
      <c r="W97" s="618"/>
      <c r="X97" s="363">
        <v>6</v>
      </c>
      <c r="Y97" s="116">
        <v>0</v>
      </c>
      <c r="Z97" s="363" t="s">
        <v>50</v>
      </c>
      <c r="AA97" s="171" t="s">
        <v>3385</v>
      </c>
      <c r="AB97" s="391" t="e">
        <f>+#REF!</f>
        <v>#REF!</v>
      </c>
      <c r="AC97" s="149">
        <v>0</v>
      </c>
      <c r="AD97" s="149"/>
      <c r="AE97" s="241"/>
      <c r="AF97" s="199">
        <v>510</v>
      </c>
      <c r="AG97" s="232" t="e">
        <f>+#REF!-#REF!</f>
        <v>#REF!</v>
      </c>
      <c r="AH97" s="388" t="s">
        <v>3370</v>
      </c>
    </row>
    <row r="98" spans="1:34" ht="28.5" customHeight="1" x14ac:dyDescent="0.25">
      <c r="A98" s="1209" t="s">
        <v>3409</v>
      </c>
      <c r="B98" s="1209"/>
      <c r="C98" s="1209"/>
      <c r="D98" s="1209"/>
      <c r="E98" s="1209"/>
      <c r="F98" s="1209"/>
      <c r="G98" s="380">
        <f>SUM(G95:G97)</f>
        <v>65000000</v>
      </c>
      <c r="H98" s="1207"/>
      <c r="I98" s="1208"/>
      <c r="J98" s="1208"/>
      <c r="K98" s="1207"/>
      <c r="L98" s="1208"/>
      <c r="M98" s="380">
        <f>SUM(M95:M97)</f>
        <v>12798885</v>
      </c>
      <c r="N98" s="380">
        <f>SUM(N95:N97)</f>
        <v>11404021</v>
      </c>
      <c r="O98" s="267"/>
      <c r="P98" s="650"/>
      <c r="Q98" s="267"/>
      <c r="R98" s="267"/>
      <c r="S98" s="644">
        <f>SUM(S95:S97)</f>
        <v>65000000</v>
      </c>
      <c r="T98" s="380"/>
      <c r="U98" s="1207"/>
      <c r="V98" s="1208"/>
      <c r="W98" s="1208"/>
      <c r="X98" s="1208"/>
      <c r="Y98" s="1217"/>
      <c r="Z98" s="1207"/>
      <c r="AA98" s="1208"/>
      <c r="AB98" s="133" t="e">
        <f>SUM(AB95:AB97)</f>
        <v>#REF!</v>
      </c>
      <c r="AC98" s="133">
        <f>SUM(AC95:AC97)</f>
        <v>61108759</v>
      </c>
      <c r="AD98" s="133"/>
      <c r="AE98" s="133"/>
      <c r="AF98" s="1209"/>
      <c r="AG98" s="1209"/>
      <c r="AH98" s="1209"/>
    </row>
    <row r="99" spans="1:34" ht="15.75" customHeight="1" x14ac:dyDescent="0.25">
      <c r="A99" s="117"/>
      <c r="B99" s="117"/>
      <c r="C99" s="117"/>
      <c r="D99" s="117"/>
      <c r="E99" s="117"/>
      <c r="F99" s="117"/>
      <c r="G99" s="129"/>
      <c r="H99" s="117"/>
      <c r="I99" s="117"/>
      <c r="J99" s="117"/>
      <c r="K99" s="117"/>
      <c r="L99" s="117"/>
      <c r="M99" s="117"/>
      <c r="N99" s="117"/>
      <c r="O99" s="117"/>
      <c r="P99" s="658"/>
      <c r="Q99" s="117"/>
      <c r="R99" s="117"/>
      <c r="S99" s="129"/>
      <c r="T99" s="129"/>
      <c r="U99" s="117"/>
      <c r="V99" s="117"/>
      <c r="W99" s="117"/>
      <c r="X99" s="117"/>
      <c r="Y99" s="121"/>
      <c r="Z99" s="233"/>
      <c r="AA99" s="224"/>
      <c r="AB99" s="225"/>
      <c r="AC99" s="222"/>
      <c r="AD99" s="222"/>
      <c r="AE99" s="222"/>
      <c r="AF99" s="164"/>
      <c r="AG99" s="164"/>
      <c r="AH99" s="185"/>
    </row>
    <row r="100" spans="1:34" ht="71.25" customHeight="1" x14ac:dyDescent="0.25">
      <c r="A100" s="2" t="s">
        <v>2826</v>
      </c>
      <c r="B100" s="100" t="s">
        <v>2827</v>
      </c>
      <c r="C100" s="2" t="s">
        <v>2828</v>
      </c>
      <c r="D100" s="1259" t="s">
        <v>3371</v>
      </c>
      <c r="E100" s="2" t="s">
        <v>2830</v>
      </c>
      <c r="F100" s="100" t="s">
        <v>3372</v>
      </c>
      <c r="G100" s="107">
        <v>150000000</v>
      </c>
      <c r="H100" s="363" t="s">
        <v>2832</v>
      </c>
      <c r="I100" s="365" t="s">
        <v>3386</v>
      </c>
      <c r="J100" s="363">
        <v>50</v>
      </c>
      <c r="K100" s="2" t="s">
        <v>351</v>
      </c>
      <c r="L100" s="154" t="s">
        <v>3325</v>
      </c>
      <c r="M100" s="113">
        <v>130774363</v>
      </c>
      <c r="N100" s="113">
        <v>71961584</v>
      </c>
      <c r="O100" s="363"/>
      <c r="P100" s="654"/>
      <c r="Q100" s="623"/>
      <c r="R100" s="623"/>
      <c r="S100" s="276">
        <v>150000000</v>
      </c>
      <c r="T100" s="107">
        <v>150000000</v>
      </c>
      <c r="U100" s="363" t="s">
        <v>2832</v>
      </c>
      <c r="V100" s="365" t="s">
        <v>3386</v>
      </c>
      <c r="W100" s="618"/>
      <c r="X100" s="363">
        <v>50</v>
      </c>
      <c r="Y100" s="101">
        <v>0</v>
      </c>
      <c r="Z100" s="2" t="s">
        <v>351</v>
      </c>
      <c r="AA100" s="154" t="s">
        <v>3325</v>
      </c>
      <c r="AB100" s="158" t="e">
        <f>+#REF!</f>
        <v>#REF!</v>
      </c>
      <c r="AC100" s="149">
        <v>123610905</v>
      </c>
      <c r="AD100" s="149"/>
      <c r="AE100" s="149"/>
      <c r="AF100" s="151">
        <v>310</v>
      </c>
      <c r="AG100" s="157" t="e">
        <f>+#REF!-#REF!</f>
        <v>#REF!</v>
      </c>
      <c r="AH100" s="355" t="s">
        <v>3361</v>
      </c>
    </row>
    <row r="101" spans="1:34" ht="74.25" customHeight="1" x14ac:dyDescent="0.25">
      <c r="A101" s="2" t="s">
        <v>2826</v>
      </c>
      <c r="B101" s="100" t="s">
        <v>2827</v>
      </c>
      <c r="C101" s="2" t="s">
        <v>2828</v>
      </c>
      <c r="D101" s="1260"/>
      <c r="E101" s="2" t="s">
        <v>2835</v>
      </c>
      <c r="F101" s="100" t="s">
        <v>3344</v>
      </c>
      <c r="G101" s="107">
        <v>15000000</v>
      </c>
      <c r="H101" s="363" t="s">
        <v>2837</v>
      </c>
      <c r="I101" s="365" t="s">
        <v>3345</v>
      </c>
      <c r="J101" s="363">
        <v>600</v>
      </c>
      <c r="K101" s="2" t="s">
        <v>362</v>
      </c>
      <c r="L101" s="154" t="s">
        <v>363</v>
      </c>
      <c r="M101" s="113">
        <v>45000000</v>
      </c>
      <c r="N101" s="113">
        <v>17557768</v>
      </c>
      <c r="O101" s="363">
        <v>1457</v>
      </c>
      <c r="P101" s="654"/>
      <c r="Q101" s="623"/>
      <c r="R101" s="623"/>
      <c r="S101" s="276">
        <v>15000000</v>
      </c>
      <c r="T101" s="107">
        <v>15000000</v>
      </c>
      <c r="U101" s="363" t="s">
        <v>2837</v>
      </c>
      <c r="V101" s="365" t="s">
        <v>3345</v>
      </c>
      <c r="W101" s="618"/>
      <c r="X101" s="363">
        <v>600</v>
      </c>
      <c r="Y101" s="101">
        <v>0</v>
      </c>
      <c r="Z101" s="2" t="s">
        <v>362</v>
      </c>
      <c r="AA101" s="154" t="s">
        <v>363</v>
      </c>
      <c r="AB101" s="158" t="e">
        <f>+#REF!</f>
        <v>#REF!</v>
      </c>
      <c r="AC101" s="149">
        <v>11638898</v>
      </c>
      <c r="AD101" s="149"/>
      <c r="AE101" s="149"/>
      <c r="AF101" s="151">
        <v>510</v>
      </c>
      <c r="AG101" s="157" t="e">
        <f>+#REF!-#REF!</f>
        <v>#REF!</v>
      </c>
      <c r="AH101" s="355" t="s">
        <v>3353</v>
      </c>
    </row>
    <row r="102" spans="1:34" ht="63.75" x14ac:dyDescent="0.25">
      <c r="A102" s="2" t="s">
        <v>2826</v>
      </c>
      <c r="B102" s="100" t="s">
        <v>2827</v>
      </c>
      <c r="C102" s="2" t="s">
        <v>2840</v>
      </c>
      <c r="D102" s="100" t="s">
        <v>434</v>
      </c>
      <c r="E102" s="2" t="s">
        <v>2841</v>
      </c>
      <c r="F102" s="100" t="s">
        <v>3387</v>
      </c>
      <c r="G102" s="107">
        <v>50000000</v>
      </c>
      <c r="H102" s="363" t="s">
        <v>2843</v>
      </c>
      <c r="I102" s="365" t="s">
        <v>2844</v>
      </c>
      <c r="J102" s="349">
        <v>0.02</v>
      </c>
      <c r="K102" s="2" t="s">
        <v>374</v>
      </c>
      <c r="L102" s="154" t="s">
        <v>3327</v>
      </c>
      <c r="M102" s="113"/>
      <c r="N102" s="113"/>
      <c r="O102" s="363"/>
      <c r="P102" s="654"/>
      <c r="Q102" s="623"/>
      <c r="R102" s="623"/>
      <c r="S102" s="276">
        <v>60000000</v>
      </c>
      <c r="T102" s="107">
        <v>60000000</v>
      </c>
      <c r="U102" s="363" t="s">
        <v>2843</v>
      </c>
      <c r="V102" s="365" t="s">
        <v>2844</v>
      </c>
      <c r="W102" s="618"/>
      <c r="X102" s="349">
        <v>0.01</v>
      </c>
      <c r="Y102" s="101">
        <v>0</v>
      </c>
      <c r="Z102" s="2" t="s">
        <v>374</v>
      </c>
      <c r="AA102" s="154" t="s">
        <v>3327</v>
      </c>
      <c r="AB102" s="158" t="e">
        <f>+#REF!</f>
        <v>#REF!</v>
      </c>
      <c r="AC102" s="149">
        <v>3605000</v>
      </c>
      <c r="AD102" s="149"/>
      <c r="AE102" s="149"/>
      <c r="AF102" s="151">
        <v>301</v>
      </c>
      <c r="AG102" s="157" t="e">
        <f>+#REF!-#REF!</f>
        <v>#REF!</v>
      </c>
      <c r="AH102" s="1257" t="s">
        <v>3373</v>
      </c>
    </row>
    <row r="103" spans="1:34" ht="63.75" x14ac:dyDescent="0.25">
      <c r="A103" s="2" t="s">
        <v>2826</v>
      </c>
      <c r="B103" s="100" t="s">
        <v>2827</v>
      </c>
      <c r="C103" s="2" t="s">
        <v>2840</v>
      </c>
      <c r="D103" s="100" t="s">
        <v>434</v>
      </c>
      <c r="E103" s="2" t="s">
        <v>2841</v>
      </c>
      <c r="F103" s="100" t="s">
        <v>2846</v>
      </c>
      <c r="G103" s="107">
        <v>30000000</v>
      </c>
      <c r="H103" s="363" t="s">
        <v>2847</v>
      </c>
      <c r="I103" s="365" t="s">
        <v>2848</v>
      </c>
      <c r="J103" s="349">
        <v>0.01</v>
      </c>
      <c r="K103" s="2" t="s">
        <v>372</v>
      </c>
      <c r="L103" s="154" t="s">
        <v>3326</v>
      </c>
      <c r="M103" s="113"/>
      <c r="N103" s="113"/>
      <c r="O103" s="363"/>
      <c r="P103" s="654"/>
      <c r="Q103" s="623"/>
      <c r="R103" s="623"/>
      <c r="S103" s="276">
        <v>50000000</v>
      </c>
      <c r="T103" s="107">
        <v>50000000</v>
      </c>
      <c r="U103" s="363" t="s">
        <v>2847</v>
      </c>
      <c r="V103" s="365" t="s">
        <v>2848</v>
      </c>
      <c r="W103" s="618"/>
      <c r="X103" s="349">
        <v>0.01</v>
      </c>
      <c r="Y103" s="101">
        <v>0</v>
      </c>
      <c r="Z103" s="2" t="s">
        <v>372</v>
      </c>
      <c r="AA103" s="154" t="s">
        <v>3326</v>
      </c>
      <c r="AB103" s="158" t="e">
        <f>+#REF!</f>
        <v>#REF!</v>
      </c>
      <c r="AC103" s="149">
        <v>11238596</v>
      </c>
      <c r="AD103" s="149"/>
      <c r="AE103" s="149"/>
      <c r="AF103" s="151">
        <v>301</v>
      </c>
      <c r="AG103" s="157" t="e">
        <f>+#REF!-#REF!</f>
        <v>#REF!</v>
      </c>
      <c r="AH103" s="1258"/>
    </row>
    <row r="104" spans="1:34" ht="51" customHeight="1" x14ac:dyDescent="0.25">
      <c r="A104" s="2" t="s">
        <v>2826</v>
      </c>
      <c r="B104" s="100" t="s">
        <v>2827</v>
      </c>
      <c r="C104" s="2" t="s">
        <v>2840</v>
      </c>
      <c r="D104" s="100" t="s">
        <v>434</v>
      </c>
      <c r="E104" s="2" t="s">
        <v>2841</v>
      </c>
      <c r="F104" s="100" t="s">
        <v>2850</v>
      </c>
      <c r="G104" s="107">
        <v>25000000</v>
      </c>
      <c r="H104" s="363" t="s">
        <v>2851</v>
      </c>
      <c r="I104" s="365" t="s">
        <v>2852</v>
      </c>
      <c r="J104" s="349">
        <v>0.03</v>
      </c>
      <c r="K104" s="2" t="s">
        <v>337</v>
      </c>
      <c r="L104" s="154" t="s">
        <v>3328</v>
      </c>
      <c r="M104" s="113">
        <v>15222764</v>
      </c>
      <c r="N104" s="113">
        <v>12222764</v>
      </c>
      <c r="O104" s="363"/>
      <c r="P104" s="654"/>
      <c r="Q104" s="623"/>
      <c r="R104" s="623"/>
      <c r="S104" s="276">
        <v>35000000</v>
      </c>
      <c r="T104" s="107">
        <v>35000000</v>
      </c>
      <c r="U104" s="363" t="s">
        <v>2851</v>
      </c>
      <c r="V104" s="365" t="s">
        <v>2852</v>
      </c>
      <c r="W104" s="618"/>
      <c r="X104" s="349">
        <v>7.0000000000000007E-2</v>
      </c>
      <c r="Y104" s="101">
        <v>0</v>
      </c>
      <c r="Z104" s="2" t="s">
        <v>337</v>
      </c>
      <c r="AA104" s="154" t="s">
        <v>3328</v>
      </c>
      <c r="AB104" s="158" t="e">
        <f>+#REF!</f>
        <v>#REF!</v>
      </c>
      <c r="AC104" s="149">
        <v>26631097</v>
      </c>
      <c r="AD104" s="149"/>
      <c r="AE104" s="149"/>
      <c r="AF104" s="151">
        <v>301</v>
      </c>
      <c r="AG104" s="157" t="e">
        <f>+#REF!-#REF!</f>
        <v>#REF!</v>
      </c>
      <c r="AH104" s="1198" t="s">
        <v>3373</v>
      </c>
    </row>
    <row r="105" spans="1:34" ht="51" x14ac:dyDescent="0.25">
      <c r="A105" s="2" t="s">
        <v>2826</v>
      </c>
      <c r="B105" s="100" t="s">
        <v>2827</v>
      </c>
      <c r="C105" s="2" t="s">
        <v>2840</v>
      </c>
      <c r="D105" s="100" t="s">
        <v>434</v>
      </c>
      <c r="E105" s="2" t="s">
        <v>2841</v>
      </c>
      <c r="F105" s="100" t="s">
        <v>2854</v>
      </c>
      <c r="G105" s="107">
        <v>20000000</v>
      </c>
      <c r="H105" s="363" t="s">
        <v>2855</v>
      </c>
      <c r="I105" s="365" t="s">
        <v>2856</v>
      </c>
      <c r="J105" s="349">
        <v>0.05</v>
      </c>
      <c r="K105" s="2" t="s">
        <v>219</v>
      </c>
      <c r="L105" s="154" t="s">
        <v>3329</v>
      </c>
      <c r="M105" s="113">
        <v>14000000</v>
      </c>
      <c r="N105" s="113">
        <v>5893200</v>
      </c>
      <c r="O105" s="363"/>
      <c r="P105" s="654"/>
      <c r="Q105" s="623"/>
      <c r="R105" s="623"/>
      <c r="S105" s="276">
        <v>30000000</v>
      </c>
      <c r="T105" s="107">
        <v>30000000</v>
      </c>
      <c r="U105" s="363" t="s">
        <v>2855</v>
      </c>
      <c r="V105" s="365" t="s">
        <v>2856</v>
      </c>
      <c r="W105" s="618"/>
      <c r="X105" s="349">
        <v>0.05</v>
      </c>
      <c r="Y105" s="101">
        <v>0</v>
      </c>
      <c r="Z105" s="2" t="s">
        <v>219</v>
      </c>
      <c r="AA105" s="154" t="s">
        <v>3329</v>
      </c>
      <c r="AB105" s="158" t="e">
        <f>+#REF!</f>
        <v>#REF!</v>
      </c>
      <c r="AC105" s="149">
        <v>5805672</v>
      </c>
      <c r="AD105" s="149"/>
      <c r="AE105" s="149"/>
      <c r="AF105" s="151">
        <v>301</v>
      </c>
      <c r="AG105" s="157" t="e">
        <f>+#REF!-#REF!</f>
        <v>#REF!</v>
      </c>
      <c r="AH105" s="1198"/>
    </row>
    <row r="106" spans="1:34" ht="167.25" customHeight="1" x14ac:dyDescent="0.25">
      <c r="A106" s="2" t="s">
        <v>2826</v>
      </c>
      <c r="B106" s="100" t="s">
        <v>2827</v>
      </c>
      <c r="C106" s="2" t="s">
        <v>2840</v>
      </c>
      <c r="D106" s="100" t="s">
        <v>434</v>
      </c>
      <c r="E106" s="2" t="s">
        <v>2841</v>
      </c>
      <c r="F106" s="100" t="s">
        <v>2857</v>
      </c>
      <c r="G106" s="107">
        <v>10000000</v>
      </c>
      <c r="H106" s="363" t="s">
        <v>2858</v>
      </c>
      <c r="I106" s="365" t="s">
        <v>2859</v>
      </c>
      <c r="J106" s="349">
        <v>0.05</v>
      </c>
      <c r="K106" s="2" t="s">
        <v>341</v>
      </c>
      <c r="L106" s="154" t="s">
        <v>3330</v>
      </c>
      <c r="M106" s="113">
        <v>4000000</v>
      </c>
      <c r="N106" s="113">
        <v>4000000</v>
      </c>
      <c r="O106" s="363"/>
      <c r="P106" s="654"/>
      <c r="Q106" s="623"/>
      <c r="R106" s="623"/>
      <c r="S106" s="276">
        <v>15000000</v>
      </c>
      <c r="T106" s="107">
        <v>15000000</v>
      </c>
      <c r="U106" s="363" t="s">
        <v>2858</v>
      </c>
      <c r="V106" s="365" t="s">
        <v>2859</v>
      </c>
      <c r="W106" s="618"/>
      <c r="X106" s="349">
        <v>0.05</v>
      </c>
      <c r="Y106" s="101">
        <v>0</v>
      </c>
      <c r="Z106" s="2" t="s">
        <v>341</v>
      </c>
      <c r="AA106" s="154" t="s">
        <v>3330</v>
      </c>
      <c r="AB106" s="158" t="e">
        <f>+#REF!</f>
        <v>#REF!</v>
      </c>
      <c r="AC106" s="149" t="e">
        <f>+#REF!</f>
        <v>#REF!</v>
      </c>
      <c r="AD106" s="149"/>
      <c r="AE106" s="149"/>
      <c r="AF106" s="151">
        <v>301</v>
      </c>
      <c r="AG106" s="157" t="e">
        <f>+#REF!-#REF!</f>
        <v>#REF!</v>
      </c>
      <c r="AH106" s="1199" t="s">
        <v>3373</v>
      </c>
    </row>
    <row r="107" spans="1:34" ht="23.25" customHeight="1" x14ac:dyDescent="0.25">
      <c r="A107" s="2"/>
      <c r="B107" s="100"/>
      <c r="C107" s="2"/>
      <c r="D107" s="100"/>
      <c r="E107" s="2"/>
      <c r="F107" s="100"/>
      <c r="G107" s="107"/>
      <c r="H107" s="363"/>
      <c r="I107" s="365"/>
      <c r="J107" s="349"/>
      <c r="K107" s="2"/>
      <c r="L107" s="154" t="s">
        <v>3464</v>
      </c>
      <c r="M107" s="113">
        <v>106698390</v>
      </c>
      <c r="N107" s="113">
        <v>57719084</v>
      </c>
      <c r="O107" s="363"/>
      <c r="P107" s="654"/>
      <c r="Q107" s="623"/>
      <c r="R107" s="623"/>
      <c r="S107" s="276"/>
      <c r="T107" s="107"/>
      <c r="U107" s="363"/>
      <c r="V107" s="365"/>
      <c r="W107" s="618"/>
      <c r="X107" s="349"/>
      <c r="Y107" s="101"/>
      <c r="Z107" s="2"/>
      <c r="AA107" s="154"/>
      <c r="AB107" s="158"/>
      <c r="AC107" s="149"/>
      <c r="AD107" s="149"/>
      <c r="AE107" s="149"/>
      <c r="AF107" s="151"/>
      <c r="AG107" s="157"/>
      <c r="AH107" s="1199"/>
    </row>
    <row r="108" spans="1:34" ht="76.5" x14ac:dyDescent="0.25">
      <c r="A108" s="2" t="s">
        <v>2826</v>
      </c>
      <c r="B108" s="100" t="s">
        <v>2827</v>
      </c>
      <c r="C108" s="2" t="s">
        <v>2840</v>
      </c>
      <c r="D108" s="100" t="s">
        <v>434</v>
      </c>
      <c r="E108" s="2" t="s">
        <v>2841</v>
      </c>
      <c r="F108" s="100" t="s">
        <v>2860</v>
      </c>
      <c r="G108" s="107">
        <v>500000000</v>
      </c>
      <c r="H108" s="363" t="s">
        <v>2862</v>
      </c>
      <c r="I108" s="365" t="s">
        <v>2863</v>
      </c>
      <c r="J108" s="363">
        <v>18</v>
      </c>
      <c r="K108" s="2" t="s">
        <v>110</v>
      </c>
      <c r="L108" s="154" t="s">
        <v>3331</v>
      </c>
      <c r="M108" s="113">
        <v>0</v>
      </c>
      <c r="N108" s="113">
        <v>0</v>
      </c>
      <c r="O108" s="363"/>
      <c r="P108" s="654"/>
      <c r="Q108" s="623"/>
      <c r="R108" s="623"/>
      <c r="S108" s="276">
        <v>550000000</v>
      </c>
      <c r="T108" s="107">
        <v>550000000</v>
      </c>
      <c r="U108" s="363" t="s">
        <v>2862</v>
      </c>
      <c r="V108" s="365" t="s">
        <v>2863</v>
      </c>
      <c r="W108" s="618"/>
      <c r="X108" s="363">
        <v>70</v>
      </c>
      <c r="Y108" s="101">
        <v>0</v>
      </c>
      <c r="Z108" s="2" t="s">
        <v>110</v>
      </c>
      <c r="AA108" s="154" t="s">
        <v>3331</v>
      </c>
      <c r="AB108" s="158" t="e">
        <f>+#REF!</f>
        <v>#REF!</v>
      </c>
      <c r="AC108" s="149">
        <v>442012325</v>
      </c>
      <c r="AD108" s="149"/>
      <c r="AE108" s="149"/>
      <c r="AF108" s="151">
        <v>301</v>
      </c>
      <c r="AG108" s="157" t="e">
        <f>+#REF!-#REF!</f>
        <v>#REF!</v>
      </c>
      <c r="AH108" s="1199"/>
    </row>
    <row r="109" spans="1:34" ht="76.5" x14ac:dyDescent="0.25">
      <c r="A109" s="2" t="s">
        <v>2826</v>
      </c>
      <c r="B109" s="100" t="s">
        <v>2827</v>
      </c>
      <c r="C109" s="2" t="s">
        <v>2840</v>
      </c>
      <c r="D109" s="100" t="s">
        <v>434</v>
      </c>
      <c r="E109" s="2" t="s">
        <v>2865</v>
      </c>
      <c r="F109" s="100" t="s">
        <v>2866</v>
      </c>
      <c r="G109" s="107">
        <v>35000000</v>
      </c>
      <c r="H109" s="363" t="s">
        <v>2867</v>
      </c>
      <c r="I109" s="365" t="s">
        <v>2868</v>
      </c>
      <c r="J109" s="349">
        <v>0.3</v>
      </c>
      <c r="K109" s="2" t="s">
        <v>112</v>
      </c>
      <c r="L109" s="154" t="s">
        <v>3332</v>
      </c>
      <c r="M109" s="113">
        <v>73000000</v>
      </c>
      <c r="N109" s="113">
        <v>21212269</v>
      </c>
      <c r="O109" s="363"/>
      <c r="P109" s="654"/>
      <c r="Q109" s="623"/>
      <c r="R109" s="623"/>
      <c r="S109" s="276">
        <v>35000000</v>
      </c>
      <c r="T109" s="107">
        <v>35000000</v>
      </c>
      <c r="U109" s="363" t="s">
        <v>2867</v>
      </c>
      <c r="V109" s="365" t="s">
        <v>2868</v>
      </c>
      <c r="W109" s="618"/>
      <c r="X109" s="349">
        <v>0.3</v>
      </c>
      <c r="Y109" s="101">
        <v>0</v>
      </c>
      <c r="Z109" s="2" t="s">
        <v>112</v>
      </c>
      <c r="AA109" s="154" t="s">
        <v>3332</v>
      </c>
      <c r="AB109" s="158" t="e">
        <f>+#REF!</f>
        <v>#REF!</v>
      </c>
      <c r="AC109" s="149">
        <v>5000000</v>
      </c>
      <c r="AD109" s="149"/>
      <c r="AE109" s="149"/>
      <c r="AF109" s="151">
        <v>301</v>
      </c>
      <c r="AG109" s="157" t="e">
        <f>+#REF!-#REF!</f>
        <v>#REF!</v>
      </c>
      <c r="AH109" s="1199"/>
    </row>
    <row r="110" spans="1:34" ht="89.25" x14ac:dyDescent="0.25">
      <c r="A110" s="2" t="s">
        <v>2826</v>
      </c>
      <c r="B110" s="100" t="s">
        <v>2827</v>
      </c>
      <c r="C110" s="2" t="s">
        <v>2840</v>
      </c>
      <c r="D110" s="100" t="s">
        <v>434</v>
      </c>
      <c r="E110" s="2" t="s">
        <v>2870</v>
      </c>
      <c r="F110" s="100" t="s">
        <v>3203</v>
      </c>
      <c r="G110" s="107">
        <v>40000000</v>
      </c>
      <c r="H110" s="363" t="s">
        <v>2872</v>
      </c>
      <c r="I110" s="365" t="s">
        <v>3463</v>
      </c>
      <c r="J110" s="350">
        <v>0.1</v>
      </c>
      <c r="K110" s="2" t="s">
        <v>108</v>
      </c>
      <c r="L110" s="154" t="s">
        <v>3148</v>
      </c>
      <c r="M110" s="113">
        <v>121000000</v>
      </c>
      <c r="N110" s="113">
        <v>85653316</v>
      </c>
      <c r="O110" s="359"/>
      <c r="P110" s="645"/>
      <c r="Q110" s="624"/>
      <c r="R110" s="624"/>
      <c r="S110" s="276">
        <v>60000000</v>
      </c>
      <c r="T110" s="107">
        <v>60000000</v>
      </c>
      <c r="U110" s="363" t="s">
        <v>2872</v>
      </c>
      <c r="V110" s="365" t="s">
        <v>3269</v>
      </c>
      <c r="W110" s="618"/>
      <c r="X110" s="349">
        <v>0.1</v>
      </c>
      <c r="Y110" s="101">
        <v>0</v>
      </c>
      <c r="Z110" s="2" t="s">
        <v>108</v>
      </c>
      <c r="AA110" s="154" t="s">
        <v>3148</v>
      </c>
      <c r="AB110" s="158" t="e">
        <f>+#REF!</f>
        <v>#REF!</v>
      </c>
      <c r="AC110" s="149">
        <v>25830226</v>
      </c>
      <c r="AD110" s="149"/>
      <c r="AE110" s="149"/>
      <c r="AF110" s="151">
        <v>301</v>
      </c>
      <c r="AG110" s="157" t="e">
        <f>+#REF!-#REF!</f>
        <v>#REF!</v>
      </c>
      <c r="AH110" s="1199"/>
    </row>
    <row r="111" spans="1:34" ht="25.5" x14ac:dyDescent="0.25">
      <c r="A111" s="1243" t="s">
        <v>2826</v>
      </c>
      <c r="B111" s="1245" t="s">
        <v>2827</v>
      </c>
      <c r="C111" s="1243" t="s">
        <v>2840</v>
      </c>
      <c r="D111" s="1245" t="s">
        <v>434</v>
      </c>
      <c r="E111" s="1243" t="s">
        <v>2870</v>
      </c>
      <c r="F111" s="1245" t="s">
        <v>3149</v>
      </c>
      <c r="G111" s="1262">
        <v>200000000</v>
      </c>
      <c r="H111" s="1203" t="s">
        <v>2876</v>
      </c>
      <c r="I111" s="1203" t="s">
        <v>3216</v>
      </c>
      <c r="J111" s="1281">
        <v>2</v>
      </c>
      <c r="K111" s="2" t="s">
        <v>78</v>
      </c>
      <c r="L111" s="154" t="s">
        <v>79</v>
      </c>
      <c r="M111" s="113"/>
      <c r="N111" s="113"/>
      <c r="O111" s="359"/>
      <c r="P111" s="645"/>
      <c r="Q111" s="624"/>
      <c r="R111" s="624"/>
      <c r="S111" s="1265">
        <v>200000000</v>
      </c>
      <c r="T111" s="1279">
        <v>200000000</v>
      </c>
      <c r="U111" s="1203" t="s">
        <v>2876</v>
      </c>
      <c r="V111" s="1203" t="s">
        <v>3216</v>
      </c>
      <c r="W111" s="608"/>
      <c r="X111" s="1203">
        <v>2</v>
      </c>
      <c r="Y111" s="106">
        <v>0</v>
      </c>
      <c r="Z111" s="2" t="s">
        <v>78</v>
      </c>
      <c r="AA111" s="154" t="s">
        <v>79</v>
      </c>
      <c r="AB111" s="158" t="e">
        <f>+#REF!</f>
        <v>#REF!</v>
      </c>
      <c r="AC111" s="149">
        <v>77177498</v>
      </c>
      <c r="AD111" s="149"/>
      <c r="AE111" s="149"/>
      <c r="AF111" s="151">
        <v>301</v>
      </c>
      <c r="AG111" s="157" t="e">
        <f>+#REF!-#REF!</f>
        <v>#REF!</v>
      </c>
      <c r="AH111" s="1199"/>
    </row>
    <row r="112" spans="1:34" ht="25.5" x14ac:dyDescent="0.25">
      <c r="A112" s="1244"/>
      <c r="B112" s="1246"/>
      <c r="C112" s="1244"/>
      <c r="D112" s="1246"/>
      <c r="E112" s="1244"/>
      <c r="F112" s="1246"/>
      <c r="G112" s="1277"/>
      <c r="H112" s="1204"/>
      <c r="I112" s="1204"/>
      <c r="J112" s="1282"/>
      <c r="K112" s="363" t="s">
        <v>127</v>
      </c>
      <c r="L112" s="171" t="s">
        <v>128</v>
      </c>
      <c r="M112" s="113">
        <v>8000000</v>
      </c>
      <c r="N112" s="113">
        <v>8000000</v>
      </c>
      <c r="O112" s="359"/>
      <c r="P112" s="645"/>
      <c r="Q112" s="624"/>
      <c r="R112" s="624"/>
      <c r="S112" s="1278"/>
      <c r="T112" s="1280"/>
      <c r="U112" s="1204"/>
      <c r="V112" s="1204"/>
      <c r="W112" s="609"/>
      <c r="X112" s="1204"/>
      <c r="Y112" s="102"/>
      <c r="Z112" s="363" t="s">
        <v>127</v>
      </c>
      <c r="AA112" s="171" t="s">
        <v>128</v>
      </c>
      <c r="AB112" s="158" t="e">
        <f>+#REF!</f>
        <v>#REF!</v>
      </c>
      <c r="AC112" s="149">
        <v>42059368</v>
      </c>
      <c r="AD112" s="149"/>
      <c r="AE112" s="241"/>
      <c r="AF112" s="199">
        <v>301</v>
      </c>
      <c r="AG112" s="232" t="e">
        <f>+#REF!-#REF!</f>
        <v>#REF!</v>
      </c>
      <c r="AH112" s="1199"/>
    </row>
    <row r="113" spans="1:34" ht="43.5" customHeight="1" x14ac:dyDescent="0.25">
      <c r="A113" s="1209" t="s">
        <v>3410</v>
      </c>
      <c r="B113" s="1209"/>
      <c r="C113" s="1209"/>
      <c r="D113" s="1209"/>
      <c r="E113" s="1209"/>
      <c r="F113" s="1209"/>
      <c r="G113" s="380">
        <f>SUM(G100:G112)</f>
        <v>1075000000</v>
      </c>
      <c r="H113" s="1207"/>
      <c r="I113" s="1208"/>
      <c r="J113" s="1208"/>
      <c r="K113" s="1207"/>
      <c r="L113" s="1208"/>
      <c r="M113" s="380">
        <f>SUM(M100:M112)</f>
        <v>517695517</v>
      </c>
      <c r="N113" s="380">
        <f>SUM(N100:N112)</f>
        <v>284219985</v>
      </c>
      <c r="O113" s="267"/>
      <c r="P113" s="650"/>
      <c r="Q113" s="267"/>
      <c r="R113" s="267"/>
      <c r="S113" s="644">
        <f>SUM(S100:S112)</f>
        <v>1200000000</v>
      </c>
      <c r="T113" s="380"/>
      <c r="U113" s="1207"/>
      <c r="V113" s="1208"/>
      <c r="W113" s="1208"/>
      <c r="X113" s="1208"/>
      <c r="Y113" s="1217"/>
      <c r="Z113" s="1207" t="s">
        <v>3410</v>
      </c>
      <c r="AA113" s="1208"/>
      <c r="AB113" s="133" t="e">
        <f>SUM(AB100:AB112)</f>
        <v>#REF!</v>
      </c>
      <c r="AC113" s="133" t="e">
        <f>SUM(AC100:AC112)</f>
        <v>#REF!</v>
      </c>
      <c r="AD113" s="133"/>
      <c r="AE113" s="133"/>
      <c r="AF113" s="1209"/>
      <c r="AG113" s="1209"/>
      <c r="AH113" s="1209"/>
    </row>
    <row r="114" spans="1:34" ht="18.75" customHeight="1" x14ac:dyDescent="0.25">
      <c r="A114" s="117"/>
      <c r="B114" s="118"/>
      <c r="C114" s="117"/>
      <c r="D114" s="118"/>
      <c r="E114" s="117"/>
      <c r="F114" s="118"/>
      <c r="G114" s="119"/>
      <c r="H114" s="117"/>
      <c r="I114" s="117"/>
      <c r="J114" s="117"/>
      <c r="K114" s="117"/>
      <c r="L114" s="117"/>
      <c r="M114" s="117"/>
      <c r="N114" s="117"/>
      <c r="O114" s="117"/>
      <c r="P114" s="658"/>
      <c r="Q114" s="117"/>
      <c r="R114" s="117"/>
      <c r="S114" s="119"/>
      <c r="T114" s="119"/>
      <c r="U114" s="117"/>
      <c r="V114" s="117"/>
      <c r="W114" s="117"/>
      <c r="X114" s="117"/>
      <c r="Y114" s="121"/>
      <c r="Z114" s="233"/>
      <c r="AA114" s="224"/>
      <c r="AB114" s="225"/>
      <c r="AC114" s="222"/>
      <c r="AD114" s="222"/>
      <c r="AE114" s="222"/>
      <c r="AF114" s="164"/>
      <c r="AG114" s="164"/>
      <c r="AH114" s="185"/>
    </row>
    <row r="115" spans="1:34" ht="90" customHeight="1" x14ac:dyDescent="0.25">
      <c r="A115" s="1244" t="s">
        <v>2880</v>
      </c>
      <c r="B115" s="1244" t="s">
        <v>3215</v>
      </c>
      <c r="C115" s="1244" t="s">
        <v>2882</v>
      </c>
      <c r="D115" s="1244" t="s">
        <v>3465</v>
      </c>
      <c r="E115" s="371" t="s">
        <v>2884</v>
      </c>
      <c r="F115" s="372" t="s">
        <v>3261</v>
      </c>
      <c r="G115" s="383">
        <v>25000000</v>
      </c>
      <c r="H115" s="364" t="s">
        <v>2886</v>
      </c>
      <c r="I115" s="366" t="s">
        <v>2887</v>
      </c>
      <c r="J115" s="382">
        <v>0</v>
      </c>
      <c r="K115" s="364" t="s">
        <v>26</v>
      </c>
      <c r="L115" s="165" t="s">
        <v>3262</v>
      </c>
      <c r="M115" s="113">
        <v>1300000</v>
      </c>
      <c r="N115" s="113">
        <v>1300000</v>
      </c>
      <c r="O115" s="359"/>
      <c r="P115" s="645"/>
      <c r="Q115" s="624"/>
      <c r="R115" s="624"/>
      <c r="S115" s="284">
        <v>35000000</v>
      </c>
      <c r="T115" s="383">
        <v>35000000</v>
      </c>
      <c r="U115" s="364" t="s">
        <v>2886</v>
      </c>
      <c r="V115" s="366" t="s">
        <v>2887</v>
      </c>
      <c r="W115" s="619"/>
      <c r="X115" s="364">
        <v>1</v>
      </c>
      <c r="Y115" s="374">
        <v>0</v>
      </c>
      <c r="Z115" s="364" t="s">
        <v>26</v>
      </c>
      <c r="AA115" s="165" t="s">
        <v>3262</v>
      </c>
      <c r="AB115" s="167" t="e">
        <f>+#REF!</f>
        <v>#REF!</v>
      </c>
      <c r="AC115" s="149">
        <v>3152088</v>
      </c>
      <c r="AD115" s="149"/>
      <c r="AE115" s="149"/>
      <c r="AF115" s="151">
        <v>510</v>
      </c>
      <c r="AG115" s="157" t="e">
        <f>+#REF!-#REF!</f>
        <v>#REF!</v>
      </c>
      <c r="AH115" s="355" t="s">
        <v>3374</v>
      </c>
    </row>
    <row r="116" spans="1:34" ht="90" customHeight="1" x14ac:dyDescent="0.25">
      <c r="A116" s="1260"/>
      <c r="B116" s="1260"/>
      <c r="C116" s="1260"/>
      <c r="D116" s="1260"/>
      <c r="E116" s="2" t="s">
        <v>2884</v>
      </c>
      <c r="F116" s="100" t="s">
        <v>3204</v>
      </c>
      <c r="G116" s="107">
        <v>30000000</v>
      </c>
      <c r="H116" s="359" t="s">
        <v>2890</v>
      </c>
      <c r="I116" s="131" t="s">
        <v>3208</v>
      </c>
      <c r="J116" s="358">
        <v>0</v>
      </c>
      <c r="K116" s="359" t="s">
        <v>37</v>
      </c>
      <c r="L116" s="174" t="s">
        <v>3150</v>
      </c>
      <c r="M116" s="113">
        <v>0</v>
      </c>
      <c r="N116" s="113">
        <v>0</v>
      </c>
      <c r="O116" s="359"/>
      <c r="P116" s="645"/>
      <c r="Q116" s="624"/>
      <c r="R116" s="624"/>
      <c r="S116" s="276">
        <v>50000000</v>
      </c>
      <c r="T116" s="130">
        <v>50000000</v>
      </c>
      <c r="U116" s="359" t="s">
        <v>2890</v>
      </c>
      <c r="V116" s="131" t="s">
        <v>3208</v>
      </c>
      <c r="W116" s="131"/>
      <c r="X116" s="359">
        <v>1</v>
      </c>
      <c r="Y116" s="381">
        <v>0</v>
      </c>
      <c r="Z116" s="359" t="s">
        <v>37</v>
      </c>
      <c r="AA116" s="174" t="s">
        <v>3150</v>
      </c>
      <c r="AB116" s="167" t="e">
        <f>+#REF!</f>
        <v>#REF!</v>
      </c>
      <c r="AC116" s="149">
        <v>12850000</v>
      </c>
      <c r="AD116" s="149"/>
      <c r="AE116" s="149"/>
      <c r="AF116" s="151">
        <v>510</v>
      </c>
      <c r="AG116" s="157" t="e">
        <f>+#REF!-#REF!</f>
        <v>#REF!</v>
      </c>
      <c r="AH116" s="355" t="s">
        <v>3375</v>
      </c>
    </row>
    <row r="117" spans="1:34" ht="102.75" customHeight="1" x14ac:dyDescent="0.25">
      <c r="A117" s="2" t="s">
        <v>2880</v>
      </c>
      <c r="B117" s="100" t="s">
        <v>3215</v>
      </c>
      <c r="C117" s="2" t="s">
        <v>2892</v>
      </c>
      <c r="D117" s="100" t="s">
        <v>3209</v>
      </c>
      <c r="E117" s="2" t="s">
        <v>2901</v>
      </c>
      <c r="F117" s="100" t="s">
        <v>3153</v>
      </c>
      <c r="G117" s="107">
        <v>100000000</v>
      </c>
      <c r="H117" s="368" t="s">
        <v>2903</v>
      </c>
      <c r="I117" s="131" t="s">
        <v>3210</v>
      </c>
      <c r="J117" s="358">
        <v>10</v>
      </c>
      <c r="K117" s="359" t="s">
        <v>226</v>
      </c>
      <c r="L117" s="174" t="s">
        <v>3154</v>
      </c>
      <c r="M117" s="113"/>
      <c r="N117" s="113"/>
      <c r="O117" s="359"/>
      <c r="P117" s="645"/>
      <c r="Q117" s="624"/>
      <c r="R117" s="624"/>
      <c r="S117" s="276">
        <v>100000000</v>
      </c>
      <c r="T117" s="130">
        <v>100000000</v>
      </c>
      <c r="U117" s="368" t="s">
        <v>2903</v>
      </c>
      <c r="V117" s="131" t="s">
        <v>3210</v>
      </c>
      <c r="W117" s="131"/>
      <c r="X117" s="359">
        <v>10</v>
      </c>
      <c r="Y117" s="381">
        <v>0</v>
      </c>
      <c r="Z117" s="359" t="s">
        <v>226</v>
      </c>
      <c r="AA117" s="174" t="s">
        <v>3154</v>
      </c>
      <c r="AB117" s="167" t="e">
        <f>+#REF!</f>
        <v>#REF!</v>
      </c>
      <c r="AC117" s="149" t="e">
        <f>+#REF!</f>
        <v>#REF!</v>
      </c>
      <c r="AD117" s="149"/>
      <c r="AE117" s="149"/>
      <c r="AF117" s="151">
        <v>111</v>
      </c>
      <c r="AG117" s="157" t="e">
        <f>+#REF!-#REF!</f>
        <v>#REF!</v>
      </c>
      <c r="AH117" s="355" t="s">
        <v>3359</v>
      </c>
    </row>
    <row r="118" spans="1:34" ht="102" x14ac:dyDescent="0.25">
      <c r="A118" s="363" t="s">
        <v>2880</v>
      </c>
      <c r="B118" s="365" t="s">
        <v>3215</v>
      </c>
      <c r="C118" s="363" t="s">
        <v>2892</v>
      </c>
      <c r="D118" s="365" t="s">
        <v>3209</v>
      </c>
      <c r="E118" s="363" t="s">
        <v>2901</v>
      </c>
      <c r="F118" s="365" t="s">
        <v>3155</v>
      </c>
      <c r="G118" s="116">
        <v>0</v>
      </c>
      <c r="H118" s="370" t="s">
        <v>2906</v>
      </c>
      <c r="I118" s="347" t="s">
        <v>2907</v>
      </c>
      <c r="J118" s="378">
        <v>0</v>
      </c>
      <c r="K118" s="359" t="s">
        <v>228</v>
      </c>
      <c r="L118" s="174" t="s">
        <v>3156</v>
      </c>
      <c r="M118" s="113"/>
      <c r="N118" s="113"/>
      <c r="O118" s="359"/>
      <c r="P118" s="645"/>
      <c r="Q118" s="624"/>
      <c r="R118" s="624"/>
      <c r="S118" s="390">
        <v>0</v>
      </c>
      <c r="T118" s="389">
        <v>0</v>
      </c>
      <c r="U118" s="370" t="s">
        <v>2906</v>
      </c>
      <c r="V118" s="347" t="s">
        <v>2907</v>
      </c>
      <c r="W118" s="347"/>
      <c r="X118" s="359">
        <v>1</v>
      </c>
      <c r="Y118" s="381">
        <v>0</v>
      </c>
      <c r="Z118" s="359" t="s">
        <v>228</v>
      </c>
      <c r="AA118" s="174" t="s">
        <v>3156</v>
      </c>
      <c r="AB118" s="167" t="e">
        <f>+#REF!</f>
        <v>#REF!</v>
      </c>
      <c r="AC118" s="149" t="e">
        <f>+#REF!</f>
        <v>#REF!</v>
      </c>
      <c r="AD118" s="283"/>
      <c r="AE118" s="283"/>
      <c r="AF118" s="151">
        <v>111</v>
      </c>
      <c r="AG118" s="157" t="e">
        <f>+#REF!-#REF!</f>
        <v>#REF!</v>
      </c>
      <c r="AH118" s="355" t="s">
        <v>3359</v>
      </c>
    </row>
    <row r="119" spans="1:34" ht="63" customHeight="1" x14ac:dyDescent="0.25">
      <c r="A119" s="1209" t="s">
        <v>2880</v>
      </c>
      <c r="B119" s="1209" t="s">
        <v>3215</v>
      </c>
      <c r="C119" s="1209" t="s">
        <v>2892</v>
      </c>
      <c r="D119" s="1209" t="s">
        <v>3209</v>
      </c>
      <c r="E119" s="1209" t="s">
        <v>2901</v>
      </c>
      <c r="F119" s="1209" t="s">
        <v>3157</v>
      </c>
      <c r="G119" s="1214">
        <v>400000000</v>
      </c>
      <c r="H119" s="1247" t="s">
        <v>2909</v>
      </c>
      <c r="I119" s="1209" t="s">
        <v>3211</v>
      </c>
      <c r="J119" s="1209">
        <v>10</v>
      </c>
      <c r="K119" s="109" t="s">
        <v>132</v>
      </c>
      <c r="L119" s="154" t="s">
        <v>133</v>
      </c>
      <c r="M119" s="113"/>
      <c r="N119" s="113"/>
      <c r="O119" s="359"/>
      <c r="P119" s="655"/>
      <c r="Q119" s="610"/>
      <c r="R119" s="610"/>
      <c r="S119" s="1480">
        <v>400000000</v>
      </c>
      <c r="T119" s="351">
        <v>400000000</v>
      </c>
      <c r="U119" s="1247" t="s">
        <v>2909</v>
      </c>
      <c r="V119" s="1209" t="s">
        <v>3211</v>
      </c>
      <c r="W119" s="608"/>
      <c r="X119" s="1203">
        <v>10</v>
      </c>
      <c r="Y119" s="106">
        <v>0</v>
      </c>
      <c r="Z119" s="2" t="s">
        <v>132</v>
      </c>
      <c r="AA119" s="154" t="s">
        <v>133</v>
      </c>
      <c r="AB119" s="167" t="e">
        <f>+#REF!</f>
        <v>#REF!</v>
      </c>
      <c r="AC119" s="149">
        <v>0</v>
      </c>
      <c r="AD119" s="149"/>
      <c r="AE119" s="149"/>
      <c r="AF119" s="151">
        <v>211</v>
      </c>
      <c r="AG119" s="157" t="e">
        <f>+#REF!-#REF!</f>
        <v>#REF!</v>
      </c>
      <c r="AH119" s="355" t="s">
        <v>3384</v>
      </c>
    </row>
    <row r="120" spans="1:34" ht="89.25" customHeight="1" x14ac:dyDescent="0.25">
      <c r="A120" s="1209"/>
      <c r="B120" s="1209"/>
      <c r="C120" s="1209"/>
      <c r="D120" s="1209"/>
      <c r="E120" s="1209"/>
      <c r="F120" s="1209"/>
      <c r="G120" s="1214"/>
      <c r="H120" s="1247"/>
      <c r="I120" s="1209"/>
      <c r="J120" s="1209"/>
      <c r="K120" s="109" t="s">
        <v>139</v>
      </c>
      <c r="L120" s="154" t="s">
        <v>140</v>
      </c>
      <c r="M120" s="113"/>
      <c r="N120" s="113"/>
      <c r="O120" s="359"/>
      <c r="P120" s="655"/>
      <c r="Q120" s="610"/>
      <c r="R120" s="610"/>
      <c r="S120" s="1480"/>
      <c r="T120" s="352"/>
      <c r="U120" s="1247"/>
      <c r="V120" s="1209"/>
      <c r="W120" s="609"/>
      <c r="X120" s="1204"/>
      <c r="Y120" s="376"/>
      <c r="Z120" s="2" t="s">
        <v>139</v>
      </c>
      <c r="AA120" s="154" t="s">
        <v>140</v>
      </c>
      <c r="AB120" s="167" t="e">
        <f>+#REF!</f>
        <v>#REF!</v>
      </c>
      <c r="AC120" s="149" t="e">
        <f>+#REF!</f>
        <v>#REF!</v>
      </c>
      <c r="AD120" s="149"/>
      <c r="AE120" s="149"/>
      <c r="AF120" s="151">
        <v>211</v>
      </c>
      <c r="AG120" s="157" t="e">
        <f>+#REF!-#REF!</f>
        <v>#REF!</v>
      </c>
      <c r="AH120" s="355" t="s">
        <v>3376</v>
      </c>
    </row>
    <row r="121" spans="1:34" ht="87" customHeight="1" x14ac:dyDescent="0.25">
      <c r="A121" s="1209"/>
      <c r="B121" s="1209"/>
      <c r="C121" s="1209"/>
      <c r="D121" s="1209"/>
      <c r="E121" s="1209"/>
      <c r="F121" s="1209"/>
      <c r="G121" s="1214"/>
      <c r="H121" s="1247"/>
      <c r="I121" s="1209"/>
      <c r="J121" s="1209"/>
      <c r="K121" s="109" t="s">
        <v>151</v>
      </c>
      <c r="L121" s="154" t="s">
        <v>152</v>
      </c>
      <c r="M121" s="113"/>
      <c r="N121" s="113"/>
      <c r="O121" s="359"/>
      <c r="P121" s="655"/>
      <c r="Q121" s="610"/>
      <c r="R121" s="610"/>
      <c r="S121" s="1480"/>
      <c r="T121" s="352"/>
      <c r="U121" s="1247"/>
      <c r="V121" s="1209"/>
      <c r="W121" s="609"/>
      <c r="X121" s="1204"/>
      <c r="Y121" s="376"/>
      <c r="Z121" s="2" t="s">
        <v>151</v>
      </c>
      <c r="AA121" s="154" t="s">
        <v>152</v>
      </c>
      <c r="AB121" s="167" t="e">
        <f>+#REF!</f>
        <v>#REF!</v>
      </c>
      <c r="AC121" s="149" t="e">
        <f>+#REF!</f>
        <v>#REF!</v>
      </c>
      <c r="AD121" s="149"/>
      <c r="AE121" s="149"/>
      <c r="AF121" s="151">
        <v>211</v>
      </c>
      <c r="AG121" s="157" t="e">
        <f>+#REF!-#REF!</f>
        <v>#REF!</v>
      </c>
      <c r="AH121" s="355" t="s">
        <v>3379</v>
      </c>
    </row>
    <row r="122" spans="1:34" ht="66" customHeight="1" x14ac:dyDescent="0.25">
      <c r="A122" s="1209"/>
      <c r="B122" s="1209"/>
      <c r="C122" s="1209"/>
      <c r="D122" s="1209"/>
      <c r="E122" s="1209"/>
      <c r="F122" s="1209"/>
      <c r="G122" s="1214"/>
      <c r="H122" s="1247"/>
      <c r="I122" s="1209"/>
      <c r="J122" s="1209"/>
      <c r="K122" s="109" t="s">
        <v>161</v>
      </c>
      <c r="L122" s="154" t="s">
        <v>162</v>
      </c>
      <c r="M122" s="113"/>
      <c r="N122" s="113"/>
      <c r="O122" s="359"/>
      <c r="P122" s="655"/>
      <c r="Q122" s="610"/>
      <c r="R122" s="610"/>
      <c r="S122" s="1480"/>
      <c r="T122" s="352"/>
      <c r="U122" s="1247"/>
      <c r="V122" s="1209"/>
      <c r="W122" s="609"/>
      <c r="X122" s="1204"/>
      <c r="Y122" s="376"/>
      <c r="Z122" s="2" t="s">
        <v>161</v>
      </c>
      <c r="AA122" s="154" t="s">
        <v>162</v>
      </c>
      <c r="AB122" s="167" t="e">
        <f>+#REF!</f>
        <v>#REF!</v>
      </c>
      <c r="AC122" s="149" t="e">
        <f>+#REF!</f>
        <v>#REF!</v>
      </c>
      <c r="AD122" s="149"/>
      <c r="AE122" s="149"/>
      <c r="AF122" s="151">
        <v>211</v>
      </c>
      <c r="AG122" s="157" t="e">
        <f>+#REF!-#REF!</f>
        <v>#REF!</v>
      </c>
      <c r="AH122" s="355" t="s">
        <v>3382</v>
      </c>
    </row>
    <row r="123" spans="1:34" ht="89.25" customHeight="1" x14ac:dyDescent="0.25">
      <c r="A123" s="1209"/>
      <c r="B123" s="1209"/>
      <c r="C123" s="1209"/>
      <c r="D123" s="1209"/>
      <c r="E123" s="1209"/>
      <c r="F123" s="1209"/>
      <c r="G123" s="1214"/>
      <c r="H123" s="1247"/>
      <c r="I123" s="1209"/>
      <c r="J123" s="1209"/>
      <c r="K123" s="109" t="s">
        <v>169</v>
      </c>
      <c r="L123" s="154" t="s">
        <v>3214</v>
      </c>
      <c r="M123" s="113"/>
      <c r="N123" s="113"/>
      <c r="O123" s="359"/>
      <c r="P123" s="655"/>
      <c r="Q123" s="610"/>
      <c r="R123" s="610"/>
      <c r="S123" s="1480"/>
      <c r="T123" s="352"/>
      <c r="U123" s="1247"/>
      <c r="V123" s="1209"/>
      <c r="W123" s="609"/>
      <c r="X123" s="1204"/>
      <c r="Y123" s="376"/>
      <c r="Z123" s="2" t="s">
        <v>169</v>
      </c>
      <c r="AA123" s="154" t="s">
        <v>3214</v>
      </c>
      <c r="AB123" s="167" t="e">
        <f>+#REF!</f>
        <v>#REF!</v>
      </c>
      <c r="AC123" s="149">
        <v>11744000</v>
      </c>
      <c r="AD123" s="149"/>
      <c r="AE123" s="149"/>
      <c r="AF123" s="151">
        <v>211</v>
      </c>
      <c r="AG123" s="157" t="e">
        <f>+#REF!-#REF!</f>
        <v>#REF!</v>
      </c>
      <c r="AH123" s="355" t="s">
        <v>3383</v>
      </c>
    </row>
    <row r="124" spans="1:34" ht="63.75" customHeight="1" x14ac:dyDescent="0.25">
      <c r="A124" s="1259" t="s">
        <v>2880</v>
      </c>
      <c r="B124" s="1259" t="s">
        <v>3215</v>
      </c>
      <c r="C124" s="1259" t="s">
        <v>2892</v>
      </c>
      <c r="D124" s="1259" t="s">
        <v>3209</v>
      </c>
      <c r="E124" s="1259" t="s">
        <v>2901</v>
      </c>
      <c r="F124" s="1259" t="s">
        <v>3157</v>
      </c>
      <c r="G124" s="1325"/>
      <c r="H124" s="1254" t="s">
        <v>2909</v>
      </c>
      <c r="I124" s="1203" t="s">
        <v>3211</v>
      </c>
      <c r="J124" s="1248"/>
      <c r="K124" s="2" t="s">
        <v>177</v>
      </c>
      <c r="L124" s="154" t="s">
        <v>3158</v>
      </c>
      <c r="M124" s="113">
        <v>35000000</v>
      </c>
      <c r="N124" s="113">
        <v>0</v>
      </c>
      <c r="O124" s="359"/>
      <c r="P124" s="659"/>
      <c r="Q124" s="671"/>
      <c r="R124" s="671"/>
      <c r="S124" s="1477"/>
      <c r="T124" s="352"/>
      <c r="U124" s="1254" t="s">
        <v>2909</v>
      </c>
      <c r="V124" s="1203" t="s">
        <v>3211</v>
      </c>
      <c r="W124" s="609"/>
      <c r="X124" s="1204"/>
      <c r="Y124" s="376"/>
      <c r="Z124" s="2" t="s">
        <v>177</v>
      </c>
      <c r="AA124" s="154" t="s">
        <v>3158</v>
      </c>
      <c r="AB124" s="167" t="e">
        <f>+#REF!</f>
        <v>#REF!</v>
      </c>
      <c r="AC124" s="149" t="e">
        <f>+#REF!</f>
        <v>#REF!</v>
      </c>
      <c r="AD124" s="149"/>
      <c r="AE124" s="149"/>
      <c r="AF124" s="151">
        <v>211</v>
      </c>
      <c r="AG124" s="157" t="e">
        <f>+#REF!-#REF!</f>
        <v>#REF!</v>
      </c>
      <c r="AH124" s="355" t="s">
        <v>3381</v>
      </c>
    </row>
    <row r="125" spans="1:34" ht="67.5" customHeight="1" x14ac:dyDescent="0.25">
      <c r="A125" s="1244"/>
      <c r="B125" s="1244"/>
      <c r="C125" s="1244"/>
      <c r="D125" s="1244"/>
      <c r="E125" s="1244"/>
      <c r="F125" s="1244"/>
      <c r="G125" s="1326"/>
      <c r="H125" s="1255"/>
      <c r="I125" s="1204"/>
      <c r="J125" s="1249"/>
      <c r="K125" s="2" t="s">
        <v>185</v>
      </c>
      <c r="L125" s="154" t="s">
        <v>3212</v>
      </c>
      <c r="M125" s="113"/>
      <c r="N125" s="113"/>
      <c r="O125" s="359"/>
      <c r="P125" s="660"/>
      <c r="Q125" s="624"/>
      <c r="R125" s="624"/>
      <c r="S125" s="1478"/>
      <c r="T125" s="352"/>
      <c r="U125" s="1255"/>
      <c r="V125" s="1204"/>
      <c r="W125" s="609"/>
      <c r="X125" s="1204"/>
      <c r="Y125" s="376"/>
      <c r="Z125" s="2" t="s">
        <v>185</v>
      </c>
      <c r="AA125" s="154" t="s">
        <v>3212</v>
      </c>
      <c r="AB125" s="167" t="e">
        <f>+#REF!</f>
        <v>#REF!</v>
      </c>
      <c r="AC125" s="149" t="e">
        <f>+#REF!</f>
        <v>#REF!</v>
      </c>
      <c r="AD125" s="149"/>
      <c r="AE125" s="149"/>
      <c r="AF125" s="151">
        <v>211</v>
      </c>
      <c r="AG125" s="157" t="e">
        <f>+#REF!-#REF!</f>
        <v>#REF!</v>
      </c>
      <c r="AH125" s="355" t="s">
        <v>3378</v>
      </c>
    </row>
    <row r="126" spans="1:34" ht="63" customHeight="1" x14ac:dyDescent="0.25">
      <c r="A126" s="1244"/>
      <c r="B126" s="1244"/>
      <c r="C126" s="1244"/>
      <c r="D126" s="1244"/>
      <c r="E126" s="1244"/>
      <c r="F126" s="1244"/>
      <c r="G126" s="1326"/>
      <c r="H126" s="1255"/>
      <c r="I126" s="1204"/>
      <c r="J126" s="1249"/>
      <c r="K126" s="2" t="s">
        <v>101</v>
      </c>
      <c r="L126" s="154" t="s">
        <v>102</v>
      </c>
      <c r="M126" s="113"/>
      <c r="N126" s="113"/>
      <c r="O126" s="359"/>
      <c r="P126" s="660"/>
      <c r="Q126" s="624"/>
      <c r="R126" s="624"/>
      <c r="S126" s="1478"/>
      <c r="T126" s="352"/>
      <c r="U126" s="1255"/>
      <c r="V126" s="1204"/>
      <c r="W126" s="609"/>
      <c r="X126" s="1204"/>
      <c r="Y126" s="376"/>
      <c r="Z126" s="2" t="s">
        <v>101</v>
      </c>
      <c r="AA126" s="154" t="s">
        <v>102</v>
      </c>
      <c r="AB126" s="167" t="e">
        <f>+#REF!</f>
        <v>#REF!</v>
      </c>
      <c r="AC126" s="149" t="e">
        <f>+#REF!</f>
        <v>#REF!</v>
      </c>
      <c r="AD126" s="149"/>
      <c r="AE126" s="149"/>
      <c r="AF126" s="151">
        <v>211</v>
      </c>
      <c r="AG126" s="157" t="e">
        <f>+#REF!-#REF!</f>
        <v>#REF!</v>
      </c>
      <c r="AH126" s="355" t="s">
        <v>3380</v>
      </c>
    </row>
    <row r="127" spans="1:34" ht="52.5" customHeight="1" x14ac:dyDescent="0.25">
      <c r="A127" s="1244"/>
      <c r="B127" s="1244"/>
      <c r="C127" s="1244"/>
      <c r="D127" s="1244"/>
      <c r="E127" s="1244"/>
      <c r="F127" s="1244"/>
      <c r="G127" s="1326"/>
      <c r="H127" s="1255"/>
      <c r="I127" s="1204"/>
      <c r="J127" s="1249"/>
      <c r="K127" s="2" t="s">
        <v>99</v>
      </c>
      <c r="L127" s="154" t="s">
        <v>3213</v>
      </c>
      <c r="M127" s="113"/>
      <c r="N127" s="113"/>
      <c r="O127" s="359"/>
      <c r="P127" s="660"/>
      <c r="Q127" s="624"/>
      <c r="R127" s="624"/>
      <c r="S127" s="1478"/>
      <c r="T127" s="352"/>
      <c r="U127" s="1255"/>
      <c r="V127" s="1204"/>
      <c r="W127" s="609"/>
      <c r="X127" s="1204"/>
      <c r="Y127" s="376"/>
      <c r="Z127" s="2" t="s">
        <v>99</v>
      </c>
      <c r="AA127" s="154" t="s">
        <v>3213</v>
      </c>
      <c r="AB127" s="167" t="e">
        <f>+#REF!</f>
        <v>#REF!</v>
      </c>
      <c r="AC127" s="149" t="e">
        <f>+#REF!</f>
        <v>#REF!</v>
      </c>
      <c r="AD127" s="149"/>
      <c r="AE127" s="149"/>
      <c r="AF127" s="151">
        <v>211</v>
      </c>
      <c r="AG127" s="157" t="e">
        <f>+#REF!-#REF!</f>
        <v>#REF!</v>
      </c>
      <c r="AH127" s="355" t="s">
        <v>3380</v>
      </c>
    </row>
    <row r="128" spans="1:34" ht="60.75" customHeight="1" x14ac:dyDescent="0.25">
      <c r="A128" s="1260"/>
      <c r="B128" s="1260"/>
      <c r="C128" s="1260"/>
      <c r="D128" s="1260"/>
      <c r="E128" s="1260"/>
      <c r="F128" s="1260"/>
      <c r="G128" s="1327"/>
      <c r="H128" s="1256"/>
      <c r="I128" s="1210"/>
      <c r="J128" s="1250"/>
      <c r="K128" s="2" t="s">
        <v>103</v>
      </c>
      <c r="L128" s="154" t="s">
        <v>104</v>
      </c>
      <c r="M128" s="113"/>
      <c r="N128" s="113"/>
      <c r="O128" s="359"/>
      <c r="P128" s="661"/>
      <c r="Q128" s="626"/>
      <c r="R128" s="626"/>
      <c r="S128" s="1479"/>
      <c r="T128" s="348"/>
      <c r="U128" s="1256"/>
      <c r="V128" s="1210"/>
      <c r="W128" s="612"/>
      <c r="X128" s="1210"/>
      <c r="Y128" s="102"/>
      <c r="Z128" s="2" t="s">
        <v>103</v>
      </c>
      <c r="AA128" s="154" t="s">
        <v>104</v>
      </c>
      <c r="AB128" s="167" t="e">
        <f>+#REF!</f>
        <v>#REF!</v>
      </c>
      <c r="AC128" s="149" t="e">
        <f>+#REF!</f>
        <v>#REF!</v>
      </c>
      <c r="AD128" s="149"/>
      <c r="AE128" s="149"/>
      <c r="AF128" s="151">
        <v>211</v>
      </c>
      <c r="AG128" s="157" t="e">
        <f>+#REF!-#REF!</f>
        <v>#REF!</v>
      </c>
      <c r="AH128" s="355" t="s">
        <v>3377</v>
      </c>
    </row>
    <row r="129" spans="1:34" ht="102" x14ac:dyDescent="0.25">
      <c r="A129" s="2" t="s">
        <v>2880</v>
      </c>
      <c r="B129" s="100" t="s">
        <v>3215</v>
      </c>
      <c r="C129" s="2" t="s">
        <v>2892</v>
      </c>
      <c r="D129" s="100" t="s">
        <v>3209</v>
      </c>
      <c r="E129" s="2" t="s">
        <v>2901</v>
      </c>
      <c r="F129" s="100" t="s">
        <v>3159</v>
      </c>
      <c r="G129" s="107">
        <v>50000000</v>
      </c>
      <c r="H129" s="176" t="s">
        <v>2918</v>
      </c>
      <c r="I129" s="372" t="s">
        <v>2919</v>
      </c>
      <c r="J129" s="371">
        <v>0</v>
      </c>
      <c r="K129" s="2" t="s">
        <v>360</v>
      </c>
      <c r="L129" s="154" t="s">
        <v>361</v>
      </c>
      <c r="M129" s="113"/>
      <c r="N129" s="113"/>
      <c r="O129" s="371"/>
      <c r="P129" s="652"/>
      <c r="Q129" s="625"/>
      <c r="R129" s="625"/>
      <c r="S129" s="284">
        <v>100000000</v>
      </c>
      <c r="T129" s="383">
        <v>100000000</v>
      </c>
      <c r="U129" s="176" t="s">
        <v>2918</v>
      </c>
      <c r="V129" s="372" t="s">
        <v>2919</v>
      </c>
      <c r="W129" s="621"/>
      <c r="X129" s="371">
        <v>1</v>
      </c>
      <c r="Y129" s="101">
        <v>0</v>
      </c>
      <c r="Z129" s="2" t="s">
        <v>360</v>
      </c>
      <c r="AA129" s="154" t="s">
        <v>361</v>
      </c>
      <c r="AB129" s="167" t="e">
        <f>+#REF!</f>
        <v>#REF!</v>
      </c>
      <c r="AC129" s="149" t="e">
        <f>+#REF!</f>
        <v>#REF!</v>
      </c>
      <c r="AD129" s="149"/>
      <c r="AE129" s="149"/>
      <c r="AF129" s="151">
        <v>211</v>
      </c>
      <c r="AG129" s="157" t="e">
        <f>+#REF!-#REF!</f>
        <v>#REF!</v>
      </c>
      <c r="AH129" s="355" t="s">
        <v>3353</v>
      </c>
    </row>
    <row r="130" spans="1:34" ht="102" x14ac:dyDescent="0.25">
      <c r="A130" s="2" t="s">
        <v>2880</v>
      </c>
      <c r="B130" s="100" t="s">
        <v>3215</v>
      </c>
      <c r="C130" s="2" t="s">
        <v>2892</v>
      </c>
      <c r="D130" s="100" t="s">
        <v>3209</v>
      </c>
      <c r="E130" s="2" t="s">
        <v>2901</v>
      </c>
      <c r="F130" s="100" t="s">
        <v>3160</v>
      </c>
      <c r="G130" s="107">
        <v>50000000</v>
      </c>
      <c r="H130" s="177" t="s">
        <v>2921</v>
      </c>
      <c r="I130" s="100" t="s">
        <v>3270</v>
      </c>
      <c r="J130" s="2">
        <v>0</v>
      </c>
      <c r="K130" s="2" t="s">
        <v>364</v>
      </c>
      <c r="L130" s="154" t="s">
        <v>3161</v>
      </c>
      <c r="M130" s="113">
        <v>15376647</v>
      </c>
      <c r="N130" s="113">
        <v>14929584</v>
      </c>
      <c r="O130" s="363"/>
      <c r="P130" s="654"/>
      <c r="Q130" s="623"/>
      <c r="R130" s="623"/>
      <c r="S130" s="276">
        <v>150000000</v>
      </c>
      <c r="T130" s="107">
        <v>150000000</v>
      </c>
      <c r="U130" s="177" t="s">
        <v>2921</v>
      </c>
      <c r="V130" s="100" t="s">
        <v>3466</v>
      </c>
      <c r="W130" s="100"/>
      <c r="X130" s="2">
        <v>1</v>
      </c>
      <c r="Y130" s="101">
        <v>0</v>
      </c>
      <c r="Z130" s="2" t="s">
        <v>364</v>
      </c>
      <c r="AA130" s="154" t="s">
        <v>3161</v>
      </c>
      <c r="AB130" s="167" t="e">
        <f>+#REF!</f>
        <v>#REF!</v>
      </c>
      <c r="AC130" s="149">
        <v>6836665</v>
      </c>
      <c r="AD130" s="149"/>
      <c r="AE130" s="149"/>
      <c r="AF130" s="151">
        <v>510</v>
      </c>
      <c r="AG130" s="157" t="e">
        <f>+#REF!-#REF!</f>
        <v>#REF!</v>
      </c>
      <c r="AH130" s="355" t="s">
        <v>3353</v>
      </c>
    </row>
    <row r="131" spans="1:34" ht="38.25" x14ac:dyDescent="0.25">
      <c r="A131" s="1243" t="s">
        <v>2880</v>
      </c>
      <c r="B131" s="1245" t="s">
        <v>3215</v>
      </c>
      <c r="C131" s="1243" t="s">
        <v>2892</v>
      </c>
      <c r="D131" s="1245" t="s">
        <v>3209</v>
      </c>
      <c r="E131" s="1243" t="s">
        <v>2894</v>
      </c>
      <c r="F131" s="1245" t="s">
        <v>3263</v>
      </c>
      <c r="G131" s="1262">
        <v>600000000</v>
      </c>
      <c r="H131" s="1247" t="s">
        <v>2896</v>
      </c>
      <c r="I131" s="1209" t="s">
        <v>3343</v>
      </c>
      <c r="J131" s="1209">
        <v>50</v>
      </c>
      <c r="K131" s="2" t="s">
        <v>39</v>
      </c>
      <c r="L131" s="154" t="s">
        <v>40</v>
      </c>
      <c r="M131" s="113">
        <v>153569675</v>
      </c>
      <c r="N131" s="113">
        <v>144720628</v>
      </c>
      <c r="O131" s="359"/>
      <c r="P131" s="645"/>
      <c r="Q131" s="624"/>
      <c r="R131" s="624"/>
      <c r="S131" s="1265">
        <v>1000000000</v>
      </c>
      <c r="T131" s="1268">
        <v>1000000000</v>
      </c>
      <c r="U131" s="1247" t="s">
        <v>2896</v>
      </c>
      <c r="V131" s="1209" t="s">
        <v>3343</v>
      </c>
      <c r="W131" s="611"/>
      <c r="X131" s="1209">
        <v>50</v>
      </c>
      <c r="Y131" s="106">
        <v>0</v>
      </c>
      <c r="Z131" s="2" t="s">
        <v>39</v>
      </c>
      <c r="AA131" s="154" t="s">
        <v>40</v>
      </c>
      <c r="AB131" s="167" t="e">
        <f>+#REF!</f>
        <v>#REF!</v>
      </c>
      <c r="AC131" s="149">
        <v>115104744</v>
      </c>
      <c r="AD131" s="149"/>
      <c r="AE131" s="149"/>
      <c r="AF131" s="151">
        <v>211</v>
      </c>
      <c r="AG131" s="157" t="e">
        <f>+#REF!-#REF!</f>
        <v>#REF!</v>
      </c>
      <c r="AH131" s="1205" t="s">
        <v>3375</v>
      </c>
    </row>
    <row r="132" spans="1:34" ht="25.5" x14ac:dyDescent="0.25">
      <c r="A132" s="1244"/>
      <c r="B132" s="1246"/>
      <c r="C132" s="1244"/>
      <c r="D132" s="1246"/>
      <c r="E132" s="1244"/>
      <c r="F132" s="1246"/>
      <c r="G132" s="1263"/>
      <c r="H132" s="1247"/>
      <c r="I132" s="1209"/>
      <c r="J132" s="1209"/>
      <c r="K132" s="2" t="s">
        <v>33</v>
      </c>
      <c r="L132" s="154" t="s">
        <v>3152</v>
      </c>
      <c r="M132" s="113">
        <v>450996000</v>
      </c>
      <c r="N132" s="113">
        <v>261980256</v>
      </c>
      <c r="O132" s="359"/>
      <c r="P132" s="645"/>
      <c r="Q132" s="624"/>
      <c r="R132" s="624"/>
      <c r="S132" s="1266"/>
      <c r="T132" s="1269"/>
      <c r="U132" s="1247"/>
      <c r="V132" s="1209"/>
      <c r="W132" s="611"/>
      <c r="X132" s="1209"/>
      <c r="Y132" s="102"/>
      <c r="Z132" s="2" t="s">
        <v>33</v>
      </c>
      <c r="AA132" s="154" t="s">
        <v>3152</v>
      </c>
      <c r="AB132" s="167" t="e">
        <f>+#REF!</f>
        <v>#REF!</v>
      </c>
      <c r="AC132" s="149">
        <v>0</v>
      </c>
      <c r="AD132" s="149"/>
      <c r="AE132" s="149"/>
      <c r="AF132" s="151">
        <v>211</v>
      </c>
      <c r="AG132" s="157" t="e">
        <f>+#REF!-#REF!</f>
        <v>#REF!</v>
      </c>
      <c r="AH132" s="1199"/>
    </row>
    <row r="133" spans="1:34" ht="38.25" x14ac:dyDescent="0.25">
      <c r="A133" s="1260"/>
      <c r="B133" s="1261"/>
      <c r="C133" s="1260"/>
      <c r="D133" s="1261"/>
      <c r="E133" s="1260"/>
      <c r="F133" s="1261"/>
      <c r="G133" s="1264"/>
      <c r="H133" s="1247"/>
      <c r="I133" s="1209"/>
      <c r="J133" s="1209"/>
      <c r="K133" s="363" t="s">
        <v>35</v>
      </c>
      <c r="L133" s="171" t="s">
        <v>3151</v>
      </c>
      <c r="M133" s="113"/>
      <c r="N133" s="113"/>
      <c r="O133" s="359"/>
      <c r="P133" s="645"/>
      <c r="Q133" s="624"/>
      <c r="R133" s="624"/>
      <c r="S133" s="1267"/>
      <c r="T133" s="1270"/>
      <c r="U133" s="1247"/>
      <c r="V133" s="1209"/>
      <c r="W133" s="611"/>
      <c r="X133" s="1209"/>
      <c r="Y133" s="103"/>
      <c r="Z133" s="363" t="s">
        <v>35</v>
      </c>
      <c r="AA133" s="171" t="s">
        <v>3151</v>
      </c>
      <c r="AB133" s="167" t="e">
        <f>+#REF!</f>
        <v>#REF!</v>
      </c>
      <c r="AC133" s="149">
        <v>23418092</v>
      </c>
      <c r="AD133" s="149"/>
      <c r="AE133" s="241"/>
      <c r="AF133" s="199">
        <v>211</v>
      </c>
      <c r="AG133" s="232" t="e">
        <f>+#REF!-#REF!</f>
        <v>#REF!</v>
      </c>
      <c r="AH133" s="1199"/>
    </row>
    <row r="134" spans="1:34" ht="32.25" customHeight="1" x14ac:dyDescent="0.25">
      <c r="A134" s="1209" t="s">
        <v>3411</v>
      </c>
      <c r="B134" s="1209"/>
      <c r="C134" s="1209"/>
      <c r="D134" s="1209"/>
      <c r="E134" s="1209"/>
      <c r="F134" s="1209"/>
      <c r="G134" s="380">
        <f>SUM(G115:G133)</f>
        <v>1255000000</v>
      </c>
      <c r="H134" s="1207"/>
      <c r="I134" s="1208"/>
      <c r="J134" s="1208"/>
      <c r="K134" s="1207"/>
      <c r="L134" s="1208"/>
      <c r="M134" s="380">
        <f>SUM(M115:M133)</f>
        <v>656242322</v>
      </c>
      <c r="N134" s="380">
        <f>SUM(N115:N133)</f>
        <v>422930468</v>
      </c>
      <c r="O134" s="267"/>
      <c r="P134" s="650"/>
      <c r="Q134" s="267"/>
      <c r="R134" s="267"/>
      <c r="S134" s="644">
        <f>SUM(S115:S133)</f>
        <v>1835000000</v>
      </c>
      <c r="T134" s="380"/>
      <c r="U134" s="1207"/>
      <c r="V134" s="1208"/>
      <c r="W134" s="1208"/>
      <c r="X134" s="1208"/>
      <c r="Y134" s="1217"/>
      <c r="Z134" s="1207"/>
      <c r="AA134" s="1208"/>
      <c r="AB134" s="133" t="e">
        <f>SUM(AB115:AB133)</f>
        <v>#REF!</v>
      </c>
      <c r="AC134" s="133" t="e">
        <f>SUM(AC115:AC133)</f>
        <v>#REF!</v>
      </c>
      <c r="AD134" s="133"/>
      <c r="AE134" s="133"/>
      <c r="AF134" s="1209"/>
      <c r="AG134" s="1209"/>
      <c r="AH134" s="1209"/>
    </row>
    <row r="135" spans="1:34" ht="20.25" customHeight="1" x14ac:dyDescent="0.25">
      <c r="A135" s="1215"/>
      <c r="B135" s="1215"/>
      <c r="C135" s="1215"/>
      <c r="D135" s="1215"/>
      <c r="E135" s="1215"/>
      <c r="F135" s="1215"/>
      <c r="G135" s="281"/>
      <c r="H135" s="1216"/>
      <c r="I135" s="1216"/>
      <c r="J135" s="1216"/>
      <c r="K135" s="361"/>
      <c r="L135" s="361"/>
      <c r="M135" s="361"/>
      <c r="N135" s="361"/>
      <c r="O135" s="361"/>
      <c r="P135" s="663"/>
      <c r="Q135" s="614"/>
      <c r="R135" s="614"/>
      <c r="S135" s="281"/>
      <c r="T135" s="281"/>
      <c r="U135" s="1216"/>
      <c r="V135" s="1216"/>
      <c r="W135" s="1216"/>
      <c r="X135" s="1216"/>
      <c r="Y135" s="280"/>
      <c r="Z135" s="1215"/>
      <c r="AA135" s="1215"/>
      <c r="AB135" s="1215"/>
      <c r="AC135" s="1215"/>
      <c r="AD135" s="1215"/>
      <c r="AE135" s="1215"/>
      <c r="AF135" s="1215"/>
      <c r="AG135" s="360"/>
      <c r="AH135" s="360"/>
    </row>
    <row r="136" spans="1:34" ht="15" customHeight="1" x14ac:dyDescent="0.25">
      <c r="A136" s="1209" t="s">
        <v>622</v>
      </c>
      <c r="B136" s="1209"/>
      <c r="C136" s="1209"/>
      <c r="D136" s="1209"/>
      <c r="E136" s="1209"/>
      <c r="F136" s="1209"/>
      <c r="G136" s="380">
        <f>+G134+G113+G98+G93+G54+G21+G9</f>
        <v>13293000000</v>
      </c>
      <c r="H136" s="1207"/>
      <c r="I136" s="1208"/>
      <c r="J136" s="1208"/>
      <c r="K136" s="1207"/>
      <c r="L136" s="1208"/>
      <c r="M136" s="133"/>
      <c r="N136" s="133"/>
      <c r="O136" s="267"/>
      <c r="P136" s="650"/>
      <c r="Q136" s="267"/>
      <c r="R136" s="267"/>
      <c r="S136" s="644">
        <f>+S134+S113+S98+S93+S54+S21+S9</f>
        <v>13839000000</v>
      </c>
      <c r="T136" s="380">
        <f>SUM(T4:T133)</f>
        <v>23079000000</v>
      </c>
      <c r="U136" s="1207"/>
      <c r="V136" s="1208"/>
      <c r="W136" s="1208"/>
      <c r="X136" s="1208"/>
      <c r="Y136" s="1217"/>
      <c r="Z136" s="1207" t="s">
        <v>622</v>
      </c>
      <c r="AA136" s="1208"/>
      <c r="AB136" s="380" t="e">
        <f>+AB134+AB113+AB98+AB93+AB54+AB21+AB9</f>
        <v>#REF!</v>
      </c>
      <c r="AC136" s="380" t="e">
        <f>+AC134+AC113+AC98+AC93+AC54+AC21+AC9</f>
        <v>#REF!</v>
      </c>
      <c r="AD136" s="133"/>
      <c r="AE136" s="133"/>
      <c r="AF136" s="1209"/>
      <c r="AG136" s="1209" t="e">
        <f>+#REF!-#REF!</f>
        <v>#REF!</v>
      </c>
      <c r="AH136" s="1209"/>
    </row>
    <row r="137" spans="1:34" ht="15" customHeight="1" x14ac:dyDescent="0.25">
      <c r="A137" s="181"/>
      <c r="B137" s="181"/>
      <c r="C137" s="181"/>
      <c r="D137" s="181"/>
      <c r="E137" s="181"/>
      <c r="F137" s="181"/>
      <c r="G137" s="122"/>
      <c r="H137" s="122"/>
      <c r="I137" s="122"/>
      <c r="J137" s="122"/>
      <c r="K137" s="122"/>
      <c r="L137" s="122"/>
      <c r="M137" s="122"/>
      <c r="N137" s="122"/>
      <c r="O137" s="122"/>
      <c r="P137" s="664"/>
      <c r="Q137" s="122"/>
      <c r="R137" s="122"/>
      <c r="S137" s="122"/>
      <c r="T137" s="122"/>
      <c r="U137" s="119"/>
      <c r="V137" s="119"/>
      <c r="W137" s="119"/>
      <c r="X137" s="119"/>
      <c r="Y137" s="119"/>
      <c r="Z137" s="118"/>
      <c r="AA137" s="118"/>
      <c r="AB137" s="122"/>
      <c r="AC137" s="122"/>
      <c r="AD137" s="122"/>
      <c r="AE137" s="122"/>
      <c r="AF137" s="123"/>
      <c r="AG137" s="123"/>
      <c r="AH137" s="123"/>
    </row>
    <row r="138" spans="1:34" ht="27" customHeight="1" x14ac:dyDescent="0.25">
      <c r="A138" s="1274" t="s">
        <v>3302</v>
      </c>
      <c r="B138" s="1275"/>
      <c r="C138" s="1275"/>
      <c r="D138" s="1275"/>
      <c r="E138" s="1275"/>
      <c r="F138" s="1276"/>
      <c r="G138" s="133">
        <f>SUMIF($AF$4:$AF$133,"111",$G$4:$G$133)</f>
        <v>4710000000</v>
      </c>
      <c r="H138" s="178"/>
      <c r="I138" s="178"/>
      <c r="J138" s="178"/>
      <c r="K138" s="178"/>
      <c r="L138" s="178"/>
      <c r="M138" s="178"/>
      <c r="N138" s="178"/>
      <c r="O138" s="178"/>
      <c r="P138" s="650"/>
      <c r="Q138" s="267"/>
      <c r="R138" s="267"/>
      <c r="S138" s="178">
        <f>SUMIF($AF$4:$AF$133,"111",$S$4:$S$133)</f>
        <v>3690000000</v>
      </c>
      <c r="T138" s="133">
        <f>SUMIF($AF$4:$AF$133,"111",$T$4:$T$133)</f>
        <v>3690000000</v>
      </c>
      <c r="U138" s="1274" t="s">
        <v>3302</v>
      </c>
      <c r="V138" s="1275"/>
      <c r="W138" s="1275"/>
      <c r="X138" s="1275"/>
      <c r="Y138" s="1275"/>
      <c r="Z138" s="1275"/>
      <c r="AA138" s="1276"/>
      <c r="AB138" s="133" t="e">
        <f>SUMIF($AF$4:$AF$133,"111",$AB$4:$AB$133)</f>
        <v>#REF!</v>
      </c>
      <c r="AC138" s="133" t="e">
        <f>SUMIF($AF$4:$AF$133,"111",$AC$4:$AC$133)</f>
        <v>#REF!</v>
      </c>
      <c r="AD138" s="133"/>
      <c r="AE138" s="133"/>
      <c r="AF138" s="296">
        <v>111</v>
      </c>
      <c r="AG138" s="133" t="e">
        <f>SUMIF($AF$4:$AF$133,"111",$AG$4:$AG$133)</f>
        <v>#REF!</v>
      </c>
      <c r="AH138" s="133"/>
    </row>
    <row r="139" spans="1:34" ht="29.25" customHeight="1" x14ac:dyDescent="0.25">
      <c r="A139" s="1274" t="s">
        <v>3303</v>
      </c>
      <c r="B139" s="1275"/>
      <c r="C139" s="1275"/>
      <c r="D139" s="1275"/>
      <c r="E139" s="1275"/>
      <c r="F139" s="1276"/>
      <c r="G139" s="133">
        <f>SUMIF($AF$4:$AF$133,"211",$G$4:$G$133)</f>
        <v>3650000000</v>
      </c>
      <c r="H139" s="178"/>
      <c r="I139" s="178"/>
      <c r="J139" s="178"/>
      <c r="K139" s="178"/>
      <c r="L139" s="178"/>
      <c r="M139" s="178"/>
      <c r="N139" s="178"/>
      <c r="O139" s="178"/>
      <c r="P139" s="650"/>
      <c r="Q139" s="267"/>
      <c r="R139" s="267"/>
      <c r="S139" s="178">
        <f>SUMIF($AF$4:$AF$133,"211",$S$4:$S$133)</f>
        <v>4830000000</v>
      </c>
      <c r="T139" s="133">
        <f>SUMIF($AF$4:$AF$133,"211",$T$4:$T$133)</f>
        <v>4930000000</v>
      </c>
      <c r="U139" s="1274" t="s">
        <v>3303</v>
      </c>
      <c r="V139" s="1275"/>
      <c r="W139" s="1275"/>
      <c r="X139" s="1275"/>
      <c r="Y139" s="1275"/>
      <c r="Z139" s="1275"/>
      <c r="AA139" s="1276"/>
      <c r="AB139" s="133" t="e">
        <f>SUMIF($AF$4:$AF$133,"211",$AB$4:$AB$133)</f>
        <v>#REF!</v>
      </c>
      <c r="AC139" s="133" t="e">
        <f>SUMIF($AF$4:$AF$133,"211",$AC$4:$AC$133)</f>
        <v>#REF!</v>
      </c>
      <c r="AD139" s="133"/>
      <c r="AE139" s="133"/>
      <c r="AF139" s="296">
        <v>211</v>
      </c>
      <c r="AG139" s="133" t="e">
        <f>SUMIF($AF$4:$AF$133,"211",$AG$4:$AG$133)</f>
        <v>#REF!</v>
      </c>
      <c r="AH139" s="133"/>
    </row>
    <row r="140" spans="1:34" ht="30" customHeight="1" x14ac:dyDescent="0.25">
      <c r="A140" s="1274" t="s">
        <v>3304</v>
      </c>
      <c r="B140" s="1275"/>
      <c r="C140" s="1275"/>
      <c r="D140" s="1275"/>
      <c r="E140" s="1275"/>
      <c r="F140" s="1276"/>
      <c r="G140" s="133">
        <f>SUMIF($AF$4:$AF$133,"310",$G$4:$G$133)</f>
        <v>1210000000</v>
      </c>
      <c r="H140" s="178"/>
      <c r="I140" s="178"/>
      <c r="J140" s="178"/>
      <c r="K140" s="178"/>
      <c r="L140" s="178"/>
      <c r="M140" s="178"/>
      <c r="N140" s="178"/>
      <c r="O140" s="178"/>
      <c r="P140" s="650"/>
      <c r="Q140" s="267"/>
      <c r="R140" s="267"/>
      <c r="S140" s="178">
        <f>SUMIF($AF$4:$AF$133,"310",$S$4:$S$133)</f>
        <v>1310000000</v>
      </c>
      <c r="T140" s="133">
        <f>SUMIF($AF$4:$AF$133,"310",$T$4:$T$133)</f>
        <v>1310000000</v>
      </c>
      <c r="U140" s="1274" t="s">
        <v>3304</v>
      </c>
      <c r="V140" s="1275"/>
      <c r="W140" s="1275"/>
      <c r="X140" s="1275"/>
      <c r="Y140" s="1275"/>
      <c r="Z140" s="1275"/>
      <c r="AA140" s="1276"/>
      <c r="AB140" s="133" t="e">
        <f>SUMIF($AF$4:$AF$133,"310",$AB$4:$AB$133)</f>
        <v>#REF!</v>
      </c>
      <c r="AC140" s="133" t="e">
        <f>SUMIF($AF$4:$AF$133,"310",$AC$4:$AC$133)</f>
        <v>#REF!</v>
      </c>
      <c r="AD140" s="133"/>
      <c r="AE140" s="133"/>
      <c r="AF140" s="296">
        <v>310</v>
      </c>
      <c r="AG140" s="133" t="e">
        <f>SUMIF($AF$4:$AF$133,"310",$AG$4:$AG$133)</f>
        <v>#REF!</v>
      </c>
      <c r="AH140" s="133"/>
    </row>
    <row r="141" spans="1:34" x14ac:dyDescent="0.25">
      <c r="A141" s="1271" t="s">
        <v>443</v>
      </c>
      <c r="B141" s="1272"/>
      <c r="C141" s="1272"/>
      <c r="D141" s="1272"/>
      <c r="E141" s="1272"/>
      <c r="F141" s="1273"/>
      <c r="G141" s="133">
        <f>SUMIF($AF$4:$AF$133,"410",$G$4:$G$133)</f>
        <v>1658000000</v>
      </c>
      <c r="H141" s="178"/>
      <c r="I141" s="178"/>
      <c r="J141" s="178"/>
      <c r="K141" s="178"/>
      <c r="L141" s="178"/>
      <c r="M141" s="178"/>
      <c r="N141" s="178"/>
      <c r="O141" s="178"/>
      <c r="P141" s="650"/>
      <c r="Q141" s="267"/>
      <c r="R141" s="267"/>
      <c r="S141" s="178">
        <f>SUMIF($AF$4:$AF$133,"410",$S$4:$S$133)</f>
        <v>1823000000</v>
      </c>
      <c r="T141" s="133">
        <f>SUMIF($AF$4:$AF$133,"410",$T$4:$T$133)</f>
        <v>1823000000</v>
      </c>
      <c r="U141" s="1271" t="s">
        <v>443</v>
      </c>
      <c r="V141" s="1272"/>
      <c r="W141" s="1272"/>
      <c r="X141" s="1272"/>
      <c r="Y141" s="1272"/>
      <c r="Z141" s="1272"/>
      <c r="AA141" s="1273"/>
      <c r="AB141" s="133" t="e">
        <f>SUMIF($AF$4:$AF$133,"410",$AB$4:$AB$133)</f>
        <v>#REF!</v>
      </c>
      <c r="AC141" s="133" t="e">
        <f>SUMIF($AF$4:$AF$133,"410",$AC$4:$AC$133)</f>
        <v>#REF!</v>
      </c>
      <c r="AD141" s="133"/>
      <c r="AE141" s="133"/>
      <c r="AF141" s="296">
        <v>410</v>
      </c>
      <c r="AG141" s="133" t="e">
        <f>SUMIF($AF$4:$AF$133,"410",$AG$4:$AG$133)</f>
        <v>#REF!</v>
      </c>
      <c r="AH141" s="133"/>
    </row>
    <row r="142" spans="1:34" x14ac:dyDescent="0.25">
      <c r="A142" s="1271" t="s">
        <v>3305</v>
      </c>
      <c r="B142" s="1272"/>
      <c r="C142" s="1272"/>
      <c r="D142" s="1272"/>
      <c r="E142" s="1272"/>
      <c r="F142" s="1273"/>
      <c r="G142" s="133">
        <f>SUMIF($AF$4:$AF$133,"510",$G$4:$G$133)</f>
        <v>870000000</v>
      </c>
      <c r="H142" s="178"/>
      <c r="I142" s="178"/>
      <c r="J142" s="178"/>
      <c r="K142" s="178"/>
      <c r="L142" s="178"/>
      <c r="M142" s="178"/>
      <c r="N142" s="178"/>
      <c r="O142" s="178"/>
      <c r="P142" s="650"/>
      <c r="Q142" s="267"/>
      <c r="R142" s="267"/>
      <c r="S142" s="178">
        <f>SUMIF($AF$4:$AF$133,"510",$S$4:$S$133)</f>
        <v>846000000</v>
      </c>
      <c r="T142" s="133">
        <f>SUMIF($AF$4:$AF$133,"510",$T$4:$T$133)</f>
        <v>1191000000</v>
      </c>
      <c r="U142" s="1271" t="s">
        <v>3305</v>
      </c>
      <c r="V142" s="1272"/>
      <c r="W142" s="1272"/>
      <c r="X142" s="1272"/>
      <c r="Y142" s="1272"/>
      <c r="Z142" s="1272"/>
      <c r="AA142" s="1273"/>
      <c r="AB142" s="133" t="e">
        <f>SUMIF($AF$4:$AF$133,"510",$AB$4:$AB$133)</f>
        <v>#REF!</v>
      </c>
      <c r="AC142" s="133" t="e">
        <f>SUMIF($AF$4:$AF$133,"510",$AC$4:$AC$133)</f>
        <v>#REF!</v>
      </c>
      <c r="AD142" s="133"/>
      <c r="AE142" s="133"/>
      <c r="AF142" s="296">
        <v>510</v>
      </c>
      <c r="AG142" s="133" t="e">
        <f>SUMIF($AF$4:$AF$133,"510",$AG$4:$AG$133)</f>
        <v>#REF!</v>
      </c>
      <c r="AH142" s="133"/>
    </row>
    <row r="143" spans="1:34" x14ac:dyDescent="0.25">
      <c r="A143" s="1271" t="s">
        <v>3306</v>
      </c>
      <c r="B143" s="1272"/>
      <c r="C143" s="1272"/>
      <c r="D143" s="1272"/>
      <c r="E143" s="1272"/>
      <c r="F143" s="1273"/>
      <c r="G143" s="133">
        <f>SUMIF($AF$4:$AF$133,"520",$G$4:$G$133)</f>
        <v>285000000</v>
      </c>
      <c r="H143" s="178"/>
      <c r="I143" s="178"/>
      <c r="J143" s="178"/>
      <c r="K143" s="178"/>
      <c r="L143" s="178"/>
      <c r="M143" s="178"/>
      <c r="N143" s="178"/>
      <c r="O143" s="178"/>
      <c r="P143" s="650"/>
      <c r="Q143" s="267"/>
      <c r="R143" s="267"/>
      <c r="S143" s="178">
        <f>SUMIF($AF$4:$AF$133,"520",$S$4:$S$133)</f>
        <v>305000000</v>
      </c>
      <c r="T143" s="133">
        <f>SUMIF($AF$4:$AF$133,"520",$T$4:$T$133)</f>
        <v>305000000</v>
      </c>
      <c r="U143" s="1271" t="s">
        <v>3306</v>
      </c>
      <c r="V143" s="1272"/>
      <c r="W143" s="1272"/>
      <c r="X143" s="1272"/>
      <c r="Y143" s="1272"/>
      <c r="Z143" s="1272"/>
      <c r="AA143" s="1273"/>
      <c r="AB143" s="133" t="e">
        <f>SUMIF($AF$4:$AF$133,"520",$AB$4:$AB$133)</f>
        <v>#REF!</v>
      </c>
      <c r="AC143" s="133" t="e">
        <f>SUMIF($AF$4:$AF$133,"520",$AC$4:$AC$133)</f>
        <v>#REF!</v>
      </c>
      <c r="AD143" s="133"/>
      <c r="AE143" s="133"/>
      <c r="AF143" s="296">
        <v>520</v>
      </c>
      <c r="AG143" s="133" t="e">
        <f>SUMIF($AF$4:$AF$133,"520",$AG$4:$AG$133)</f>
        <v>#REF!</v>
      </c>
      <c r="AH143" s="133"/>
    </row>
    <row r="144" spans="1:34" x14ac:dyDescent="0.25">
      <c r="A144" s="1271" t="s">
        <v>3308</v>
      </c>
      <c r="B144" s="1272"/>
      <c r="C144" s="1272"/>
      <c r="D144" s="1272"/>
      <c r="E144" s="1272"/>
      <c r="F144" s="1273"/>
      <c r="G144" s="3">
        <f>SUM(G138:G143)</f>
        <v>12383000000</v>
      </c>
      <c r="H144" s="179"/>
      <c r="I144" s="179"/>
      <c r="J144" s="179"/>
      <c r="K144" s="179"/>
      <c r="L144" s="179"/>
      <c r="M144" s="179"/>
      <c r="N144" s="179"/>
      <c r="O144" s="179"/>
      <c r="P144" s="665"/>
      <c r="Q144" s="673"/>
      <c r="R144" s="673"/>
      <c r="S144" s="179">
        <f>SUM(S138:S143)</f>
        <v>12804000000</v>
      </c>
      <c r="T144" s="3">
        <f>SUM(T138:T143)</f>
        <v>13249000000</v>
      </c>
      <c r="U144" s="1271" t="s">
        <v>3308</v>
      </c>
      <c r="V144" s="1272"/>
      <c r="W144" s="1272"/>
      <c r="X144" s="1272"/>
      <c r="Y144" s="1272"/>
      <c r="Z144" s="1272"/>
      <c r="AA144" s="1273"/>
      <c r="AB144" s="3" t="e">
        <f>SUM(AB138:AB143)</f>
        <v>#REF!</v>
      </c>
      <c r="AC144" s="3" t="e">
        <f>SUM(AC138:AC143)</f>
        <v>#REF!</v>
      </c>
      <c r="AD144" s="3"/>
      <c r="AE144" s="3"/>
      <c r="AF144" s="4"/>
      <c r="AG144" s="3" t="e">
        <f>SUM(AG138:AG143)</f>
        <v>#REF!</v>
      </c>
      <c r="AH144" s="3"/>
    </row>
    <row r="145" spans="1:34" x14ac:dyDescent="0.25">
      <c r="A145" s="1271" t="s">
        <v>3307</v>
      </c>
      <c r="B145" s="1272"/>
      <c r="C145" s="1272"/>
      <c r="D145" s="1272"/>
      <c r="E145" s="1272"/>
      <c r="F145" s="1273"/>
      <c r="G145" s="133">
        <f>SUMIF($AF$4:$AF$133,"301",$G$4:$G$133)</f>
        <v>910000000</v>
      </c>
      <c r="H145" s="178"/>
      <c r="I145" s="178"/>
      <c r="J145" s="178"/>
      <c r="K145" s="178"/>
      <c r="L145" s="178"/>
      <c r="M145" s="178"/>
      <c r="N145" s="178"/>
      <c r="O145" s="178"/>
      <c r="P145" s="650"/>
      <c r="Q145" s="267"/>
      <c r="R145" s="267"/>
      <c r="S145" s="178">
        <f>SUMIF($AF$4:$AF$133,"301",$S$4:$S$133)</f>
        <v>1035000000</v>
      </c>
      <c r="T145" s="133">
        <f>SUMIF($AF$4:$AF$133,"301",$T$4:$T$133)</f>
        <v>1035000000</v>
      </c>
      <c r="U145" s="1271" t="s">
        <v>3307</v>
      </c>
      <c r="V145" s="1272"/>
      <c r="W145" s="1272"/>
      <c r="X145" s="1272"/>
      <c r="Y145" s="1272"/>
      <c r="Z145" s="1272"/>
      <c r="AA145" s="1273"/>
      <c r="AB145" s="133" t="e">
        <f>SUMIF($AF$4:$AF$133,"301",$AB$4:$AB$133)</f>
        <v>#REF!</v>
      </c>
      <c r="AC145" s="133" t="e">
        <f>SUMIF($AF$4:$AF$133,"301",$AC$4:$AC$133)</f>
        <v>#REF!</v>
      </c>
      <c r="AD145" s="133"/>
      <c r="AE145" s="133"/>
      <c r="AF145" s="296">
        <v>301</v>
      </c>
      <c r="AG145" s="133" t="e">
        <f>SUMIF($AF$4:$AF$133,"301",$AG$4:$AG$133)</f>
        <v>#REF!</v>
      </c>
      <c r="AH145" s="133"/>
    </row>
    <row r="146" spans="1:34" ht="15.75" thickBot="1" x14ac:dyDescent="0.3">
      <c r="A146" s="195" t="s">
        <v>3309</v>
      </c>
      <c r="B146" s="196"/>
      <c r="C146" s="196"/>
      <c r="D146" s="196"/>
      <c r="E146" s="196"/>
      <c r="F146" s="197"/>
      <c r="G146" s="134">
        <f>SUM(G144:G145)</f>
        <v>13293000000</v>
      </c>
      <c r="H146" s="180"/>
      <c r="I146" s="180"/>
      <c r="J146" s="180"/>
      <c r="K146" s="180"/>
      <c r="L146" s="180"/>
      <c r="M146" s="180"/>
      <c r="N146" s="180"/>
      <c r="O146" s="180"/>
      <c r="P146" s="666"/>
      <c r="Q146" s="674"/>
      <c r="R146" s="674"/>
      <c r="S146" s="180">
        <f>SUM(S144:S145)</f>
        <v>13839000000</v>
      </c>
      <c r="T146" s="134">
        <f>SUM(T144:T145)</f>
        <v>14284000000</v>
      </c>
      <c r="U146" s="195" t="s">
        <v>3309</v>
      </c>
      <c r="V146" s="196"/>
      <c r="W146" s="196"/>
      <c r="X146" s="196"/>
      <c r="Y146" s="196"/>
      <c r="Z146" s="196"/>
      <c r="AA146" s="197"/>
      <c r="AB146" s="134" t="e">
        <f>SUM(AB144:AB145)</f>
        <v>#REF!</v>
      </c>
      <c r="AC146" s="134" t="e">
        <f>SUM(AC144:AC145)</f>
        <v>#REF!</v>
      </c>
      <c r="AD146" s="134"/>
      <c r="AE146" s="134"/>
      <c r="AF146" s="132"/>
      <c r="AG146" s="134" t="e">
        <f>SUM(AG144:AG145)</f>
        <v>#REF!</v>
      </c>
      <c r="AH146" s="134"/>
    </row>
    <row r="147" spans="1:34" ht="15.75" thickTop="1" x14ac:dyDescent="0.25"/>
  </sheetData>
  <mergeCells count="354">
    <mergeCell ref="AH1:AH3"/>
    <mergeCell ref="A2:B3"/>
    <mergeCell ref="C2:D3"/>
    <mergeCell ref="E2:F3"/>
    <mergeCell ref="G2:G3"/>
    <mergeCell ref="H2:J2"/>
    <mergeCell ref="K2:M2"/>
    <mergeCell ref="N2:O2"/>
    <mergeCell ref="S2:S3"/>
    <mergeCell ref="T2:T3"/>
    <mergeCell ref="A1:F1"/>
    <mergeCell ref="G1:J1"/>
    <mergeCell ref="K1:O1"/>
    <mergeCell ref="S1:X1"/>
    <mergeCell ref="Z1:AD1"/>
    <mergeCell ref="AF1:AF3"/>
    <mergeCell ref="U2:Y2"/>
    <mergeCell ref="Z2:AB2"/>
    <mergeCell ref="AC2:AD2"/>
    <mergeCell ref="J6:J8"/>
    <mergeCell ref="S6:S8"/>
    <mergeCell ref="T6:T8"/>
    <mergeCell ref="U6:U8"/>
    <mergeCell ref="V6:V8"/>
    <mergeCell ref="X6:X8"/>
    <mergeCell ref="AG2:AG3"/>
    <mergeCell ref="A4:A8"/>
    <mergeCell ref="B4:B8"/>
    <mergeCell ref="C4:C8"/>
    <mergeCell ref="D4:D8"/>
    <mergeCell ref="E6:E8"/>
    <mergeCell ref="F6:F8"/>
    <mergeCell ref="G6:G8"/>
    <mergeCell ref="H6:H8"/>
    <mergeCell ref="I6:I8"/>
    <mergeCell ref="AE1:AE2"/>
    <mergeCell ref="P1:R2"/>
    <mergeCell ref="Z9:AA9"/>
    <mergeCell ref="AF9:AH9"/>
    <mergeCell ref="E17:E20"/>
    <mergeCell ref="G20:J20"/>
    <mergeCell ref="K20:O20"/>
    <mergeCell ref="S20:X20"/>
    <mergeCell ref="J12:J16"/>
    <mergeCell ref="K12:O16"/>
    <mergeCell ref="S12:S16"/>
    <mergeCell ref="U12:U16"/>
    <mergeCell ref="V12:V16"/>
    <mergeCell ref="X12:X16"/>
    <mergeCell ref="AH11:AH20"/>
    <mergeCell ref="E12:E16"/>
    <mergeCell ref="F12:F16"/>
    <mergeCell ref="G12:G16"/>
    <mergeCell ref="I12:I16"/>
    <mergeCell ref="A9:F9"/>
    <mergeCell ref="K9:L9"/>
    <mergeCell ref="A11:A20"/>
    <mergeCell ref="B11:B20"/>
    <mergeCell ref="C11:C20"/>
    <mergeCell ref="D11:D20"/>
    <mergeCell ref="H12:H16"/>
    <mergeCell ref="A33:A39"/>
    <mergeCell ref="B33:B39"/>
    <mergeCell ref="C33:C39"/>
    <mergeCell ref="D33:D39"/>
    <mergeCell ref="E33:E39"/>
    <mergeCell ref="V33:V39"/>
    <mergeCell ref="X33:X39"/>
    <mergeCell ref="G33:G39"/>
    <mergeCell ref="H33:H39"/>
    <mergeCell ref="I33:I39"/>
    <mergeCell ref="J33:J39"/>
    <mergeCell ref="S33:S39"/>
    <mergeCell ref="F33:F39"/>
    <mergeCell ref="T33:T39"/>
    <mergeCell ref="U33:U39"/>
    <mergeCell ref="AH28:AH29"/>
    <mergeCell ref="Z21:AA21"/>
    <mergeCell ref="AF21:AH21"/>
    <mergeCell ref="A23:A26"/>
    <mergeCell ref="B23:B26"/>
    <mergeCell ref="C23:C26"/>
    <mergeCell ref="D23:D26"/>
    <mergeCell ref="E23:E24"/>
    <mergeCell ref="F23:F24"/>
    <mergeCell ref="AH23:AH25"/>
    <mergeCell ref="A21:F21"/>
    <mergeCell ref="H21:J21"/>
    <mergeCell ref="K21:L21"/>
    <mergeCell ref="U21:Y21"/>
    <mergeCell ref="D27:D32"/>
    <mergeCell ref="E28:E30"/>
    <mergeCell ref="F28:F30"/>
    <mergeCell ref="A27:A32"/>
    <mergeCell ref="B27:B32"/>
    <mergeCell ref="C27:C32"/>
    <mergeCell ref="AH40:AH42"/>
    <mergeCell ref="A43:A46"/>
    <mergeCell ref="B43:B46"/>
    <mergeCell ref="C43:C46"/>
    <mergeCell ref="D43:D46"/>
    <mergeCell ref="E43:E46"/>
    <mergeCell ref="T43:T45"/>
    <mergeCell ref="U43:U46"/>
    <mergeCell ref="V43:V46"/>
    <mergeCell ref="X43:X46"/>
    <mergeCell ref="AH43:AH45"/>
    <mergeCell ref="S43:S46"/>
    <mergeCell ref="A40:A42"/>
    <mergeCell ref="B40:B42"/>
    <mergeCell ref="C40:C42"/>
    <mergeCell ref="D40:D42"/>
    <mergeCell ref="A47:A48"/>
    <mergeCell ref="B47:B48"/>
    <mergeCell ref="C47:C48"/>
    <mergeCell ref="D47:D48"/>
    <mergeCell ref="F43:F46"/>
    <mergeCell ref="G43:G46"/>
    <mergeCell ref="H43:H46"/>
    <mergeCell ref="I43:I46"/>
    <mergeCell ref="J43:J46"/>
    <mergeCell ref="F56:F58"/>
    <mergeCell ref="U60:U62"/>
    <mergeCell ref="V60:V62"/>
    <mergeCell ref="AH49:AH51"/>
    <mergeCell ref="A54:F54"/>
    <mergeCell ref="H54:J54"/>
    <mergeCell ref="K54:L54"/>
    <mergeCell ref="U54:Y54"/>
    <mergeCell ref="Z54:AA54"/>
    <mergeCell ref="AF54:AH54"/>
    <mergeCell ref="S63:S66"/>
    <mergeCell ref="T63:T66"/>
    <mergeCell ref="U63:U66"/>
    <mergeCell ref="U56:U58"/>
    <mergeCell ref="V56:V58"/>
    <mergeCell ref="X56:X58"/>
    <mergeCell ref="Y56:Y58"/>
    <mergeCell ref="AH56:AH58"/>
    <mergeCell ref="A60:A62"/>
    <mergeCell ref="B60:B62"/>
    <mergeCell ref="C60:C62"/>
    <mergeCell ref="D60:D62"/>
    <mergeCell ref="E60:E62"/>
    <mergeCell ref="G56:G58"/>
    <mergeCell ref="H56:H58"/>
    <mergeCell ref="I56:I58"/>
    <mergeCell ref="J56:J58"/>
    <mergeCell ref="S56:S58"/>
    <mergeCell ref="T56:T58"/>
    <mergeCell ref="A56:A58"/>
    <mergeCell ref="B56:B58"/>
    <mergeCell ref="C56:C58"/>
    <mergeCell ref="D56:D58"/>
    <mergeCell ref="E56:E58"/>
    <mergeCell ref="D67:D88"/>
    <mergeCell ref="E67:E88"/>
    <mergeCell ref="F67:F88"/>
    <mergeCell ref="G67:G88"/>
    <mergeCell ref="H63:H66"/>
    <mergeCell ref="I63:I66"/>
    <mergeCell ref="AH60:AH61"/>
    <mergeCell ref="A63:A66"/>
    <mergeCell ref="B63:B66"/>
    <mergeCell ref="C63:C66"/>
    <mergeCell ref="D63:D66"/>
    <mergeCell ref="E63:E66"/>
    <mergeCell ref="F63:F66"/>
    <mergeCell ref="G63:G66"/>
    <mergeCell ref="F60:F62"/>
    <mergeCell ref="G60:G62"/>
    <mergeCell ref="H60:H62"/>
    <mergeCell ref="I60:I62"/>
    <mergeCell ref="S60:S62"/>
    <mergeCell ref="T60:T62"/>
    <mergeCell ref="V63:V66"/>
    <mergeCell ref="X63:X66"/>
    <mergeCell ref="AH63:AH65"/>
    <mergeCell ref="J63:J66"/>
    <mergeCell ref="X67:X88"/>
    <mergeCell ref="A89:A92"/>
    <mergeCell ref="B89:B92"/>
    <mergeCell ref="C89:C92"/>
    <mergeCell ref="D89:D92"/>
    <mergeCell ref="E89:E91"/>
    <mergeCell ref="F89:F91"/>
    <mergeCell ref="G89:G91"/>
    <mergeCell ref="H89:H91"/>
    <mergeCell ref="I89:I91"/>
    <mergeCell ref="H67:H88"/>
    <mergeCell ref="I67:I88"/>
    <mergeCell ref="J67:J88"/>
    <mergeCell ref="S67:S88"/>
    <mergeCell ref="U67:U88"/>
    <mergeCell ref="V67:V88"/>
    <mergeCell ref="J89:J91"/>
    <mergeCell ref="S89:S91"/>
    <mergeCell ref="U89:U91"/>
    <mergeCell ref="V89:V91"/>
    <mergeCell ref="X89:X91"/>
    <mergeCell ref="A67:A88"/>
    <mergeCell ref="B67:B88"/>
    <mergeCell ref="C67:C88"/>
    <mergeCell ref="A93:F93"/>
    <mergeCell ref="H93:J93"/>
    <mergeCell ref="K93:L93"/>
    <mergeCell ref="U93:Y93"/>
    <mergeCell ref="Z93:AA93"/>
    <mergeCell ref="AF93:AH93"/>
    <mergeCell ref="AH95:AH96"/>
    <mergeCell ref="A98:F98"/>
    <mergeCell ref="H98:J98"/>
    <mergeCell ref="K98:L98"/>
    <mergeCell ref="U98:Y98"/>
    <mergeCell ref="Z98:AA98"/>
    <mergeCell ref="AF98:AH98"/>
    <mergeCell ref="A111:A112"/>
    <mergeCell ref="B111:B112"/>
    <mergeCell ref="C111:C112"/>
    <mergeCell ref="D111:D112"/>
    <mergeCell ref="E111:E112"/>
    <mergeCell ref="F111:F112"/>
    <mergeCell ref="U111:U112"/>
    <mergeCell ref="V111:V112"/>
    <mergeCell ref="X111:X112"/>
    <mergeCell ref="G111:G112"/>
    <mergeCell ref="H111:H112"/>
    <mergeCell ref="I111:I112"/>
    <mergeCell ref="J111:J112"/>
    <mergeCell ref="S111:S112"/>
    <mergeCell ref="T111:T112"/>
    <mergeCell ref="D100:D101"/>
    <mergeCell ref="AH102:AH103"/>
    <mergeCell ref="AH104:AH105"/>
    <mergeCell ref="AH106:AH112"/>
    <mergeCell ref="C119:C123"/>
    <mergeCell ref="D119:D123"/>
    <mergeCell ref="E119:E123"/>
    <mergeCell ref="F119:F123"/>
    <mergeCell ref="Z113:AA113"/>
    <mergeCell ref="AF113:AH113"/>
    <mergeCell ref="G119:G123"/>
    <mergeCell ref="H119:H123"/>
    <mergeCell ref="I119:I123"/>
    <mergeCell ref="J119:J123"/>
    <mergeCell ref="S119:S123"/>
    <mergeCell ref="U119:U123"/>
    <mergeCell ref="A115:A116"/>
    <mergeCell ref="B115:B116"/>
    <mergeCell ref="C115:C116"/>
    <mergeCell ref="D115:D116"/>
    <mergeCell ref="A113:F113"/>
    <mergeCell ref="H113:J113"/>
    <mergeCell ref="K113:L113"/>
    <mergeCell ref="U113:Y113"/>
    <mergeCell ref="I124:I128"/>
    <mergeCell ref="J124:J128"/>
    <mergeCell ref="S124:S128"/>
    <mergeCell ref="U124:U128"/>
    <mergeCell ref="V124:V128"/>
    <mergeCell ref="X124:X128"/>
    <mergeCell ref="V119:V123"/>
    <mergeCell ref="X119:X123"/>
    <mergeCell ref="A124:A128"/>
    <mergeCell ref="B124:B128"/>
    <mergeCell ref="C124:C128"/>
    <mergeCell ref="D124:D128"/>
    <mergeCell ref="E124:E128"/>
    <mergeCell ref="F124:F128"/>
    <mergeCell ref="G124:G128"/>
    <mergeCell ref="H124:H128"/>
    <mergeCell ref="A119:A123"/>
    <mergeCell ref="B119:B123"/>
    <mergeCell ref="A134:F134"/>
    <mergeCell ref="H134:J134"/>
    <mergeCell ref="K134:L134"/>
    <mergeCell ref="U134:Y134"/>
    <mergeCell ref="Z134:AA134"/>
    <mergeCell ref="AF134:AH134"/>
    <mergeCell ref="G131:G133"/>
    <mergeCell ref="H131:H133"/>
    <mergeCell ref="I131:I133"/>
    <mergeCell ref="J131:J133"/>
    <mergeCell ref="S131:S133"/>
    <mergeCell ref="T131:T133"/>
    <mergeCell ref="A131:A133"/>
    <mergeCell ref="B131:B133"/>
    <mergeCell ref="C131:C133"/>
    <mergeCell ref="D131:D133"/>
    <mergeCell ref="E131:E133"/>
    <mergeCell ref="F131:F133"/>
    <mergeCell ref="H136:J136"/>
    <mergeCell ref="K136:L136"/>
    <mergeCell ref="U136:Y136"/>
    <mergeCell ref="Z136:AA136"/>
    <mergeCell ref="AF136:AH136"/>
    <mergeCell ref="U131:U133"/>
    <mergeCell ref="V131:V133"/>
    <mergeCell ref="X131:X133"/>
    <mergeCell ref="AH131:AH133"/>
    <mergeCell ref="A144:F144"/>
    <mergeCell ref="U144:AA144"/>
    <mergeCell ref="A145:F145"/>
    <mergeCell ref="U145:AA145"/>
    <mergeCell ref="AI2:AI3"/>
    <mergeCell ref="AJ2:AL2"/>
    <mergeCell ref="AI6:AI8"/>
    <mergeCell ref="A141:F141"/>
    <mergeCell ref="U141:AA141"/>
    <mergeCell ref="A142:F142"/>
    <mergeCell ref="U142:AA142"/>
    <mergeCell ref="A143:F143"/>
    <mergeCell ref="U143:AA143"/>
    <mergeCell ref="A138:F138"/>
    <mergeCell ref="U138:AA138"/>
    <mergeCell ref="A139:F139"/>
    <mergeCell ref="U139:AA139"/>
    <mergeCell ref="A140:F140"/>
    <mergeCell ref="U140:AA140"/>
    <mergeCell ref="A135:F135"/>
    <mergeCell ref="H135:J135"/>
    <mergeCell ref="U135:X135"/>
    <mergeCell ref="Z135:AF135"/>
    <mergeCell ref="A136:F136"/>
    <mergeCell ref="AI20:AK20"/>
    <mergeCell ref="AJ21:AL21"/>
    <mergeCell ref="AI1:AL1"/>
    <mergeCell ref="AL6:AL8"/>
    <mergeCell ref="AM1:AP1"/>
    <mergeCell ref="AM2:AM3"/>
    <mergeCell ref="AN2:AP2"/>
    <mergeCell ref="AM6:AM8"/>
    <mergeCell ref="AN6:AN8"/>
    <mergeCell ref="AO6:AO8"/>
    <mergeCell ref="AJ6:AJ8"/>
    <mergeCell ref="AK6:AK8"/>
    <mergeCell ref="AJ9:AL9"/>
    <mergeCell ref="AI12:AI16"/>
    <mergeCell ref="AJ12:AJ16"/>
    <mergeCell ref="AK12:AK16"/>
    <mergeCell ref="AU1:AY1"/>
    <mergeCell ref="AU2:AW2"/>
    <mergeCell ref="AX2:AY2"/>
    <mergeCell ref="AU9:AV9"/>
    <mergeCell ref="AP6:AP8"/>
    <mergeCell ref="AN9:AP9"/>
    <mergeCell ref="AQ1:AT1"/>
    <mergeCell ref="AQ2:AQ3"/>
    <mergeCell ref="AR2:AT2"/>
    <mergeCell ref="AQ6:AQ8"/>
    <mergeCell ref="AR6:AR8"/>
    <mergeCell ref="AS6:AS8"/>
    <mergeCell ref="AT6:AT8"/>
    <mergeCell ref="AR9:AT9"/>
  </mergeCells>
  <printOptions horizontalCentered="1" verticalCentered="1"/>
  <pageMargins left="0.39370078740157483" right="0.47244094488188981" top="1.1811023622047245" bottom="0.47244094488188981" header="0.78740157480314965" footer="0.27559055118110237"/>
  <pageSetup scale="60" pageOrder="overThenDown" orientation="landscape" r:id="rId1"/>
  <headerFooter>
    <oddHeader>&amp;C&amp;"-,Negrita"&amp;14UNIVERSIDAD SURCOLOMBIANAPLAN DE ACCIÓN 2010 - RESOLUCIONES, 0195 DE 2009, 002, 018, 035 y 046 DE 2010</oddHeader>
    <oddFooter>&amp;LUNIDAD DE PLANEAMIENTO ECONÓMICO Y ADMINISTRATIVO&amp;COFICINA DE PLANEACIÓN&amp;RPágina &amp;P de &amp;N</oddFooter>
  </headerFooter>
  <rowBreaks count="3" manualBreakCount="3">
    <brk id="26" max="16383" man="1"/>
    <brk id="39" max="16383" man="1"/>
    <brk id="66" max="16383"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3"/>
  <dimension ref="A1:AE299"/>
  <sheetViews>
    <sheetView topLeftCell="A3" zoomScale="80" zoomScaleNormal="80" zoomScalePageLayoutView="50" workbookViewId="0">
      <pane xSplit="16" ySplit="2" topLeftCell="Q5" activePane="bottomRight" state="frozen"/>
      <selection activeCell="A3" sqref="A3"/>
      <selection pane="topRight" activeCell="Q3" sqref="Q3"/>
      <selection pane="bottomLeft" activeCell="A5" sqref="A5"/>
      <selection pane="bottomRight" activeCell="F4" sqref="F4"/>
    </sheetView>
  </sheetViews>
  <sheetFormatPr baseColWidth="10" defaultColWidth="11.42578125" defaultRowHeight="15" x14ac:dyDescent="0.25"/>
  <cols>
    <col min="1" max="1" width="7.5703125" customWidth="1"/>
    <col min="2" max="2" width="15.85546875" customWidth="1"/>
    <col min="3" max="3" width="14.5703125" customWidth="1"/>
    <col min="4" max="4" width="14.42578125" customWidth="1"/>
    <col min="5" max="5" width="8" customWidth="1"/>
    <col min="6" max="6" width="8.28515625" customWidth="1"/>
    <col min="7" max="7" width="14.42578125" customWidth="1"/>
    <col min="8" max="8" width="15" customWidth="1"/>
    <col min="9" max="9" width="10.140625" hidden="1" customWidth="1"/>
    <col min="10" max="10" width="14.28515625" hidden="1" customWidth="1"/>
    <col min="11" max="11" width="11.7109375" hidden="1" customWidth="1"/>
    <col min="12" max="12" width="13.7109375" hidden="1" customWidth="1"/>
    <col min="13" max="14" width="14.7109375" hidden="1" customWidth="1"/>
    <col min="15" max="15" width="5.7109375" hidden="1" customWidth="1"/>
    <col min="16" max="16" width="8" customWidth="1"/>
    <col min="17" max="17" width="13.5703125" customWidth="1"/>
    <col min="18" max="18" width="13.140625" customWidth="1"/>
    <col min="19" max="19" width="12.28515625" customWidth="1"/>
    <col min="20" max="20" width="12" customWidth="1"/>
    <col min="21" max="21" width="11.28515625" customWidth="1"/>
    <col min="22" max="22" width="10.42578125" customWidth="1"/>
    <col min="23" max="23" width="11.140625" customWidth="1"/>
    <col min="24" max="24" width="12.140625" customWidth="1"/>
    <col min="25" max="25" width="10.85546875" customWidth="1"/>
    <col min="26" max="26" width="12.7109375" customWidth="1"/>
    <col min="27" max="27" width="11.7109375" customWidth="1"/>
    <col min="28" max="28" width="12.140625" customWidth="1"/>
    <col min="29" max="29" width="12.5703125" customWidth="1"/>
    <col min="30" max="30" width="4" customWidth="1"/>
    <col min="31" max="31" width="11.7109375" hidden="1" customWidth="1"/>
  </cols>
  <sheetData>
    <row r="1" spans="1:31" ht="16.149999999999999" customHeight="1" x14ac:dyDescent="0.3">
      <c r="A1" s="881" t="s">
        <v>4215</v>
      </c>
      <c r="B1" s="880"/>
      <c r="C1" s="880"/>
      <c r="D1" s="880"/>
      <c r="E1" s="880"/>
      <c r="F1" s="880"/>
      <c r="G1" s="1510"/>
      <c r="H1" s="1510"/>
      <c r="I1" s="1510"/>
      <c r="J1" s="1510"/>
      <c r="K1" s="1510"/>
      <c r="L1" s="1510"/>
      <c r="M1" s="1510"/>
      <c r="N1" s="1510"/>
      <c r="O1" s="1510"/>
      <c r="P1" s="876"/>
      <c r="Q1" s="895"/>
      <c r="R1" s="895"/>
      <c r="S1" s="895"/>
      <c r="T1" s="895"/>
      <c r="U1" s="895"/>
      <c r="V1" s="895"/>
      <c r="W1" s="895"/>
      <c r="X1" s="1508"/>
      <c r="Y1" s="1508"/>
      <c r="Z1" s="1508"/>
      <c r="AA1" s="1508"/>
      <c r="AB1" s="1508"/>
      <c r="AC1" s="1508"/>
    </row>
    <row r="2" spans="1:31" ht="13.15" customHeight="1" x14ac:dyDescent="0.3">
      <c r="A2" s="881" t="s">
        <v>4216</v>
      </c>
      <c r="B2" s="877"/>
      <c r="C2" s="877"/>
      <c r="D2" s="877"/>
      <c r="E2" s="877"/>
      <c r="F2" s="877"/>
      <c r="G2" s="878"/>
      <c r="H2" s="878"/>
      <c r="I2" s="878"/>
      <c r="J2" s="878"/>
      <c r="K2" s="878"/>
      <c r="L2" s="878"/>
      <c r="M2" s="878"/>
      <c r="N2" s="878"/>
      <c r="O2" s="878"/>
      <c r="P2" s="876"/>
      <c r="Q2" s="879"/>
      <c r="R2" s="879"/>
      <c r="S2" s="879"/>
      <c r="T2" s="879"/>
      <c r="U2" s="879"/>
      <c r="V2" s="879"/>
      <c r="W2" s="879"/>
      <c r="X2" s="879"/>
      <c r="Y2" s="879"/>
      <c r="Z2" s="879"/>
      <c r="AA2" s="879"/>
      <c r="AB2" s="879"/>
      <c r="AC2" s="879"/>
    </row>
    <row r="3" spans="1:31" ht="15.6" customHeight="1" x14ac:dyDescent="0.25">
      <c r="A3" s="1315" t="s">
        <v>3139</v>
      </c>
      <c r="B3" s="1315"/>
      <c r="C3" s="1315" t="s">
        <v>4179</v>
      </c>
      <c r="D3" s="1490" t="s">
        <v>4171</v>
      </c>
      <c r="E3" s="1491"/>
      <c r="F3" s="1492"/>
      <c r="G3" s="1232" t="s">
        <v>4174</v>
      </c>
      <c r="H3" s="1232"/>
      <c r="I3" s="1232" t="s">
        <v>4175</v>
      </c>
      <c r="J3" s="1232" t="s">
        <v>4176</v>
      </c>
      <c r="K3" s="1232"/>
      <c r="L3" s="1232"/>
      <c r="M3" s="893"/>
      <c r="N3" s="893"/>
      <c r="O3" s="1418" t="s">
        <v>447</v>
      </c>
      <c r="P3" s="1495" t="s">
        <v>3347</v>
      </c>
      <c r="Q3" s="1419" t="s">
        <v>3333</v>
      </c>
      <c r="R3" s="1420"/>
      <c r="S3" s="1420"/>
      <c r="T3" s="1420"/>
      <c r="U3" s="1420"/>
      <c r="V3" s="1420"/>
      <c r="W3" s="1420" t="s">
        <v>3333</v>
      </c>
      <c r="X3" s="1420"/>
      <c r="Y3" s="1420"/>
      <c r="Z3" s="1420"/>
      <c r="AA3" s="1420"/>
      <c r="AB3" s="1420"/>
      <c r="AC3" s="1421"/>
    </row>
    <row r="4" spans="1:31" ht="64.900000000000006" customHeight="1" x14ac:dyDescent="0.25">
      <c r="A4" s="1315"/>
      <c r="B4" s="1315"/>
      <c r="C4" s="1315"/>
      <c r="D4" s="866" t="s">
        <v>4178</v>
      </c>
      <c r="E4" s="866" t="s">
        <v>4173</v>
      </c>
      <c r="F4" s="866" t="s">
        <v>4172</v>
      </c>
      <c r="G4" s="867" t="s">
        <v>1</v>
      </c>
      <c r="H4" s="867" t="s">
        <v>4174</v>
      </c>
      <c r="I4" s="1232"/>
      <c r="J4" s="867" t="s">
        <v>4178</v>
      </c>
      <c r="K4" s="867" t="s">
        <v>4173</v>
      </c>
      <c r="L4" s="867" t="s">
        <v>4177</v>
      </c>
      <c r="M4" s="867" t="s">
        <v>460</v>
      </c>
      <c r="N4" s="867" t="s">
        <v>462</v>
      </c>
      <c r="O4" s="1418"/>
      <c r="P4" s="1495"/>
      <c r="Q4" s="175" t="s">
        <v>695</v>
      </c>
      <c r="R4" s="175" t="s">
        <v>3310</v>
      </c>
      <c r="S4" s="175" t="s">
        <v>3311</v>
      </c>
      <c r="T4" s="175" t="s">
        <v>3312</v>
      </c>
      <c r="U4" s="175" t="s">
        <v>3313</v>
      </c>
      <c r="V4" s="175" t="s">
        <v>3314</v>
      </c>
      <c r="W4" s="175" t="s">
        <v>3315</v>
      </c>
      <c r="X4" s="175" t="s">
        <v>3316</v>
      </c>
      <c r="Y4" s="175" t="s">
        <v>3317</v>
      </c>
      <c r="Z4" s="175" t="s">
        <v>3346</v>
      </c>
      <c r="AA4" s="175" t="s">
        <v>3756</v>
      </c>
      <c r="AB4" s="175" t="s">
        <v>3318</v>
      </c>
      <c r="AC4" s="175" t="s">
        <v>3319</v>
      </c>
    </row>
    <row r="5" spans="1:31" ht="51" customHeight="1" x14ac:dyDescent="0.25">
      <c r="A5" s="1209" t="s">
        <v>3087</v>
      </c>
      <c r="B5" s="1209" t="s">
        <v>3194</v>
      </c>
      <c r="C5" s="1209" t="str">
        <f>+'PLANINDICATIVO PD MAYO'!J3</f>
        <v>REVISIÓN 100% DE LA NORMATIVIDAD VIGENTE Y REESTRUCTURACIÓN ACADÉMICO - ADMINISTRATIVA</v>
      </c>
      <c r="D5" s="1209" t="s">
        <v>3275</v>
      </c>
      <c r="E5" s="1209"/>
      <c r="F5" s="1501">
        <f>+'PLANINDICATIVO PD MAYO'!O3</f>
        <v>0.4</v>
      </c>
      <c r="G5" s="807" t="s">
        <v>3758</v>
      </c>
      <c r="H5" s="699" t="s">
        <v>3759</v>
      </c>
      <c r="I5" s="854" t="s">
        <v>4188</v>
      </c>
      <c r="J5" s="699" t="s">
        <v>4185</v>
      </c>
      <c r="K5" s="699"/>
      <c r="L5" s="699"/>
      <c r="M5" s="166">
        <v>200000000</v>
      </c>
      <c r="N5" s="874">
        <v>0</v>
      </c>
      <c r="O5" s="701">
        <v>510</v>
      </c>
      <c r="P5" s="863" t="s">
        <v>3348</v>
      </c>
      <c r="Q5" s="875" t="e">
        <f>SUM(R5:AC5)</f>
        <v>#REF!</v>
      </c>
      <c r="R5" s="875" t="e">
        <f>+#REF!</f>
        <v>#REF!</v>
      </c>
      <c r="S5" s="875" t="e">
        <f>+#REF!</f>
        <v>#REF!</v>
      </c>
      <c r="T5" s="875" t="e">
        <f>+#REF!</f>
        <v>#REF!</v>
      </c>
      <c r="U5" s="875" t="e">
        <f>+#REF!</f>
        <v>#REF!</v>
      </c>
      <c r="V5" s="875" t="e">
        <f>+#REF!</f>
        <v>#REF!</v>
      </c>
      <c r="W5" s="875" t="e">
        <f>+#REF!</f>
        <v>#REF!</v>
      </c>
      <c r="X5" s="875" t="e">
        <f>+#REF!</f>
        <v>#REF!</v>
      </c>
      <c r="Y5" s="875" t="e">
        <f>+#REF!</f>
        <v>#REF!</v>
      </c>
      <c r="Z5" s="875" t="e">
        <f>+#REF!</f>
        <v>#REF!</v>
      </c>
      <c r="AA5" s="875" t="e">
        <f>+#REF!</f>
        <v>#REF!</v>
      </c>
      <c r="AB5" s="875" t="e">
        <f>+#REF!</f>
        <v>#REF!</v>
      </c>
      <c r="AC5" s="875" t="e">
        <f>+#REF!</f>
        <v>#REF!</v>
      </c>
    </row>
    <row r="6" spans="1:31" ht="46.9" customHeight="1" x14ac:dyDescent="0.25">
      <c r="A6" s="1209"/>
      <c r="B6" s="1209"/>
      <c r="C6" s="1209"/>
      <c r="D6" s="1209"/>
      <c r="E6" s="1209"/>
      <c r="F6" s="1501"/>
      <c r="G6" s="806" t="s">
        <v>3760</v>
      </c>
      <c r="H6" s="174" t="s">
        <v>3761</v>
      </c>
      <c r="I6" s="854" t="s">
        <v>4189</v>
      </c>
      <c r="J6" s="174" t="s">
        <v>4186</v>
      </c>
      <c r="K6" s="174"/>
      <c r="L6" s="174"/>
      <c r="M6" s="155">
        <v>200000000</v>
      </c>
      <c r="N6" s="156">
        <v>0</v>
      </c>
      <c r="O6" s="151">
        <v>510</v>
      </c>
      <c r="P6" s="681" t="s">
        <v>3762</v>
      </c>
      <c r="Q6" s="149" t="e">
        <f>SUM(R6:AC6)</f>
        <v>#REF!</v>
      </c>
      <c r="R6" s="149" t="e">
        <f>+#REF!</f>
        <v>#REF!</v>
      </c>
      <c r="S6" s="149" t="e">
        <f>+#REF!</f>
        <v>#REF!</v>
      </c>
      <c r="T6" s="149" t="e">
        <f>+#REF!</f>
        <v>#REF!</v>
      </c>
      <c r="U6" s="149" t="e">
        <f>+#REF!</f>
        <v>#REF!</v>
      </c>
      <c r="V6" s="149" t="e">
        <f>+#REF!</f>
        <v>#REF!</v>
      </c>
      <c r="W6" s="149" t="e">
        <f>+#REF!</f>
        <v>#REF!</v>
      </c>
      <c r="X6" s="149" t="e">
        <f>+#REF!</f>
        <v>#REF!</v>
      </c>
      <c r="Y6" s="149" t="e">
        <f>+#REF!</f>
        <v>#REF!</v>
      </c>
      <c r="Z6" s="149" t="e">
        <f>+#REF!</f>
        <v>#REF!</v>
      </c>
      <c r="AA6" s="149" t="e">
        <f>+#REF!</f>
        <v>#REF!</v>
      </c>
      <c r="AB6" s="149" t="e">
        <f>+#REF!</f>
        <v>#REF!</v>
      </c>
      <c r="AC6" s="149" t="e">
        <f>+#REF!</f>
        <v>#REF!</v>
      </c>
    </row>
    <row r="7" spans="1:31" ht="18" customHeight="1" x14ac:dyDescent="0.25">
      <c r="A7" s="1282" t="s">
        <v>4221</v>
      </c>
      <c r="B7" s="1286"/>
      <c r="C7" s="1286"/>
      <c r="D7" s="1286"/>
      <c r="E7" s="1286"/>
      <c r="F7" s="1286"/>
      <c r="G7" s="1286"/>
      <c r="H7" s="1286"/>
      <c r="I7" s="1286"/>
      <c r="J7" s="1286"/>
      <c r="K7" s="1286"/>
      <c r="L7" s="1286"/>
      <c r="M7" s="1286"/>
      <c r="N7" s="1286"/>
      <c r="O7" s="1286"/>
      <c r="P7" s="1496"/>
      <c r="Q7" s="149" t="e">
        <f>SUM(Q5:Q6)</f>
        <v>#REF!</v>
      </c>
      <c r="R7" s="149" t="e">
        <f t="shared" ref="R7:AC7" si="0">SUM(R5:R6)</f>
        <v>#REF!</v>
      </c>
      <c r="S7" s="149" t="e">
        <f t="shared" si="0"/>
        <v>#REF!</v>
      </c>
      <c r="T7" s="149" t="e">
        <f t="shared" si="0"/>
        <v>#REF!</v>
      </c>
      <c r="U7" s="149" t="e">
        <f t="shared" si="0"/>
        <v>#REF!</v>
      </c>
      <c r="V7" s="149" t="e">
        <f t="shared" si="0"/>
        <v>#REF!</v>
      </c>
      <c r="W7" s="149" t="e">
        <f t="shared" si="0"/>
        <v>#REF!</v>
      </c>
      <c r="X7" s="149" t="e">
        <f t="shared" si="0"/>
        <v>#REF!</v>
      </c>
      <c r="Y7" s="149" t="e">
        <f t="shared" si="0"/>
        <v>#REF!</v>
      </c>
      <c r="Z7" s="149" t="e">
        <f t="shared" si="0"/>
        <v>#REF!</v>
      </c>
      <c r="AA7" s="149" t="e">
        <f t="shared" si="0"/>
        <v>#REF!</v>
      </c>
      <c r="AB7" s="149" t="e">
        <f t="shared" si="0"/>
        <v>#REF!</v>
      </c>
      <c r="AC7" s="149" t="e">
        <f t="shared" si="0"/>
        <v>#REF!</v>
      </c>
      <c r="AE7" s="1" t="e">
        <f>+Q7-'POAI 2011 AC.017 MAYO'!I5</f>
        <v>#REF!</v>
      </c>
    </row>
    <row r="8" spans="1:31" ht="41.45" customHeight="1" x14ac:dyDescent="0.25">
      <c r="A8" s="1209" t="s">
        <v>3091</v>
      </c>
      <c r="B8" s="1209" t="s">
        <v>3092</v>
      </c>
      <c r="C8" s="1203" t="str">
        <f>+'PLANINDICATIVO PD MAYO'!J5</f>
        <v xml:space="preserve">CONSOLIDACIÓN DE LA CULTURA DE LA COMUNICACIÓN (VER METAS EN TRANSVERSALIDAD 1) </v>
      </c>
      <c r="D8" s="1209" t="s">
        <v>3276</v>
      </c>
      <c r="E8" s="1209"/>
      <c r="F8" s="1501">
        <f>+'PLANINDICATIVO PD MAYO'!O5</f>
        <v>0.2</v>
      </c>
      <c r="G8" s="806" t="s">
        <v>3766</v>
      </c>
      <c r="H8" s="912" t="s">
        <v>3763</v>
      </c>
      <c r="I8" s="913" t="s">
        <v>4190</v>
      </c>
      <c r="J8" s="174" t="s">
        <v>4187</v>
      </c>
      <c r="K8" s="174"/>
      <c r="L8" s="174"/>
      <c r="M8" s="155">
        <v>5000000</v>
      </c>
      <c r="N8" s="156">
        <v>0</v>
      </c>
      <c r="O8" s="151">
        <v>510</v>
      </c>
      <c r="P8" s="813" t="s">
        <v>3349</v>
      </c>
      <c r="Q8" s="149" t="e">
        <f t="shared" ref="Q8:Q177" si="1">SUM(R8:AC8)</f>
        <v>#REF!</v>
      </c>
      <c r="R8" s="149" t="e">
        <f>+#REF!</f>
        <v>#REF!</v>
      </c>
      <c r="S8" s="149" t="e">
        <f>+#REF!</f>
        <v>#REF!</v>
      </c>
      <c r="T8" s="149" t="e">
        <f>+#REF!</f>
        <v>#REF!</v>
      </c>
      <c r="U8" s="149" t="e">
        <f>+#REF!</f>
        <v>#REF!</v>
      </c>
      <c r="V8" s="149" t="e">
        <f>+#REF!</f>
        <v>#REF!</v>
      </c>
      <c r="W8" s="149" t="e">
        <f>+#REF!</f>
        <v>#REF!</v>
      </c>
      <c r="X8" s="149" t="e">
        <f>+#REF!</f>
        <v>#REF!</v>
      </c>
      <c r="Y8" s="149" t="e">
        <f>+#REF!</f>
        <v>#REF!</v>
      </c>
      <c r="Z8" s="149" t="e">
        <f>+#REF!</f>
        <v>#REF!</v>
      </c>
      <c r="AA8" s="149" t="e">
        <f>+#REF!</f>
        <v>#REF!</v>
      </c>
      <c r="AB8" s="149" t="e">
        <f>+#REF!</f>
        <v>#REF!</v>
      </c>
      <c r="AC8" s="149" t="e">
        <f>+#REF!</f>
        <v>#REF!</v>
      </c>
    </row>
    <row r="9" spans="1:31" ht="55.9" customHeight="1" x14ac:dyDescent="0.25">
      <c r="A9" s="1209"/>
      <c r="B9" s="1209"/>
      <c r="C9" s="1204"/>
      <c r="D9" s="1209"/>
      <c r="E9" s="1209"/>
      <c r="F9" s="1501"/>
      <c r="G9" s="806" t="s">
        <v>3767</v>
      </c>
      <c r="H9" s="696" t="s">
        <v>3764</v>
      </c>
      <c r="I9" s="854" t="s">
        <v>4191</v>
      </c>
      <c r="J9" s="696" t="s">
        <v>4192</v>
      </c>
      <c r="K9" s="696"/>
      <c r="L9" s="696"/>
      <c r="M9" s="160">
        <v>10000000</v>
      </c>
      <c r="N9" s="161">
        <v>0</v>
      </c>
      <c r="O9" s="151">
        <v>510</v>
      </c>
      <c r="P9" s="813" t="s">
        <v>3349</v>
      </c>
      <c r="Q9" s="149" t="e">
        <f t="shared" si="1"/>
        <v>#REF!</v>
      </c>
      <c r="R9" s="149" t="e">
        <f>+#REF!</f>
        <v>#REF!</v>
      </c>
      <c r="S9" s="149" t="e">
        <f>+#REF!</f>
        <v>#REF!</v>
      </c>
      <c r="T9" s="149" t="e">
        <f>+#REF!</f>
        <v>#REF!</v>
      </c>
      <c r="U9" s="149" t="e">
        <f>+#REF!</f>
        <v>#REF!</v>
      </c>
      <c r="V9" s="149" t="e">
        <f>+#REF!</f>
        <v>#REF!</v>
      </c>
      <c r="W9" s="149" t="e">
        <f>+#REF!</f>
        <v>#REF!</v>
      </c>
      <c r="X9" s="149" t="e">
        <f>+#REF!</f>
        <v>#REF!</v>
      </c>
      <c r="Y9" s="149" t="e">
        <f>+#REF!</f>
        <v>#REF!</v>
      </c>
      <c r="Z9" s="149" t="e">
        <f>+#REF!</f>
        <v>#REF!</v>
      </c>
      <c r="AA9" s="149" t="e">
        <f>+#REF!</f>
        <v>#REF!</v>
      </c>
      <c r="AB9" s="149" t="e">
        <f>+#REF!</f>
        <v>#REF!</v>
      </c>
      <c r="AC9" s="149" t="e">
        <f>+#REF!</f>
        <v>#REF!</v>
      </c>
    </row>
    <row r="10" spans="1:31" ht="40.9" customHeight="1" x14ac:dyDescent="0.25">
      <c r="A10" s="1209"/>
      <c r="B10" s="1209"/>
      <c r="C10" s="1204"/>
      <c r="D10" s="1209"/>
      <c r="E10" s="1209"/>
      <c r="F10" s="1501"/>
      <c r="G10" s="804" t="s">
        <v>3768</v>
      </c>
      <c r="H10" s="820" t="s">
        <v>3765</v>
      </c>
      <c r="I10" s="856" t="s">
        <v>4194</v>
      </c>
      <c r="J10" s="855" t="s">
        <v>4193</v>
      </c>
      <c r="K10" s="331"/>
      <c r="L10" s="331"/>
      <c r="M10" s="794">
        <v>10000000</v>
      </c>
      <c r="N10" s="173">
        <v>10000000</v>
      </c>
      <c r="O10" s="561">
        <v>510</v>
      </c>
      <c r="P10" s="813" t="s">
        <v>3349</v>
      </c>
      <c r="Q10" s="149" t="e">
        <f>SUM(R10:AC10)</f>
        <v>#REF!</v>
      </c>
      <c r="R10" s="149" t="e">
        <f>+#REF!</f>
        <v>#REF!</v>
      </c>
      <c r="S10" s="149" t="e">
        <f>+#REF!</f>
        <v>#REF!</v>
      </c>
      <c r="T10" s="149" t="e">
        <f>+#REF!</f>
        <v>#REF!</v>
      </c>
      <c r="U10" s="149" t="e">
        <f>+#REF!</f>
        <v>#REF!</v>
      </c>
      <c r="V10" s="149" t="e">
        <f>+#REF!</f>
        <v>#REF!</v>
      </c>
      <c r="W10" s="149" t="e">
        <f>+#REF!</f>
        <v>#REF!</v>
      </c>
      <c r="X10" s="149" t="e">
        <f>+#REF!</f>
        <v>#REF!</v>
      </c>
      <c r="Y10" s="149" t="e">
        <f>+#REF!</f>
        <v>#REF!</v>
      </c>
      <c r="Z10" s="149" t="e">
        <f>+#REF!</f>
        <v>#REF!</v>
      </c>
      <c r="AA10" s="149" t="e">
        <f>+#REF!</f>
        <v>#REF!</v>
      </c>
      <c r="AB10" s="149" t="e">
        <f>+#REF!</f>
        <v>#REF!</v>
      </c>
      <c r="AC10" s="149" t="e">
        <f>+#REF!</f>
        <v>#REF!</v>
      </c>
    </row>
    <row r="11" spans="1:31" ht="32.450000000000003" customHeight="1" x14ac:dyDescent="0.25">
      <c r="A11" s="1209"/>
      <c r="B11" s="1209"/>
      <c r="C11" s="1204"/>
      <c r="D11" s="1209"/>
      <c r="E11" s="1209"/>
      <c r="F11" s="1501"/>
      <c r="G11" s="806" t="s">
        <v>3769</v>
      </c>
      <c r="H11" s="821" t="s">
        <v>390</v>
      </c>
      <c r="I11" s="857" t="s">
        <v>4196</v>
      </c>
      <c r="J11" s="331" t="s">
        <v>4195</v>
      </c>
      <c r="K11" s="331"/>
      <c r="L11" s="331"/>
      <c r="M11" s="149">
        <v>10000000</v>
      </c>
      <c r="N11" s="149">
        <v>10000000</v>
      </c>
      <c r="O11" s="151">
        <v>510</v>
      </c>
      <c r="P11" s="815" t="s">
        <v>3348</v>
      </c>
      <c r="Q11" s="149" t="e">
        <f>SUM(R11:AC11)</f>
        <v>#REF!</v>
      </c>
      <c r="R11" s="149" t="e">
        <f>+#REF!</f>
        <v>#REF!</v>
      </c>
      <c r="S11" s="149" t="e">
        <f>+#REF!</f>
        <v>#REF!</v>
      </c>
      <c r="T11" s="149" t="e">
        <f>+#REF!</f>
        <v>#REF!</v>
      </c>
      <c r="U11" s="149" t="e">
        <f>+#REF!</f>
        <v>#REF!</v>
      </c>
      <c r="V11" s="149" t="e">
        <f>+#REF!</f>
        <v>#REF!</v>
      </c>
      <c r="W11" s="149" t="e">
        <f>+#REF!</f>
        <v>#REF!</v>
      </c>
      <c r="X11" s="149" t="e">
        <f>+#REF!</f>
        <v>#REF!</v>
      </c>
      <c r="Y11" s="149" t="e">
        <f>+#REF!</f>
        <v>#REF!</v>
      </c>
      <c r="Z11" s="149" t="e">
        <f>+#REF!</f>
        <v>#REF!</v>
      </c>
      <c r="AA11" s="149" t="e">
        <f>+#REF!</f>
        <v>#REF!</v>
      </c>
      <c r="AB11" s="149" t="e">
        <f>+#REF!</f>
        <v>#REF!</v>
      </c>
      <c r="AC11" s="149" t="e">
        <f>+#REF!</f>
        <v>#REF!</v>
      </c>
    </row>
    <row r="12" spans="1:31" ht="110.45" customHeight="1" x14ac:dyDescent="0.25">
      <c r="A12" s="1209"/>
      <c r="B12" s="1209"/>
      <c r="C12" s="1210"/>
      <c r="D12" s="1209"/>
      <c r="E12" s="1209"/>
      <c r="F12" s="1501"/>
      <c r="G12" s="806" t="s">
        <v>4134</v>
      </c>
      <c r="H12" s="821" t="s">
        <v>4135</v>
      </c>
      <c r="I12" s="331"/>
      <c r="J12" s="331"/>
      <c r="K12" s="331"/>
      <c r="L12" s="331"/>
      <c r="M12" s="149"/>
      <c r="N12" s="149"/>
      <c r="O12" s="151">
        <v>510</v>
      </c>
      <c r="P12" s="869" t="s">
        <v>4136</v>
      </c>
      <c r="Q12" s="149" t="e">
        <f>SUM(R12:AC12)</f>
        <v>#REF!</v>
      </c>
      <c r="R12" s="149" t="e">
        <f>+#REF!</f>
        <v>#REF!</v>
      </c>
      <c r="S12" s="149" t="e">
        <f>+#REF!</f>
        <v>#REF!</v>
      </c>
      <c r="T12" s="149" t="e">
        <f>+#REF!</f>
        <v>#REF!</v>
      </c>
      <c r="U12" s="149" t="e">
        <f>+#REF!</f>
        <v>#REF!</v>
      </c>
      <c r="V12" s="149" t="e">
        <f>+#REF!</f>
        <v>#REF!</v>
      </c>
      <c r="W12" s="149" t="e">
        <f>+#REF!</f>
        <v>#REF!</v>
      </c>
      <c r="X12" s="149" t="e">
        <f>+#REF!</f>
        <v>#REF!</v>
      </c>
      <c r="Y12" s="149" t="e">
        <f>+#REF!</f>
        <v>#REF!</v>
      </c>
      <c r="Z12" s="149" t="e">
        <f>+#REF!</f>
        <v>#REF!</v>
      </c>
      <c r="AA12" s="149" t="e">
        <f>+#REF!</f>
        <v>#REF!</v>
      </c>
      <c r="AB12" s="149" t="e">
        <f>+#REF!</f>
        <v>#REF!</v>
      </c>
      <c r="AC12" s="149" t="e">
        <f>+#REF!</f>
        <v>#REF!</v>
      </c>
    </row>
    <row r="13" spans="1:31" ht="17.45" customHeight="1" x14ac:dyDescent="0.25">
      <c r="A13" s="1282" t="s">
        <v>4286</v>
      </c>
      <c r="B13" s="1286"/>
      <c r="C13" s="1286"/>
      <c r="D13" s="1286"/>
      <c r="E13" s="1286"/>
      <c r="F13" s="1286"/>
      <c r="G13" s="1286"/>
      <c r="H13" s="1286"/>
      <c r="I13" s="1286"/>
      <c r="J13" s="1286"/>
      <c r="K13" s="1286"/>
      <c r="L13" s="1286"/>
      <c r="M13" s="1286"/>
      <c r="N13" s="1286"/>
      <c r="O13" s="1286"/>
      <c r="P13" s="1496"/>
      <c r="Q13" s="149" t="e">
        <f>SUM(Q8:Q12)</f>
        <v>#REF!</v>
      </c>
      <c r="R13" s="149" t="e">
        <f t="shared" ref="R13:AC13" si="2">SUM(R8:R12)</f>
        <v>#REF!</v>
      </c>
      <c r="S13" s="149" t="e">
        <f t="shared" si="2"/>
        <v>#REF!</v>
      </c>
      <c r="T13" s="149" t="e">
        <f t="shared" si="2"/>
        <v>#REF!</v>
      </c>
      <c r="U13" s="149" t="e">
        <f t="shared" si="2"/>
        <v>#REF!</v>
      </c>
      <c r="V13" s="149" t="e">
        <f t="shared" si="2"/>
        <v>#REF!</v>
      </c>
      <c r="W13" s="149" t="e">
        <f t="shared" si="2"/>
        <v>#REF!</v>
      </c>
      <c r="X13" s="149" t="e">
        <f t="shared" si="2"/>
        <v>#REF!</v>
      </c>
      <c r="Y13" s="149" t="e">
        <f t="shared" si="2"/>
        <v>#REF!</v>
      </c>
      <c r="Z13" s="149" t="e">
        <f t="shared" si="2"/>
        <v>#REF!</v>
      </c>
      <c r="AA13" s="149" t="e">
        <f t="shared" si="2"/>
        <v>#REF!</v>
      </c>
      <c r="AB13" s="149" t="e">
        <f t="shared" si="2"/>
        <v>#REF!</v>
      </c>
      <c r="AC13" s="149" t="e">
        <f t="shared" si="2"/>
        <v>#REF!</v>
      </c>
      <c r="AE13" s="1" t="e">
        <f>+Q13-'POAI 2011 AC.017 MAYO'!I7</f>
        <v>#REF!</v>
      </c>
    </row>
    <row r="14" spans="1:31" ht="17.45" customHeight="1" x14ac:dyDescent="0.25">
      <c r="A14" s="1203" t="s">
        <v>4285</v>
      </c>
      <c r="B14" s="1203"/>
      <c r="C14" s="1203"/>
      <c r="D14" s="1203"/>
      <c r="E14" s="1203"/>
      <c r="F14" s="1203"/>
      <c r="G14" s="1203"/>
      <c r="H14" s="1203"/>
      <c r="I14" s="1203"/>
      <c r="J14" s="1203"/>
      <c r="K14" s="1203"/>
      <c r="L14" s="1203"/>
      <c r="M14" s="1203"/>
      <c r="N14" s="1203"/>
      <c r="O14" s="1203"/>
      <c r="P14" s="1203"/>
      <c r="Q14" s="241" t="e">
        <f>+Q13+Q7</f>
        <v>#REF!</v>
      </c>
      <c r="R14" s="241" t="e">
        <f t="shared" ref="R14:AC14" si="3">+R13+R7</f>
        <v>#REF!</v>
      </c>
      <c r="S14" s="241" t="e">
        <f t="shared" si="3"/>
        <v>#REF!</v>
      </c>
      <c r="T14" s="241" t="e">
        <f t="shared" si="3"/>
        <v>#REF!</v>
      </c>
      <c r="U14" s="241" t="e">
        <f t="shared" si="3"/>
        <v>#REF!</v>
      </c>
      <c r="V14" s="241" t="e">
        <f t="shared" si="3"/>
        <v>#REF!</v>
      </c>
      <c r="W14" s="241" t="e">
        <f t="shared" si="3"/>
        <v>#REF!</v>
      </c>
      <c r="X14" s="241" t="e">
        <f t="shared" si="3"/>
        <v>#REF!</v>
      </c>
      <c r="Y14" s="241" t="e">
        <f t="shared" si="3"/>
        <v>#REF!</v>
      </c>
      <c r="Z14" s="241" t="e">
        <f t="shared" si="3"/>
        <v>#REF!</v>
      </c>
      <c r="AA14" s="241" t="e">
        <f t="shared" si="3"/>
        <v>#REF!</v>
      </c>
      <c r="AB14" s="241" t="e">
        <f t="shared" si="3"/>
        <v>#REF!</v>
      </c>
      <c r="AC14" s="241" t="e">
        <f t="shared" si="3"/>
        <v>#REF!</v>
      </c>
      <c r="AE14" s="1" t="e">
        <f>+Q14-'POAI 2011 AC.017 MAYO'!I4</f>
        <v>#REF!</v>
      </c>
    </row>
    <row r="15" spans="1:31" ht="18" customHeight="1" x14ac:dyDescent="0.25">
      <c r="A15" s="1208" t="s">
        <v>4223</v>
      </c>
      <c r="B15" s="1208"/>
      <c r="C15" s="1208"/>
      <c r="D15" s="1208"/>
      <c r="E15" s="1208"/>
      <c r="F15" s="1208"/>
      <c r="G15" s="1208"/>
      <c r="H15" s="1208"/>
      <c r="I15" s="1208"/>
      <c r="J15" s="1208"/>
      <c r="K15" s="1208"/>
      <c r="L15" s="1208"/>
      <c r="M15" s="1208"/>
      <c r="N15" s="1208"/>
      <c r="O15" s="1208"/>
      <c r="P15" s="1217"/>
      <c r="Q15" s="149" t="e">
        <f>+Q14</f>
        <v>#REF!</v>
      </c>
      <c r="R15" s="149" t="e">
        <f t="shared" ref="R15:AC15" si="4">+R14</f>
        <v>#REF!</v>
      </c>
      <c r="S15" s="149" t="e">
        <f t="shared" si="4"/>
        <v>#REF!</v>
      </c>
      <c r="T15" s="149" t="e">
        <f t="shared" si="4"/>
        <v>#REF!</v>
      </c>
      <c r="U15" s="149" t="e">
        <f t="shared" si="4"/>
        <v>#REF!</v>
      </c>
      <c r="V15" s="149" t="e">
        <f t="shared" si="4"/>
        <v>#REF!</v>
      </c>
      <c r="W15" s="149" t="e">
        <f t="shared" si="4"/>
        <v>#REF!</v>
      </c>
      <c r="X15" s="149" t="e">
        <f t="shared" si="4"/>
        <v>#REF!</v>
      </c>
      <c r="Y15" s="149" t="e">
        <f t="shared" si="4"/>
        <v>#REF!</v>
      </c>
      <c r="Z15" s="149" t="e">
        <f t="shared" si="4"/>
        <v>#REF!</v>
      </c>
      <c r="AA15" s="149" t="e">
        <f t="shared" si="4"/>
        <v>#REF!</v>
      </c>
      <c r="AB15" s="149" t="e">
        <f t="shared" si="4"/>
        <v>#REF!</v>
      </c>
      <c r="AC15" s="149" t="e">
        <f t="shared" si="4"/>
        <v>#REF!</v>
      </c>
      <c r="AE15" s="1" t="e">
        <f>+Q15-'POAI 2011 AC.017 MAYO'!I3</f>
        <v>#REF!</v>
      </c>
    </row>
    <row r="16" spans="1:31" ht="15" customHeight="1" x14ac:dyDescent="0.3">
      <c r="A16" s="881" t="s">
        <v>4217</v>
      </c>
      <c r="B16" s="862"/>
      <c r="C16" s="862"/>
      <c r="D16" s="862"/>
      <c r="E16" s="862"/>
      <c r="F16" s="862"/>
      <c r="G16" s="862"/>
      <c r="H16" s="862"/>
      <c r="I16" s="862"/>
      <c r="J16" s="862"/>
      <c r="K16" s="862"/>
      <c r="L16" s="862"/>
      <c r="M16" s="862"/>
      <c r="N16" s="862"/>
      <c r="O16" s="862"/>
      <c r="P16" s="862"/>
      <c r="Q16" s="883"/>
      <c r="R16" s="883"/>
      <c r="S16" s="883"/>
      <c r="T16" s="883"/>
      <c r="U16" s="883"/>
      <c r="V16" s="883"/>
      <c r="W16" s="883"/>
      <c r="X16" s="883"/>
      <c r="Y16" s="883"/>
      <c r="Z16" s="883"/>
      <c r="AA16" s="883"/>
      <c r="AB16" s="883"/>
      <c r="AC16" s="883"/>
    </row>
    <row r="17" spans="1:31" ht="15.6" customHeight="1" x14ac:dyDescent="0.3">
      <c r="A17" s="881" t="s">
        <v>4218</v>
      </c>
      <c r="B17" s="862"/>
      <c r="C17" s="862"/>
      <c r="D17" s="862"/>
      <c r="E17" s="862"/>
      <c r="F17" s="862"/>
      <c r="G17" s="862"/>
      <c r="H17" s="862"/>
      <c r="I17" s="862"/>
      <c r="J17" s="862"/>
      <c r="K17" s="862"/>
      <c r="L17" s="862"/>
      <c r="M17" s="862"/>
      <c r="N17" s="862"/>
      <c r="O17" s="862"/>
      <c r="P17" s="862"/>
      <c r="Q17" s="883"/>
      <c r="R17" s="883"/>
      <c r="S17" s="883"/>
      <c r="T17" s="883"/>
      <c r="U17" s="883"/>
      <c r="V17" s="883"/>
      <c r="W17" s="883"/>
      <c r="X17" s="883"/>
      <c r="Y17" s="883"/>
      <c r="Z17" s="883"/>
      <c r="AA17" s="883"/>
      <c r="AB17" s="883"/>
      <c r="AC17" s="883"/>
    </row>
    <row r="18" spans="1:31" ht="19.149999999999999" customHeight="1" x14ac:dyDescent="0.25">
      <c r="A18" s="1315" t="s">
        <v>3139</v>
      </c>
      <c r="B18" s="1315"/>
      <c r="C18" s="1315" t="s">
        <v>4179</v>
      </c>
      <c r="D18" s="1490" t="s">
        <v>4171</v>
      </c>
      <c r="E18" s="1491"/>
      <c r="F18" s="1492"/>
      <c r="G18" s="1232" t="s">
        <v>4174</v>
      </c>
      <c r="H18" s="1232"/>
      <c r="I18" s="1232" t="s">
        <v>4175</v>
      </c>
      <c r="J18" s="1232" t="s">
        <v>4176</v>
      </c>
      <c r="K18" s="1232"/>
      <c r="L18" s="1232"/>
      <c r="M18" s="893"/>
      <c r="N18" s="893"/>
      <c r="O18" s="1418" t="s">
        <v>447</v>
      </c>
      <c r="P18" s="1495" t="s">
        <v>3347</v>
      </c>
      <c r="Q18" s="1419" t="s">
        <v>3333</v>
      </c>
      <c r="R18" s="1420"/>
      <c r="S18" s="1420"/>
      <c r="T18" s="1420"/>
      <c r="U18" s="1420"/>
      <c r="V18" s="1420"/>
      <c r="W18" s="1420" t="s">
        <v>3333</v>
      </c>
      <c r="X18" s="1420"/>
      <c r="Y18" s="1420"/>
      <c r="Z18" s="1420"/>
      <c r="AA18" s="1420"/>
      <c r="AB18" s="1420"/>
      <c r="AC18" s="1421"/>
    </row>
    <row r="19" spans="1:31" ht="43.9" customHeight="1" x14ac:dyDescent="0.25">
      <c r="A19" s="1315"/>
      <c r="B19" s="1315"/>
      <c r="C19" s="1315"/>
      <c r="D19" s="866" t="s">
        <v>4178</v>
      </c>
      <c r="E19" s="866" t="s">
        <v>4173</v>
      </c>
      <c r="F19" s="866" t="s">
        <v>4172</v>
      </c>
      <c r="G19" s="867" t="s">
        <v>1</v>
      </c>
      <c r="H19" s="867" t="s">
        <v>4174</v>
      </c>
      <c r="I19" s="1232"/>
      <c r="J19" s="867" t="s">
        <v>4178</v>
      </c>
      <c r="K19" s="867" t="s">
        <v>4173</v>
      </c>
      <c r="L19" s="867" t="s">
        <v>4177</v>
      </c>
      <c r="M19" s="867" t="s">
        <v>460</v>
      </c>
      <c r="N19" s="867" t="s">
        <v>462</v>
      </c>
      <c r="O19" s="1418"/>
      <c r="P19" s="1495"/>
      <c r="Q19" s="175" t="s">
        <v>695</v>
      </c>
      <c r="R19" s="175" t="s">
        <v>3310</v>
      </c>
      <c r="S19" s="175" t="s">
        <v>3311</v>
      </c>
      <c r="T19" s="175" t="s">
        <v>3312</v>
      </c>
      <c r="U19" s="175" t="s">
        <v>3313</v>
      </c>
      <c r="V19" s="175" t="s">
        <v>3314</v>
      </c>
      <c r="W19" s="175" t="s">
        <v>3315</v>
      </c>
      <c r="X19" s="175" t="s">
        <v>3316</v>
      </c>
      <c r="Y19" s="175" t="s">
        <v>3317</v>
      </c>
      <c r="Z19" s="175" t="s">
        <v>3346</v>
      </c>
      <c r="AA19" s="175" t="s">
        <v>3756</v>
      </c>
      <c r="AB19" s="175" t="s">
        <v>3318</v>
      </c>
      <c r="AC19" s="175" t="s">
        <v>3319</v>
      </c>
    </row>
    <row r="20" spans="1:31" ht="69.75" customHeight="1" x14ac:dyDescent="0.25">
      <c r="A20" s="1209" t="s">
        <v>3106</v>
      </c>
      <c r="B20" s="1209" t="s">
        <v>3700</v>
      </c>
      <c r="C20" s="1209" t="str">
        <f>+'PLANINDICATIVO PD MAYO'!J8</f>
        <v>21 PROGRAMAS ACOMPAÑADOS</v>
      </c>
      <c r="D20" s="1209" t="s">
        <v>3638</v>
      </c>
      <c r="E20" s="1209"/>
      <c r="F20" s="1509">
        <f>+'PLANINDICATIVO PD MAYO'!O8</f>
        <v>7</v>
      </c>
      <c r="G20" s="811" t="s">
        <v>3771</v>
      </c>
      <c r="H20" s="165" t="s">
        <v>3770</v>
      </c>
      <c r="I20" s="858" t="s">
        <v>4198</v>
      </c>
      <c r="J20" s="165" t="s">
        <v>4197</v>
      </c>
      <c r="K20" s="165"/>
      <c r="L20" s="165"/>
      <c r="M20" s="166"/>
      <c r="N20" s="167"/>
      <c r="O20" s="152">
        <v>520</v>
      </c>
      <c r="P20" s="1288" t="s">
        <v>3426</v>
      </c>
      <c r="Q20" s="875" t="e">
        <f t="shared" si="1"/>
        <v>#REF!</v>
      </c>
      <c r="R20" s="875" t="e">
        <f>+#REF!</f>
        <v>#REF!</v>
      </c>
      <c r="S20" s="875" t="e">
        <f>+#REF!</f>
        <v>#REF!</v>
      </c>
      <c r="T20" s="875" t="e">
        <f>+#REF!</f>
        <v>#REF!</v>
      </c>
      <c r="U20" s="875" t="e">
        <f>+#REF!</f>
        <v>#REF!</v>
      </c>
      <c r="V20" s="875" t="e">
        <f>+#REF!</f>
        <v>#REF!</v>
      </c>
      <c r="W20" s="875" t="e">
        <f>+#REF!</f>
        <v>#REF!</v>
      </c>
      <c r="X20" s="875" t="e">
        <f>+#REF!</f>
        <v>#REF!</v>
      </c>
      <c r="Y20" s="875" t="e">
        <f>+#REF!</f>
        <v>#REF!</v>
      </c>
      <c r="Z20" s="875" t="e">
        <f>+#REF!</f>
        <v>#REF!</v>
      </c>
      <c r="AA20" s="875" t="e">
        <f>+#REF!</f>
        <v>#REF!</v>
      </c>
      <c r="AB20" s="875" t="e">
        <f>+#REF!</f>
        <v>#REF!</v>
      </c>
      <c r="AC20" s="875" t="e">
        <f>+#REF!</f>
        <v>#REF!</v>
      </c>
    </row>
    <row r="21" spans="1:31" ht="72" customHeight="1" x14ac:dyDescent="0.25">
      <c r="A21" s="1209"/>
      <c r="B21" s="1209"/>
      <c r="C21" s="1209"/>
      <c r="D21" s="1209"/>
      <c r="E21" s="1209"/>
      <c r="F21" s="1209"/>
      <c r="G21" s="811" t="s">
        <v>3772</v>
      </c>
      <c r="H21" s="165" t="s">
        <v>3774</v>
      </c>
      <c r="I21" s="165" t="s">
        <v>4200</v>
      </c>
      <c r="J21" s="165" t="s">
        <v>4199</v>
      </c>
      <c r="K21" s="165"/>
      <c r="L21" s="165"/>
      <c r="M21" s="166"/>
      <c r="N21" s="167"/>
      <c r="O21" s="561">
        <v>520</v>
      </c>
      <c r="P21" s="1288"/>
      <c r="Q21" s="149" t="e">
        <f t="shared" si="1"/>
        <v>#REF!</v>
      </c>
      <c r="R21" s="149" t="e">
        <f>+#REF!</f>
        <v>#REF!</v>
      </c>
      <c r="S21" s="149" t="e">
        <f>+#REF!</f>
        <v>#REF!</v>
      </c>
      <c r="T21" s="149" t="e">
        <f>+#REF!</f>
        <v>#REF!</v>
      </c>
      <c r="U21" s="149" t="e">
        <f>+#REF!</f>
        <v>#REF!</v>
      </c>
      <c r="V21" s="149" t="e">
        <f>+#REF!</f>
        <v>#REF!</v>
      </c>
      <c r="W21" s="149" t="e">
        <f>+#REF!</f>
        <v>#REF!</v>
      </c>
      <c r="X21" s="149" t="e">
        <f>+#REF!</f>
        <v>#REF!</v>
      </c>
      <c r="Y21" s="149" t="e">
        <f>+#REF!</f>
        <v>#REF!</v>
      </c>
      <c r="Z21" s="149" t="e">
        <f>+#REF!</f>
        <v>#REF!</v>
      </c>
      <c r="AA21" s="149" t="e">
        <f>+#REF!</f>
        <v>#REF!</v>
      </c>
      <c r="AB21" s="149" t="e">
        <f>+#REF!</f>
        <v>#REF!</v>
      </c>
      <c r="AC21" s="149" t="e">
        <f>+#REF!</f>
        <v>#REF!</v>
      </c>
    </row>
    <row r="22" spans="1:31" ht="44.25" customHeight="1" x14ac:dyDescent="0.25">
      <c r="A22" s="1209"/>
      <c r="B22" s="1209"/>
      <c r="C22" s="1209"/>
      <c r="D22" s="1209"/>
      <c r="E22" s="1209"/>
      <c r="F22" s="1209"/>
      <c r="G22" s="811" t="s">
        <v>3773</v>
      </c>
      <c r="H22" s="165" t="s">
        <v>3416</v>
      </c>
      <c r="I22" s="165"/>
      <c r="J22" s="165"/>
      <c r="K22" s="165"/>
      <c r="L22" s="165"/>
      <c r="M22" s="166"/>
      <c r="N22" s="167"/>
      <c r="O22" s="561">
        <v>520</v>
      </c>
      <c r="P22" s="1288"/>
      <c r="Q22" s="149" t="e">
        <f t="shared" si="1"/>
        <v>#REF!</v>
      </c>
      <c r="R22" s="149" t="e">
        <f>+#REF!</f>
        <v>#REF!</v>
      </c>
      <c r="S22" s="149" t="e">
        <f>+#REF!</f>
        <v>#REF!</v>
      </c>
      <c r="T22" s="149" t="e">
        <f>+#REF!</f>
        <v>#REF!</v>
      </c>
      <c r="U22" s="149" t="e">
        <f>+#REF!</f>
        <v>#REF!</v>
      </c>
      <c r="V22" s="149" t="e">
        <f>+#REF!</f>
        <v>#REF!</v>
      </c>
      <c r="W22" s="149" t="e">
        <f>+#REF!</f>
        <v>#REF!</v>
      </c>
      <c r="X22" s="149" t="e">
        <f>+#REF!</f>
        <v>#REF!</v>
      </c>
      <c r="Y22" s="149" t="e">
        <f>+#REF!</f>
        <v>#REF!</v>
      </c>
      <c r="Z22" s="149" t="e">
        <f>+#REF!</f>
        <v>#REF!</v>
      </c>
      <c r="AA22" s="149" t="e">
        <f>+#REF!</f>
        <v>#REF!</v>
      </c>
      <c r="AB22" s="149" t="e">
        <f>+#REF!</f>
        <v>#REF!</v>
      </c>
      <c r="AC22" s="149" t="e">
        <f>+#REF!</f>
        <v>#REF!</v>
      </c>
    </row>
    <row r="23" spans="1:31" ht="44.25" customHeight="1" x14ac:dyDescent="0.25">
      <c r="A23" s="1209"/>
      <c r="B23" s="1209"/>
      <c r="C23" s="1209"/>
      <c r="D23" s="1209"/>
      <c r="E23" s="1209"/>
      <c r="F23" s="1209"/>
      <c r="G23" s="811" t="s">
        <v>3775</v>
      </c>
      <c r="H23" s="165" t="s">
        <v>3776</v>
      </c>
      <c r="I23" s="165" t="s">
        <v>4202</v>
      </c>
      <c r="J23" s="165" t="s">
        <v>4201</v>
      </c>
      <c r="K23" s="165"/>
      <c r="L23" s="165"/>
      <c r="M23" s="166"/>
      <c r="N23" s="167"/>
      <c r="O23" s="561">
        <v>520</v>
      </c>
      <c r="P23" s="1288"/>
      <c r="Q23" s="149" t="e">
        <f t="shared" si="1"/>
        <v>#REF!</v>
      </c>
      <c r="R23" s="149" t="e">
        <f>+#REF!</f>
        <v>#REF!</v>
      </c>
      <c r="S23" s="149" t="e">
        <f>+#REF!</f>
        <v>#REF!</v>
      </c>
      <c r="T23" s="149" t="e">
        <f>+#REF!</f>
        <v>#REF!</v>
      </c>
      <c r="U23" s="149" t="e">
        <f>+#REF!</f>
        <v>#REF!</v>
      </c>
      <c r="V23" s="149" t="e">
        <f>+#REF!</f>
        <v>#REF!</v>
      </c>
      <c r="W23" s="149" t="e">
        <f>+#REF!</f>
        <v>#REF!</v>
      </c>
      <c r="X23" s="149" t="e">
        <f>+#REF!</f>
        <v>#REF!</v>
      </c>
      <c r="Y23" s="149" t="e">
        <f>+#REF!</f>
        <v>#REF!</v>
      </c>
      <c r="Z23" s="149" t="e">
        <f>+#REF!</f>
        <v>#REF!</v>
      </c>
      <c r="AA23" s="149" t="e">
        <f>+#REF!</f>
        <v>#REF!</v>
      </c>
      <c r="AB23" s="149" t="e">
        <f>+#REF!</f>
        <v>#REF!</v>
      </c>
      <c r="AC23" s="149" t="e">
        <f>+#REF!</f>
        <v>#REF!</v>
      </c>
    </row>
    <row r="24" spans="1:31" ht="57" customHeight="1" x14ac:dyDescent="0.25">
      <c r="A24" s="1209"/>
      <c r="B24" s="1209"/>
      <c r="C24" s="1209"/>
      <c r="D24" s="1209"/>
      <c r="E24" s="1209"/>
      <c r="F24" s="1209"/>
      <c r="G24" s="811" t="s">
        <v>3778</v>
      </c>
      <c r="H24" s="165" t="s">
        <v>3777</v>
      </c>
      <c r="I24" s="165" t="s">
        <v>4204</v>
      </c>
      <c r="J24" s="859" t="s">
        <v>4203</v>
      </c>
      <c r="K24" s="165"/>
      <c r="L24" s="165"/>
      <c r="M24" s="166"/>
      <c r="N24" s="167"/>
      <c r="O24" s="561">
        <v>520</v>
      </c>
      <c r="P24" s="1288"/>
      <c r="Q24" s="149" t="e">
        <f t="shared" si="1"/>
        <v>#REF!</v>
      </c>
      <c r="R24" s="149" t="e">
        <f>+#REF!</f>
        <v>#REF!</v>
      </c>
      <c r="S24" s="149" t="e">
        <f>+#REF!</f>
        <v>#REF!</v>
      </c>
      <c r="T24" s="149" t="e">
        <f>+#REF!</f>
        <v>#REF!</v>
      </c>
      <c r="U24" s="149" t="e">
        <f>+#REF!</f>
        <v>#REF!</v>
      </c>
      <c r="V24" s="149" t="e">
        <f>+#REF!</f>
        <v>#REF!</v>
      </c>
      <c r="W24" s="149" t="e">
        <f>+#REF!</f>
        <v>#REF!</v>
      </c>
      <c r="X24" s="149" t="e">
        <f>+#REF!</f>
        <v>#REF!</v>
      </c>
      <c r="Y24" s="149" t="e">
        <f>+#REF!</f>
        <v>#REF!</v>
      </c>
      <c r="Z24" s="149" t="e">
        <f>+#REF!</f>
        <v>#REF!</v>
      </c>
      <c r="AA24" s="149" t="e">
        <f>+#REF!</f>
        <v>#REF!</v>
      </c>
      <c r="AB24" s="149" t="e">
        <f>+#REF!</f>
        <v>#REF!</v>
      </c>
      <c r="AC24" s="149" t="e">
        <f>+#REF!</f>
        <v>#REF!</v>
      </c>
    </row>
    <row r="25" spans="1:31" ht="51.75" customHeight="1" x14ac:dyDescent="0.25">
      <c r="A25" s="1209"/>
      <c r="B25" s="1209"/>
      <c r="C25" s="1209"/>
      <c r="D25" s="1209"/>
      <c r="E25" s="1209"/>
      <c r="F25" s="1209"/>
      <c r="G25" s="811" t="s">
        <v>3779</v>
      </c>
      <c r="H25" s="165" t="s">
        <v>3780</v>
      </c>
      <c r="I25" s="165"/>
      <c r="J25" s="165"/>
      <c r="K25" s="165"/>
      <c r="L25" s="165"/>
      <c r="M25" s="166"/>
      <c r="N25" s="167"/>
      <c r="O25" s="561">
        <v>520</v>
      </c>
      <c r="P25" s="1289"/>
      <c r="Q25" s="149" t="e">
        <f t="shared" si="1"/>
        <v>#REF!</v>
      </c>
      <c r="R25" s="149" t="e">
        <f>+#REF!</f>
        <v>#REF!</v>
      </c>
      <c r="S25" s="149" t="e">
        <f>+#REF!</f>
        <v>#REF!</v>
      </c>
      <c r="T25" s="149" t="e">
        <f>+#REF!</f>
        <v>#REF!</v>
      </c>
      <c r="U25" s="149" t="e">
        <f>+#REF!</f>
        <v>#REF!</v>
      </c>
      <c r="V25" s="149" t="e">
        <f>+#REF!</f>
        <v>#REF!</v>
      </c>
      <c r="W25" s="149" t="e">
        <f>+#REF!</f>
        <v>#REF!</v>
      </c>
      <c r="X25" s="149" t="e">
        <f>+#REF!</f>
        <v>#REF!</v>
      </c>
      <c r="Y25" s="149" t="e">
        <f>+#REF!</f>
        <v>#REF!</v>
      </c>
      <c r="Z25" s="149" t="e">
        <f>+#REF!</f>
        <v>#REF!</v>
      </c>
      <c r="AA25" s="149" t="e">
        <f>+#REF!</f>
        <v>#REF!</v>
      </c>
      <c r="AB25" s="149" t="e">
        <f>+#REF!</f>
        <v>#REF!</v>
      </c>
      <c r="AC25" s="149" t="e">
        <f>+#REF!</f>
        <v>#REF!</v>
      </c>
    </row>
    <row r="26" spans="1:31" ht="21.6" customHeight="1" x14ac:dyDescent="0.25">
      <c r="A26" s="1282" t="s">
        <v>4219</v>
      </c>
      <c r="B26" s="1286"/>
      <c r="C26" s="1286"/>
      <c r="D26" s="1286"/>
      <c r="E26" s="1286"/>
      <c r="F26" s="1286"/>
      <c r="G26" s="1286"/>
      <c r="H26" s="1286"/>
      <c r="I26" s="1286"/>
      <c r="J26" s="1286"/>
      <c r="K26" s="1286"/>
      <c r="L26" s="1286"/>
      <c r="M26" s="1286"/>
      <c r="N26" s="1286"/>
      <c r="O26" s="1286"/>
      <c r="P26" s="1496"/>
      <c r="Q26" s="149" t="e">
        <f>SUM(Q20:Q25)</f>
        <v>#REF!</v>
      </c>
      <c r="R26" s="149" t="e">
        <f t="shared" ref="R26:AC26" si="5">SUM(R20:R25)</f>
        <v>#REF!</v>
      </c>
      <c r="S26" s="149" t="e">
        <f t="shared" si="5"/>
        <v>#REF!</v>
      </c>
      <c r="T26" s="149" t="e">
        <f t="shared" si="5"/>
        <v>#REF!</v>
      </c>
      <c r="U26" s="149" t="e">
        <f t="shared" si="5"/>
        <v>#REF!</v>
      </c>
      <c r="V26" s="149" t="e">
        <f t="shared" si="5"/>
        <v>#REF!</v>
      </c>
      <c r="W26" s="149" t="e">
        <f t="shared" si="5"/>
        <v>#REF!</v>
      </c>
      <c r="X26" s="149" t="e">
        <f t="shared" si="5"/>
        <v>#REF!</v>
      </c>
      <c r="Y26" s="149" t="e">
        <f t="shared" si="5"/>
        <v>#REF!</v>
      </c>
      <c r="Z26" s="149" t="e">
        <f t="shared" si="5"/>
        <v>#REF!</v>
      </c>
      <c r="AA26" s="149" t="e">
        <f t="shared" si="5"/>
        <v>#REF!</v>
      </c>
      <c r="AB26" s="149" t="e">
        <f t="shared" si="5"/>
        <v>#REF!</v>
      </c>
      <c r="AC26" s="149" t="e">
        <f t="shared" si="5"/>
        <v>#REF!</v>
      </c>
      <c r="AE26" s="1" t="e">
        <f>+Q26-'POAI 2011 AC.017 MAYO'!I10</f>
        <v>#REF!</v>
      </c>
    </row>
    <row r="27" spans="1:31" ht="121.15" customHeight="1" x14ac:dyDescent="0.25">
      <c r="A27" s="1209" t="s">
        <v>3099</v>
      </c>
      <c r="B27" s="1209" t="s">
        <v>3198</v>
      </c>
      <c r="C27" s="131" t="str">
        <f>+'PLANINDICATIVO PD MAYO'!J9</f>
        <v>MANTENER LOS 50 CONVENIOS INTERINSTITUCIONALES PARA EL FORTALECIMIENTO DE LA PROYECCIÓN SOCIAL-COFINANCIADOS-</v>
      </c>
      <c r="D27" s="100" t="str">
        <f>+'PLANINDICATIVO PD MAYO'!L9</f>
        <v>NÚMERO DE CONVENIOS INTERINSTITUCIONALES</v>
      </c>
      <c r="E27" s="2"/>
      <c r="F27" s="832">
        <f>+'PLANINDICATIVO PD MAYO'!O9</f>
        <v>50</v>
      </c>
      <c r="G27" s="2" t="s">
        <v>3781</v>
      </c>
      <c r="H27" s="154" t="s">
        <v>19</v>
      </c>
      <c r="I27" s="154" t="s">
        <v>4206</v>
      </c>
      <c r="J27" s="154" t="s">
        <v>4205</v>
      </c>
      <c r="K27" s="154"/>
      <c r="L27" s="154"/>
      <c r="M27" s="155">
        <v>100000000</v>
      </c>
      <c r="N27" s="158">
        <v>100000000</v>
      </c>
      <c r="O27" s="561">
        <v>520</v>
      </c>
      <c r="P27" s="1427" t="s">
        <v>3426</v>
      </c>
      <c r="Q27" s="149" t="e">
        <f t="shared" si="1"/>
        <v>#REF!</v>
      </c>
      <c r="R27" s="149" t="e">
        <f>+#REF!</f>
        <v>#REF!</v>
      </c>
      <c r="S27" s="149" t="e">
        <f>+#REF!</f>
        <v>#REF!</v>
      </c>
      <c r="T27" s="149" t="e">
        <f>+#REF!</f>
        <v>#REF!</v>
      </c>
      <c r="U27" s="149" t="e">
        <f>+#REF!</f>
        <v>#REF!</v>
      </c>
      <c r="V27" s="149" t="e">
        <f>+#REF!</f>
        <v>#REF!</v>
      </c>
      <c r="W27" s="149" t="e">
        <f>+#REF!</f>
        <v>#REF!</v>
      </c>
      <c r="X27" s="149" t="e">
        <f>+#REF!</f>
        <v>#REF!</v>
      </c>
      <c r="Y27" s="149" t="e">
        <f>+#REF!</f>
        <v>#REF!</v>
      </c>
      <c r="Z27" s="149" t="e">
        <f>+#REF!</f>
        <v>#REF!</v>
      </c>
      <c r="AA27" s="149" t="e">
        <f>+#REF!</f>
        <v>#REF!</v>
      </c>
      <c r="AB27" s="149" t="e">
        <f>+#REF!</f>
        <v>#REF!</v>
      </c>
      <c r="AC27" s="149" t="e">
        <f>+#REF!</f>
        <v>#REF!</v>
      </c>
    </row>
    <row r="28" spans="1:31" ht="82.15" customHeight="1" x14ac:dyDescent="0.25">
      <c r="A28" s="1209"/>
      <c r="B28" s="1209"/>
      <c r="C28" s="861" t="str">
        <f>+'PLANINDICATIVO PD MAYO'!J10</f>
        <v>CONSOLIDAR LOS GRUPOS EXISTENTES Y APOYAR LA CREACIÓN DE NUEVOS GRUPOS</v>
      </c>
      <c r="D28" s="2" t="str">
        <f>+'PLANINDICATIVO PD MAYO'!L10</f>
        <v>NÚMERO DE GRUPOS DE PROYECCIÓN SOCIAL</v>
      </c>
      <c r="E28" s="2"/>
      <c r="F28" s="832">
        <f>+'PLANINDICATIVO PD MAYO'!O10</f>
        <v>11</v>
      </c>
      <c r="G28" s="2" t="s">
        <v>3782</v>
      </c>
      <c r="H28" s="154" t="s">
        <v>3200</v>
      </c>
      <c r="I28" s="154" t="s">
        <v>4208</v>
      </c>
      <c r="J28" s="860" t="s">
        <v>4207</v>
      </c>
      <c r="K28" s="154"/>
      <c r="L28" s="154"/>
      <c r="M28" s="155">
        <v>165000000</v>
      </c>
      <c r="N28" s="158">
        <v>165000000</v>
      </c>
      <c r="O28" s="561">
        <v>520</v>
      </c>
      <c r="P28" s="1427"/>
      <c r="Q28" s="149" t="e">
        <f t="shared" si="1"/>
        <v>#REF!</v>
      </c>
      <c r="R28" s="149" t="e">
        <f>+#REF!</f>
        <v>#REF!</v>
      </c>
      <c r="S28" s="149" t="e">
        <f>+#REF!</f>
        <v>#REF!</v>
      </c>
      <c r="T28" s="149" t="e">
        <f>+#REF!</f>
        <v>#REF!</v>
      </c>
      <c r="U28" s="149" t="e">
        <f>+#REF!</f>
        <v>#REF!</v>
      </c>
      <c r="V28" s="149" t="e">
        <f>+#REF!</f>
        <v>#REF!</v>
      </c>
      <c r="W28" s="149" t="e">
        <f>+#REF!</f>
        <v>#REF!</v>
      </c>
      <c r="X28" s="149" t="e">
        <f>+#REF!</f>
        <v>#REF!</v>
      </c>
      <c r="Y28" s="149" t="e">
        <f>+#REF!</f>
        <v>#REF!</v>
      </c>
      <c r="Z28" s="149" t="e">
        <f>+#REF!</f>
        <v>#REF!</v>
      </c>
      <c r="AA28" s="149" t="e">
        <f>+#REF!</f>
        <v>#REF!</v>
      </c>
      <c r="AB28" s="149" t="e">
        <f>+#REF!</f>
        <v>#REF!</v>
      </c>
      <c r="AC28" s="149" t="e">
        <f>+#REF!</f>
        <v>#REF!</v>
      </c>
    </row>
    <row r="29" spans="1:31" ht="94.9" customHeight="1" x14ac:dyDescent="0.25">
      <c r="A29" s="872" t="str">
        <f>+A27</f>
        <v>PY.2.1.2</v>
      </c>
      <c r="B29" s="873" t="str">
        <f>+B27</f>
        <v>CONSOLIDACIÓN DE GRUPOS DE PROYECCIÓN SOCIAL DE LA USCO (CONVENIOS INTERINSTITUCIONALES)</v>
      </c>
      <c r="C29" s="861" t="str">
        <f>+'PLANINDICATIVO PD MAYO'!J12</f>
        <v>FORTALECIMIENTO ORGANIZACIONAL DEL PROCESO DE PROYECCIÓN SOCIAL</v>
      </c>
      <c r="D29" s="111" t="str">
        <f>+'PLANINDICATIVO PD MAYO'!L12</f>
        <v>PROGRAMAS QUE CONFORMAN EL SUBSISTEMA DE PROYECCIÓN SOCIAL ORGANIZADOS Y DOTADOS</v>
      </c>
      <c r="E29" s="111"/>
      <c r="F29" s="833">
        <f>+'PLANINDICATIVO PD MAYO'!O12</f>
        <v>0.5</v>
      </c>
      <c r="G29" s="2" t="s">
        <v>3783</v>
      </c>
      <c r="H29" s="159" t="s">
        <v>3784</v>
      </c>
      <c r="I29" s="159"/>
      <c r="J29" s="159" t="s">
        <v>4209</v>
      </c>
      <c r="K29" s="159"/>
      <c r="L29" s="159"/>
      <c r="M29" s="160">
        <v>25000000</v>
      </c>
      <c r="N29" s="168">
        <v>25000000</v>
      </c>
      <c r="O29" s="561">
        <v>520</v>
      </c>
      <c r="P29" s="1427"/>
      <c r="Q29" s="149" t="e">
        <f t="shared" si="1"/>
        <v>#REF!</v>
      </c>
      <c r="R29" s="149" t="e">
        <f>+#REF!</f>
        <v>#REF!</v>
      </c>
      <c r="S29" s="149" t="e">
        <f>+#REF!</f>
        <v>#REF!</v>
      </c>
      <c r="T29" s="149" t="e">
        <f>+#REF!</f>
        <v>#REF!</v>
      </c>
      <c r="U29" s="149" t="e">
        <f>+#REF!</f>
        <v>#REF!</v>
      </c>
      <c r="V29" s="149" t="e">
        <f>+#REF!</f>
        <v>#REF!</v>
      </c>
      <c r="W29" s="149" t="e">
        <f>+#REF!</f>
        <v>#REF!</v>
      </c>
      <c r="X29" s="149" t="e">
        <f>+#REF!</f>
        <v>#REF!</v>
      </c>
      <c r="Y29" s="149" t="e">
        <f>+#REF!</f>
        <v>#REF!</v>
      </c>
      <c r="Z29" s="149" t="e">
        <f>+#REF!</f>
        <v>#REF!</v>
      </c>
      <c r="AA29" s="149" t="e">
        <f>+#REF!</f>
        <v>#REF!</v>
      </c>
      <c r="AB29" s="149" t="e">
        <f>+#REF!</f>
        <v>#REF!</v>
      </c>
      <c r="AC29" s="149" t="e">
        <f>+#REF!</f>
        <v>#REF!</v>
      </c>
    </row>
    <row r="30" spans="1:31" ht="16.899999999999999" customHeight="1" x14ac:dyDescent="0.25">
      <c r="A30" s="1282" t="s">
        <v>4224</v>
      </c>
      <c r="B30" s="1286"/>
      <c r="C30" s="1286"/>
      <c r="D30" s="1286"/>
      <c r="E30" s="1286"/>
      <c r="F30" s="1286"/>
      <c r="G30" s="1286"/>
      <c r="H30" s="1286"/>
      <c r="I30" s="1286"/>
      <c r="J30" s="1286"/>
      <c r="K30" s="1286"/>
      <c r="L30" s="1286"/>
      <c r="M30" s="1286"/>
      <c r="N30" s="1286"/>
      <c r="O30" s="1286"/>
      <c r="P30" s="1496"/>
      <c r="Q30" s="149" t="e">
        <f>SUM(Q27:Q29)</f>
        <v>#REF!</v>
      </c>
      <c r="R30" s="149" t="e">
        <f t="shared" ref="R30:AC30" si="6">SUM(R27:R29)</f>
        <v>#REF!</v>
      </c>
      <c r="S30" s="149" t="e">
        <f t="shared" si="6"/>
        <v>#REF!</v>
      </c>
      <c r="T30" s="149" t="e">
        <f t="shared" si="6"/>
        <v>#REF!</v>
      </c>
      <c r="U30" s="149" t="e">
        <f t="shared" si="6"/>
        <v>#REF!</v>
      </c>
      <c r="V30" s="149" t="e">
        <f t="shared" si="6"/>
        <v>#REF!</v>
      </c>
      <c r="W30" s="149" t="e">
        <f t="shared" si="6"/>
        <v>#REF!</v>
      </c>
      <c r="X30" s="149" t="e">
        <f t="shared" si="6"/>
        <v>#REF!</v>
      </c>
      <c r="Y30" s="149" t="e">
        <f t="shared" si="6"/>
        <v>#REF!</v>
      </c>
      <c r="Z30" s="149" t="e">
        <f t="shared" si="6"/>
        <v>#REF!</v>
      </c>
      <c r="AA30" s="149" t="e">
        <f t="shared" si="6"/>
        <v>#REF!</v>
      </c>
      <c r="AB30" s="149" t="e">
        <f t="shared" si="6"/>
        <v>#REF!</v>
      </c>
      <c r="AC30" s="149" t="e">
        <f t="shared" si="6"/>
        <v>#REF!</v>
      </c>
      <c r="AE30" s="1" t="e">
        <f>+Q30-'POAI 2011 AC.017 MAYO'!I11</f>
        <v>#REF!</v>
      </c>
    </row>
    <row r="31" spans="1:31" ht="13.9" customHeight="1" x14ac:dyDescent="0.25">
      <c r="A31" s="1207" t="s">
        <v>4225</v>
      </c>
      <c r="B31" s="1208"/>
      <c r="C31" s="1208"/>
      <c r="D31" s="1208"/>
      <c r="E31" s="1208"/>
      <c r="F31" s="1208"/>
      <c r="G31" s="1208"/>
      <c r="H31" s="1208"/>
      <c r="I31" s="1208"/>
      <c r="J31" s="1208"/>
      <c r="K31" s="1208"/>
      <c r="L31" s="1208"/>
      <c r="M31" s="1208"/>
      <c r="N31" s="1208"/>
      <c r="O31" s="1208"/>
      <c r="P31" s="1217"/>
      <c r="Q31" s="149" t="e">
        <f>+Q30+Q26</f>
        <v>#REF!</v>
      </c>
      <c r="R31" s="149" t="e">
        <f t="shared" ref="R31:AC31" si="7">+R30+R26</f>
        <v>#REF!</v>
      </c>
      <c r="S31" s="149" t="e">
        <f t="shared" si="7"/>
        <v>#REF!</v>
      </c>
      <c r="T31" s="149" t="e">
        <f t="shared" si="7"/>
        <v>#REF!</v>
      </c>
      <c r="U31" s="149" t="e">
        <f t="shared" si="7"/>
        <v>#REF!</v>
      </c>
      <c r="V31" s="149" t="e">
        <f t="shared" si="7"/>
        <v>#REF!</v>
      </c>
      <c r="W31" s="149" t="e">
        <f t="shared" si="7"/>
        <v>#REF!</v>
      </c>
      <c r="X31" s="149" t="e">
        <f t="shared" si="7"/>
        <v>#REF!</v>
      </c>
      <c r="Y31" s="149" t="e">
        <f t="shared" si="7"/>
        <v>#REF!</v>
      </c>
      <c r="Z31" s="149" t="e">
        <f t="shared" si="7"/>
        <v>#REF!</v>
      </c>
      <c r="AA31" s="149" t="e">
        <f t="shared" si="7"/>
        <v>#REF!</v>
      </c>
      <c r="AB31" s="149" t="e">
        <f t="shared" si="7"/>
        <v>#REF!</v>
      </c>
      <c r="AC31" s="149" t="e">
        <f t="shared" si="7"/>
        <v>#REF!</v>
      </c>
      <c r="AE31" s="1" t="e">
        <f>+Q31-'POAI 2011 AC.017 MAYO'!I9</f>
        <v>#REF!</v>
      </c>
    </row>
    <row r="32" spans="1:31" ht="16.899999999999999" customHeight="1" x14ac:dyDescent="0.3">
      <c r="A32" s="881" t="s">
        <v>4220</v>
      </c>
      <c r="B32" s="870"/>
      <c r="C32" s="870"/>
      <c r="D32" s="870"/>
      <c r="E32" s="870"/>
      <c r="F32" s="870"/>
      <c r="G32" s="870"/>
      <c r="H32" s="870"/>
      <c r="I32" s="870"/>
      <c r="J32" s="870"/>
      <c r="K32" s="870"/>
      <c r="L32" s="870"/>
      <c r="M32" s="870"/>
      <c r="N32" s="870"/>
      <c r="O32" s="870"/>
      <c r="P32" s="870"/>
      <c r="Q32" s="883"/>
      <c r="R32" s="883"/>
      <c r="S32" s="883"/>
      <c r="T32" s="883"/>
      <c r="U32" s="883"/>
      <c r="V32" s="883"/>
      <c r="W32" s="883"/>
      <c r="X32" s="883"/>
      <c r="Y32" s="883"/>
      <c r="Z32" s="883"/>
      <c r="AA32" s="883"/>
      <c r="AB32" s="883"/>
      <c r="AC32" s="883"/>
    </row>
    <row r="33" spans="1:29" ht="15.6" customHeight="1" x14ac:dyDescent="0.3">
      <c r="A33" s="881" t="s">
        <v>4229</v>
      </c>
      <c r="B33" s="870"/>
      <c r="C33" s="870"/>
      <c r="D33" s="870"/>
      <c r="E33" s="870"/>
      <c r="F33" s="870"/>
      <c r="G33" s="870"/>
      <c r="H33" s="870"/>
      <c r="I33" s="870"/>
      <c r="J33" s="870"/>
      <c r="K33" s="870"/>
      <c r="L33" s="870"/>
      <c r="M33" s="870"/>
      <c r="N33" s="870"/>
      <c r="O33" s="870"/>
      <c r="P33" s="870"/>
      <c r="Q33" s="883"/>
      <c r="R33" s="883"/>
      <c r="S33" s="883"/>
      <c r="T33" s="883"/>
      <c r="U33" s="883"/>
      <c r="V33" s="883"/>
      <c r="W33" s="883"/>
      <c r="X33" s="883"/>
      <c r="Y33" s="883"/>
      <c r="Z33" s="883"/>
      <c r="AA33" s="883"/>
      <c r="AB33" s="883"/>
      <c r="AC33" s="883"/>
    </row>
    <row r="34" spans="1:29" ht="19.149999999999999" customHeight="1" x14ac:dyDescent="0.25">
      <c r="A34" s="1315" t="s">
        <v>3139</v>
      </c>
      <c r="B34" s="1315"/>
      <c r="C34" s="1315" t="s">
        <v>4179</v>
      </c>
      <c r="D34" s="1490" t="s">
        <v>4171</v>
      </c>
      <c r="E34" s="1491"/>
      <c r="F34" s="1492"/>
      <c r="G34" s="1232" t="s">
        <v>4174</v>
      </c>
      <c r="H34" s="1232"/>
      <c r="I34" s="1232" t="s">
        <v>4175</v>
      </c>
      <c r="J34" s="1232" t="s">
        <v>4176</v>
      </c>
      <c r="K34" s="1232"/>
      <c r="L34" s="1232"/>
      <c r="M34" s="893"/>
      <c r="N34" s="893"/>
      <c r="O34" s="1418" t="s">
        <v>447</v>
      </c>
      <c r="P34" s="1495" t="s">
        <v>3347</v>
      </c>
      <c r="Q34" s="1489" t="s">
        <v>3333</v>
      </c>
      <c r="R34" s="1489"/>
      <c r="S34" s="1489"/>
      <c r="T34" s="1489"/>
      <c r="U34" s="1489"/>
      <c r="V34" s="1489"/>
      <c r="W34" s="1489" t="s">
        <v>3333</v>
      </c>
      <c r="X34" s="1489"/>
      <c r="Y34" s="1489"/>
      <c r="Z34" s="1489"/>
      <c r="AA34" s="1489"/>
      <c r="AB34" s="1489"/>
      <c r="AC34" s="1489"/>
    </row>
    <row r="35" spans="1:29" ht="42" customHeight="1" x14ac:dyDescent="0.25">
      <c r="A35" s="1315"/>
      <c r="B35" s="1315"/>
      <c r="C35" s="1315"/>
      <c r="D35" s="866" t="s">
        <v>4178</v>
      </c>
      <c r="E35" s="866" t="s">
        <v>4173</v>
      </c>
      <c r="F35" s="866" t="s">
        <v>4172</v>
      </c>
      <c r="G35" s="867" t="s">
        <v>1</v>
      </c>
      <c r="H35" s="867" t="s">
        <v>4174</v>
      </c>
      <c r="I35" s="1232"/>
      <c r="J35" s="867" t="s">
        <v>4178</v>
      </c>
      <c r="K35" s="867" t="s">
        <v>4173</v>
      </c>
      <c r="L35" s="867" t="s">
        <v>4177</v>
      </c>
      <c r="M35" s="867" t="s">
        <v>460</v>
      </c>
      <c r="N35" s="867" t="s">
        <v>462</v>
      </c>
      <c r="O35" s="1418"/>
      <c r="P35" s="1495"/>
      <c r="Q35" s="175" t="s">
        <v>695</v>
      </c>
      <c r="R35" s="175" t="s">
        <v>3310</v>
      </c>
      <c r="S35" s="175" t="s">
        <v>3311</v>
      </c>
      <c r="T35" s="175" t="s">
        <v>3312</v>
      </c>
      <c r="U35" s="175" t="s">
        <v>3313</v>
      </c>
      <c r="V35" s="175" t="s">
        <v>3314</v>
      </c>
      <c r="W35" s="175" t="s">
        <v>3315</v>
      </c>
      <c r="X35" s="175" t="s">
        <v>3316</v>
      </c>
      <c r="Y35" s="175" t="s">
        <v>3317</v>
      </c>
      <c r="Z35" s="175" t="s">
        <v>3346</v>
      </c>
      <c r="AA35" s="175" t="s">
        <v>3756</v>
      </c>
      <c r="AB35" s="175" t="s">
        <v>3318</v>
      </c>
      <c r="AC35" s="175" t="s">
        <v>3319</v>
      </c>
    </row>
    <row r="36" spans="1:29" ht="42" customHeight="1" x14ac:dyDescent="0.25">
      <c r="A36" s="1509" t="s">
        <v>2927</v>
      </c>
      <c r="B36" s="1509" t="s">
        <v>4180</v>
      </c>
      <c r="C36" s="1509" t="str">
        <f>+'PLANINDICATIVO PD MAYO'!J15</f>
        <v>AUMENTAR A 16 LOS PROGRAMAS ACREDITADOS</v>
      </c>
      <c r="D36" s="1509" t="s">
        <v>3217</v>
      </c>
      <c r="E36" s="1509"/>
      <c r="F36" s="1509">
        <f>+'PLANINDICATIVO PD MAYO'!O15</f>
        <v>3</v>
      </c>
      <c r="G36" s="868" t="s">
        <v>3786</v>
      </c>
      <c r="H36" s="165" t="s">
        <v>3785</v>
      </c>
      <c r="I36" s="859" t="s">
        <v>4211</v>
      </c>
      <c r="J36" s="165" t="s">
        <v>4210</v>
      </c>
      <c r="K36" s="165"/>
      <c r="L36" s="165"/>
      <c r="M36" s="166">
        <v>50000000</v>
      </c>
      <c r="N36" s="166">
        <v>51737900</v>
      </c>
      <c r="O36" s="561">
        <v>510</v>
      </c>
      <c r="P36" s="1287" t="s">
        <v>3351</v>
      </c>
      <c r="Q36" s="149" t="e">
        <f t="shared" si="1"/>
        <v>#REF!</v>
      </c>
      <c r="R36" s="149" t="e">
        <f>+#REF!</f>
        <v>#REF!</v>
      </c>
      <c r="S36" s="149" t="e">
        <f>+#REF!</f>
        <v>#REF!</v>
      </c>
      <c r="T36" s="149" t="e">
        <f>+#REF!</f>
        <v>#REF!</v>
      </c>
      <c r="U36" s="149" t="e">
        <f>+#REF!</f>
        <v>#REF!</v>
      </c>
      <c r="V36" s="149" t="e">
        <f>+#REF!</f>
        <v>#REF!</v>
      </c>
      <c r="W36" s="149" t="e">
        <f>+#REF!</f>
        <v>#REF!</v>
      </c>
      <c r="X36" s="149" t="e">
        <f>+#REF!</f>
        <v>#REF!</v>
      </c>
      <c r="Y36" s="149" t="e">
        <f>+#REF!</f>
        <v>#REF!</v>
      </c>
      <c r="Z36" s="149" t="e">
        <f>+#REF!</f>
        <v>#REF!</v>
      </c>
      <c r="AA36" s="149" t="e">
        <f>+#REF!</f>
        <v>#REF!</v>
      </c>
      <c r="AB36" s="149" t="e">
        <f>+#REF!</f>
        <v>#REF!</v>
      </c>
      <c r="AC36" s="149" t="e">
        <f>+#REF!</f>
        <v>#REF!</v>
      </c>
    </row>
    <row r="37" spans="1:29" ht="69.599999999999994" customHeight="1" x14ac:dyDescent="0.25">
      <c r="A37" s="1509"/>
      <c r="B37" s="1509"/>
      <c r="C37" s="1509"/>
      <c r="D37" s="1509"/>
      <c r="E37" s="1509"/>
      <c r="F37" s="1509"/>
      <c r="G37" s="868" t="s">
        <v>3787</v>
      </c>
      <c r="H37" s="154" t="s">
        <v>3797</v>
      </c>
      <c r="I37" s="859" t="s">
        <v>4211</v>
      </c>
      <c r="J37" s="154" t="s">
        <v>4210</v>
      </c>
      <c r="K37" s="154"/>
      <c r="L37" s="154"/>
      <c r="M37" s="170">
        <v>0</v>
      </c>
      <c r="N37" s="155">
        <v>18000000</v>
      </c>
      <c r="O37" s="561">
        <v>510</v>
      </c>
      <c r="P37" s="1288"/>
      <c r="Q37" s="149" t="e">
        <f t="shared" si="1"/>
        <v>#REF!</v>
      </c>
      <c r="R37" s="149" t="e">
        <f>+#REF!</f>
        <v>#REF!</v>
      </c>
      <c r="S37" s="149" t="e">
        <f>+#REF!</f>
        <v>#REF!</v>
      </c>
      <c r="T37" s="149" t="e">
        <f>+#REF!</f>
        <v>#REF!</v>
      </c>
      <c r="U37" s="149" t="e">
        <f>+#REF!</f>
        <v>#REF!</v>
      </c>
      <c r="V37" s="149" t="e">
        <f>+#REF!</f>
        <v>#REF!</v>
      </c>
      <c r="W37" s="149" t="e">
        <f>+#REF!</f>
        <v>#REF!</v>
      </c>
      <c r="X37" s="149" t="e">
        <f>+#REF!</f>
        <v>#REF!</v>
      </c>
      <c r="Y37" s="149" t="e">
        <f>+#REF!</f>
        <v>#REF!</v>
      </c>
      <c r="Z37" s="149" t="e">
        <f>+#REF!</f>
        <v>#REF!</v>
      </c>
      <c r="AA37" s="149" t="e">
        <f>+#REF!</f>
        <v>#REF!</v>
      </c>
      <c r="AB37" s="149" t="e">
        <f>+#REF!</f>
        <v>#REF!</v>
      </c>
      <c r="AC37" s="149" t="e">
        <f>+#REF!</f>
        <v>#REF!</v>
      </c>
    </row>
    <row r="38" spans="1:29" ht="38.25" x14ac:dyDescent="0.25">
      <c r="A38" s="1509"/>
      <c r="B38" s="1509"/>
      <c r="C38" s="1509"/>
      <c r="D38" s="1509"/>
      <c r="E38" s="1509"/>
      <c r="F38" s="1509"/>
      <c r="G38" s="868" t="s">
        <v>3788</v>
      </c>
      <c r="H38" s="154" t="s">
        <v>3798</v>
      </c>
      <c r="I38" s="154"/>
      <c r="J38" s="154" t="s">
        <v>4212</v>
      </c>
      <c r="K38" s="154"/>
      <c r="L38" s="154"/>
      <c r="M38" s="170"/>
      <c r="N38" s="155"/>
      <c r="O38" s="561">
        <v>510</v>
      </c>
      <c r="P38" s="1288"/>
      <c r="Q38" s="149" t="e">
        <f t="shared" si="1"/>
        <v>#REF!</v>
      </c>
      <c r="R38" s="149" t="e">
        <f>+#REF!</f>
        <v>#REF!</v>
      </c>
      <c r="S38" s="149" t="e">
        <f>+#REF!</f>
        <v>#REF!</v>
      </c>
      <c r="T38" s="149" t="e">
        <f>+#REF!</f>
        <v>#REF!</v>
      </c>
      <c r="U38" s="149" t="e">
        <f>+#REF!</f>
        <v>#REF!</v>
      </c>
      <c r="V38" s="149" t="e">
        <f>+#REF!</f>
        <v>#REF!</v>
      </c>
      <c r="W38" s="149" t="e">
        <f>+#REF!</f>
        <v>#REF!</v>
      </c>
      <c r="X38" s="149" t="e">
        <f>+#REF!</f>
        <v>#REF!</v>
      </c>
      <c r="Y38" s="149" t="e">
        <f>+#REF!</f>
        <v>#REF!</v>
      </c>
      <c r="Z38" s="149" t="e">
        <f>+#REF!</f>
        <v>#REF!</v>
      </c>
      <c r="AA38" s="149" t="e">
        <f>+#REF!</f>
        <v>#REF!</v>
      </c>
      <c r="AB38" s="149" t="e">
        <f>+#REF!</f>
        <v>#REF!</v>
      </c>
      <c r="AC38" s="149" t="e">
        <f>+#REF!</f>
        <v>#REF!</v>
      </c>
    </row>
    <row r="39" spans="1:29" ht="38.25" x14ac:dyDescent="0.25">
      <c r="A39" s="1509"/>
      <c r="B39" s="1509"/>
      <c r="C39" s="1509"/>
      <c r="D39" s="1509"/>
      <c r="E39" s="1509"/>
      <c r="F39" s="1509"/>
      <c r="G39" s="868" t="s">
        <v>3789</v>
      </c>
      <c r="H39" s="154" t="s">
        <v>3799</v>
      </c>
      <c r="I39" s="154"/>
      <c r="J39" s="154" t="s">
        <v>4212</v>
      </c>
      <c r="K39" s="154"/>
      <c r="L39" s="154"/>
      <c r="M39" s="170"/>
      <c r="N39" s="155"/>
      <c r="O39" s="561">
        <v>510</v>
      </c>
      <c r="P39" s="1288"/>
      <c r="Q39" s="149" t="e">
        <f t="shared" si="1"/>
        <v>#REF!</v>
      </c>
      <c r="R39" s="149" t="e">
        <f>+#REF!</f>
        <v>#REF!</v>
      </c>
      <c r="S39" s="149" t="e">
        <f>+#REF!</f>
        <v>#REF!</v>
      </c>
      <c r="T39" s="149" t="e">
        <f>+#REF!</f>
        <v>#REF!</v>
      </c>
      <c r="U39" s="149" t="e">
        <f>+#REF!</f>
        <v>#REF!</v>
      </c>
      <c r="V39" s="149" t="e">
        <f>+#REF!</f>
        <v>#REF!</v>
      </c>
      <c r="W39" s="149" t="e">
        <f>+#REF!</f>
        <v>#REF!</v>
      </c>
      <c r="X39" s="149" t="e">
        <f>+#REF!</f>
        <v>#REF!</v>
      </c>
      <c r="Y39" s="149" t="e">
        <f>+#REF!</f>
        <v>#REF!</v>
      </c>
      <c r="Z39" s="149" t="e">
        <f>+#REF!</f>
        <v>#REF!</v>
      </c>
      <c r="AA39" s="149" t="e">
        <f>+#REF!</f>
        <v>#REF!</v>
      </c>
      <c r="AB39" s="149" t="e">
        <f>+#REF!</f>
        <v>#REF!</v>
      </c>
      <c r="AC39" s="149" t="e">
        <f>+#REF!</f>
        <v>#REF!</v>
      </c>
    </row>
    <row r="40" spans="1:29" ht="38.25" x14ac:dyDescent="0.25">
      <c r="A40" s="1509"/>
      <c r="B40" s="1509"/>
      <c r="C40" s="1509"/>
      <c r="D40" s="1509"/>
      <c r="E40" s="1509"/>
      <c r="F40" s="1509"/>
      <c r="G40" s="868" t="s">
        <v>3790</v>
      </c>
      <c r="H40" s="154" t="s">
        <v>3824</v>
      </c>
      <c r="I40" s="154"/>
      <c r="J40" s="154" t="s">
        <v>4210</v>
      </c>
      <c r="K40" s="154"/>
      <c r="L40" s="154"/>
      <c r="M40" s="170"/>
      <c r="N40" s="155"/>
      <c r="O40" s="561">
        <v>510</v>
      </c>
      <c r="P40" s="1288"/>
      <c r="Q40" s="149" t="e">
        <f t="shared" si="1"/>
        <v>#REF!</v>
      </c>
      <c r="R40" s="149" t="e">
        <f>+#REF!</f>
        <v>#REF!</v>
      </c>
      <c r="S40" s="149" t="e">
        <f>+#REF!</f>
        <v>#REF!</v>
      </c>
      <c r="T40" s="149" t="e">
        <f>+#REF!</f>
        <v>#REF!</v>
      </c>
      <c r="U40" s="149" t="e">
        <f>+#REF!</f>
        <v>#REF!</v>
      </c>
      <c r="V40" s="149" t="e">
        <f>+#REF!</f>
        <v>#REF!</v>
      </c>
      <c r="W40" s="149" t="e">
        <f>+#REF!</f>
        <v>#REF!</v>
      </c>
      <c r="X40" s="149" t="e">
        <f>+#REF!</f>
        <v>#REF!</v>
      </c>
      <c r="Y40" s="149" t="e">
        <f>+#REF!</f>
        <v>#REF!</v>
      </c>
      <c r="Z40" s="149" t="e">
        <f>+#REF!</f>
        <v>#REF!</v>
      </c>
      <c r="AA40" s="149" t="e">
        <f>+#REF!</f>
        <v>#REF!</v>
      </c>
      <c r="AB40" s="149" t="e">
        <f>+#REF!</f>
        <v>#REF!</v>
      </c>
      <c r="AC40" s="149" t="e">
        <f>+#REF!</f>
        <v>#REF!</v>
      </c>
    </row>
    <row r="41" spans="1:29" ht="51" x14ac:dyDescent="0.25">
      <c r="A41" s="1509"/>
      <c r="B41" s="1509"/>
      <c r="C41" s="1509"/>
      <c r="D41" s="1509"/>
      <c r="E41" s="1509"/>
      <c r="F41" s="1509"/>
      <c r="G41" s="868" t="s">
        <v>3791</v>
      </c>
      <c r="H41" s="154" t="s">
        <v>3800</v>
      </c>
      <c r="I41" s="154"/>
      <c r="J41" s="154" t="s">
        <v>4212</v>
      </c>
      <c r="K41" s="154"/>
      <c r="L41" s="154"/>
      <c r="M41" s="170"/>
      <c r="N41" s="155"/>
      <c r="O41" s="561">
        <v>510</v>
      </c>
      <c r="P41" s="1288"/>
      <c r="Q41" s="149" t="e">
        <f t="shared" si="1"/>
        <v>#REF!</v>
      </c>
      <c r="R41" s="149" t="e">
        <f>+#REF!</f>
        <v>#REF!</v>
      </c>
      <c r="S41" s="149" t="e">
        <f>+#REF!</f>
        <v>#REF!</v>
      </c>
      <c r="T41" s="149" t="e">
        <f>+#REF!</f>
        <v>#REF!</v>
      </c>
      <c r="U41" s="149" t="e">
        <f>+#REF!</f>
        <v>#REF!</v>
      </c>
      <c r="V41" s="149" t="e">
        <f>+#REF!</f>
        <v>#REF!</v>
      </c>
      <c r="W41" s="149" t="e">
        <f>+#REF!</f>
        <v>#REF!</v>
      </c>
      <c r="X41" s="149" t="e">
        <f>+#REF!</f>
        <v>#REF!</v>
      </c>
      <c r="Y41" s="149" t="e">
        <f>+#REF!</f>
        <v>#REF!</v>
      </c>
      <c r="Z41" s="149" t="e">
        <f>+#REF!</f>
        <v>#REF!</v>
      </c>
      <c r="AA41" s="149" t="e">
        <f>+#REF!</f>
        <v>#REF!</v>
      </c>
      <c r="AB41" s="149" t="e">
        <f>+#REF!</f>
        <v>#REF!</v>
      </c>
      <c r="AC41" s="149" t="e">
        <f>+#REF!</f>
        <v>#REF!</v>
      </c>
    </row>
    <row r="42" spans="1:29" ht="51" x14ac:dyDescent="0.25">
      <c r="A42" s="1509"/>
      <c r="B42" s="1509"/>
      <c r="C42" s="1509"/>
      <c r="D42" s="1509"/>
      <c r="E42" s="1509"/>
      <c r="F42" s="1509"/>
      <c r="G42" s="868" t="s">
        <v>3792</v>
      </c>
      <c r="H42" s="154" t="s">
        <v>3801</v>
      </c>
      <c r="I42" s="154"/>
      <c r="J42" s="154" t="s">
        <v>4212</v>
      </c>
      <c r="K42" s="154"/>
      <c r="L42" s="154"/>
      <c r="M42" s="170"/>
      <c r="N42" s="155"/>
      <c r="O42" s="561">
        <v>510</v>
      </c>
      <c r="P42" s="1288"/>
      <c r="Q42" s="149" t="e">
        <f t="shared" si="1"/>
        <v>#REF!</v>
      </c>
      <c r="R42" s="149" t="e">
        <f>+#REF!</f>
        <v>#REF!</v>
      </c>
      <c r="S42" s="149" t="e">
        <f>+#REF!</f>
        <v>#REF!</v>
      </c>
      <c r="T42" s="149" t="e">
        <f>+#REF!</f>
        <v>#REF!</v>
      </c>
      <c r="U42" s="149" t="e">
        <f>+#REF!</f>
        <v>#REF!</v>
      </c>
      <c r="V42" s="149" t="e">
        <f>+#REF!</f>
        <v>#REF!</v>
      </c>
      <c r="W42" s="149" t="e">
        <f>+#REF!</f>
        <v>#REF!</v>
      </c>
      <c r="X42" s="149" t="e">
        <f>+#REF!</f>
        <v>#REF!</v>
      </c>
      <c r="Y42" s="149" t="e">
        <f>+#REF!</f>
        <v>#REF!</v>
      </c>
      <c r="Z42" s="149" t="e">
        <f>+#REF!</f>
        <v>#REF!</v>
      </c>
      <c r="AA42" s="149" t="e">
        <f>+#REF!</f>
        <v>#REF!</v>
      </c>
      <c r="AB42" s="149" t="e">
        <f>+#REF!</f>
        <v>#REF!</v>
      </c>
      <c r="AC42" s="149" t="e">
        <f>+#REF!</f>
        <v>#REF!</v>
      </c>
    </row>
    <row r="43" spans="1:29" ht="50.45" customHeight="1" x14ac:dyDescent="0.25">
      <c r="A43" s="1509"/>
      <c r="B43" s="1509"/>
      <c r="C43" s="1509"/>
      <c r="D43" s="1509"/>
      <c r="E43" s="1509"/>
      <c r="F43" s="1509"/>
      <c r="G43" s="868" t="s">
        <v>3793</v>
      </c>
      <c r="H43" s="154" t="s">
        <v>3802</v>
      </c>
      <c r="I43" s="154"/>
      <c r="J43" s="154" t="s">
        <v>4212</v>
      </c>
      <c r="K43" s="154"/>
      <c r="L43" s="154"/>
      <c r="M43" s="170"/>
      <c r="N43" s="155"/>
      <c r="O43" s="561">
        <v>510</v>
      </c>
      <c r="P43" s="1288"/>
      <c r="Q43" s="149" t="e">
        <f t="shared" si="1"/>
        <v>#REF!</v>
      </c>
      <c r="R43" s="149" t="e">
        <f>+#REF!</f>
        <v>#REF!</v>
      </c>
      <c r="S43" s="149" t="e">
        <f>+#REF!</f>
        <v>#REF!</v>
      </c>
      <c r="T43" s="149" t="e">
        <f>+#REF!</f>
        <v>#REF!</v>
      </c>
      <c r="U43" s="149" t="e">
        <f>+#REF!</f>
        <v>#REF!</v>
      </c>
      <c r="V43" s="149" t="e">
        <f>+#REF!</f>
        <v>#REF!</v>
      </c>
      <c r="W43" s="149" t="e">
        <f>+#REF!</f>
        <v>#REF!</v>
      </c>
      <c r="X43" s="149" t="e">
        <f>+#REF!</f>
        <v>#REF!</v>
      </c>
      <c r="Y43" s="149" t="e">
        <f>+#REF!</f>
        <v>#REF!</v>
      </c>
      <c r="Z43" s="149" t="e">
        <f>+#REF!</f>
        <v>#REF!</v>
      </c>
      <c r="AA43" s="149" t="e">
        <f>+#REF!</f>
        <v>#REF!</v>
      </c>
      <c r="AB43" s="149" t="e">
        <f>+#REF!</f>
        <v>#REF!</v>
      </c>
      <c r="AC43" s="149" t="e">
        <f>+#REF!</f>
        <v>#REF!</v>
      </c>
    </row>
    <row r="44" spans="1:29" ht="55.15" customHeight="1" x14ac:dyDescent="0.25">
      <c r="A44" s="1509"/>
      <c r="B44" s="1509"/>
      <c r="C44" s="1509"/>
      <c r="D44" s="1509"/>
      <c r="E44" s="1509"/>
      <c r="F44" s="1509"/>
      <c r="G44" s="868" t="s">
        <v>3794</v>
      </c>
      <c r="H44" s="154" t="s">
        <v>3803</v>
      </c>
      <c r="I44" s="154"/>
      <c r="J44" s="154" t="s">
        <v>4212</v>
      </c>
      <c r="K44" s="154"/>
      <c r="L44" s="154"/>
      <c r="M44" s="170"/>
      <c r="N44" s="155"/>
      <c r="O44" s="561">
        <v>510</v>
      </c>
      <c r="P44" s="1427" t="s">
        <v>3351</v>
      </c>
      <c r="Q44" s="149" t="e">
        <f t="shared" si="1"/>
        <v>#REF!</v>
      </c>
      <c r="R44" s="149" t="e">
        <f>+#REF!</f>
        <v>#REF!</v>
      </c>
      <c r="S44" s="149" t="e">
        <f>+#REF!</f>
        <v>#REF!</v>
      </c>
      <c r="T44" s="149" t="e">
        <f>+#REF!</f>
        <v>#REF!</v>
      </c>
      <c r="U44" s="149" t="e">
        <f>+#REF!</f>
        <v>#REF!</v>
      </c>
      <c r="V44" s="149" t="e">
        <f>+#REF!</f>
        <v>#REF!</v>
      </c>
      <c r="W44" s="149" t="e">
        <f>+#REF!</f>
        <v>#REF!</v>
      </c>
      <c r="X44" s="149" t="e">
        <f>+#REF!</f>
        <v>#REF!</v>
      </c>
      <c r="Y44" s="149" t="e">
        <f>+#REF!</f>
        <v>#REF!</v>
      </c>
      <c r="Z44" s="149" t="e">
        <f>+#REF!</f>
        <v>#REF!</v>
      </c>
      <c r="AA44" s="149" t="e">
        <f>+#REF!</f>
        <v>#REF!</v>
      </c>
      <c r="AB44" s="149" t="e">
        <f>+#REF!</f>
        <v>#REF!</v>
      </c>
      <c r="AC44" s="149" t="e">
        <f>+#REF!</f>
        <v>#REF!</v>
      </c>
    </row>
    <row r="45" spans="1:29" ht="38.25" x14ac:dyDescent="0.25">
      <c r="A45" s="1509"/>
      <c r="B45" s="1509"/>
      <c r="C45" s="1509"/>
      <c r="D45" s="1509"/>
      <c r="E45" s="1509"/>
      <c r="F45" s="1509"/>
      <c r="G45" s="868" t="s">
        <v>3795</v>
      </c>
      <c r="H45" s="154" t="s">
        <v>3804</v>
      </c>
      <c r="I45" s="154"/>
      <c r="J45" s="154" t="s">
        <v>4212</v>
      </c>
      <c r="K45" s="154"/>
      <c r="L45" s="154"/>
      <c r="M45" s="170"/>
      <c r="N45" s="155"/>
      <c r="O45" s="561">
        <v>510</v>
      </c>
      <c r="P45" s="1427"/>
      <c r="Q45" s="149" t="e">
        <f t="shared" si="1"/>
        <v>#REF!</v>
      </c>
      <c r="R45" s="149" t="e">
        <f>+#REF!</f>
        <v>#REF!</v>
      </c>
      <c r="S45" s="149" t="e">
        <f>+#REF!</f>
        <v>#REF!</v>
      </c>
      <c r="T45" s="149" t="e">
        <f>+#REF!</f>
        <v>#REF!</v>
      </c>
      <c r="U45" s="149" t="e">
        <f>+#REF!</f>
        <v>#REF!</v>
      </c>
      <c r="V45" s="149" t="e">
        <f>+#REF!</f>
        <v>#REF!</v>
      </c>
      <c r="W45" s="149" t="e">
        <f>+#REF!</f>
        <v>#REF!</v>
      </c>
      <c r="X45" s="149" t="e">
        <f>+#REF!</f>
        <v>#REF!</v>
      </c>
      <c r="Y45" s="149" t="e">
        <f>+#REF!</f>
        <v>#REF!</v>
      </c>
      <c r="Z45" s="149" t="e">
        <f>+#REF!</f>
        <v>#REF!</v>
      </c>
      <c r="AA45" s="149" t="e">
        <f>+#REF!</f>
        <v>#REF!</v>
      </c>
      <c r="AB45" s="149" t="e">
        <f>+#REF!</f>
        <v>#REF!</v>
      </c>
      <c r="AC45" s="149" t="e">
        <f>+#REF!</f>
        <v>#REF!</v>
      </c>
    </row>
    <row r="46" spans="1:29" ht="60" customHeight="1" x14ac:dyDescent="0.25">
      <c r="A46" s="1509"/>
      <c r="B46" s="1509"/>
      <c r="C46" s="1509"/>
      <c r="D46" s="1509"/>
      <c r="E46" s="1509"/>
      <c r="F46" s="1509"/>
      <c r="G46" s="868" t="s">
        <v>3796</v>
      </c>
      <c r="H46" s="154" t="s">
        <v>3805</v>
      </c>
      <c r="I46" s="154"/>
      <c r="J46" s="154" t="s">
        <v>4212</v>
      </c>
      <c r="K46" s="154"/>
      <c r="L46" s="154"/>
      <c r="M46" s="170"/>
      <c r="N46" s="155"/>
      <c r="O46" s="561">
        <v>510</v>
      </c>
      <c r="P46" s="1427"/>
      <c r="Q46" s="149" t="e">
        <f t="shared" si="1"/>
        <v>#REF!</v>
      </c>
      <c r="R46" s="149" t="e">
        <f>+#REF!</f>
        <v>#REF!</v>
      </c>
      <c r="S46" s="149" t="e">
        <f>+#REF!</f>
        <v>#REF!</v>
      </c>
      <c r="T46" s="149" t="e">
        <f>+#REF!</f>
        <v>#REF!</v>
      </c>
      <c r="U46" s="149" t="e">
        <f>+#REF!</f>
        <v>#REF!</v>
      </c>
      <c r="V46" s="149" t="e">
        <f>+#REF!</f>
        <v>#REF!</v>
      </c>
      <c r="W46" s="149" t="e">
        <f>+#REF!</f>
        <v>#REF!</v>
      </c>
      <c r="X46" s="149" t="e">
        <f>+#REF!</f>
        <v>#REF!</v>
      </c>
      <c r="Y46" s="149" t="e">
        <f>+#REF!</f>
        <v>#REF!</v>
      </c>
      <c r="Z46" s="149" t="e">
        <f>+#REF!</f>
        <v>#REF!</v>
      </c>
      <c r="AA46" s="149" t="e">
        <f>+#REF!</f>
        <v>#REF!</v>
      </c>
      <c r="AB46" s="149" t="e">
        <f>+#REF!</f>
        <v>#REF!</v>
      </c>
      <c r="AC46" s="149" t="e">
        <f>+#REF!</f>
        <v>#REF!</v>
      </c>
    </row>
    <row r="47" spans="1:29" ht="73.150000000000006" customHeight="1" x14ac:dyDescent="0.25">
      <c r="A47" s="1511" t="str">
        <f>+A36</f>
        <v>PY.3.1.1</v>
      </c>
      <c r="B47" s="1509" t="str">
        <f>+B36</f>
        <v xml:space="preserve">ACREDITACIÓN Y REACREDITACIÓN PROGRAMAS DE PREGRADO </v>
      </c>
      <c r="C47" s="1511" t="str">
        <f>+C36</f>
        <v>AUMENTAR A 16 LOS PROGRAMAS ACREDITADOS</v>
      </c>
      <c r="D47" s="1511" t="str">
        <f>+D36</f>
        <v>NÚMERO DE PROGRAMAS ACREDITADOS</v>
      </c>
      <c r="E47" s="1511"/>
      <c r="F47" s="1511">
        <f>+F36</f>
        <v>3</v>
      </c>
      <c r="G47" s="868" t="s">
        <v>4074</v>
      </c>
      <c r="H47" s="154" t="s">
        <v>4075</v>
      </c>
      <c r="I47" s="154"/>
      <c r="J47" s="154" t="s">
        <v>4212</v>
      </c>
      <c r="K47" s="154"/>
      <c r="L47" s="154"/>
      <c r="M47" s="170"/>
      <c r="N47" s="155"/>
      <c r="O47" s="561">
        <v>510</v>
      </c>
      <c r="P47" s="915" t="s">
        <v>4232</v>
      </c>
      <c r="Q47" s="149" t="e">
        <f t="shared" si="1"/>
        <v>#REF!</v>
      </c>
      <c r="R47" s="149" t="e">
        <f>+#REF!</f>
        <v>#REF!</v>
      </c>
      <c r="S47" s="149" t="e">
        <f>+#REF!</f>
        <v>#REF!</v>
      </c>
      <c r="T47" s="149" t="e">
        <f>+#REF!</f>
        <v>#REF!</v>
      </c>
      <c r="U47" s="149" t="e">
        <f>+#REF!</f>
        <v>#REF!</v>
      </c>
      <c r="V47" s="149" t="e">
        <f>+#REF!</f>
        <v>#REF!</v>
      </c>
      <c r="W47" s="149" t="e">
        <f>+#REF!</f>
        <v>#REF!</v>
      </c>
      <c r="X47" s="149" t="e">
        <f>+#REF!</f>
        <v>#REF!</v>
      </c>
      <c r="Y47" s="149" t="e">
        <f>+#REF!</f>
        <v>#REF!</v>
      </c>
      <c r="Z47" s="149" t="e">
        <f>+#REF!</f>
        <v>#REF!</v>
      </c>
      <c r="AA47" s="149" t="e">
        <f>+#REF!</f>
        <v>#REF!</v>
      </c>
      <c r="AB47" s="149" t="e">
        <f>+#REF!</f>
        <v>#REF!</v>
      </c>
      <c r="AC47" s="149" t="e">
        <f>+#REF!</f>
        <v>#REF!</v>
      </c>
    </row>
    <row r="48" spans="1:29" ht="51" x14ac:dyDescent="0.25">
      <c r="A48" s="1506"/>
      <c r="B48" s="1509"/>
      <c r="C48" s="1506"/>
      <c r="D48" s="1506"/>
      <c r="E48" s="1506"/>
      <c r="F48" s="1506"/>
      <c r="G48" s="868" t="s">
        <v>4126</v>
      </c>
      <c r="H48" s="165" t="s">
        <v>4129</v>
      </c>
      <c r="I48" s="165"/>
      <c r="J48" s="165"/>
      <c r="K48" s="165"/>
      <c r="L48" s="165"/>
      <c r="M48" s="170"/>
      <c r="N48" s="155"/>
      <c r="O48" s="561">
        <v>510</v>
      </c>
      <c r="P48" s="771" t="s">
        <v>3878</v>
      </c>
      <c r="Q48" s="149" t="e">
        <f t="shared" si="1"/>
        <v>#REF!</v>
      </c>
      <c r="R48" s="149" t="e">
        <f>+#REF!</f>
        <v>#REF!</v>
      </c>
      <c r="S48" s="149" t="e">
        <f>+#REF!</f>
        <v>#REF!</v>
      </c>
      <c r="T48" s="149" t="e">
        <f>+#REF!</f>
        <v>#REF!</v>
      </c>
      <c r="U48" s="149" t="e">
        <f>+#REF!</f>
        <v>#REF!</v>
      </c>
      <c r="V48" s="149" t="e">
        <f>+#REF!</f>
        <v>#REF!</v>
      </c>
      <c r="W48" s="149" t="e">
        <f>+#REF!</f>
        <v>#REF!</v>
      </c>
      <c r="X48" s="149" t="e">
        <f>+#REF!</f>
        <v>#REF!</v>
      </c>
      <c r="Y48" s="149" t="e">
        <f>+#REF!</f>
        <v>#REF!</v>
      </c>
      <c r="Z48" s="149" t="e">
        <f>+#REF!</f>
        <v>#REF!</v>
      </c>
      <c r="AA48" s="149" t="e">
        <f>+#REF!</f>
        <v>#REF!</v>
      </c>
      <c r="AB48" s="149" t="e">
        <f>+#REF!</f>
        <v>#REF!</v>
      </c>
      <c r="AC48" s="149" t="e">
        <f>+#REF!</f>
        <v>#REF!</v>
      </c>
    </row>
    <row r="49" spans="1:31" ht="76.5" x14ac:dyDescent="0.25">
      <c r="A49" s="1506"/>
      <c r="B49" s="1509"/>
      <c r="C49" s="1506"/>
      <c r="D49" s="1506"/>
      <c r="E49" s="1506"/>
      <c r="F49" s="1506"/>
      <c r="G49" s="868" t="s">
        <v>4127</v>
      </c>
      <c r="H49" s="165" t="s">
        <v>4137</v>
      </c>
      <c r="I49" s="165"/>
      <c r="J49" s="165"/>
      <c r="K49" s="165"/>
      <c r="L49" s="165"/>
      <c r="M49" s="170"/>
      <c r="N49" s="155"/>
      <c r="O49" s="561">
        <v>510</v>
      </c>
      <c r="P49" s="795" t="s">
        <v>4136</v>
      </c>
      <c r="Q49" s="149" t="e">
        <f t="shared" si="1"/>
        <v>#REF!</v>
      </c>
      <c r="R49" s="149" t="e">
        <f>+#REF!</f>
        <v>#REF!</v>
      </c>
      <c r="S49" s="149" t="e">
        <f>+#REF!</f>
        <v>#REF!</v>
      </c>
      <c r="T49" s="149" t="e">
        <f>+#REF!</f>
        <v>#REF!</v>
      </c>
      <c r="U49" s="149" t="e">
        <f>+#REF!</f>
        <v>#REF!</v>
      </c>
      <c r="V49" s="149" t="e">
        <f>+#REF!</f>
        <v>#REF!</v>
      </c>
      <c r="W49" s="149" t="e">
        <f>+#REF!</f>
        <v>#REF!</v>
      </c>
      <c r="X49" s="149" t="e">
        <f>+#REF!</f>
        <v>#REF!</v>
      </c>
      <c r="Y49" s="149" t="e">
        <f>+#REF!</f>
        <v>#REF!</v>
      </c>
      <c r="Z49" s="149" t="e">
        <f>+#REF!</f>
        <v>#REF!</v>
      </c>
      <c r="AA49" s="149" t="e">
        <f>+#REF!</f>
        <v>#REF!</v>
      </c>
      <c r="AB49" s="149" t="e">
        <f>+#REF!</f>
        <v>#REF!</v>
      </c>
      <c r="AC49" s="149" t="e">
        <f>+#REF!</f>
        <v>#REF!</v>
      </c>
    </row>
    <row r="50" spans="1:31" ht="73.150000000000006" customHeight="1" x14ac:dyDescent="0.25">
      <c r="A50" s="1506"/>
      <c r="B50" s="1509"/>
      <c r="C50" s="1506"/>
      <c r="D50" s="1506"/>
      <c r="E50" s="1506"/>
      <c r="F50" s="1506"/>
      <c r="G50" s="868" t="s">
        <v>4128</v>
      </c>
      <c r="H50" s="165" t="s">
        <v>4138</v>
      </c>
      <c r="I50" s="165"/>
      <c r="J50" s="165"/>
      <c r="K50" s="165"/>
      <c r="L50" s="165"/>
      <c r="M50" s="170"/>
      <c r="N50" s="155"/>
      <c r="O50" s="561">
        <v>510</v>
      </c>
      <c r="P50" s="1287" t="s">
        <v>4136</v>
      </c>
      <c r="Q50" s="149" t="e">
        <f t="shared" si="1"/>
        <v>#REF!</v>
      </c>
      <c r="R50" s="149" t="e">
        <f>+#REF!</f>
        <v>#REF!</v>
      </c>
      <c r="S50" s="149" t="e">
        <f>+#REF!</f>
        <v>#REF!</v>
      </c>
      <c r="T50" s="149" t="e">
        <f>+#REF!</f>
        <v>#REF!</v>
      </c>
      <c r="U50" s="149" t="e">
        <f>+#REF!</f>
        <v>#REF!</v>
      </c>
      <c r="V50" s="149" t="e">
        <f>+#REF!</f>
        <v>#REF!</v>
      </c>
      <c r="W50" s="149" t="e">
        <f>+#REF!</f>
        <v>#REF!</v>
      </c>
      <c r="X50" s="149" t="e">
        <f>+#REF!</f>
        <v>#REF!</v>
      </c>
      <c r="Y50" s="149" t="e">
        <f>+#REF!</f>
        <v>#REF!</v>
      </c>
      <c r="Z50" s="149" t="e">
        <f>+#REF!</f>
        <v>#REF!</v>
      </c>
      <c r="AA50" s="149" t="e">
        <f>+#REF!</f>
        <v>#REF!</v>
      </c>
      <c r="AB50" s="149" t="e">
        <f>+#REF!</f>
        <v>#REF!</v>
      </c>
      <c r="AC50" s="149" t="e">
        <f>+#REF!</f>
        <v>#REF!</v>
      </c>
    </row>
    <row r="51" spans="1:31" ht="115.15" customHeight="1" x14ac:dyDescent="0.25">
      <c r="A51" s="1506"/>
      <c r="B51" s="1509"/>
      <c r="C51" s="1506"/>
      <c r="D51" s="1506"/>
      <c r="E51" s="1506"/>
      <c r="F51" s="1506"/>
      <c r="G51" s="868" t="s">
        <v>4139</v>
      </c>
      <c r="H51" s="165" t="s">
        <v>4213</v>
      </c>
      <c r="I51" s="165"/>
      <c r="J51" s="165"/>
      <c r="K51" s="165"/>
      <c r="L51" s="165"/>
      <c r="M51" s="170"/>
      <c r="N51" s="155"/>
      <c r="O51" s="561">
        <v>510</v>
      </c>
      <c r="P51" s="1288"/>
      <c r="Q51" s="149" t="e">
        <f t="shared" si="1"/>
        <v>#REF!</v>
      </c>
      <c r="R51" s="149" t="e">
        <f>+#REF!</f>
        <v>#REF!</v>
      </c>
      <c r="S51" s="149" t="e">
        <f>+#REF!</f>
        <v>#REF!</v>
      </c>
      <c r="T51" s="149" t="e">
        <f>+#REF!</f>
        <v>#REF!</v>
      </c>
      <c r="U51" s="149" t="e">
        <f>+#REF!</f>
        <v>#REF!</v>
      </c>
      <c r="V51" s="149" t="e">
        <f>+#REF!</f>
        <v>#REF!</v>
      </c>
      <c r="W51" s="149" t="e">
        <f>+#REF!</f>
        <v>#REF!</v>
      </c>
      <c r="X51" s="149" t="e">
        <f>+#REF!</f>
        <v>#REF!</v>
      </c>
      <c r="Y51" s="149" t="e">
        <f>+#REF!</f>
        <v>#REF!</v>
      </c>
      <c r="Z51" s="149" t="e">
        <f>+#REF!</f>
        <v>#REF!</v>
      </c>
      <c r="AA51" s="149" t="e">
        <f>+#REF!</f>
        <v>#REF!</v>
      </c>
      <c r="AB51" s="149" t="e">
        <f>+#REF!</f>
        <v>#REF!</v>
      </c>
      <c r="AC51" s="149" t="e">
        <f>+#REF!</f>
        <v>#REF!</v>
      </c>
    </row>
    <row r="52" spans="1:31" ht="38.25" x14ac:dyDescent="0.25">
      <c r="A52" s="1506"/>
      <c r="B52" s="1509"/>
      <c r="C52" s="1507"/>
      <c r="D52" s="1507"/>
      <c r="E52" s="1507"/>
      <c r="F52" s="1507"/>
      <c r="G52" s="868" t="s">
        <v>4140</v>
      </c>
      <c r="H52" s="165" t="s">
        <v>4141</v>
      </c>
      <c r="I52" s="165"/>
      <c r="J52" s="165"/>
      <c r="K52" s="165"/>
      <c r="L52" s="165"/>
      <c r="M52" s="170"/>
      <c r="N52" s="155"/>
      <c r="O52" s="561">
        <v>510</v>
      </c>
      <c r="P52" s="1289"/>
      <c r="Q52" s="149" t="e">
        <f t="shared" si="1"/>
        <v>#REF!</v>
      </c>
      <c r="R52" s="149" t="e">
        <f>+#REF!</f>
        <v>#REF!</v>
      </c>
      <c r="S52" s="149" t="e">
        <f>+#REF!</f>
        <v>#REF!</v>
      </c>
      <c r="T52" s="149" t="e">
        <f>+#REF!</f>
        <v>#REF!</v>
      </c>
      <c r="U52" s="149" t="e">
        <f>+#REF!</f>
        <v>#REF!</v>
      </c>
      <c r="V52" s="149" t="e">
        <f>+#REF!</f>
        <v>#REF!</v>
      </c>
      <c r="W52" s="149" t="e">
        <f>+#REF!</f>
        <v>#REF!</v>
      </c>
      <c r="X52" s="149" t="e">
        <f>+#REF!</f>
        <v>#REF!</v>
      </c>
      <c r="Y52" s="149" t="e">
        <f>+#REF!</f>
        <v>#REF!</v>
      </c>
      <c r="Z52" s="149" t="e">
        <f>+#REF!</f>
        <v>#REF!</v>
      </c>
      <c r="AA52" s="149" t="e">
        <f>+#REF!</f>
        <v>#REF!</v>
      </c>
      <c r="AB52" s="149" t="e">
        <f>+#REF!</f>
        <v>#REF!</v>
      </c>
      <c r="AC52" s="149" t="e">
        <f>+#REF!</f>
        <v>#REF!</v>
      </c>
    </row>
    <row r="53" spans="1:31" ht="55.15" customHeight="1" x14ac:dyDescent="0.25">
      <c r="A53" s="1509" t="str">
        <f>+A47</f>
        <v>PY.3.1.1</v>
      </c>
      <c r="B53" s="1506" t="str">
        <f>+B47</f>
        <v xml:space="preserve">ACREDITACIÓN Y REACREDITACIÓN PROGRAMAS DE PREGRADO </v>
      </c>
      <c r="C53" s="1506" t="str">
        <f>+'PLANINDICATIVO PD MAYO'!J16</f>
        <v>6 PROGRAMAS PREGRADO REACREDITADOS</v>
      </c>
      <c r="D53" s="1506" t="str">
        <f>+'PLANINDICATIVO PD MAYO'!L16</f>
        <v>NÚMERO PROGRAMAS PREGRADO REACREDITADOS</v>
      </c>
      <c r="E53" s="1506"/>
      <c r="F53" s="1506">
        <f>+'PLANINDICATIVO PD MAYO'!O16</f>
        <v>2</v>
      </c>
      <c r="G53" s="868" t="s">
        <v>3806</v>
      </c>
      <c r="H53" s="154" t="s">
        <v>3815</v>
      </c>
      <c r="I53" s="154"/>
      <c r="J53" s="154"/>
      <c r="K53" s="154"/>
      <c r="L53" s="154"/>
      <c r="M53" s="170"/>
      <c r="N53" s="155"/>
      <c r="O53" s="561">
        <v>510</v>
      </c>
      <c r="P53" s="1287" t="s">
        <v>3351</v>
      </c>
      <c r="Q53" s="149" t="e">
        <f t="shared" si="1"/>
        <v>#REF!</v>
      </c>
      <c r="R53" s="149" t="e">
        <f>+#REF!</f>
        <v>#REF!</v>
      </c>
      <c r="S53" s="149" t="e">
        <f>+#REF!</f>
        <v>#REF!</v>
      </c>
      <c r="T53" s="149" t="e">
        <f>+#REF!</f>
        <v>#REF!</v>
      </c>
      <c r="U53" s="149" t="e">
        <f>+#REF!</f>
        <v>#REF!</v>
      </c>
      <c r="V53" s="149" t="e">
        <f>+#REF!</f>
        <v>#REF!</v>
      </c>
      <c r="W53" s="149" t="e">
        <f>+#REF!</f>
        <v>#REF!</v>
      </c>
      <c r="X53" s="149" t="e">
        <f>+#REF!</f>
        <v>#REF!</v>
      </c>
      <c r="Y53" s="149" t="e">
        <f>+#REF!</f>
        <v>#REF!</v>
      </c>
      <c r="Z53" s="149" t="e">
        <f>+#REF!</f>
        <v>#REF!</v>
      </c>
      <c r="AA53" s="149" t="e">
        <f>+#REF!</f>
        <v>#REF!</v>
      </c>
      <c r="AB53" s="149" t="e">
        <f>+#REF!</f>
        <v>#REF!</v>
      </c>
      <c r="AC53" s="149" t="e">
        <f>+#REF!</f>
        <v>#REF!</v>
      </c>
    </row>
    <row r="54" spans="1:31" ht="73.900000000000006" customHeight="1" x14ac:dyDescent="0.25">
      <c r="A54" s="1509"/>
      <c r="B54" s="1506"/>
      <c r="C54" s="1506"/>
      <c r="D54" s="1506"/>
      <c r="E54" s="1506"/>
      <c r="F54" s="1506"/>
      <c r="G54" s="868" t="s">
        <v>3807</v>
      </c>
      <c r="H54" s="154" t="s">
        <v>3816</v>
      </c>
      <c r="I54" s="154"/>
      <c r="J54" s="154"/>
      <c r="K54" s="154"/>
      <c r="L54" s="154"/>
      <c r="M54" s="170"/>
      <c r="N54" s="155"/>
      <c r="O54" s="561">
        <v>510</v>
      </c>
      <c r="P54" s="1288"/>
      <c r="Q54" s="149" t="e">
        <f t="shared" si="1"/>
        <v>#REF!</v>
      </c>
      <c r="R54" s="149" t="e">
        <f>+#REF!</f>
        <v>#REF!</v>
      </c>
      <c r="S54" s="149" t="e">
        <f>+#REF!</f>
        <v>#REF!</v>
      </c>
      <c r="T54" s="149" t="e">
        <f>+#REF!</f>
        <v>#REF!</v>
      </c>
      <c r="U54" s="149" t="e">
        <f>+#REF!</f>
        <v>#REF!</v>
      </c>
      <c r="V54" s="149" t="e">
        <f>+#REF!</f>
        <v>#REF!</v>
      </c>
      <c r="W54" s="149" t="e">
        <f>+#REF!</f>
        <v>#REF!</v>
      </c>
      <c r="X54" s="149" t="e">
        <f>+#REF!</f>
        <v>#REF!</v>
      </c>
      <c r="Y54" s="149" t="e">
        <f>+#REF!</f>
        <v>#REF!</v>
      </c>
      <c r="Z54" s="149" t="e">
        <f>+#REF!</f>
        <v>#REF!</v>
      </c>
      <c r="AA54" s="149" t="e">
        <f>+#REF!</f>
        <v>#REF!</v>
      </c>
      <c r="AB54" s="149" t="e">
        <f>+#REF!</f>
        <v>#REF!</v>
      </c>
      <c r="AC54" s="149" t="e">
        <f>+#REF!</f>
        <v>#REF!</v>
      </c>
    </row>
    <row r="55" spans="1:31" ht="51" x14ac:dyDescent="0.25">
      <c r="A55" s="1509"/>
      <c r="B55" s="1506"/>
      <c r="C55" s="1506"/>
      <c r="D55" s="1506"/>
      <c r="E55" s="1506"/>
      <c r="F55" s="1506"/>
      <c r="G55" s="868" t="s">
        <v>3808</v>
      </c>
      <c r="H55" s="154" t="s">
        <v>3817</v>
      </c>
      <c r="I55" s="154"/>
      <c r="J55" s="154"/>
      <c r="K55" s="154"/>
      <c r="L55" s="154"/>
      <c r="M55" s="170"/>
      <c r="N55" s="155"/>
      <c r="O55" s="561">
        <v>510</v>
      </c>
      <c r="P55" s="1289"/>
      <c r="Q55" s="149" t="e">
        <f t="shared" si="1"/>
        <v>#REF!</v>
      </c>
      <c r="R55" s="149" t="e">
        <f>+#REF!</f>
        <v>#REF!</v>
      </c>
      <c r="S55" s="149" t="e">
        <f>+#REF!</f>
        <v>#REF!</v>
      </c>
      <c r="T55" s="149" t="e">
        <f>+#REF!</f>
        <v>#REF!</v>
      </c>
      <c r="U55" s="149" t="e">
        <f>+#REF!</f>
        <v>#REF!</v>
      </c>
      <c r="V55" s="149" t="e">
        <f>+#REF!</f>
        <v>#REF!</v>
      </c>
      <c r="W55" s="149" t="e">
        <f>+#REF!</f>
        <v>#REF!</v>
      </c>
      <c r="X55" s="149" t="e">
        <f>+#REF!</f>
        <v>#REF!</v>
      </c>
      <c r="Y55" s="149" t="e">
        <f>+#REF!</f>
        <v>#REF!</v>
      </c>
      <c r="Z55" s="149" t="e">
        <f>+#REF!</f>
        <v>#REF!</v>
      </c>
      <c r="AA55" s="149" t="e">
        <f>+#REF!</f>
        <v>#REF!</v>
      </c>
      <c r="AB55" s="149" t="e">
        <f>+#REF!</f>
        <v>#REF!</v>
      </c>
      <c r="AC55" s="149" t="e">
        <f>+#REF!</f>
        <v>#REF!</v>
      </c>
    </row>
    <row r="56" spans="1:31" ht="60.6" customHeight="1" x14ac:dyDescent="0.25">
      <c r="A56" s="1509"/>
      <c r="B56" s="1506"/>
      <c r="C56" s="1506"/>
      <c r="D56" s="1506"/>
      <c r="E56" s="1506"/>
      <c r="F56" s="1506"/>
      <c r="G56" s="868" t="s">
        <v>3809</v>
      </c>
      <c r="H56" s="154" t="s">
        <v>3818</v>
      </c>
      <c r="I56" s="154"/>
      <c r="J56" s="154"/>
      <c r="K56" s="154"/>
      <c r="L56" s="154"/>
      <c r="M56" s="170"/>
      <c r="N56" s="155"/>
      <c r="O56" s="561">
        <v>510</v>
      </c>
      <c r="P56" s="1287" t="s">
        <v>3351</v>
      </c>
      <c r="Q56" s="149" t="e">
        <f t="shared" si="1"/>
        <v>#REF!</v>
      </c>
      <c r="R56" s="149" t="e">
        <f>+#REF!</f>
        <v>#REF!</v>
      </c>
      <c r="S56" s="149" t="e">
        <f>+#REF!</f>
        <v>#REF!</v>
      </c>
      <c r="T56" s="149" t="e">
        <f>+#REF!</f>
        <v>#REF!</v>
      </c>
      <c r="U56" s="149" t="e">
        <f>+#REF!</f>
        <v>#REF!</v>
      </c>
      <c r="V56" s="149" t="e">
        <f>+#REF!</f>
        <v>#REF!</v>
      </c>
      <c r="W56" s="149" t="e">
        <f>+#REF!</f>
        <v>#REF!</v>
      </c>
      <c r="X56" s="149" t="e">
        <f>+#REF!</f>
        <v>#REF!</v>
      </c>
      <c r="Y56" s="149" t="e">
        <f>+#REF!</f>
        <v>#REF!</v>
      </c>
      <c r="Z56" s="149" t="e">
        <f>+#REF!</f>
        <v>#REF!</v>
      </c>
      <c r="AA56" s="149" t="e">
        <f>+#REF!</f>
        <v>#REF!</v>
      </c>
      <c r="AB56" s="149" t="e">
        <f>+#REF!</f>
        <v>#REF!</v>
      </c>
      <c r="AC56" s="149" t="e">
        <f>+#REF!</f>
        <v>#REF!</v>
      </c>
    </row>
    <row r="57" spans="1:31" ht="51" x14ac:dyDescent="0.25">
      <c r="A57" s="1509"/>
      <c r="B57" s="1506"/>
      <c r="C57" s="1506"/>
      <c r="D57" s="1506"/>
      <c r="E57" s="1506"/>
      <c r="F57" s="1506"/>
      <c r="G57" s="868" t="s">
        <v>3810</v>
      </c>
      <c r="H57" s="154" t="s">
        <v>3819</v>
      </c>
      <c r="I57" s="154"/>
      <c r="J57" s="154"/>
      <c r="K57" s="154"/>
      <c r="L57" s="154"/>
      <c r="M57" s="170"/>
      <c r="N57" s="155"/>
      <c r="O57" s="561">
        <v>510</v>
      </c>
      <c r="P57" s="1288"/>
      <c r="Q57" s="149" t="e">
        <f t="shared" si="1"/>
        <v>#REF!</v>
      </c>
      <c r="R57" s="149" t="e">
        <f>+#REF!</f>
        <v>#REF!</v>
      </c>
      <c r="S57" s="149" t="e">
        <f>+#REF!</f>
        <v>#REF!</v>
      </c>
      <c r="T57" s="149" t="e">
        <f>+#REF!</f>
        <v>#REF!</v>
      </c>
      <c r="U57" s="149" t="e">
        <f>+#REF!</f>
        <v>#REF!</v>
      </c>
      <c r="V57" s="149" t="e">
        <f>+#REF!</f>
        <v>#REF!</v>
      </c>
      <c r="W57" s="149" t="e">
        <f>+#REF!</f>
        <v>#REF!</v>
      </c>
      <c r="X57" s="149" t="e">
        <f>+#REF!</f>
        <v>#REF!</v>
      </c>
      <c r="Y57" s="149" t="e">
        <f>+#REF!</f>
        <v>#REF!</v>
      </c>
      <c r="Z57" s="149" t="e">
        <f>+#REF!</f>
        <v>#REF!</v>
      </c>
      <c r="AA57" s="149" t="e">
        <f>+#REF!</f>
        <v>#REF!</v>
      </c>
      <c r="AB57" s="149" t="e">
        <f>+#REF!</f>
        <v>#REF!</v>
      </c>
      <c r="AC57" s="149" t="e">
        <f>+#REF!</f>
        <v>#REF!</v>
      </c>
    </row>
    <row r="58" spans="1:31" ht="51" x14ac:dyDescent="0.25">
      <c r="A58" s="1509"/>
      <c r="B58" s="1506"/>
      <c r="C58" s="1506"/>
      <c r="D58" s="1506"/>
      <c r="E58" s="1506"/>
      <c r="F58" s="1506"/>
      <c r="G58" s="868" t="s">
        <v>3811</v>
      </c>
      <c r="H58" s="154" t="s">
        <v>3820</v>
      </c>
      <c r="I58" s="154"/>
      <c r="J58" s="154"/>
      <c r="K58" s="154"/>
      <c r="L58" s="154"/>
      <c r="M58" s="170"/>
      <c r="N58" s="155"/>
      <c r="O58" s="561">
        <v>510</v>
      </c>
      <c r="P58" s="1288"/>
      <c r="Q58" s="149" t="e">
        <f t="shared" si="1"/>
        <v>#REF!</v>
      </c>
      <c r="R58" s="149" t="e">
        <f>+#REF!</f>
        <v>#REF!</v>
      </c>
      <c r="S58" s="149" t="e">
        <f>+#REF!</f>
        <v>#REF!</v>
      </c>
      <c r="T58" s="149" t="e">
        <f>+#REF!</f>
        <v>#REF!</v>
      </c>
      <c r="U58" s="149" t="e">
        <f>+#REF!</f>
        <v>#REF!</v>
      </c>
      <c r="V58" s="149" t="e">
        <f>+#REF!</f>
        <v>#REF!</v>
      </c>
      <c r="W58" s="149" t="e">
        <f>+#REF!</f>
        <v>#REF!</v>
      </c>
      <c r="X58" s="149" t="e">
        <f>+#REF!</f>
        <v>#REF!</v>
      </c>
      <c r="Y58" s="149" t="e">
        <f>+#REF!</f>
        <v>#REF!</v>
      </c>
      <c r="Z58" s="149" t="e">
        <f>+#REF!</f>
        <v>#REF!</v>
      </c>
      <c r="AA58" s="149" t="e">
        <f>+#REF!</f>
        <v>#REF!</v>
      </c>
      <c r="AB58" s="149" t="e">
        <f>+#REF!</f>
        <v>#REF!</v>
      </c>
      <c r="AC58" s="149" t="e">
        <f>+#REF!</f>
        <v>#REF!</v>
      </c>
    </row>
    <row r="59" spans="1:31" ht="38.25" x14ac:dyDescent="0.25">
      <c r="A59" s="1509"/>
      <c r="B59" s="1506"/>
      <c r="C59" s="1506"/>
      <c r="D59" s="1506"/>
      <c r="E59" s="1506"/>
      <c r="F59" s="1506"/>
      <c r="G59" s="868" t="s">
        <v>3812</v>
      </c>
      <c r="H59" s="154" t="s">
        <v>3821</v>
      </c>
      <c r="I59" s="154"/>
      <c r="J59" s="154"/>
      <c r="K59" s="154"/>
      <c r="L59" s="154"/>
      <c r="M59" s="170"/>
      <c r="N59" s="155"/>
      <c r="O59" s="561">
        <v>510</v>
      </c>
      <c r="P59" s="1288"/>
      <c r="Q59" s="149" t="e">
        <f t="shared" si="1"/>
        <v>#REF!</v>
      </c>
      <c r="R59" s="149" t="e">
        <f>+#REF!</f>
        <v>#REF!</v>
      </c>
      <c r="S59" s="149" t="e">
        <f>+#REF!</f>
        <v>#REF!</v>
      </c>
      <c r="T59" s="149" t="e">
        <f>+#REF!</f>
        <v>#REF!</v>
      </c>
      <c r="U59" s="149" t="e">
        <f>+#REF!</f>
        <v>#REF!</v>
      </c>
      <c r="V59" s="149" t="e">
        <f>+#REF!</f>
        <v>#REF!</v>
      </c>
      <c r="W59" s="149" t="e">
        <f>+#REF!</f>
        <v>#REF!</v>
      </c>
      <c r="X59" s="149" t="e">
        <f>+#REF!</f>
        <v>#REF!</v>
      </c>
      <c r="Y59" s="149" t="e">
        <f>+#REF!</f>
        <v>#REF!</v>
      </c>
      <c r="Z59" s="149" t="e">
        <f>+#REF!</f>
        <v>#REF!</v>
      </c>
      <c r="AA59" s="149" t="e">
        <f>+#REF!</f>
        <v>#REF!</v>
      </c>
      <c r="AB59" s="149" t="e">
        <f>+#REF!</f>
        <v>#REF!</v>
      </c>
      <c r="AC59" s="149" t="e">
        <f>+#REF!</f>
        <v>#REF!</v>
      </c>
    </row>
    <row r="60" spans="1:31" ht="38.25" x14ac:dyDescent="0.25">
      <c r="A60" s="1509"/>
      <c r="B60" s="1506"/>
      <c r="C60" s="1506"/>
      <c r="D60" s="1506"/>
      <c r="E60" s="1506"/>
      <c r="F60" s="1506"/>
      <c r="G60" s="868" t="s">
        <v>3813</v>
      </c>
      <c r="H60" s="154" t="s">
        <v>3822</v>
      </c>
      <c r="I60" s="154"/>
      <c r="J60" s="154"/>
      <c r="K60" s="154"/>
      <c r="L60" s="154"/>
      <c r="M60" s="170"/>
      <c r="N60" s="155"/>
      <c r="O60" s="561">
        <v>510</v>
      </c>
      <c r="P60" s="1288"/>
      <c r="Q60" s="149" t="e">
        <f t="shared" si="1"/>
        <v>#REF!</v>
      </c>
      <c r="R60" s="149" t="e">
        <f>+#REF!</f>
        <v>#REF!</v>
      </c>
      <c r="S60" s="149" t="e">
        <f>+#REF!</f>
        <v>#REF!</v>
      </c>
      <c r="T60" s="149" t="e">
        <f>+#REF!</f>
        <v>#REF!</v>
      </c>
      <c r="U60" s="149" t="e">
        <f>+#REF!</f>
        <v>#REF!</v>
      </c>
      <c r="V60" s="149" t="e">
        <f>+#REF!</f>
        <v>#REF!</v>
      </c>
      <c r="W60" s="149" t="e">
        <f>+#REF!</f>
        <v>#REF!</v>
      </c>
      <c r="X60" s="149" t="e">
        <f>+#REF!</f>
        <v>#REF!</v>
      </c>
      <c r="Y60" s="149" t="e">
        <f>+#REF!</f>
        <v>#REF!</v>
      </c>
      <c r="Z60" s="149" t="e">
        <f>+#REF!</f>
        <v>#REF!</v>
      </c>
      <c r="AA60" s="149" t="e">
        <f>+#REF!</f>
        <v>#REF!</v>
      </c>
      <c r="AB60" s="149" t="e">
        <f>+#REF!</f>
        <v>#REF!</v>
      </c>
      <c r="AC60" s="149" t="e">
        <f>+#REF!</f>
        <v>#REF!</v>
      </c>
    </row>
    <row r="61" spans="1:31" ht="51" x14ac:dyDescent="0.25">
      <c r="A61" s="1509"/>
      <c r="B61" s="1507"/>
      <c r="C61" s="1507"/>
      <c r="D61" s="1507"/>
      <c r="E61" s="1507"/>
      <c r="F61" s="1507"/>
      <c r="G61" s="868" t="s">
        <v>3814</v>
      </c>
      <c r="H61" s="154" t="s">
        <v>3823</v>
      </c>
      <c r="I61" s="154"/>
      <c r="J61" s="154"/>
      <c r="K61" s="154"/>
      <c r="L61" s="154"/>
      <c r="M61" s="170"/>
      <c r="N61" s="155"/>
      <c r="O61" s="561">
        <v>510</v>
      </c>
      <c r="P61" s="1289"/>
      <c r="Q61" s="149" t="e">
        <f t="shared" si="1"/>
        <v>#REF!</v>
      </c>
      <c r="R61" s="149" t="e">
        <f>+#REF!</f>
        <v>#REF!</v>
      </c>
      <c r="S61" s="149" t="e">
        <f>+#REF!</f>
        <v>#REF!</v>
      </c>
      <c r="T61" s="149" t="e">
        <f>+#REF!</f>
        <v>#REF!</v>
      </c>
      <c r="U61" s="149" t="e">
        <f>+#REF!</f>
        <v>#REF!</v>
      </c>
      <c r="V61" s="149" t="e">
        <f>+#REF!</f>
        <v>#REF!</v>
      </c>
      <c r="W61" s="149" t="e">
        <f>+#REF!</f>
        <v>#REF!</v>
      </c>
      <c r="X61" s="149" t="e">
        <f>+#REF!</f>
        <v>#REF!</v>
      </c>
      <c r="Y61" s="149" t="e">
        <f>+#REF!</f>
        <v>#REF!</v>
      </c>
      <c r="Z61" s="149" t="e">
        <f>+#REF!</f>
        <v>#REF!</v>
      </c>
      <c r="AA61" s="149" t="e">
        <f>+#REF!</f>
        <v>#REF!</v>
      </c>
      <c r="AB61" s="149" t="e">
        <f>+#REF!</f>
        <v>#REF!</v>
      </c>
      <c r="AC61" s="149" t="e">
        <f>+#REF!</f>
        <v>#REF!</v>
      </c>
    </row>
    <row r="62" spans="1:31" x14ac:dyDescent="0.25">
      <c r="A62" s="1282" t="s">
        <v>4226</v>
      </c>
      <c r="B62" s="1286"/>
      <c r="C62" s="1286"/>
      <c r="D62" s="1286"/>
      <c r="E62" s="1286"/>
      <c r="F62" s="1286"/>
      <c r="G62" s="1286"/>
      <c r="H62" s="1286"/>
      <c r="I62" s="1286"/>
      <c r="J62" s="1286"/>
      <c r="K62" s="1286"/>
      <c r="L62" s="1286"/>
      <c r="M62" s="1286"/>
      <c r="N62" s="1286"/>
      <c r="O62" s="1286"/>
      <c r="P62" s="1496"/>
      <c r="Q62" s="149" t="e">
        <f>SUM(Q36:Q61)</f>
        <v>#REF!</v>
      </c>
      <c r="R62" s="149" t="e">
        <f t="shared" ref="R62:AC62" si="8">SUM(R36:R61)</f>
        <v>#REF!</v>
      </c>
      <c r="S62" s="149" t="e">
        <f t="shared" si="8"/>
        <v>#REF!</v>
      </c>
      <c r="T62" s="149" t="e">
        <f t="shared" si="8"/>
        <v>#REF!</v>
      </c>
      <c r="U62" s="149" t="e">
        <f t="shared" si="8"/>
        <v>#REF!</v>
      </c>
      <c r="V62" s="149" t="e">
        <f t="shared" si="8"/>
        <v>#REF!</v>
      </c>
      <c r="W62" s="149" t="e">
        <f t="shared" si="8"/>
        <v>#REF!</v>
      </c>
      <c r="X62" s="149" t="e">
        <f t="shared" si="8"/>
        <v>#REF!</v>
      </c>
      <c r="Y62" s="149" t="e">
        <f t="shared" si="8"/>
        <v>#REF!</v>
      </c>
      <c r="Z62" s="149" t="e">
        <f t="shared" si="8"/>
        <v>#REF!</v>
      </c>
      <c r="AA62" s="149" t="e">
        <f t="shared" si="8"/>
        <v>#REF!</v>
      </c>
      <c r="AB62" s="149" t="e">
        <f t="shared" si="8"/>
        <v>#REF!</v>
      </c>
      <c r="AC62" s="149" t="e">
        <f t="shared" si="8"/>
        <v>#REF!</v>
      </c>
      <c r="AE62" s="1" t="e">
        <f>+Q62-'POAI 2011 AC.017 MAYO'!I14</f>
        <v>#REF!</v>
      </c>
    </row>
    <row r="63" spans="1:31" ht="89.25" x14ac:dyDescent="0.25">
      <c r="A63" s="1209" t="s">
        <v>2939</v>
      </c>
      <c r="B63" s="1209" t="s">
        <v>4181</v>
      </c>
      <c r="C63" s="1209" t="str">
        <f>+'PLANINDICATIVO PD MAYO'!J18</f>
        <v>6 PRUEBAS DE LABORATORIO CERTIFICADAS</v>
      </c>
      <c r="D63" s="1209" t="str">
        <f>+'PLANINDICATIVO PD MAYO'!L18</f>
        <v>NÚMERO DE PRUEBAS DE LABORATORIO CERITIFICADAS</v>
      </c>
      <c r="E63" s="1209"/>
      <c r="F63" s="1209">
        <f>+'PLANINDICATIVO PD MAYO'!O18</f>
        <v>3</v>
      </c>
      <c r="G63" s="109" t="s">
        <v>3826</v>
      </c>
      <c r="H63" s="154" t="s">
        <v>3825</v>
      </c>
      <c r="I63" s="154"/>
      <c r="J63" s="154"/>
      <c r="K63" s="154"/>
      <c r="L63" s="154"/>
      <c r="M63" s="155">
        <v>20000000</v>
      </c>
      <c r="N63" s="155">
        <v>660000000</v>
      </c>
      <c r="O63" s="561">
        <v>510</v>
      </c>
      <c r="P63" s="1428" t="s">
        <v>3353</v>
      </c>
      <c r="Q63" s="149" t="e">
        <f t="shared" si="1"/>
        <v>#REF!</v>
      </c>
      <c r="R63" s="149" t="e">
        <f>+#REF!</f>
        <v>#REF!</v>
      </c>
      <c r="S63" s="149" t="e">
        <f>+#REF!</f>
        <v>#REF!</v>
      </c>
      <c r="T63" s="149" t="e">
        <f>+#REF!</f>
        <v>#REF!</v>
      </c>
      <c r="U63" s="149" t="e">
        <f>+#REF!</f>
        <v>#REF!</v>
      </c>
      <c r="V63" s="149" t="e">
        <f>+#REF!</f>
        <v>#REF!</v>
      </c>
      <c r="W63" s="149" t="e">
        <f>+#REF!</f>
        <v>#REF!</v>
      </c>
      <c r="X63" s="149" t="e">
        <f>+#REF!</f>
        <v>#REF!</v>
      </c>
      <c r="Y63" s="149" t="e">
        <f>+#REF!</f>
        <v>#REF!</v>
      </c>
      <c r="Z63" s="149" t="e">
        <f>+#REF!</f>
        <v>#REF!</v>
      </c>
      <c r="AA63" s="149" t="e">
        <f>+#REF!</f>
        <v>#REF!</v>
      </c>
      <c r="AB63" s="149" t="e">
        <f>+#REF!</f>
        <v>#REF!</v>
      </c>
      <c r="AC63" s="149" t="e">
        <f>+#REF!</f>
        <v>#REF!</v>
      </c>
    </row>
    <row r="64" spans="1:31" ht="82.5" customHeight="1" x14ac:dyDescent="0.25">
      <c r="A64" s="1209"/>
      <c r="B64" s="1209"/>
      <c r="C64" s="1209"/>
      <c r="D64" s="1209"/>
      <c r="E64" s="1209"/>
      <c r="F64" s="1209"/>
      <c r="G64" s="109" t="s">
        <v>3827</v>
      </c>
      <c r="H64" s="154" t="s">
        <v>3829</v>
      </c>
      <c r="I64" s="154"/>
      <c r="J64" s="154"/>
      <c r="K64" s="154"/>
      <c r="L64" s="154"/>
      <c r="M64" s="155"/>
      <c r="N64" s="155"/>
      <c r="O64" s="561">
        <v>510</v>
      </c>
      <c r="P64" s="1429"/>
      <c r="Q64" s="149" t="e">
        <f t="shared" si="1"/>
        <v>#REF!</v>
      </c>
      <c r="R64" s="149" t="e">
        <f>+#REF!</f>
        <v>#REF!</v>
      </c>
      <c r="S64" s="149" t="e">
        <f>+#REF!</f>
        <v>#REF!</v>
      </c>
      <c r="T64" s="149" t="e">
        <f>+#REF!</f>
        <v>#REF!</v>
      </c>
      <c r="U64" s="149" t="e">
        <f>+#REF!</f>
        <v>#REF!</v>
      </c>
      <c r="V64" s="149" t="e">
        <f>+#REF!</f>
        <v>#REF!</v>
      </c>
      <c r="W64" s="149" t="e">
        <f>+#REF!</f>
        <v>#REF!</v>
      </c>
      <c r="X64" s="149" t="e">
        <f>+#REF!</f>
        <v>#REF!</v>
      </c>
      <c r="Y64" s="149" t="e">
        <f>+#REF!</f>
        <v>#REF!</v>
      </c>
      <c r="Z64" s="149" t="e">
        <f>+#REF!</f>
        <v>#REF!</v>
      </c>
      <c r="AA64" s="149" t="e">
        <f>+#REF!</f>
        <v>#REF!</v>
      </c>
      <c r="AB64" s="149" t="e">
        <f>+#REF!</f>
        <v>#REF!</v>
      </c>
      <c r="AC64" s="149" t="e">
        <f>+#REF!</f>
        <v>#REF!</v>
      </c>
    </row>
    <row r="65" spans="1:31" ht="97.15" customHeight="1" x14ac:dyDescent="0.25">
      <c r="A65" s="1209"/>
      <c r="B65" s="1209"/>
      <c r="C65" s="1209"/>
      <c r="D65" s="1209"/>
      <c r="E65" s="1209"/>
      <c r="F65" s="1209"/>
      <c r="G65" s="109" t="s">
        <v>3828</v>
      </c>
      <c r="H65" s="154" t="s">
        <v>3830</v>
      </c>
      <c r="I65" s="154"/>
      <c r="J65" s="154"/>
      <c r="K65" s="154"/>
      <c r="L65" s="154"/>
      <c r="M65" s="155"/>
      <c r="N65" s="155"/>
      <c r="O65" s="561">
        <v>510</v>
      </c>
      <c r="P65" s="1430"/>
      <c r="Q65" s="149" t="e">
        <f t="shared" si="1"/>
        <v>#REF!</v>
      </c>
      <c r="R65" s="149" t="e">
        <f>+#REF!</f>
        <v>#REF!</v>
      </c>
      <c r="S65" s="149" t="e">
        <f>+#REF!</f>
        <v>#REF!</v>
      </c>
      <c r="T65" s="149" t="e">
        <f>+#REF!</f>
        <v>#REF!</v>
      </c>
      <c r="U65" s="149" t="e">
        <f>+#REF!</f>
        <v>#REF!</v>
      </c>
      <c r="V65" s="149" t="e">
        <f>+#REF!</f>
        <v>#REF!</v>
      </c>
      <c r="W65" s="149" t="e">
        <f>+#REF!</f>
        <v>#REF!</v>
      </c>
      <c r="X65" s="149" t="e">
        <f>+#REF!</f>
        <v>#REF!</v>
      </c>
      <c r="Y65" s="149" t="e">
        <f>+#REF!</f>
        <v>#REF!</v>
      </c>
      <c r="Z65" s="149" t="e">
        <f>+#REF!</f>
        <v>#REF!</v>
      </c>
      <c r="AA65" s="149" t="e">
        <f>+#REF!</f>
        <v>#REF!</v>
      </c>
      <c r="AB65" s="149" t="e">
        <f>+#REF!</f>
        <v>#REF!</v>
      </c>
      <c r="AC65" s="149" t="e">
        <f>+#REF!</f>
        <v>#REF!</v>
      </c>
    </row>
    <row r="66" spans="1:31" ht="19.149999999999999" customHeight="1" x14ac:dyDescent="0.25">
      <c r="A66" s="1282" t="s">
        <v>4227</v>
      </c>
      <c r="B66" s="1286"/>
      <c r="C66" s="1286"/>
      <c r="D66" s="1286"/>
      <c r="E66" s="1286"/>
      <c r="F66" s="1286"/>
      <c r="G66" s="1286"/>
      <c r="H66" s="1286"/>
      <c r="I66" s="1286"/>
      <c r="J66" s="1286"/>
      <c r="K66" s="1286"/>
      <c r="L66" s="1286"/>
      <c r="M66" s="1286"/>
      <c r="N66" s="1286"/>
      <c r="O66" s="1286"/>
      <c r="P66" s="1496"/>
      <c r="Q66" s="241" t="e">
        <f>SUM(Q63:Q65)</f>
        <v>#REF!</v>
      </c>
      <c r="R66" s="241" t="e">
        <f t="shared" ref="R66:AC66" si="9">SUM(R63:R65)</f>
        <v>#REF!</v>
      </c>
      <c r="S66" s="241" t="e">
        <f t="shared" si="9"/>
        <v>#REF!</v>
      </c>
      <c r="T66" s="241" t="e">
        <f t="shared" si="9"/>
        <v>#REF!</v>
      </c>
      <c r="U66" s="241" t="e">
        <f t="shared" si="9"/>
        <v>#REF!</v>
      </c>
      <c r="V66" s="241" t="e">
        <f t="shared" si="9"/>
        <v>#REF!</v>
      </c>
      <c r="W66" s="241" t="e">
        <f t="shared" si="9"/>
        <v>#REF!</v>
      </c>
      <c r="X66" s="241" t="e">
        <f t="shared" si="9"/>
        <v>#REF!</v>
      </c>
      <c r="Y66" s="241" t="e">
        <f t="shared" si="9"/>
        <v>#REF!</v>
      </c>
      <c r="Z66" s="241" t="e">
        <f t="shared" si="9"/>
        <v>#REF!</v>
      </c>
      <c r="AA66" s="241" t="e">
        <f t="shared" si="9"/>
        <v>#REF!</v>
      </c>
      <c r="AB66" s="241" t="e">
        <f t="shared" si="9"/>
        <v>#REF!</v>
      </c>
      <c r="AC66" s="241" t="e">
        <f t="shared" si="9"/>
        <v>#REF!</v>
      </c>
      <c r="AE66" s="1" t="e">
        <f>+Q66-'POAI 2011 AC.017 MAYO'!I16</f>
        <v>#REF!</v>
      </c>
    </row>
    <row r="67" spans="1:31" ht="19.149999999999999" customHeight="1" x14ac:dyDescent="0.25">
      <c r="A67" s="1203" t="s">
        <v>4228</v>
      </c>
      <c r="B67" s="1203"/>
      <c r="C67" s="1203"/>
      <c r="D67" s="1203"/>
      <c r="E67" s="1203"/>
      <c r="F67" s="1203"/>
      <c r="G67" s="1203"/>
      <c r="H67" s="1203"/>
      <c r="I67" s="1203"/>
      <c r="J67" s="1203"/>
      <c r="K67" s="1203"/>
      <c r="L67" s="1203"/>
      <c r="M67" s="1203"/>
      <c r="N67" s="1203"/>
      <c r="O67" s="1203"/>
      <c r="P67" s="1203"/>
      <c r="Q67" s="241" t="e">
        <f>+Q66+Q62</f>
        <v>#REF!</v>
      </c>
      <c r="R67" s="241" t="e">
        <f t="shared" ref="R67:AC67" si="10">+R66+R62</f>
        <v>#REF!</v>
      </c>
      <c r="S67" s="241" t="e">
        <f t="shared" si="10"/>
        <v>#REF!</v>
      </c>
      <c r="T67" s="241" t="e">
        <f t="shared" si="10"/>
        <v>#REF!</v>
      </c>
      <c r="U67" s="241" t="e">
        <f t="shared" si="10"/>
        <v>#REF!</v>
      </c>
      <c r="V67" s="241" t="e">
        <f t="shared" si="10"/>
        <v>#REF!</v>
      </c>
      <c r="W67" s="241" t="e">
        <f t="shared" si="10"/>
        <v>#REF!</v>
      </c>
      <c r="X67" s="241" t="e">
        <f t="shared" si="10"/>
        <v>#REF!</v>
      </c>
      <c r="Y67" s="241" t="e">
        <f t="shared" si="10"/>
        <v>#REF!</v>
      </c>
      <c r="Z67" s="241" t="e">
        <f t="shared" si="10"/>
        <v>#REF!</v>
      </c>
      <c r="AA67" s="241" t="e">
        <f t="shared" si="10"/>
        <v>#REF!</v>
      </c>
      <c r="AB67" s="241" t="e">
        <f t="shared" si="10"/>
        <v>#REF!</v>
      </c>
      <c r="AC67" s="241" t="e">
        <f t="shared" si="10"/>
        <v>#REF!</v>
      </c>
      <c r="AE67" s="1" t="e">
        <f>+Q67-'POAI 2011 AC.017 MAYO'!I13</f>
        <v>#REF!</v>
      </c>
    </row>
    <row r="68" spans="1:31" ht="19.149999999999999" customHeight="1" x14ac:dyDescent="0.3">
      <c r="A68" s="897" t="s">
        <v>4220</v>
      </c>
      <c r="B68" s="853"/>
      <c r="C68" s="853"/>
      <c r="D68" s="853"/>
      <c r="E68" s="853"/>
      <c r="F68" s="853"/>
      <c r="G68" s="853"/>
      <c r="H68" s="853"/>
      <c r="I68" s="853"/>
      <c r="J68" s="853"/>
      <c r="K68" s="853"/>
      <c r="L68" s="853"/>
      <c r="M68" s="853"/>
      <c r="N68" s="853"/>
      <c r="O68" s="853"/>
      <c r="P68" s="853"/>
      <c r="Q68" s="898"/>
      <c r="R68" s="898"/>
      <c r="S68" s="898"/>
      <c r="T68" s="898"/>
      <c r="U68" s="898"/>
      <c r="V68" s="898"/>
      <c r="W68" s="898"/>
      <c r="X68" s="898"/>
      <c r="Y68" s="898"/>
      <c r="Z68" s="898"/>
      <c r="AA68" s="898"/>
      <c r="AB68" s="898"/>
      <c r="AC68" s="898"/>
    </row>
    <row r="69" spans="1:31" ht="19.149999999999999" customHeight="1" x14ac:dyDescent="0.3">
      <c r="A69" s="882" t="s">
        <v>4231</v>
      </c>
      <c r="B69" s="233"/>
      <c r="C69" s="233"/>
      <c r="D69" s="233"/>
      <c r="E69" s="233"/>
      <c r="F69" s="233"/>
      <c r="G69" s="233"/>
      <c r="H69" s="233"/>
      <c r="I69" s="233"/>
      <c r="J69" s="233"/>
      <c r="K69" s="233"/>
      <c r="L69" s="233"/>
      <c r="M69" s="233"/>
      <c r="N69" s="233"/>
      <c r="O69" s="233"/>
      <c r="P69" s="233"/>
      <c r="Q69" s="686"/>
      <c r="R69" s="686"/>
      <c r="S69" s="686"/>
      <c r="T69" s="686"/>
      <c r="U69" s="686"/>
      <c r="V69" s="686"/>
      <c r="W69" s="686"/>
      <c r="X69" s="686"/>
      <c r="Y69" s="686"/>
      <c r="Z69" s="686"/>
      <c r="AA69" s="686"/>
      <c r="AB69" s="686"/>
      <c r="AC69" s="686"/>
    </row>
    <row r="70" spans="1:31" ht="19.149999999999999" customHeight="1" x14ac:dyDescent="0.25">
      <c r="A70" s="1315" t="s">
        <v>3139</v>
      </c>
      <c r="B70" s="1315"/>
      <c r="C70" s="1315" t="s">
        <v>4179</v>
      </c>
      <c r="D70" s="1490" t="s">
        <v>4171</v>
      </c>
      <c r="E70" s="1491"/>
      <c r="F70" s="1492"/>
      <c r="G70" s="1232" t="s">
        <v>4174</v>
      </c>
      <c r="H70" s="1232"/>
      <c r="I70" s="1232" t="s">
        <v>4175</v>
      </c>
      <c r="J70" s="1232" t="s">
        <v>4176</v>
      </c>
      <c r="K70" s="1232"/>
      <c r="L70" s="1232"/>
      <c r="M70" s="893"/>
      <c r="N70" s="893"/>
      <c r="O70" s="1418" t="s">
        <v>447</v>
      </c>
      <c r="P70" s="1495" t="s">
        <v>3347</v>
      </c>
      <c r="Q70" s="1489" t="s">
        <v>3333</v>
      </c>
      <c r="R70" s="1489"/>
      <c r="S70" s="1489"/>
      <c r="T70" s="1489"/>
      <c r="U70" s="1489"/>
      <c r="V70" s="1489"/>
      <c r="W70" s="1489" t="s">
        <v>3333</v>
      </c>
      <c r="X70" s="1489"/>
      <c r="Y70" s="1489"/>
      <c r="Z70" s="1489"/>
      <c r="AA70" s="1489"/>
      <c r="AB70" s="1489"/>
      <c r="AC70" s="1489"/>
    </row>
    <row r="71" spans="1:31" ht="42" customHeight="1" x14ac:dyDescent="0.25">
      <c r="A71" s="1315"/>
      <c r="B71" s="1315"/>
      <c r="C71" s="1315"/>
      <c r="D71" s="891" t="s">
        <v>4178</v>
      </c>
      <c r="E71" s="891" t="s">
        <v>4173</v>
      </c>
      <c r="F71" s="891" t="s">
        <v>4172</v>
      </c>
      <c r="G71" s="886" t="s">
        <v>1</v>
      </c>
      <c r="H71" s="886" t="s">
        <v>4174</v>
      </c>
      <c r="I71" s="1232"/>
      <c r="J71" s="886" t="s">
        <v>4178</v>
      </c>
      <c r="K71" s="886" t="s">
        <v>4173</v>
      </c>
      <c r="L71" s="886" t="s">
        <v>4177</v>
      </c>
      <c r="M71" s="886" t="s">
        <v>460</v>
      </c>
      <c r="N71" s="886" t="s">
        <v>462</v>
      </c>
      <c r="O71" s="1418"/>
      <c r="P71" s="1495"/>
      <c r="Q71" s="894" t="s">
        <v>695</v>
      </c>
      <c r="R71" s="894" t="s">
        <v>3310</v>
      </c>
      <c r="S71" s="894" t="s">
        <v>3311</v>
      </c>
      <c r="T71" s="894" t="s">
        <v>3312</v>
      </c>
      <c r="U71" s="894" t="s">
        <v>3313</v>
      </c>
      <c r="V71" s="894" t="s">
        <v>3314</v>
      </c>
      <c r="W71" s="894" t="s">
        <v>3315</v>
      </c>
      <c r="X71" s="894" t="s">
        <v>3316</v>
      </c>
      <c r="Y71" s="894" t="s">
        <v>3317</v>
      </c>
      <c r="Z71" s="894" t="s">
        <v>3346</v>
      </c>
      <c r="AA71" s="894" t="s">
        <v>3756</v>
      </c>
      <c r="AB71" s="894" t="s">
        <v>3318</v>
      </c>
      <c r="AC71" s="894" t="s">
        <v>3319</v>
      </c>
    </row>
    <row r="72" spans="1:31" ht="55.9" customHeight="1" x14ac:dyDescent="0.25">
      <c r="A72" s="1210" t="s">
        <v>3005</v>
      </c>
      <c r="B72" s="1210" t="s">
        <v>3293</v>
      </c>
      <c r="C72" s="1210" t="str">
        <f>+'PLANINDICATIVO PD MAYO'!J19</f>
        <v xml:space="preserve">4 PROGRAMAS POR CICLOS PROPEDÉUTICOS </v>
      </c>
      <c r="D72" s="1210" t="s">
        <v>3239</v>
      </c>
      <c r="E72" s="1210"/>
      <c r="F72" s="1253">
        <f>+'PLANINDICATIVO PD MAYO'!O19</f>
        <v>2</v>
      </c>
      <c r="G72" s="864" t="s">
        <v>3831</v>
      </c>
      <c r="H72" s="896" t="s">
        <v>3833</v>
      </c>
      <c r="I72" s="896"/>
      <c r="J72" s="896"/>
      <c r="K72" s="896"/>
      <c r="L72" s="896"/>
      <c r="M72" s="875">
        <v>20000000</v>
      </c>
      <c r="N72" s="875">
        <v>170000000</v>
      </c>
      <c r="O72" s="701">
        <v>510</v>
      </c>
      <c r="P72" s="1430" t="s">
        <v>3370</v>
      </c>
      <c r="Q72" s="875" t="e">
        <f t="shared" si="1"/>
        <v>#REF!</v>
      </c>
      <c r="R72" s="875" t="e">
        <f>+#REF!</f>
        <v>#REF!</v>
      </c>
      <c r="S72" s="875" t="e">
        <f>+#REF!</f>
        <v>#REF!</v>
      </c>
      <c r="T72" s="875" t="e">
        <f>+#REF!</f>
        <v>#REF!</v>
      </c>
      <c r="U72" s="875" t="e">
        <f>+#REF!</f>
        <v>#REF!</v>
      </c>
      <c r="V72" s="875" t="e">
        <f>+#REF!</f>
        <v>#REF!</v>
      </c>
      <c r="W72" s="875" t="e">
        <f>+#REF!</f>
        <v>#REF!</v>
      </c>
      <c r="X72" s="875" t="e">
        <f>+#REF!</f>
        <v>#REF!</v>
      </c>
      <c r="Y72" s="875" t="e">
        <f>+#REF!</f>
        <v>#REF!</v>
      </c>
      <c r="Z72" s="875" t="e">
        <f>+#REF!</f>
        <v>#REF!</v>
      </c>
      <c r="AA72" s="875" t="e">
        <f>+#REF!</f>
        <v>#REF!</v>
      </c>
      <c r="AB72" s="875" t="e">
        <f>+#REF!</f>
        <v>#REF!</v>
      </c>
      <c r="AC72" s="875" t="e">
        <f>+#REF!</f>
        <v>#REF!</v>
      </c>
    </row>
    <row r="73" spans="1:31" ht="42" customHeight="1" x14ac:dyDescent="0.25">
      <c r="A73" s="1209"/>
      <c r="B73" s="1209"/>
      <c r="C73" s="1209"/>
      <c r="D73" s="1209"/>
      <c r="E73" s="1209"/>
      <c r="F73" s="1209"/>
      <c r="G73" s="865" t="s">
        <v>3832</v>
      </c>
      <c r="H73" s="331" t="s">
        <v>3834</v>
      </c>
      <c r="I73" s="331"/>
      <c r="J73" s="331"/>
      <c r="K73" s="331"/>
      <c r="L73" s="331"/>
      <c r="M73" s="149"/>
      <c r="N73" s="149"/>
      <c r="O73" s="151">
        <v>510</v>
      </c>
      <c r="P73" s="1283"/>
      <c r="Q73" s="149" t="e">
        <f t="shared" si="1"/>
        <v>#REF!</v>
      </c>
      <c r="R73" s="149" t="e">
        <f>+#REF!</f>
        <v>#REF!</v>
      </c>
      <c r="S73" s="149" t="e">
        <f>+#REF!</f>
        <v>#REF!</v>
      </c>
      <c r="T73" s="149" t="e">
        <f>+#REF!</f>
        <v>#REF!</v>
      </c>
      <c r="U73" s="149" t="e">
        <f>+#REF!</f>
        <v>#REF!</v>
      </c>
      <c r="V73" s="149" t="e">
        <f>+#REF!</f>
        <v>#REF!</v>
      </c>
      <c r="W73" s="149" t="e">
        <f>+#REF!</f>
        <v>#REF!</v>
      </c>
      <c r="X73" s="149" t="e">
        <f>+#REF!</f>
        <v>#REF!</v>
      </c>
      <c r="Y73" s="149" t="e">
        <f>+#REF!</f>
        <v>#REF!</v>
      </c>
      <c r="Z73" s="149" t="e">
        <f>+#REF!</f>
        <v>#REF!</v>
      </c>
      <c r="AA73" s="149" t="e">
        <f>+#REF!</f>
        <v>#REF!</v>
      </c>
      <c r="AB73" s="149" t="e">
        <f>+#REF!</f>
        <v>#REF!</v>
      </c>
      <c r="AC73" s="149" t="e">
        <f>+#REF!</f>
        <v>#REF!</v>
      </c>
    </row>
    <row r="74" spans="1:31" ht="18" customHeight="1" x14ac:dyDescent="0.25">
      <c r="A74" s="1282" t="s">
        <v>4230</v>
      </c>
      <c r="B74" s="1286"/>
      <c r="C74" s="1286"/>
      <c r="D74" s="1286"/>
      <c r="E74" s="1286"/>
      <c r="F74" s="1286"/>
      <c r="G74" s="1286"/>
      <c r="H74" s="1286"/>
      <c r="I74" s="1286"/>
      <c r="J74" s="1286"/>
      <c r="K74" s="1286"/>
      <c r="L74" s="1286"/>
      <c r="M74" s="1286"/>
      <c r="N74" s="1286"/>
      <c r="O74" s="1286"/>
      <c r="P74" s="1496"/>
      <c r="Q74" s="241" t="e">
        <f>SUM(Q72:Q73)</f>
        <v>#REF!</v>
      </c>
      <c r="R74" s="241" t="e">
        <f t="shared" ref="R74:AC74" si="11">SUM(R72:R73)</f>
        <v>#REF!</v>
      </c>
      <c r="S74" s="241" t="e">
        <f t="shared" si="11"/>
        <v>#REF!</v>
      </c>
      <c r="T74" s="241" t="e">
        <f t="shared" si="11"/>
        <v>#REF!</v>
      </c>
      <c r="U74" s="241" t="e">
        <f t="shared" si="11"/>
        <v>#REF!</v>
      </c>
      <c r="V74" s="241" t="e">
        <f t="shared" si="11"/>
        <v>#REF!</v>
      </c>
      <c r="W74" s="241" t="e">
        <f t="shared" si="11"/>
        <v>#REF!</v>
      </c>
      <c r="X74" s="241" t="e">
        <f t="shared" si="11"/>
        <v>#REF!</v>
      </c>
      <c r="Y74" s="241" t="e">
        <f t="shared" si="11"/>
        <v>#REF!</v>
      </c>
      <c r="Z74" s="241" t="e">
        <f t="shared" si="11"/>
        <v>#REF!</v>
      </c>
      <c r="AA74" s="241" t="e">
        <f t="shared" si="11"/>
        <v>#REF!</v>
      </c>
      <c r="AB74" s="241" t="e">
        <f t="shared" si="11"/>
        <v>#REF!</v>
      </c>
      <c r="AC74" s="241" t="e">
        <f t="shared" si="11"/>
        <v>#REF!</v>
      </c>
      <c r="AE74" s="1" t="e">
        <f>+Q74-'POAI 2011 AC.017 MAYO'!I18</f>
        <v>#REF!</v>
      </c>
    </row>
    <row r="75" spans="1:31" ht="85.15" customHeight="1" x14ac:dyDescent="0.25">
      <c r="A75" s="1209" t="s">
        <v>3018</v>
      </c>
      <c r="B75" s="1209" t="s">
        <v>4182</v>
      </c>
      <c r="C75" s="884" t="str">
        <f>+'PLANINDICATIVO PD MAYO'!J20</f>
        <v>ARTICULAR 100 ESTUDIANTES DE LA EDUCACIÓN MEDIA CON LA EDUCACIÓN SUPERIOR</v>
      </c>
      <c r="D75" s="884" t="str">
        <f>+'PLANINDICATIVO PD MAYO'!L20</f>
        <v>NÚMERO DE ESTUDIANTES DE LA ED. MEDIA ARTICULADOS CON LA ED. SUPERIOR</v>
      </c>
      <c r="E75" s="884">
        <v>0</v>
      </c>
      <c r="F75" s="885">
        <f>+'PLANINDICATIVO PD MAYO'!O20</f>
        <v>50</v>
      </c>
      <c r="G75" s="109" t="s">
        <v>3835</v>
      </c>
      <c r="H75" s="154" t="s">
        <v>3186</v>
      </c>
      <c r="I75" s="154"/>
      <c r="J75" s="154"/>
      <c r="K75" s="154"/>
      <c r="L75" s="154"/>
      <c r="M75" s="155">
        <v>10000000</v>
      </c>
      <c r="N75" s="155">
        <v>21000000</v>
      </c>
      <c r="O75" s="561">
        <v>510</v>
      </c>
      <c r="P75" s="1427" t="s">
        <v>3351</v>
      </c>
      <c r="Q75" s="149" t="e">
        <f t="shared" si="1"/>
        <v>#REF!</v>
      </c>
      <c r="R75" s="149" t="e">
        <f>+#REF!</f>
        <v>#REF!</v>
      </c>
      <c r="S75" s="149" t="e">
        <f>+#REF!</f>
        <v>#REF!</v>
      </c>
      <c r="T75" s="149" t="e">
        <f>+#REF!</f>
        <v>#REF!</v>
      </c>
      <c r="U75" s="149" t="e">
        <f>+#REF!</f>
        <v>#REF!</v>
      </c>
      <c r="V75" s="149" t="e">
        <f>+#REF!</f>
        <v>#REF!</v>
      </c>
      <c r="W75" s="149" t="e">
        <f>+#REF!</f>
        <v>#REF!</v>
      </c>
      <c r="X75" s="149" t="e">
        <f>+#REF!</f>
        <v>#REF!</v>
      </c>
      <c r="Y75" s="149" t="e">
        <f>+#REF!</f>
        <v>#REF!</v>
      </c>
      <c r="Z75" s="149" t="e">
        <f>+#REF!</f>
        <v>#REF!</v>
      </c>
      <c r="AA75" s="149" t="e">
        <f>+#REF!</f>
        <v>#REF!</v>
      </c>
      <c r="AB75" s="149" t="e">
        <f>+#REF!</f>
        <v>#REF!</v>
      </c>
      <c r="AC75" s="149" t="e">
        <f>+#REF!</f>
        <v>#REF!</v>
      </c>
    </row>
    <row r="76" spans="1:31" ht="45" customHeight="1" x14ac:dyDescent="0.25">
      <c r="A76" s="1209"/>
      <c r="B76" s="1209"/>
      <c r="C76" s="1209" t="str">
        <f>+'PLANINDICATIVO PD MAYO'!J21</f>
        <v>AMPLIAR LA OFERTA ACADÉMICA EN 9  NUEVOS PROGRAMAS (PREGRADO Y POSTGRADO)</v>
      </c>
      <c r="D76" s="1209" t="str">
        <f>+'PLANINDICATIVO PD MAYO'!L21</f>
        <v>NÚMERO DE  PROGRAMAS ACADÉMICOS OFRECIDOS POR USCO</v>
      </c>
      <c r="E76" s="1209"/>
      <c r="F76" s="1214">
        <f>+'PLANINDICATIVO PD MAYO'!O21</f>
        <v>2</v>
      </c>
      <c r="G76" s="109" t="s">
        <v>3836</v>
      </c>
      <c r="H76" s="154" t="s">
        <v>3846</v>
      </c>
      <c r="I76" s="154"/>
      <c r="J76" s="154"/>
      <c r="K76" s="154"/>
      <c r="L76" s="154"/>
      <c r="M76" s="155">
        <v>80000000</v>
      </c>
      <c r="N76" s="155">
        <v>74450000</v>
      </c>
      <c r="O76" s="561">
        <v>510</v>
      </c>
      <c r="P76" s="1427"/>
      <c r="Q76" s="149" t="e">
        <f t="shared" si="1"/>
        <v>#REF!</v>
      </c>
      <c r="R76" s="149" t="e">
        <f>+#REF!</f>
        <v>#REF!</v>
      </c>
      <c r="S76" s="149" t="e">
        <f>+#REF!</f>
        <v>#REF!</v>
      </c>
      <c r="T76" s="149" t="e">
        <f>+#REF!</f>
        <v>#REF!</v>
      </c>
      <c r="U76" s="149" t="e">
        <f>+#REF!</f>
        <v>#REF!</v>
      </c>
      <c r="V76" s="149" t="e">
        <f>+#REF!</f>
        <v>#REF!</v>
      </c>
      <c r="W76" s="149" t="e">
        <f>+#REF!</f>
        <v>#REF!</v>
      </c>
      <c r="X76" s="149" t="e">
        <f>+#REF!</f>
        <v>#REF!</v>
      </c>
      <c r="Y76" s="149" t="e">
        <f>+#REF!</f>
        <v>#REF!</v>
      </c>
      <c r="Z76" s="149" t="e">
        <f>+#REF!</f>
        <v>#REF!</v>
      </c>
      <c r="AA76" s="149" t="e">
        <f>+#REF!</f>
        <v>#REF!</v>
      </c>
      <c r="AB76" s="149" t="e">
        <f>+#REF!</f>
        <v>#REF!</v>
      </c>
      <c r="AC76" s="149" t="e">
        <f>+#REF!</f>
        <v>#REF!</v>
      </c>
    </row>
    <row r="77" spans="1:31" ht="70.900000000000006" customHeight="1" x14ac:dyDescent="0.25">
      <c r="A77" s="1209"/>
      <c r="B77" s="1209"/>
      <c r="C77" s="1209"/>
      <c r="D77" s="1209"/>
      <c r="E77" s="1209"/>
      <c r="F77" s="1214"/>
      <c r="G77" s="109" t="s">
        <v>3837</v>
      </c>
      <c r="H77" s="154" t="s">
        <v>3847</v>
      </c>
      <c r="I77" s="154"/>
      <c r="J77" s="154"/>
      <c r="K77" s="154"/>
      <c r="L77" s="154"/>
      <c r="M77" s="155"/>
      <c r="N77" s="155"/>
      <c r="O77" s="561">
        <v>510</v>
      </c>
      <c r="P77" s="1427"/>
      <c r="Q77" s="149" t="e">
        <f t="shared" si="1"/>
        <v>#REF!</v>
      </c>
      <c r="R77" s="149" t="e">
        <f>+#REF!</f>
        <v>#REF!</v>
      </c>
      <c r="S77" s="149" t="e">
        <f>+#REF!</f>
        <v>#REF!</v>
      </c>
      <c r="T77" s="149" t="e">
        <f>+#REF!</f>
        <v>#REF!</v>
      </c>
      <c r="U77" s="149" t="e">
        <f>+#REF!</f>
        <v>#REF!</v>
      </c>
      <c r="V77" s="149" t="e">
        <f>+#REF!</f>
        <v>#REF!</v>
      </c>
      <c r="W77" s="149" t="e">
        <f>+#REF!</f>
        <v>#REF!</v>
      </c>
      <c r="X77" s="149" t="e">
        <f>+#REF!</f>
        <v>#REF!</v>
      </c>
      <c r="Y77" s="149" t="e">
        <f>+#REF!</f>
        <v>#REF!</v>
      </c>
      <c r="Z77" s="149" t="e">
        <f>+#REF!</f>
        <v>#REF!</v>
      </c>
      <c r="AA77" s="149" t="e">
        <f>+#REF!</f>
        <v>#REF!</v>
      </c>
      <c r="AB77" s="149" t="e">
        <f>+#REF!</f>
        <v>#REF!</v>
      </c>
      <c r="AC77" s="149" t="e">
        <f>+#REF!</f>
        <v>#REF!</v>
      </c>
    </row>
    <row r="78" spans="1:31" ht="30" customHeight="1" x14ac:dyDescent="0.25">
      <c r="A78" s="1209"/>
      <c r="B78" s="1209"/>
      <c r="C78" s="1209"/>
      <c r="D78" s="1209"/>
      <c r="E78" s="1209"/>
      <c r="F78" s="1214"/>
      <c r="G78" s="109" t="s">
        <v>3838</v>
      </c>
      <c r="H78" s="154" t="s">
        <v>3848</v>
      </c>
      <c r="I78" s="154"/>
      <c r="J78" s="154"/>
      <c r="K78" s="154"/>
      <c r="L78" s="154"/>
      <c r="M78" s="155"/>
      <c r="N78" s="155"/>
      <c r="O78" s="561">
        <v>510</v>
      </c>
      <c r="P78" s="1427"/>
      <c r="Q78" s="149" t="e">
        <f t="shared" si="1"/>
        <v>#REF!</v>
      </c>
      <c r="R78" s="149" t="e">
        <f>+#REF!</f>
        <v>#REF!</v>
      </c>
      <c r="S78" s="149" t="e">
        <f>+#REF!</f>
        <v>#REF!</v>
      </c>
      <c r="T78" s="149" t="e">
        <f>+#REF!</f>
        <v>#REF!</v>
      </c>
      <c r="U78" s="149" t="e">
        <f>+#REF!</f>
        <v>#REF!</v>
      </c>
      <c r="V78" s="149" t="e">
        <f>+#REF!</f>
        <v>#REF!</v>
      </c>
      <c r="W78" s="149" t="e">
        <f>+#REF!</f>
        <v>#REF!</v>
      </c>
      <c r="X78" s="149" t="e">
        <f>+#REF!</f>
        <v>#REF!</v>
      </c>
      <c r="Y78" s="149" t="e">
        <f>+#REF!</f>
        <v>#REF!</v>
      </c>
      <c r="Z78" s="149" t="e">
        <f>+#REF!</f>
        <v>#REF!</v>
      </c>
      <c r="AA78" s="149" t="e">
        <f>+#REF!</f>
        <v>#REF!</v>
      </c>
      <c r="AB78" s="149" t="e">
        <f>+#REF!</f>
        <v>#REF!</v>
      </c>
      <c r="AC78" s="149" t="e">
        <f>+#REF!</f>
        <v>#REF!</v>
      </c>
    </row>
    <row r="79" spans="1:31" ht="42" customHeight="1" x14ac:dyDescent="0.25">
      <c r="A79" s="1209"/>
      <c r="B79" s="1209"/>
      <c r="C79" s="1209"/>
      <c r="D79" s="1209"/>
      <c r="E79" s="1209"/>
      <c r="F79" s="1214"/>
      <c r="G79" s="109" t="s">
        <v>3839</v>
      </c>
      <c r="H79" s="154" t="s">
        <v>3849</v>
      </c>
      <c r="I79" s="154"/>
      <c r="J79" s="154"/>
      <c r="K79" s="154"/>
      <c r="L79" s="154"/>
      <c r="M79" s="155"/>
      <c r="N79" s="155"/>
      <c r="O79" s="561">
        <v>510</v>
      </c>
      <c r="P79" s="1427"/>
      <c r="Q79" s="149" t="e">
        <f t="shared" si="1"/>
        <v>#REF!</v>
      </c>
      <c r="R79" s="149" t="e">
        <f>+#REF!</f>
        <v>#REF!</v>
      </c>
      <c r="S79" s="149" t="e">
        <f>+#REF!</f>
        <v>#REF!</v>
      </c>
      <c r="T79" s="149" t="e">
        <f>+#REF!</f>
        <v>#REF!</v>
      </c>
      <c r="U79" s="149" t="e">
        <f>+#REF!</f>
        <v>#REF!</v>
      </c>
      <c r="V79" s="149" t="e">
        <f>+#REF!</f>
        <v>#REF!</v>
      </c>
      <c r="W79" s="149" t="e">
        <f>+#REF!</f>
        <v>#REF!</v>
      </c>
      <c r="X79" s="149" t="e">
        <f>+#REF!</f>
        <v>#REF!</v>
      </c>
      <c r="Y79" s="149" t="e">
        <f>+#REF!</f>
        <v>#REF!</v>
      </c>
      <c r="Z79" s="149" t="e">
        <f>+#REF!</f>
        <v>#REF!</v>
      </c>
      <c r="AA79" s="149" t="e">
        <f>+#REF!</f>
        <v>#REF!</v>
      </c>
      <c r="AB79" s="149" t="e">
        <f>+#REF!</f>
        <v>#REF!</v>
      </c>
      <c r="AC79" s="149" t="e">
        <f>+#REF!</f>
        <v>#REF!</v>
      </c>
    </row>
    <row r="80" spans="1:31" ht="27.75" customHeight="1" x14ac:dyDescent="0.25">
      <c r="A80" s="1209" t="str">
        <f>+A75</f>
        <v>PY.3.2.2</v>
      </c>
      <c r="B80" s="1209" t="str">
        <f>+B75</f>
        <v>NUEVOS PROYECTOS ACADÉMICOS (INCLUÍDOS LOS TÉCNICOS Y TECNOLÓGICOS)</v>
      </c>
      <c r="C80" s="1209" t="str">
        <f>+C76</f>
        <v>AMPLIAR LA OFERTA ACADÉMICA EN 9  NUEVOS PROGRAMAS (PREGRADO Y POSTGRADO)</v>
      </c>
      <c r="D80" s="1209" t="str">
        <f>+D76</f>
        <v>NÚMERO DE  PROGRAMAS ACADÉMICOS OFRECIDOS POR USCO</v>
      </c>
      <c r="E80" s="1209"/>
      <c r="F80" s="1209">
        <f>+F76</f>
        <v>2</v>
      </c>
      <c r="G80" s="109" t="s">
        <v>3840</v>
      </c>
      <c r="H80" s="154" t="s">
        <v>3850</v>
      </c>
      <c r="I80" s="154"/>
      <c r="J80" s="154"/>
      <c r="K80" s="154"/>
      <c r="L80" s="154"/>
      <c r="M80" s="155"/>
      <c r="N80" s="155"/>
      <c r="O80" s="561">
        <v>510</v>
      </c>
      <c r="P80" s="1499" t="str">
        <f>+P75</f>
        <v>DIRECTOR CURRÍCULO</v>
      </c>
      <c r="Q80" s="149" t="e">
        <f t="shared" si="1"/>
        <v>#REF!</v>
      </c>
      <c r="R80" s="149" t="e">
        <f>+#REF!</f>
        <v>#REF!</v>
      </c>
      <c r="S80" s="149" t="e">
        <f>+#REF!</f>
        <v>#REF!</v>
      </c>
      <c r="T80" s="149" t="e">
        <f>+#REF!</f>
        <v>#REF!</v>
      </c>
      <c r="U80" s="149" t="e">
        <f>+#REF!</f>
        <v>#REF!</v>
      </c>
      <c r="V80" s="149" t="e">
        <f>+#REF!</f>
        <v>#REF!</v>
      </c>
      <c r="W80" s="149" t="e">
        <f>+#REF!</f>
        <v>#REF!</v>
      </c>
      <c r="X80" s="149" t="e">
        <f>+#REF!</f>
        <v>#REF!</v>
      </c>
      <c r="Y80" s="149" t="e">
        <f>+#REF!</f>
        <v>#REF!</v>
      </c>
      <c r="Z80" s="149" t="e">
        <f>+#REF!</f>
        <v>#REF!</v>
      </c>
      <c r="AA80" s="149" t="e">
        <f>+#REF!</f>
        <v>#REF!</v>
      </c>
      <c r="AB80" s="149" t="e">
        <f>+#REF!</f>
        <v>#REF!</v>
      </c>
      <c r="AC80" s="149" t="e">
        <f>+#REF!</f>
        <v>#REF!</v>
      </c>
    </row>
    <row r="81" spans="1:31" ht="37.15" customHeight="1" x14ac:dyDescent="0.25">
      <c r="A81" s="1209"/>
      <c r="B81" s="1209"/>
      <c r="C81" s="1209"/>
      <c r="D81" s="1209"/>
      <c r="E81" s="1209"/>
      <c r="F81" s="1209"/>
      <c r="G81" s="109" t="s">
        <v>3841</v>
      </c>
      <c r="H81" s="154" t="s">
        <v>3851</v>
      </c>
      <c r="I81" s="154"/>
      <c r="J81" s="154"/>
      <c r="K81" s="154"/>
      <c r="L81" s="154"/>
      <c r="M81" s="155"/>
      <c r="N81" s="155"/>
      <c r="O81" s="561">
        <v>510</v>
      </c>
      <c r="P81" s="1500"/>
      <c r="Q81" s="149" t="e">
        <f t="shared" si="1"/>
        <v>#REF!</v>
      </c>
      <c r="R81" s="149" t="e">
        <f>+#REF!</f>
        <v>#REF!</v>
      </c>
      <c r="S81" s="149" t="e">
        <f>+#REF!</f>
        <v>#REF!</v>
      </c>
      <c r="T81" s="149" t="e">
        <f>+#REF!</f>
        <v>#REF!</v>
      </c>
      <c r="U81" s="149" t="e">
        <f>+#REF!</f>
        <v>#REF!</v>
      </c>
      <c r="V81" s="149" t="e">
        <f>+#REF!</f>
        <v>#REF!</v>
      </c>
      <c r="W81" s="149" t="e">
        <f>+#REF!</f>
        <v>#REF!</v>
      </c>
      <c r="X81" s="149" t="e">
        <f>+#REF!</f>
        <v>#REF!</v>
      </c>
      <c r="Y81" s="149" t="e">
        <f>+#REF!</f>
        <v>#REF!</v>
      </c>
      <c r="Z81" s="149" t="e">
        <f>+#REF!</f>
        <v>#REF!</v>
      </c>
      <c r="AA81" s="149" t="e">
        <f>+#REF!</f>
        <v>#REF!</v>
      </c>
      <c r="AB81" s="149" t="e">
        <f>+#REF!</f>
        <v>#REF!</v>
      </c>
      <c r="AC81" s="149" t="e">
        <f>+#REF!</f>
        <v>#REF!</v>
      </c>
    </row>
    <row r="82" spans="1:31" ht="25.5" x14ac:dyDescent="0.25">
      <c r="A82" s="1209"/>
      <c r="B82" s="1209"/>
      <c r="C82" s="1209"/>
      <c r="D82" s="1209"/>
      <c r="E82" s="1209"/>
      <c r="F82" s="1209"/>
      <c r="G82" s="109" t="s">
        <v>3842</v>
      </c>
      <c r="H82" s="154" t="s">
        <v>3852</v>
      </c>
      <c r="I82" s="154"/>
      <c r="J82" s="154"/>
      <c r="K82" s="154"/>
      <c r="L82" s="154"/>
      <c r="M82" s="155"/>
      <c r="N82" s="155"/>
      <c r="O82" s="561">
        <v>510</v>
      </c>
      <c r="P82" s="1500"/>
      <c r="Q82" s="149" t="e">
        <f t="shared" si="1"/>
        <v>#REF!</v>
      </c>
      <c r="R82" s="149" t="e">
        <f>+#REF!</f>
        <v>#REF!</v>
      </c>
      <c r="S82" s="149" t="e">
        <f>+#REF!</f>
        <v>#REF!</v>
      </c>
      <c r="T82" s="149" t="e">
        <f>+#REF!</f>
        <v>#REF!</v>
      </c>
      <c r="U82" s="149" t="e">
        <f>+#REF!</f>
        <v>#REF!</v>
      </c>
      <c r="V82" s="149" t="e">
        <f>+#REF!</f>
        <v>#REF!</v>
      </c>
      <c r="W82" s="149" t="e">
        <f>+#REF!</f>
        <v>#REF!</v>
      </c>
      <c r="X82" s="149" t="e">
        <f>+#REF!</f>
        <v>#REF!</v>
      </c>
      <c r="Y82" s="149" t="e">
        <f>+#REF!</f>
        <v>#REF!</v>
      </c>
      <c r="Z82" s="149" t="e">
        <f>+#REF!</f>
        <v>#REF!</v>
      </c>
      <c r="AA82" s="149" t="e">
        <f>+#REF!</f>
        <v>#REF!</v>
      </c>
      <c r="AB82" s="149" t="e">
        <f>+#REF!</f>
        <v>#REF!</v>
      </c>
      <c r="AC82" s="149" t="e">
        <f>+#REF!</f>
        <v>#REF!</v>
      </c>
    </row>
    <row r="83" spans="1:31" ht="38.25" x14ac:dyDescent="0.25">
      <c r="A83" s="1209"/>
      <c r="B83" s="1209"/>
      <c r="C83" s="1209"/>
      <c r="D83" s="1209"/>
      <c r="E83" s="1209"/>
      <c r="F83" s="1209"/>
      <c r="G83" s="109" t="s">
        <v>3843</v>
      </c>
      <c r="H83" s="154" t="s">
        <v>3853</v>
      </c>
      <c r="I83" s="154"/>
      <c r="J83" s="154"/>
      <c r="K83" s="154"/>
      <c r="L83" s="154"/>
      <c r="M83" s="155"/>
      <c r="N83" s="155"/>
      <c r="O83" s="561">
        <v>510</v>
      </c>
      <c r="P83" s="1500"/>
      <c r="Q83" s="149" t="e">
        <f t="shared" si="1"/>
        <v>#REF!</v>
      </c>
      <c r="R83" s="149" t="e">
        <f>+#REF!</f>
        <v>#REF!</v>
      </c>
      <c r="S83" s="149" t="e">
        <f>+#REF!</f>
        <v>#REF!</v>
      </c>
      <c r="T83" s="149" t="e">
        <f>+#REF!</f>
        <v>#REF!</v>
      </c>
      <c r="U83" s="149" t="e">
        <f>+#REF!</f>
        <v>#REF!</v>
      </c>
      <c r="V83" s="149" t="e">
        <f>+#REF!</f>
        <v>#REF!</v>
      </c>
      <c r="W83" s="149" t="e">
        <f>+#REF!</f>
        <v>#REF!</v>
      </c>
      <c r="X83" s="149" t="e">
        <f>+#REF!</f>
        <v>#REF!</v>
      </c>
      <c r="Y83" s="149" t="e">
        <f>+#REF!</f>
        <v>#REF!</v>
      </c>
      <c r="Z83" s="149" t="e">
        <f>+#REF!</f>
        <v>#REF!</v>
      </c>
      <c r="AA83" s="149" t="e">
        <f>+#REF!</f>
        <v>#REF!</v>
      </c>
      <c r="AB83" s="149" t="e">
        <f>+#REF!</f>
        <v>#REF!</v>
      </c>
      <c r="AC83" s="149" t="e">
        <f>+#REF!</f>
        <v>#REF!</v>
      </c>
    </row>
    <row r="84" spans="1:31" ht="38.25" x14ac:dyDescent="0.25">
      <c r="A84" s="1209"/>
      <c r="B84" s="1209"/>
      <c r="C84" s="1209"/>
      <c r="D84" s="1209"/>
      <c r="E84" s="1209"/>
      <c r="F84" s="1209"/>
      <c r="G84" s="109" t="s">
        <v>3844</v>
      </c>
      <c r="H84" s="154" t="s">
        <v>3854</v>
      </c>
      <c r="I84" s="154"/>
      <c r="J84" s="154"/>
      <c r="K84" s="154"/>
      <c r="L84" s="154"/>
      <c r="M84" s="155"/>
      <c r="N84" s="155"/>
      <c r="O84" s="561">
        <v>510</v>
      </c>
      <c r="P84" s="1500"/>
      <c r="Q84" s="149" t="e">
        <f t="shared" si="1"/>
        <v>#REF!</v>
      </c>
      <c r="R84" s="149" t="e">
        <f>+#REF!</f>
        <v>#REF!</v>
      </c>
      <c r="S84" s="149" t="e">
        <f>+#REF!</f>
        <v>#REF!</v>
      </c>
      <c r="T84" s="149" t="e">
        <f>+#REF!</f>
        <v>#REF!</v>
      </c>
      <c r="U84" s="149" t="e">
        <f>+#REF!</f>
        <v>#REF!</v>
      </c>
      <c r="V84" s="149" t="e">
        <f>+#REF!</f>
        <v>#REF!</v>
      </c>
      <c r="W84" s="149" t="e">
        <f>+#REF!</f>
        <v>#REF!</v>
      </c>
      <c r="X84" s="149" t="e">
        <f>+#REF!</f>
        <v>#REF!</v>
      </c>
      <c r="Y84" s="149" t="e">
        <f>+#REF!</f>
        <v>#REF!</v>
      </c>
      <c r="Z84" s="149" t="e">
        <f>+#REF!</f>
        <v>#REF!</v>
      </c>
      <c r="AA84" s="149" t="e">
        <f>+#REF!</f>
        <v>#REF!</v>
      </c>
      <c r="AB84" s="149" t="e">
        <f>+#REF!</f>
        <v>#REF!</v>
      </c>
      <c r="AC84" s="149" t="e">
        <f>+#REF!</f>
        <v>#REF!</v>
      </c>
    </row>
    <row r="85" spans="1:31" ht="25.5" x14ac:dyDescent="0.25">
      <c r="A85" s="1209"/>
      <c r="B85" s="1209"/>
      <c r="C85" s="1209"/>
      <c r="D85" s="1209"/>
      <c r="E85" s="1209"/>
      <c r="F85" s="1209"/>
      <c r="G85" s="109" t="s">
        <v>3845</v>
      </c>
      <c r="H85" s="154" t="s">
        <v>3855</v>
      </c>
      <c r="I85" s="154"/>
      <c r="J85" s="154"/>
      <c r="K85" s="154"/>
      <c r="L85" s="154"/>
      <c r="M85" s="155"/>
      <c r="N85" s="155"/>
      <c r="O85" s="561">
        <v>510</v>
      </c>
      <c r="P85" s="1514"/>
      <c r="Q85" s="149" t="e">
        <f>SUM(R85:AC85)</f>
        <v>#REF!</v>
      </c>
      <c r="R85" s="149" t="e">
        <f>+#REF!</f>
        <v>#REF!</v>
      </c>
      <c r="S85" s="149" t="e">
        <f>+#REF!</f>
        <v>#REF!</v>
      </c>
      <c r="T85" s="149" t="e">
        <f>+#REF!</f>
        <v>#REF!</v>
      </c>
      <c r="U85" s="149" t="e">
        <f>+#REF!</f>
        <v>#REF!</v>
      </c>
      <c r="V85" s="149" t="e">
        <f>+#REF!</f>
        <v>#REF!</v>
      </c>
      <c r="W85" s="149" t="e">
        <f>+#REF!</f>
        <v>#REF!</v>
      </c>
      <c r="X85" s="149" t="e">
        <f>+#REF!</f>
        <v>#REF!</v>
      </c>
      <c r="Y85" s="149" t="e">
        <f>+#REF!</f>
        <v>#REF!</v>
      </c>
      <c r="Z85" s="149" t="e">
        <f>+#REF!</f>
        <v>#REF!</v>
      </c>
      <c r="AA85" s="149" t="e">
        <f>+#REF!</f>
        <v>#REF!</v>
      </c>
      <c r="AB85" s="149" t="e">
        <f>+#REF!</f>
        <v>#REF!</v>
      </c>
      <c r="AC85" s="149" t="e">
        <f>+#REF!</f>
        <v>#REF!</v>
      </c>
    </row>
    <row r="86" spans="1:31" ht="38.25" x14ac:dyDescent="0.25">
      <c r="A86" s="1209"/>
      <c r="B86" s="1209"/>
      <c r="C86" s="1209"/>
      <c r="D86" s="1209"/>
      <c r="E86" s="1209"/>
      <c r="F86" s="1209"/>
      <c r="G86" s="890" t="s">
        <v>4130</v>
      </c>
      <c r="H86" s="165" t="s">
        <v>4152</v>
      </c>
      <c r="I86" s="165"/>
      <c r="J86" s="165"/>
      <c r="K86" s="165"/>
      <c r="L86" s="165"/>
      <c r="M86" s="155"/>
      <c r="N86" s="155"/>
      <c r="O86" s="561">
        <v>510</v>
      </c>
      <c r="P86" s="842" t="s">
        <v>3878</v>
      </c>
      <c r="Q86" s="149" t="e">
        <f>SUM(R86:AC86)</f>
        <v>#REF!</v>
      </c>
      <c r="R86" s="149" t="e">
        <f>+#REF!</f>
        <v>#REF!</v>
      </c>
      <c r="S86" s="149" t="e">
        <f>+#REF!</f>
        <v>#REF!</v>
      </c>
      <c r="T86" s="149" t="e">
        <f>+#REF!</f>
        <v>#REF!</v>
      </c>
      <c r="U86" s="149" t="e">
        <f>+#REF!</f>
        <v>#REF!</v>
      </c>
      <c r="V86" s="149" t="e">
        <f>+#REF!</f>
        <v>#REF!</v>
      </c>
      <c r="W86" s="149" t="e">
        <f>+#REF!</f>
        <v>#REF!</v>
      </c>
      <c r="X86" s="149" t="e">
        <f>+#REF!</f>
        <v>#REF!</v>
      </c>
      <c r="Y86" s="149" t="e">
        <f>+#REF!</f>
        <v>#REF!</v>
      </c>
      <c r="Z86" s="149" t="e">
        <f>+#REF!</f>
        <v>#REF!</v>
      </c>
      <c r="AA86" s="149" t="e">
        <f>+#REF!</f>
        <v>#REF!</v>
      </c>
      <c r="AB86" s="149" t="e">
        <f>+#REF!</f>
        <v>#REF!</v>
      </c>
      <c r="AC86" s="149" t="e">
        <f>+#REF!</f>
        <v>#REF!</v>
      </c>
    </row>
    <row r="87" spans="1:31" ht="38.25" x14ac:dyDescent="0.25">
      <c r="A87" s="1209"/>
      <c r="B87" s="1209"/>
      <c r="C87" s="1209"/>
      <c r="D87" s="1209"/>
      <c r="E87" s="1209"/>
      <c r="F87" s="1209"/>
      <c r="G87" s="890" t="s">
        <v>4142</v>
      </c>
      <c r="H87" s="165" t="s">
        <v>4145</v>
      </c>
      <c r="I87" s="165"/>
      <c r="J87" s="165"/>
      <c r="K87" s="165"/>
      <c r="L87" s="165"/>
      <c r="M87" s="155"/>
      <c r="N87" s="155"/>
      <c r="O87" s="561">
        <v>510</v>
      </c>
      <c r="P87" s="1287" t="s">
        <v>4136</v>
      </c>
      <c r="Q87" s="149" t="e">
        <f>SUM(R87:AC87)</f>
        <v>#REF!</v>
      </c>
      <c r="R87" s="149" t="e">
        <f>+#REF!</f>
        <v>#REF!</v>
      </c>
      <c r="S87" s="149" t="e">
        <f>+#REF!</f>
        <v>#REF!</v>
      </c>
      <c r="T87" s="149" t="e">
        <f>+#REF!</f>
        <v>#REF!</v>
      </c>
      <c r="U87" s="149" t="e">
        <f>+#REF!</f>
        <v>#REF!</v>
      </c>
      <c r="V87" s="149" t="e">
        <f>+#REF!</f>
        <v>#REF!</v>
      </c>
      <c r="W87" s="149" t="e">
        <f>+#REF!</f>
        <v>#REF!</v>
      </c>
      <c r="X87" s="149" t="e">
        <f>+#REF!</f>
        <v>#REF!</v>
      </c>
      <c r="Y87" s="149" t="e">
        <f>+#REF!</f>
        <v>#REF!</v>
      </c>
      <c r="Z87" s="149" t="e">
        <f>+#REF!</f>
        <v>#REF!</v>
      </c>
      <c r="AA87" s="149" t="e">
        <f>+#REF!</f>
        <v>#REF!</v>
      </c>
      <c r="AB87" s="149" t="e">
        <f>+#REF!</f>
        <v>#REF!</v>
      </c>
      <c r="AC87" s="149" t="e">
        <f>+#REF!</f>
        <v>#REF!</v>
      </c>
    </row>
    <row r="88" spans="1:31" ht="38.25" x14ac:dyDescent="0.25">
      <c r="A88" s="1209"/>
      <c r="B88" s="1209"/>
      <c r="C88" s="1209"/>
      <c r="D88" s="1209"/>
      <c r="E88" s="1209"/>
      <c r="F88" s="1209"/>
      <c r="G88" s="890" t="s">
        <v>4143</v>
      </c>
      <c r="H88" s="165" t="s">
        <v>4146</v>
      </c>
      <c r="I88" s="165"/>
      <c r="J88" s="165"/>
      <c r="K88" s="165"/>
      <c r="L88" s="165"/>
      <c r="M88" s="155"/>
      <c r="N88" s="155"/>
      <c r="O88" s="561">
        <v>510</v>
      </c>
      <c r="P88" s="1288"/>
      <c r="Q88" s="149" t="e">
        <f>SUM(R88:AC88)</f>
        <v>#REF!</v>
      </c>
      <c r="R88" s="149" t="e">
        <f>+#REF!</f>
        <v>#REF!</v>
      </c>
      <c r="S88" s="149" t="e">
        <f>+#REF!</f>
        <v>#REF!</v>
      </c>
      <c r="T88" s="149" t="e">
        <f>+#REF!</f>
        <v>#REF!</v>
      </c>
      <c r="U88" s="149" t="e">
        <f>+#REF!</f>
        <v>#REF!</v>
      </c>
      <c r="V88" s="149" t="e">
        <f>+#REF!</f>
        <v>#REF!</v>
      </c>
      <c r="W88" s="149" t="e">
        <f>+#REF!</f>
        <v>#REF!</v>
      </c>
      <c r="X88" s="149" t="e">
        <f>+#REF!</f>
        <v>#REF!</v>
      </c>
      <c r="Y88" s="149" t="e">
        <f>+#REF!</f>
        <v>#REF!</v>
      </c>
      <c r="Z88" s="149" t="e">
        <f>+#REF!</f>
        <v>#REF!</v>
      </c>
      <c r="AA88" s="149" t="e">
        <f>+#REF!</f>
        <v>#REF!</v>
      </c>
      <c r="AB88" s="149" t="e">
        <f>+#REF!</f>
        <v>#REF!</v>
      </c>
      <c r="AC88" s="149" t="e">
        <f>+#REF!</f>
        <v>#REF!</v>
      </c>
    </row>
    <row r="89" spans="1:31" ht="51" x14ac:dyDescent="0.25">
      <c r="A89" s="1203"/>
      <c r="B89" s="1203"/>
      <c r="C89" s="1203"/>
      <c r="D89" s="1203"/>
      <c r="E89" s="1203"/>
      <c r="F89" s="1203"/>
      <c r="G89" s="889" t="s">
        <v>4144</v>
      </c>
      <c r="H89" s="902" t="s">
        <v>4147</v>
      </c>
      <c r="I89" s="902"/>
      <c r="J89" s="902"/>
      <c r="K89" s="902"/>
      <c r="L89" s="902"/>
      <c r="M89" s="172"/>
      <c r="N89" s="172"/>
      <c r="O89" s="561">
        <v>510</v>
      </c>
      <c r="P89" s="1288"/>
      <c r="Q89" s="149" t="e">
        <f>SUM(R89:AC89)</f>
        <v>#REF!</v>
      </c>
      <c r="R89" s="149" t="e">
        <f>+#REF!</f>
        <v>#REF!</v>
      </c>
      <c r="S89" s="149" t="e">
        <f>+#REF!</f>
        <v>#REF!</v>
      </c>
      <c r="T89" s="149" t="e">
        <f>+#REF!</f>
        <v>#REF!</v>
      </c>
      <c r="U89" s="149" t="e">
        <f>+#REF!</f>
        <v>#REF!</v>
      </c>
      <c r="V89" s="149" t="e">
        <f>+#REF!</f>
        <v>#REF!</v>
      </c>
      <c r="W89" s="149" t="e">
        <f>+#REF!</f>
        <v>#REF!</v>
      </c>
      <c r="X89" s="149" t="e">
        <f>+#REF!</f>
        <v>#REF!</v>
      </c>
      <c r="Y89" s="149" t="e">
        <f>+#REF!</f>
        <v>#REF!</v>
      </c>
      <c r="Z89" s="149" t="e">
        <f>+#REF!</f>
        <v>#REF!</v>
      </c>
      <c r="AA89" s="149" t="e">
        <f>+#REF!</f>
        <v>#REF!</v>
      </c>
      <c r="AB89" s="149" t="e">
        <f>+#REF!</f>
        <v>#REF!</v>
      </c>
      <c r="AC89" s="149" t="e">
        <f>+#REF!</f>
        <v>#REF!</v>
      </c>
    </row>
    <row r="90" spans="1:31" x14ac:dyDescent="0.25">
      <c r="A90" s="1209" t="s">
        <v>4233</v>
      </c>
      <c r="B90" s="1209"/>
      <c r="C90" s="1209"/>
      <c r="D90" s="1209"/>
      <c r="E90" s="1209"/>
      <c r="F90" s="1209"/>
      <c r="G90" s="1209"/>
      <c r="H90" s="1209"/>
      <c r="I90" s="1209"/>
      <c r="J90" s="1209"/>
      <c r="K90" s="1209"/>
      <c r="L90" s="1209"/>
      <c r="M90" s="1209"/>
      <c r="N90" s="1209"/>
      <c r="O90" s="1209"/>
      <c r="P90" s="1209"/>
      <c r="Q90" s="241" t="e">
        <f>SUM(Q75:Q89)</f>
        <v>#REF!</v>
      </c>
      <c r="R90" s="241" t="e">
        <f t="shared" ref="R90:AC90" si="12">SUM(R75:R89)</f>
        <v>#REF!</v>
      </c>
      <c r="S90" s="241" t="e">
        <f t="shared" si="12"/>
        <v>#REF!</v>
      </c>
      <c r="T90" s="241" t="e">
        <f t="shared" si="12"/>
        <v>#REF!</v>
      </c>
      <c r="U90" s="241" t="e">
        <f t="shared" si="12"/>
        <v>#REF!</v>
      </c>
      <c r="V90" s="241" t="e">
        <f t="shared" si="12"/>
        <v>#REF!</v>
      </c>
      <c r="W90" s="241" t="e">
        <f t="shared" si="12"/>
        <v>#REF!</v>
      </c>
      <c r="X90" s="241" t="e">
        <f t="shared" si="12"/>
        <v>#REF!</v>
      </c>
      <c r="Y90" s="241" t="e">
        <f t="shared" si="12"/>
        <v>#REF!</v>
      </c>
      <c r="Z90" s="241" t="e">
        <f t="shared" si="12"/>
        <v>#REF!</v>
      </c>
      <c r="AA90" s="241" t="e">
        <f t="shared" si="12"/>
        <v>#REF!</v>
      </c>
      <c r="AB90" s="241" t="e">
        <f t="shared" si="12"/>
        <v>#REF!</v>
      </c>
      <c r="AC90" s="241" t="e">
        <f t="shared" si="12"/>
        <v>#REF!</v>
      </c>
      <c r="AE90" s="1" t="e">
        <f>+Q90-'POAI 2011 AC.017 MAYO'!I19</f>
        <v>#REF!</v>
      </c>
    </row>
    <row r="91" spans="1:31" ht="76.5" x14ac:dyDescent="0.25">
      <c r="A91" s="1244" t="s">
        <v>3009</v>
      </c>
      <c r="B91" s="1244" t="s">
        <v>3185</v>
      </c>
      <c r="C91" s="1244" t="str">
        <f>+'PLANINDICATIVO PD MAYO'!J24</f>
        <v>100% DOCENTES DE PLANTA Y OCASIONALES CAPACITADOS EN SUS ÁREAS DE CONOCIMIENTO</v>
      </c>
      <c r="D91" s="1244" t="str">
        <f>+'PLANINDICATIVO PD MAYO'!L24</f>
        <v>NÚMERO DE DOCENTES CAPACITADOS</v>
      </c>
      <c r="E91" s="1244"/>
      <c r="F91" s="1497">
        <f>+'PLANINDICATIVO PD MAYO'!O24</f>
        <v>0.9</v>
      </c>
      <c r="G91" s="888" t="s">
        <v>3856</v>
      </c>
      <c r="H91" s="165" t="s">
        <v>3865</v>
      </c>
      <c r="I91" s="165"/>
      <c r="J91" s="165"/>
      <c r="K91" s="165"/>
      <c r="L91" s="165"/>
      <c r="M91" s="166">
        <v>250000000</v>
      </c>
      <c r="N91" s="166">
        <v>436500000</v>
      </c>
      <c r="O91" s="152">
        <v>510</v>
      </c>
      <c r="P91" s="892" t="s">
        <v>3349</v>
      </c>
      <c r="Q91" s="149" t="e">
        <f t="shared" si="1"/>
        <v>#REF!</v>
      </c>
      <c r="R91" s="149" t="e">
        <f>+#REF!</f>
        <v>#REF!</v>
      </c>
      <c r="S91" s="149" t="e">
        <f>+#REF!</f>
        <v>#REF!</v>
      </c>
      <c r="T91" s="149" t="e">
        <f>+#REF!</f>
        <v>#REF!</v>
      </c>
      <c r="U91" s="149" t="e">
        <f>+#REF!</f>
        <v>#REF!</v>
      </c>
      <c r="V91" s="149" t="e">
        <f>+#REF!</f>
        <v>#REF!</v>
      </c>
      <c r="W91" s="149" t="e">
        <f>+#REF!</f>
        <v>#REF!</v>
      </c>
      <c r="X91" s="149" t="e">
        <f>+#REF!</f>
        <v>#REF!</v>
      </c>
      <c r="Y91" s="149" t="e">
        <f>+#REF!</f>
        <v>#REF!</v>
      </c>
      <c r="Z91" s="149" t="e">
        <f>+#REF!</f>
        <v>#REF!</v>
      </c>
      <c r="AA91" s="149" t="e">
        <f>+#REF!</f>
        <v>#REF!</v>
      </c>
      <c r="AB91" s="149" t="e">
        <f>+#REF!</f>
        <v>#REF!</v>
      </c>
      <c r="AC91" s="149" t="e">
        <f>+#REF!</f>
        <v>#REF!</v>
      </c>
    </row>
    <row r="92" spans="1:31" ht="51" x14ac:dyDescent="0.25">
      <c r="A92" s="1244"/>
      <c r="B92" s="1244"/>
      <c r="C92" s="1244"/>
      <c r="D92" s="1244"/>
      <c r="E92" s="1244"/>
      <c r="F92" s="1244"/>
      <c r="G92" s="2" t="s">
        <v>3857</v>
      </c>
      <c r="H92" s="154" t="s">
        <v>3866</v>
      </c>
      <c r="I92" s="154"/>
      <c r="J92" s="154"/>
      <c r="K92" s="154"/>
      <c r="L92" s="154"/>
      <c r="M92" s="155"/>
      <c r="N92" s="158"/>
      <c r="O92" s="151">
        <v>310</v>
      </c>
      <c r="P92" s="813" t="s">
        <v>3874</v>
      </c>
      <c r="Q92" s="149" t="e">
        <f t="shared" si="1"/>
        <v>#REF!</v>
      </c>
      <c r="R92" s="149" t="e">
        <f>+#REF!</f>
        <v>#REF!</v>
      </c>
      <c r="S92" s="149" t="e">
        <f>+#REF!</f>
        <v>#REF!</v>
      </c>
      <c r="T92" s="149" t="e">
        <f>+#REF!</f>
        <v>#REF!</v>
      </c>
      <c r="U92" s="149" t="e">
        <f>+#REF!</f>
        <v>#REF!</v>
      </c>
      <c r="V92" s="149" t="e">
        <f>+#REF!</f>
        <v>#REF!</v>
      </c>
      <c r="W92" s="149" t="e">
        <f>+#REF!</f>
        <v>#REF!</v>
      </c>
      <c r="X92" s="149" t="e">
        <f>+#REF!</f>
        <v>#REF!</v>
      </c>
      <c r="Y92" s="149" t="e">
        <f>+#REF!</f>
        <v>#REF!</v>
      </c>
      <c r="Z92" s="149" t="e">
        <f>+#REF!</f>
        <v>#REF!</v>
      </c>
      <c r="AA92" s="149" t="e">
        <f>+#REF!</f>
        <v>#REF!</v>
      </c>
      <c r="AB92" s="149" t="e">
        <f>+#REF!</f>
        <v>#REF!</v>
      </c>
      <c r="AC92" s="149" t="e">
        <f>+#REF!</f>
        <v>#REF!</v>
      </c>
    </row>
    <row r="93" spans="1:31" ht="63.75" x14ac:dyDescent="0.25">
      <c r="A93" s="1244"/>
      <c r="B93" s="1244"/>
      <c r="C93" s="1244"/>
      <c r="D93" s="1244"/>
      <c r="E93" s="1244"/>
      <c r="F93" s="1244"/>
      <c r="G93" s="2" t="s">
        <v>3858</v>
      </c>
      <c r="H93" s="154" t="s">
        <v>3867</v>
      </c>
      <c r="I93" s="154"/>
      <c r="J93" s="154"/>
      <c r="K93" s="154"/>
      <c r="L93" s="154"/>
      <c r="M93" s="155"/>
      <c r="N93" s="158"/>
      <c r="O93" s="151">
        <v>310</v>
      </c>
      <c r="P93" s="813" t="s">
        <v>3875</v>
      </c>
      <c r="Q93" s="149" t="e">
        <f t="shared" si="1"/>
        <v>#REF!</v>
      </c>
      <c r="R93" s="149" t="e">
        <f>+#REF!</f>
        <v>#REF!</v>
      </c>
      <c r="S93" s="149" t="e">
        <f>+#REF!</f>
        <v>#REF!</v>
      </c>
      <c r="T93" s="149" t="e">
        <f>+#REF!</f>
        <v>#REF!</v>
      </c>
      <c r="U93" s="149" t="e">
        <f>+#REF!</f>
        <v>#REF!</v>
      </c>
      <c r="V93" s="149" t="e">
        <f>+#REF!</f>
        <v>#REF!</v>
      </c>
      <c r="W93" s="149" t="e">
        <f>+#REF!</f>
        <v>#REF!</v>
      </c>
      <c r="X93" s="149" t="e">
        <f>+#REF!</f>
        <v>#REF!</v>
      </c>
      <c r="Y93" s="149" t="e">
        <f>+#REF!</f>
        <v>#REF!</v>
      </c>
      <c r="Z93" s="149" t="e">
        <f>+#REF!</f>
        <v>#REF!</v>
      </c>
      <c r="AA93" s="149" t="e">
        <f>+#REF!</f>
        <v>#REF!</v>
      </c>
      <c r="AB93" s="149" t="e">
        <f>+#REF!</f>
        <v>#REF!</v>
      </c>
      <c r="AC93" s="149" t="e">
        <f>+#REF!</f>
        <v>#REF!</v>
      </c>
    </row>
    <row r="94" spans="1:31" ht="51" x14ac:dyDescent="0.25">
      <c r="A94" s="1244"/>
      <c r="B94" s="1244"/>
      <c r="C94" s="1244"/>
      <c r="D94" s="1244"/>
      <c r="E94" s="1244"/>
      <c r="F94" s="1244"/>
      <c r="G94" s="2" t="s">
        <v>3859</v>
      </c>
      <c r="H94" s="154" t="s">
        <v>3868</v>
      </c>
      <c r="I94" s="154"/>
      <c r="J94" s="154"/>
      <c r="K94" s="154"/>
      <c r="L94" s="154"/>
      <c r="M94" s="155"/>
      <c r="N94" s="158"/>
      <c r="O94" s="151">
        <v>310</v>
      </c>
      <c r="P94" s="813" t="s">
        <v>3876</v>
      </c>
      <c r="Q94" s="149" t="e">
        <f t="shared" si="1"/>
        <v>#REF!</v>
      </c>
      <c r="R94" s="149" t="e">
        <f>+#REF!</f>
        <v>#REF!</v>
      </c>
      <c r="S94" s="149" t="e">
        <f>+#REF!</f>
        <v>#REF!</v>
      </c>
      <c r="T94" s="149" t="e">
        <f>+#REF!</f>
        <v>#REF!</v>
      </c>
      <c r="U94" s="149" t="e">
        <f>+#REF!</f>
        <v>#REF!</v>
      </c>
      <c r="V94" s="149" t="e">
        <f>+#REF!</f>
        <v>#REF!</v>
      </c>
      <c r="W94" s="149" t="e">
        <f>+#REF!</f>
        <v>#REF!</v>
      </c>
      <c r="X94" s="149" t="e">
        <f>+#REF!</f>
        <v>#REF!</v>
      </c>
      <c r="Y94" s="149" t="e">
        <f>+#REF!</f>
        <v>#REF!</v>
      </c>
      <c r="Z94" s="149" t="e">
        <f>+#REF!</f>
        <v>#REF!</v>
      </c>
      <c r="AA94" s="149" t="e">
        <f>+#REF!</f>
        <v>#REF!</v>
      </c>
      <c r="AB94" s="149" t="e">
        <f>+#REF!</f>
        <v>#REF!</v>
      </c>
      <c r="AC94" s="149" t="e">
        <f>+#REF!</f>
        <v>#REF!</v>
      </c>
    </row>
    <row r="95" spans="1:31" ht="51" x14ac:dyDescent="0.25">
      <c r="A95" s="1244"/>
      <c r="B95" s="1244"/>
      <c r="C95" s="1244"/>
      <c r="D95" s="1244"/>
      <c r="E95" s="1244"/>
      <c r="F95" s="1244"/>
      <c r="G95" s="2" t="s">
        <v>3860</v>
      </c>
      <c r="H95" s="154" t="s">
        <v>3869</v>
      </c>
      <c r="I95" s="154"/>
      <c r="J95" s="154"/>
      <c r="K95" s="154"/>
      <c r="L95" s="154"/>
      <c r="M95" s="155"/>
      <c r="N95" s="158"/>
      <c r="O95" s="151">
        <v>310</v>
      </c>
      <c r="P95" s="813" t="s">
        <v>3877</v>
      </c>
      <c r="Q95" s="149" t="e">
        <f t="shared" si="1"/>
        <v>#REF!</v>
      </c>
      <c r="R95" s="149" t="e">
        <f>+#REF!</f>
        <v>#REF!</v>
      </c>
      <c r="S95" s="149" t="e">
        <f>+#REF!</f>
        <v>#REF!</v>
      </c>
      <c r="T95" s="149" t="e">
        <f>+#REF!</f>
        <v>#REF!</v>
      </c>
      <c r="U95" s="149" t="e">
        <f>+#REF!</f>
        <v>#REF!</v>
      </c>
      <c r="V95" s="149" t="e">
        <f>+#REF!</f>
        <v>#REF!</v>
      </c>
      <c r="W95" s="149" t="e">
        <f>+#REF!</f>
        <v>#REF!</v>
      </c>
      <c r="X95" s="149" t="e">
        <f>+#REF!</f>
        <v>#REF!</v>
      </c>
      <c r="Y95" s="149" t="e">
        <f>+#REF!</f>
        <v>#REF!</v>
      </c>
      <c r="Z95" s="149" t="e">
        <f>+#REF!</f>
        <v>#REF!</v>
      </c>
      <c r="AA95" s="149" t="e">
        <f>+#REF!</f>
        <v>#REF!</v>
      </c>
      <c r="AB95" s="149" t="e">
        <f>+#REF!</f>
        <v>#REF!</v>
      </c>
      <c r="AC95" s="149" t="e">
        <f>+#REF!</f>
        <v>#REF!</v>
      </c>
    </row>
    <row r="96" spans="1:31" ht="51" x14ac:dyDescent="0.25">
      <c r="A96" s="1244"/>
      <c r="B96" s="1244"/>
      <c r="C96" s="1244"/>
      <c r="D96" s="1244"/>
      <c r="E96" s="1244"/>
      <c r="F96" s="1244"/>
      <c r="G96" s="2" t="s">
        <v>3861</v>
      </c>
      <c r="H96" s="154" t="s">
        <v>3870</v>
      </c>
      <c r="I96" s="154"/>
      <c r="J96" s="154"/>
      <c r="K96" s="154"/>
      <c r="L96" s="154"/>
      <c r="M96" s="155"/>
      <c r="N96" s="158"/>
      <c r="O96" s="151">
        <v>310</v>
      </c>
      <c r="P96" s="813" t="s">
        <v>3878</v>
      </c>
      <c r="Q96" s="149" t="e">
        <f t="shared" si="1"/>
        <v>#REF!</v>
      </c>
      <c r="R96" s="149" t="e">
        <f>+#REF!</f>
        <v>#REF!</v>
      </c>
      <c r="S96" s="149" t="e">
        <f>+#REF!</f>
        <v>#REF!</v>
      </c>
      <c r="T96" s="149" t="e">
        <f>+#REF!</f>
        <v>#REF!</v>
      </c>
      <c r="U96" s="149" t="e">
        <f>+#REF!</f>
        <v>#REF!</v>
      </c>
      <c r="V96" s="149" t="e">
        <f>+#REF!</f>
        <v>#REF!</v>
      </c>
      <c r="W96" s="149" t="e">
        <f>+#REF!</f>
        <v>#REF!</v>
      </c>
      <c r="X96" s="149" t="e">
        <f>+#REF!</f>
        <v>#REF!</v>
      </c>
      <c r="Y96" s="149" t="e">
        <f>+#REF!</f>
        <v>#REF!</v>
      </c>
      <c r="Z96" s="149" t="e">
        <f>+#REF!</f>
        <v>#REF!</v>
      </c>
      <c r="AA96" s="149" t="e">
        <f>+#REF!</f>
        <v>#REF!</v>
      </c>
      <c r="AB96" s="149" t="e">
        <f>+#REF!</f>
        <v>#REF!</v>
      </c>
      <c r="AC96" s="149" t="e">
        <f>+#REF!</f>
        <v>#REF!</v>
      </c>
    </row>
    <row r="97" spans="1:31" ht="63.75" x14ac:dyDescent="0.25">
      <c r="A97" s="1244"/>
      <c r="B97" s="1244"/>
      <c r="C97" s="1244"/>
      <c r="D97" s="1244"/>
      <c r="E97" s="1244"/>
      <c r="F97" s="1244"/>
      <c r="G97" s="2" t="s">
        <v>3862</v>
      </c>
      <c r="H97" s="154" t="s">
        <v>3871</v>
      </c>
      <c r="I97" s="154"/>
      <c r="J97" s="154"/>
      <c r="K97" s="154"/>
      <c r="L97" s="154"/>
      <c r="M97" s="155"/>
      <c r="N97" s="158"/>
      <c r="O97" s="151">
        <v>310</v>
      </c>
      <c r="P97" s="840" t="s">
        <v>4136</v>
      </c>
      <c r="Q97" s="149" t="e">
        <f t="shared" si="1"/>
        <v>#REF!</v>
      </c>
      <c r="R97" s="149" t="e">
        <f>+#REF!</f>
        <v>#REF!</v>
      </c>
      <c r="S97" s="149" t="e">
        <f>+#REF!</f>
        <v>#REF!</v>
      </c>
      <c r="T97" s="149" t="e">
        <f>+#REF!</f>
        <v>#REF!</v>
      </c>
      <c r="U97" s="149" t="e">
        <f>+#REF!</f>
        <v>#REF!</v>
      </c>
      <c r="V97" s="149" t="e">
        <f>+#REF!</f>
        <v>#REF!</v>
      </c>
      <c r="W97" s="149" t="e">
        <f>+#REF!</f>
        <v>#REF!</v>
      </c>
      <c r="X97" s="149" t="e">
        <f>+#REF!</f>
        <v>#REF!</v>
      </c>
      <c r="Y97" s="149" t="e">
        <f>+#REF!</f>
        <v>#REF!</v>
      </c>
      <c r="Z97" s="149" t="e">
        <f>+#REF!</f>
        <v>#REF!</v>
      </c>
      <c r="AA97" s="149" t="e">
        <f>+#REF!</f>
        <v>#REF!</v>
      </c>
      <c r="AB97" s="149" t="e">
        <f>+#REF!</f>
        <v>#REF!</v>
      </c>
      <c r="AC97" s="149" t="e">
        <f>+#REF!</f>
        <v>#REF!</v>
      </c>
    </row>
    <row r="98" spans="1:31" ht="38.25" x14ac:dyDescent="0.25">
      <c r="A98" s="1244"/>
      <c r="B98" s="1244"/>
      <c r="C98" s="1244"/>
      <c r="D98" s="1244"/>
      <c r="E98" s="1244"/>
      <c r="F98" s="1244"/>
      <c r="G98" s="2" t="s">
        <v>3863</v>
      </c>
      <c r="H98" s="154" t="s">
        <v>3872</v>
      </c>
      <c r="I98" s="154"/>
      <c r="J98" s="154"/>
      <c r="K98" s="154"/>
      <c r="L98" s="154"/>
      <c r="M98" s="155"/>
      <c r="N98" s="158"/>
      <c r="O98" s="151">
        <v>310</v>
      </c>
      <c r="P98" s="1428" t="s">
        <v>3353</v>
      </c>
      <c r="Q98" s="149" t="e">
        <f t="shared" si="1"/>
        <v>#REF!</v>
      </c>
      <c r="R98" s="149" t="e">
        <f>+#REF!</f>
        <v>#REF!</v>
      </c>
      <c r="S98" s="149" t="e">
        <f>+#REF!</f>
        <v>#REF!</v>
      </c>
      <c r="T98" s="149" t="e">
        <f>+#REF!</f>
        <v>#REF!</v>
      </c>
      <c r="U98" s="149" t="e">
        <f>+#REF!</f>
        <v>#REF!</v>
      </c>
      <c r="V98" s="149" t="e">
        <f>+#REF!</f>
        <v>#REF!</v>
      </c>
      <c r="W98" s="149" t="e">
        <f>+#REF!</f>
        <v>#REF!</v>
      </c>
      <c r="X98" s="149" t="e">
        <f>+#REF!</f>
        <v>#REF!</v>
      </c>
      <c r="Y98" s="149" t="e">
        <f>+#REF!</f>
        <v>#REF!</v>
      </c>
      <c r="Z98" s="149" t="e">
        <f>+#REF!</f>
        <v>#REF!</v>
      </c>
      <c r="AA98" s="149" t="e">
        <f>+#REF!</f>
        <v>#REF!</v>
      </c>
      <c r="AB98" s="149" t="e">
        <f>+#REF!</f>
        <v>#REF!</v>
      </c>
      <c r="AC98" s="149" t="e">
        <f>+#REF!</f>
        <v>#REF!</v>
      </c>
    </row>
    <row r="99" spans="1:31" ht="38.25" x14ac:dyDescent="0.25">
      <c r="A99" s="1244"/>
      <c r="B99" s="1244"/>
      <c r="C99" s="1244"/>
      <c r="D99" s="1244"/>
      <c r="E99" s="1244"/>
      <c r="F99" s="1244"/>
      <c r="G99" s="887" t="s">
        <v>3864</v>
      </c>
      <c r="H99" s="171" t="s">
        <v>3873</v>
      </c>
      <c r="I99" s="171"/>
      <c r="J99" s="171"/>
      <c r="K99" s="171"/>
      <c r="L99" s="171"/>
      <c r="M99" s="172"/>
      <c r="N99" s="173"/>
      <c r="O99" s="561">
        <v>310</v>
      </c>
      <c r="P99" s="1429"/>
      <c r="Q99" s="241" t="e">
        <f t="shared" si="1"/>
        <v>#REF!</v>
      </c>
      <c r="R99" s="241" t="e">
        <f>+#REF!</f>
        <v>#REF!</v>
      </c>
      <c r="S99" s="241" t="e">
        <f>+#REF!</f>
        <v>#REF!</v>
      </c>
      <c r="T99" s="241" t="e">
        <f>+#REF!</f>
        <v>#REF!</v>
      </c>
      <c r="U99" s="241" t="e">
        <f>+#REF!</f>
        <v>#REF!</v>
      </c>
      <c r="V99" s="241" t="e">
        <f>+#REF!</f>
        <v>#REF!</v>
      </c>
      <c r="W99" s="241" t="e">
        <f>+#REF!</f>
        <v>#REF!</v>
      </c>
      <c r="X99" s="241" t="e">
        <f>+#REF!</f>
        <v>#REF!</v>
      </c>
      <c r="Y99" s="241" t="e">
        <f>+#REF!</f>
        <v>#REF!</v>
      </c>
      <c r="Z99" s="241" t="e">
        <f>+#REF!</f>
        <v>#REF!</v>
      </c>
      <c r="AA99" s="241" t="e">
        <f>+#REF!</f>
        <v>#REF!</v>
      </c>
      <c r="AB99" s="241" t="e">
        <f>+#REF!</f>
        <v>#REF!</v>
      </c>
      <c r="AC99" s="241" t="e">
        <f>+#REF!</f>
        <v>#REF!</v>
      </c>
    </row>
    <row r="100" spans="1:31" x14ac:dyDescent="0.25">
      <c r="A100" s="1209" t="s">
        <v>4234</v>
      </c>
      <c r="B100" s="1209"/>
      <c r="C100" s="1209"/>
      <c r="D100" s="1209"/>
      <c r="E100" s="1209"/>
      <c r="F100" s="1209"/>
      <c r="G100" s="1209"/>
      <c r="H100" s="1209"/>
      <c r="I100" s="1209"/>
      <c r="J100" s="1209"/>
      <c r="K100" s="1209"/>
      <c r="L100" s="1209"/>
      <c r="M100" s="1209"/>
      <c r="N100" s="1209"/>
      <c r="O100" s="1209"/>
      <c r="P100" s="1209"/>
      <c r="Q100" s="149" t="e">
        <f>SUM(Q91:Q99)</f>
        <v>#REF!</v>
      </c>
      <c r="R100" s="149" t="e">
        <f t="shared" ref="R100:AC100" si="13">SUM(R91:R99)</f>
        <v>#REF!</v>
      </c>
      <c r="S100" s="149" t="e">
        <f t="shared" si="13"/>
        <v>#REF!</v>
      </c>
      <c r="T100" s="149" t="e">
        <f t="shared" si="13"/>
        <v>#REF!</v>
      </c>
      <c r="U100" s="149" t="e">
        <f t="shared" si="13"/>
        <v>#REF!</v>
      </c>
      <c r="V100" s="149" t="e">
        <f t="shared" si="13"/>
        <v>#REF!</v>
      </c>
      <c r="W100" s="149" t="e">
        <f t="shared" si="13"/>
        <v>#REF!</v>
      </c>
      <c r="X100" s="149" t="e">
        <f t="shared" si="13"/>
        <v>#REF!</v>
      </c>
      <c r="Y100" s="149" t="e">
        <f t="shared" si="13"/>
        <v>#REF!</v>
      </c>
      <c r="Z100" s="149" t="e">
        <f t="shared" si="13"/>
        <v>#REF!</v>
      </c>
      <c r="AA100" s="149" t="e">
        <f t="shared" si="13"/>
        <v>#REF!</v>
      </c>
      <c r="AB100" s="149" t="e">
        <f t="shared" si="13"/>
        <v>#REF!</v>
      </c>
      <c r="AC100" s="149" t="e">
        <f t="shared" si="13"/>
        <v>#REF!</v>
      </c>
      <c r="AE100" s="1" t="e">
        <f>+Q100-'POAI 2011 AC.017 MAYO'!I21</f>
        <v>#REF!</v>
      </c>
    </row>
    <row r="101" spans="1:31" x14ac:dyDescent="0.25">
      <c r="A101" s="1209" t="s">
        <v>4235</v>
      </c>
      <c r="B101" s="1209"/>
      <c r="C101" s="1209"/>
      <c r="D101" s="1209"/>
      <c r="E101" s="1209"/>
      <c r="F101" s="1209"/>
      <c r="G101" s="1209"/>
      <c r="H101" s="1209"/>
      <c r="I101" s="1209"/>
      <c r="J101" s="1209"/>
      <c r="K101" s="1209"/>
      <c r="L101" s="1209"/>
      <c r="M101" s="1209"/>
      <c r="N101" s="1209"/>
      <c r="O101" s="1209"/>
      <c r="P101" s="1209"/>
      <c r="Q101" s="149" t="e">
        <f>+Q100+Q90+Q74</f>
        <v>#REF!</v>
      </c>
      <c r="R101" s="149" t="e">
        <f t="shared" ref="R101:AC101" si="14">+R100+R90+R74</f>
        <v>#REF!</v>
      </c>
      <c r="S101" s="149" t="e">
        <f t="shared" si="14"/>
        <v>#REF!</v>
      </c>
      <c r="T101" s="149" t="e">
        <f t="shared" si="14"/>
        <v>#REF!</v>
      </c>
      <c r="U101" s="149" t="e">
        <f t="shared" si="14"/>
        <v>#REF!</v>
      </c>
      <c r="V101" s="149" t="e">
        <f t="shared" si="14"/>
        <v>#REF!</v>
      </c>
      <c r="W101" s="149" t="e">
        <f t="shared" si="14"/>
        <v>#REF!</v>
      </c>
      <c r="X101" s="149" t="e">
        <f t="shared" si="14"/>
        <v>#REF!</v>
      </c>
      <c r="Y101" s="149" t="e">
        <f t="shared" si="14"/>
        <v>#REF!</v>
      </c>
      <c r="Z101" s="149" t="e">
        <f t="shared" si="14"/>
        <v>#REF!</v>
      </c>
      <c r="AA101" s="149" t="e">
        <f t="shared" si="14"/>
        <v>#REF!</v>
      </c>
      <c r="AB101" s="149" t="e">
        <f t="shared" si="14"/>
        <v>#REF!</v>
      </c>
      <c r="AC101" s="149" t="e">
        <f t="shared" si="14"/>
        <v>#REF!</v>
      </c>
      <c r="AE101" s="1" t="e">
        <f>+Q101-'POAI 2011 AC.017 MAYO'!I17</f>
        <v>#REF!</v>
      </c>
    </row>
    <row r="102" spans="1:31" ht="18" x14ac:dyDescent="0.3">
      <c r="A102" s="897" t="s">
        <v>4220</v>
      </c>
      <c r="B102" s="853"/>
      <c r="C102" s="853"/>
      <c r="D102" s="853"/>
      <c r="E102" s="853"/>
      <c r="F102" s="853"/>
      <c r="G102" s="853"/>
      <c r="H102" s="853"/>
      <c r="I102" s="853"/>
      <c r="J102" s="853"/>
      <c r="K102" s="853"/>
      <c r="L102" s="853"/>
      <c r="M102" s="853"/>
      <c r="N102" s="853"/>
      <c r="O102" s="853"/>
      <c r="P102" s="853"/>
      <c r="Q102" s="898"/>
      <c r="R102" s="898"/>
      <c r="S102" s="898"/>
      <c r="T102" s="898"/>
      <c r="U102" s="898"/>
      <c r="V102" s="898"/>
      <c r="W102" s="898"/>
      <c r="X102" s="898"/>
      <c r="Y102" s="898"/>
      <c r="Z102" s="898"/>
      <c r="AA102" s="898"/>
      <c r="AB102" s="898"/>
      <c r="AC102" s="898"/>
    </row>
    <row r="103" spans="1:31" ht="18" x14ac:dyDescent="0.3">
      <c r="A103" s="882" t="s">
        <v>4236</v>
      </c>
      <c r="B103" s="233"/>
      <c r="C103" s="233"/>
      <c r="D103" s="233"/>
      <c r="E103" s="233"/>
      <c r="F103" s="233"/>
      <c r="G103" s="233"/>
      <c r="H103" s="233"/>
      <c r="I103" s="233"/>
      <c r="J103" s="233"/>
      <c r="K103" s="233"/>
      <c r="L103" s="233"/>
      <c r="M103" s="233"/>
      <c r="N103" s="233"/>
      <c r="O103" s="233"/>
      <c r="P103" s="233"/>
      <c r="Q103" s="686"/>
      <c r="R103" s="686"/>
      <c r="S103" s="686"/>
      <c r="T103" s="686"/>
      <c r="U103" s="686"/>
      <c r="V103" s="686"/>
      <c r="W103" s="686"/>
      <c r="X103" s="686"/>
      <c r="Y103" s="686"/>
      <c r="Z103" s="686"/>
      <c r="AA103" s="686"/>
      <c r="AB103" s="686"/>
      <c r="AC103" s="686"/>
    </row>
    <row r="104" spans="1:31" x14ac:dyDescent="0.25">
      <c r="A104" s="1315" t="s">
        <v>3139</v>
      </c>
      <c r="B104" s="1315"/>
      <c r="C104" s="1315" t="s">
        <v>4179</v>
      </c>
      <c r="D104" s="1490" t="s">
        <v>4171</v>
      </c>
      <c r="E104" s="1491"/>
      <c r="F104" s="1492"/>
      <c r="G104" s="1232" t="s">
        <v>4174</v>
      </c>
      <c r="H104" s="1232"/>
      <c r="I104" s="1232" t="s">
        <v>4175</v>
      </c>
      <c r="J104" s="1232" t="s">
        <v>4176</v>
      </c>
      <c r="K104" s="1232"/>
      <c r="L104" s="1232"/>
      <c r="M104" s="893"/>
      <c r="N104" s="893"/>
      <c r="O104" s="1418" t="s">
        <v>447</v>
      </c>
      <c r="P104" s="1495" t="s">
        <v>3347</v>
      </c>
      <c r="Q104" s="1489" t="s">
        <v>3333</v>
      </c>
      <c r="R104" s="1489"/>
      <c r="S104" s="1489"/>
      <c r="T104" s="1489"/>
      <c r="U104" s="1489"/>
      <c r="V104" s="1489"/>
      <c r="W104" s="1489" t="s">
        <v>3333</v>
      </c>
      <c r="X104" s="1489"/>
      <c r="Y104" s="1489"/>
      <c r="Z104" s="1489"/>
      <c r="AA104" s="1489"/>
      <c r="AB104" s="1489"/>
      <c r="AC104" s="1489"/>
    </row>
    <row r="105" spans="1:31" ht="51" x14ac:dyDescent="0.25">
      <c r="A105" s="1315"/>
      <c r="B105" s="1315"/>
      <c r="C105" s="1315"/>
      <c r="D105" s="891" t="s">
        <v>4178</v>
      </c>
      <c r="E105" s="891" t="s">
        <v>4173</v>
      </c>
      <c r="F105" s="891" t="s">
        <v>4172</v>
      </c>
      <c r="G105" s="886" t="s">
        <v>1</v>
      </c>
      <c r="H105" s="886" t="s">
        <v>4174</v>
      </c>
      <c r="I105" s="1232"/>
      <c r="J105" s="886" t="s">
        <v>4178</v>
      </c>
      <c r="K105" s="886" t="s">
        <v>4173</v>
      </c>
      <c r="L105" s="886" t="s">
        <v>4177</v>
      </c>
      <c r="M105" s="886" t="s">
        <v>460</v>
      </c>
      <c r="N105" s="886" t="s">
        <v>462</v>
      </c>
      <c r="O105" s="1418"/>
      <c r="P105" s="1495"/>
      <c r="Q105" s="894" t="s">
        <v>695</v>
      </c>
      <c r="R105" s="894" t="s">
        <v>3310</v>
      </c>
      <c r="S105" s="894" t="s">
        <v>3311</v>
      </c>
      <c r="T105" s="894" t="s">
        <v>3312</v>
      </c>
      <c r="U105" s="894" t="s">
        <v>3313</v>
      </c>
      <c r="V105" s="894" t="s">
        <v>3314</v>
      </c>
      <c r="W105" s="894" t="s">
        <v>3315</v>
      </c>
      <c r="X105" s="894" t="s">
        <v>3316</v>
      </c>
      <c r="Y105" s="894" t="s">
        <v>3317</v>
      </c>
      <c r="Z105" s="894" t="s">
        <v>3346</v>
      </c>
      <c r="AA105" s="894" t="s">
        <v>3756</v>
      </c>
      <c r="AB105" s="894" t="s">
        <v>3318</v>
      </c>
      <c r="AC105" s="894" t="s">
        <v>3319</v>
      </c>
    </row>
    <row r="106" spans="1:31" ht="69.75" customHeight="1" x14ac:dyDescent="0.25">
      <c r="A106" s="1210" t="s">
        <v>2961</v>
      </c>
      <c r="B106" s="1210" t="s">
        <v>3177</v>
      </c>
      <c r="C106" s="1210" t="str">
        <f>+'PLANINDICATIVO PD MAYO'!J25</f>
        <v>FORMACIÓN DE 15 DOCENTES A NIVEL MAESTRÍA, 10 DOCTORES, 4 POSTDOCTORADOS ADICIONALES</v>
      </c>
      <c r="D106" s="1210" t="s">
        <v>3221</v>
      </c>
      <c r="E106" s="1210"/>
      <c r="F106" s="1210" t="str">
        <f>+'PLANINDICATIVO PD MAYO'!O25</f>
        <v>En formación:
6 maestrìas 15 doctorados, 2 posdoctorado</v>
      </c>
      <c r="G106" s="888" t="s">
        <v>3880</v>
      </c>
      <c r="H106" s="165" t="s">
        <v>3883</v>
      </c>
      <c r="I106" s="165"/>
      <c r="J106" s="165"/>
      <c r="K106" s="165"/>
      <c r="L106" s="165"/>
      <c r="M106" s="166">
        <v>390000000</v>
      </c>
      <c r="N106" s="167">
        <v>543000000</v>
      </c>
      <c r="O106" s="701">
        <v>310</v>
      </c>
      <c r="P106" s="1429" t="s">
        <v>3350</v>
      </c>
      <c r="Q106" s="875" t="e">
        <f t="shared" si="1"/>
        <v>#REF!</v>
      </c>
      <c r="R106" s="875" t="e">
        <f>+#REF!</f>
        <v>#REF!</v>
      </c>
      <c r="S106" s="875" t="e">
        <f>+#REF!</f>
        <v>#REF!</v>
      </c>
      <c r="T106" s="875" t="e">
        <f>+#REF!</f>
        <v>#REF!</v>
      </c>
      <c r="U106" s="875" t="e">
        <f>+#REF!</f>
        <v>#REF!</v>
      </c>
      <c r="V106" s="875" t="e">
        <f>+#REF!</f>
        <v>#REF!</v>
      </c>
      <c r="W106" s="875" t="e">
        <f>+#REF!</f>
        <v>#REF!</v>
      </c>
      <c r="X106" s="875" t="e">
        <f>+#REF!</f>
        <v>#REF!</v>
      </c>
      <c r="Y106" s="875" t="e">
        <f>+#REF!</f>
        <v>#REF!</v>
      </c>
      <c r="Z106" s="875" t="e">
        <f>+#REF!</f>
        <v>#REF!</v>
      </c>
      <c r="AA106" s="875" t="e">
        <f>+#REF!</f>
        <v>#REF!</v>
      </c>
      <c r="AB106" s="875" t="e">
        <f>+#REF!</f>
        <v>#REF!</v>
      </c>
      <c r="AC106" s="875" t="e">
        <f>+#REF!</f>
        <v>#REF!</v>
      </c>
    </row>
    <row r="107" spans="1:31" ht="66.75" customHeight="1" x14ac:dyDescent="0.25">
      <c r="A107" s="1209"/>
      <c r="B107" s="1209"/>
      <c r="C107" s="1209"/>
      <c r="D107" s="1209"/>
      <c r="E107" s="1209"/>
      <c r="F107" s="1209"/>
      <c r="G107" s="2" t="s">
        <v>3881</v>
      </c>
      <c r="H107" s="154" t="s">
        <v>3884</v>
      </c>
      <c r="I107" s="154"/>
      <c r="J107" s="154"/>
      <c r="K107" s="154"/>
      <c r="L107" s="154"/>
      <c r="M107" s="155">
        <v>25000000</v>
      </c>
      <c r="N107" s="158">
        <v>40000000</v>
      </c>
      <c r="O107" s="151">
        <v>310</v>
      </c>
      <c r="P107" s="1429"/>
      <c r="Q107" s="149" t="e">
        <f t="shared" si="1"/>
        <v>#REF!</v>
      </c>
      <c r="R107" s="149" t="e">
        <f>+#REF!</f>
        <v>#REF!</v>
      </c>
      <c r="S107" s="149" t="e">
        <f>+#REF!</f>
        <v>#REF!</v>
      </c>
      <c r="T107" s="149" t="e">
        <f>+#REF!</f>
        <v>#REF!</v>
      </c>
      <c r="U107" s="149" t="e">
        <f>+#REF!</f>
        <v>#REF!</v>
      </c>
      <c r="V107" s="149" t="e">
        <f>+#REF!</f>
        <v>#REF!</v>
      </c>
      <c r="W107" s="149" t="e">
        <f>+#REF!</f>
        <v>#REF!</v>
      </c>
      <c r="X107" s="149" t="e">
        <f>+#REF!</f>
        <v>#REF!</v>
      </c>
      <c r="Y107" s="149" t="e">
        <f>+#REF!</f>
        <v>#REF!</v>
      </c>
      <c r="Z107" s="149" t="e">
        <f>+#REF!</f>
        <v>#REF!</v>
      </c>
      <c r="AA107" s="149" t="e">
        <f>+#REF!</f>
        <v>#REF!</v>
      </c>
      <c r="AB107" s="149" t="e">
        <f>+#REF!</f>
        <v>#REF!</v>
      </c>
      <c r="AC107" s="149" t="e">
        <f>+#REF!</f>
        <v>#REF!</v>
      </c>
    </row>
    <row r="108" spans="1:31" ht="69.75" customHeight="1" x14ac:dyDescent="0.25">
      <c r="A108" s="1209"/>
      <c r="B108" s="1209"/>
      <c r="C108" s="1209"/>
      <c r="D108" s="1209"/>
      <c r="E108" s="1209"/>
      <c r="F108" s="1209"/>
      <c r="G108" s="2" t="s">
        <v>3882</v>
      </c>
      <c r="H108" s="154" t="s">
        <v>3885</v>
      </c>
      <c r="I108" s="154"/>
      <c r="J108" s="154"/>
      <c r="K108" s="154"/>
      <c r="L108" s="154"/>
      <c r="M108" s="155">
        <v>60000000</v>
      </c>
      <c r="N108" s="158">
        <v>132000000</v>
      </c>
      <c r="O108" s="151">
        <v>310</v>
      </c>
      <c r="P108" s="1430"/>
      <c r="Q108" s="149" t="e">
        <f t="shared" si="1"/>
        <v>#REF!</v>
      </c>
      <c r="R108" s="149" t="e">
        <f>+#REF!</f>
        <v>#REF!</v>
      </c>
      <c r="S108" s="149" t="e">
        <f>+#REF!</f>
        <v>#REF!</v>
      </c>
      <c r="T108" s="149" t="e">
        <f>+#REF!</f>
        <v>#REF!</v>
      </c>
      <c r="U108" s="149" t="e">
        <f>+#REF!</f>
        <v>#REF!</v>
      </c>
      <c r="V108" s="149" t="e">
        <f>+#REF!</f>
        <v>#REF!</v>
      </c>
      <c r="W108" s="149" t="e">
        <f>+#REF!</f>
        <v>#REF!</v>
      </c>
      <c r="X108" s="149" t="e">
        <f>+#REF!</f>
        <v>#REF!</v>
      </c>
      <c r="Y108" s="149" t="e">
        <f>+#REF!</f>
        <v>#REF!</v>
      </c>
      <c r="Z108" s="149" t="e">
        <f>+#REF!</f>
        <v>#REF!</v>
      </c>
      <c r="AA108" s="149" t="e">
        <f>+#REF!</f>
        <v>#REF!</v>
      </c>
      <c r="AB108" s="149" t="e">
        <f>+#REF!</f>
        <v>#REF!</v>
      </c>
      <c r="AC108" s="149" t="e">
        <f>+#REF!</f>
        <v>#REF!</v>
      </c>
    </row>
    <row r="109" spans="1:31" ht="15.6" customHeight="1" x14ac:dyDescent="0.25">
      <c r="A109" s="1209" t="s">
        <v>4237</v>
      </c>
      <c r="B109" s="1209"/>
      <c r="C109" s="1209"/>
      <c r="D109" s="1209"/>
      <c r="E109" s="1209"/>
      <c r="F109" s="1209"/>
      <c r="G109" s="1209"/>
      <c r="H109" s="1209"/>
      <c r="I109" s="1209"/>
      <c r="J109" s="1209"/>
      <c r="K109" s="1209"/>
      <c r="L109" s="1209"/>
      <c r="M109" s="1209"/>
      <c r="N109" s="1209"/>
      <c r="O109" s="1209"/>
      <c r="P109" s="1209"/>
      <c r="Q109" s="149" t="e">
        <f>SUM(Q106:Q108)</f>
        <v>#REF!</v>
      </c>
      <c r="R109" s="149" t="e">
        <f t="shared" ref="R109:AC109" si="15">SUM(R106:R108)</f>
        <v>#REF!</v>
      </c>
      <c r="S109" s="149" t="e">
        <f t="shared" si="15"/>
        <v>#REF!</v>
      </c>
      <c r="T109" s="149" t="e">
        <f t="shared" si="15"/>
        <v>#REF!</v>
      </c>
      <c r="U109" s="149" t="e">
        <f t="shared" si="15"/>
        <v>#REF!</v>
      </c>
      <c r="V109" s="149" t="e">
        <f t="shared" si="15"/>
        <v>#REF!</v>
      </c>
      <c r="W109" s="149" t="e">
        <f t="shared" si="15"/>
        <v>#REF!</v>
      </c>
      <c r="X109" s="149" t="e">
        <f t="shared" si="15"/>
        <v>#REF!</v>
      </c>
      <c r="Y109" s="149" t="e">
        <f t="shared" si="15"/>
        <v>#REF!</v>
      </c>
      <c r="Z109" s="149" t="e">
        <f t="shared" si="15"/>
        <v>#REF!</v>
      </c>
      <c r="AA109" s="149" t="e">
        <f t="shared" si="15"/>
        <v>#REF!</v>
      </c>
      <c r="AB109" s="149" t="e">
        <f t="shared" si="15"/>
        <v>#REF!</v>
      </c>
      <c r="AC109" s="149" t="e">
        <f t="shared" si="15"/>
        <v>#REF!</v>
      </c>
      <c r="AE109" s="1" t="e">
        <f>+Q109-'POAI 2011 AC.017 MAYO'!I23</f>
        <v>#REF!</v>
      </c>
    </row>
    <row r="110" spans="1:31" ht="69.599999999999994" customHeight="1" x14ac:dyDescent="0.25">
      <c r="A110" s="1244" t="s">
        <v>2945</v>
      </c>
      <c r="B110" s="1293" t="s">
        <v>3171</v>
      </c>
      <c r="C110" s="828" t="str">
        <f>+'PLANINDICATIVO PD MAYO'!J26</f>
        <v>AUMENTAR A 25 LOS GRUPOS DE INVESTIGACIÓN RECONOCIDOS POR COLCIENCIAS</v>
      </c>
      <c r="D110" s="828" t="str">
        <f>+'PLANINDICATIVO PD MAYO'!L26</f>
        <v>NÚMERO DE GRUPOS DE INVESTIGACIÓN RECONOCIDOS POR COLCIENCIAS</v>
      </c>
      <c r="E110" s="828"/>
      <c r="F110" s="828">
        <f>+'PLANINDICATIVO PD MAYO'!O26</f>
        <v>23</v>
      </c>
      <c r="G110" s="2" t="s">
        <v>3886</v>
      </c>
      <c r="H110" s="154" t="s">
        <v>3172</v>
      </c>
      <c r="I110" s="154"/>
      <c r="J110" s="154"/>
      <c r="K110" s="154"/>
      <c r="L110" s="154"/>
      <c r="M110" s="155">
        <v>440000000</v>
      </c>
      <c r="N110" s="158">
        <v>439999988</v>
      </c>
      <c r="O110" s="151">
        <v>410</v>
      </c>
      <c r="P110" s="1287" t="s">
        <v>3350</v>
      </c>
      <c r="Q110" s="149" t="e">
        <f t="shared" si="1"/>
        <v>#REF!</v>
      </c>
      <c r="R110" s="149" t="e">
        <f>+#REF!</f>
        <v>#REF!</v>
      </c>
      <c r="S110" s="149" t="e">
        <f>+#REF!</f>
        <v>#REF!</v>
      </c>
      <c r="T110" s="149" t="e">
        <f>+#REF!</f>
        <v>#REF!</v>
      </c>
      <c r="U110" s="149" t="e">
        <f>+#REF!</f>
        <v>#REF!</v>
      </c>
      <c r="V110" s="149" t="e">
        <f>+#REF!</f>
        <v>#REF!</v>
      </c>
      <c r="W110" s="149" t="e">
        <f>+#REF!</f>
        <v>#REF!</v>
      </c>
      <c r="X110" s="149" t="e">
        <f>+#REF!</f>
        <v>#REF!</v>
      </c>
      <c r="Y110" s="149" t="e">
        <f>+#REF!</f>
        <v>#REF!</v>
      </c>
      <c r="Z110" s="149" t="e">
        <f>+#REF!</f>
        <v>#REF!</v>
      </c>
      <c r="AA110" s="149" t="e">
        <f>+#REF!</f>
        <v>#REF!</v>
      </c>
      <c r="AB110" s="149" t="e">
        <f>+#REF!</f>
        <v>#REF!</v>
      </c>
      <c r="AC110" s="149" t="e">
        <f>+#REF!</f>
        <v>#REF!</v>
      </c>
    </row>
    <row r="111" spans="1:31" ht="55.5" customHeight="1" x14ac:dyDescent="0.25">
      <c r="A111" s="1244"/>
      <c r="B111" s="1293" t="s">
        <v>3173</v>
      </c>
      <c r="C111" s="823" t="str">
        <f>+'PLANINDICATIVO PD MAYO'!J27</f>
        <v>AUMENTAR A 20 LOS JÓVENES INVESTIGADORES</v>
      </c>
      <c r="D111" s="823" t="str">
        <f>+'PLANINDICATIVO PD MAYO'!L27</f>
        <v>NÚMERO DE JÓVENES INVESTIGADORES EN USCO</v>
      </c>
      <c r="E111" s="823"/>
      <c r="F111" s="823">
        <f>+'PLANINDICATIVO PD MAYO'!O27</f>
        <v>19</v>
      </c>
      <c r="G111" s="2" t="s">
        <v>4106</v>
      </c>
      <c r="H111" s="154" t="s">
        <v>3264</v>
      </c>
      <c r="I111" s="154"/>
      <c r="J111" s="154"/>
      <c r="K111" s="154"/>
      <c r="L111" s="154"/>
      <c r="M111" s="155">
        <v>170000000</v>
      </c>
      <c r="N111" s="155">
        <v>170000000</v>
      </c>
      <c r="O111" s="151">
        <v>410</v>
      </c>
      <c r="P111" s="1288"/>
      <c r="Q111" s="149" t="e">
        <f t="shared" si="1"/>
        <v>#REF!</v>
      </c>
      <c r="R111" s="149" t="e">
        <f>+#REF!</f>
        <v>#REF!</v>
      </c>
      <c r="S111" s="149" t="e">
        <f>+#REF!</f>
        <v>#REF!</v>
      </c>
      <c r="T111" s="149" t="e">
        <f>+#REF!</f>
        <v>#REF!</v>
      </c>
      <c r="U111" s="149" t="e">
        <f>+#REF!</f>
        <v>#REF!</v>
      </c>
      <c r="V111" s="149" t="e">
        <f>+#REF!</f>
        <v>#REF!</v>
      </c>
      <c r="W111" s="149" t="e">
        <f>+#REF!</f>
        <v>#REF!</v>
      </c>
      <c r="X111" s="149" t="e">
        <f>+#REF!</f>
        <v>#REF!</v>
      </c>
      <c r="Y111" s="149" t="e">
        <f>+#REF!</f>
        <v>#REF!</v>
      </c>
      <c r="Z111" s="149" t="e">
        <f>+#REF!</f>
        <v>#REF!</v>
      </c>
      <c r="AA111" s="149" t="e">
        <f>+#REF!</f>
        <v>#REF!</v>
      </c>
      <c r="AB111" s="149" t="e">
        <f>+#REF!</f>
        <v>#REF!</v>
      </c>
      <c r="AC111" s="149" t="e">
        <f>+#REF!</f>
        <v>#REF!</v>
      </c>
    </row>
    <row r="112" spans="1:31" ht="45" customHeight="1" x14ac:dyDescent="0.25">
      <c r="A112" s="1244"/>
      <c r="B112" s="1293" t="s">
        <v>3174</v>
      </c>
      <c r="C112" s="823" t="str">
        <f>+'PLANINDICATIVO PD MAYO'!J28</f>
        <v>AMPLIAR A 34 LOS SEMILLEROS DE INVESTIGACIÓN</v>
      </c>
      <c r="D112" s="823" t="str">
        <f>+'PLANINDICATIVO PD MAYO'!L28</f>
        <v>NÚMERO DE SEMILLEROS DE INVESTIGACIÓN</v>
      </c>
      <c r="E112" s="823"/>
      <c r="F112" s="823">
        <f>+'PLANINDICATIVO PD MAYO'!O28</f>
        <v>32</v>
      </c>
      <c r="G112" s="2" t="s">
        <v>4107</v>
      </c>
      <c r="H112" s="154" t="s">
        <v>60</v>
      </c>
      <c r="I112" s="154"/>
      <c r="J112" s="154"/>
      <c r="K112" s="154"/>
      <c r="L112" s="154"/>
      <c r="M112" s="155">
        <v>58000000</v>
      </c>
      <c r="N112" s="155">
        <v>58000000</v>
      </c>
      <c r="O112" s="151">
        <v>410</v>
      </c>
      <c r="P112" s="1289"/>
      <c r="Q112" s="149" t="e">
        <f t="shared" si="1"/>
        <v>#REF!</v>
      </c>
      <c r="R112" s="149" t="e">
        <f>+#REF!</f>
        <v>#REF!</v>
      </c>
      <c r="S112" s="149" t="e">
        <f>+#REF!</f>
        <v>#REF!</v>
      </c>
      <c r="T112" s="149" t="e">
        <f>+#REF!</f>
        <v>#REF!</v>
      </c>
      <c r="U112" s="149" t="e">
        <f>+#REF!</f>
        <v>#REF!</v>
      </c>
      <c r="V112" s="149" t="e">
        <f>+#REF!</f>
        <v>#REF!</v>
      </c>
      <c r="W112" s="149" t="e">
        <f>+#REF!</f>
        <v>#REF!</v>
      </c>
      <c r="X112" s="149" t="e">
        <f>+#REF!</f>
        <v>#REF!</v>
      </c>
      <c r="Y112" s="149" t="e">
        <f>+#REF!</f>
        <v>#REF!</v>
      </c>
      <c r="Z112" s="149" t="e">
        <f>+#REF!</f>
        <v>#REF!</v>
      </c>
      <c r="AA112" s="149" t="e">
        <f>+#REF!</f>
        <v>#REF!</v>
      </c>
      <c r="AB112" s="149" t="e">
        <f>+#REF!</f>
        <v>#REF!</v>
      </c>
      <c r="AC112" s="149" t="e">
        <f>+#REF!</f>
        <v>#REF!</v>
      </c>
    </row>
    <row r="113" spans="1:31" ht="82.15" customHeight="1" x14ac:dyDescent="0.25">
      <c r="A113" s="1260"/>
      <c r="B113" s="1260"/>
      <c r="C113" s="825" t="str">
        <f>+C110</f>
        <v>AUMENTAR A 25 LOS GRUPOS DE INVESTIGACIÓN RECONOCIDOS POR COLCIENCIAS</v>
      </c>
      <c r="D113" s="825" t="str">
        <f>+D110</f>
        <v>NÚMERO DE GRUPOS DE INVESTIGACIÓN RECONOCIDOS POR COLCIENCIAS</v>
      </c>
      <c r="E113" s="825"/>
      <c r="F113" s="825">
        <f>+F110</f>
        <v>23</v>
      </c>
      <c r="G113" s="811" t="s">
        <v>4148</v>
      </c>
      <c r="H113" s="165" t="s">
        <v>4149</v>
      </c>
      <c r="I113" s="165"/>
      <c r="J113" s="165"/>
      <c r="K113" s="165"/>
      <c r="L113" s="165"/>
      <c r="M113" s="155"/>
      <c r="N113" s="155"/>
      <c r="O113" s="151">
        <v>410</v>
      </c>
      <c r="P113" s="814" t="s">
        <v>4136</v>
      </c>
      <c r="Q113" s="149" t="e">
        <f t="shared" si="1"/>
        <v>#REF!</v>
      </c>
      <c r="R113" s="149" t="e">
        <f>+#REF!</f>
        <v>#REF!</v>
      </c>
      <c r="S113" s="149" t="e">
        <f>+#REF!</f>
        <v>#REF!</v>
      </c>
      <c r="T113" s="149" t="e">
        <f>+#REF!</f>
        <v>#REF!</v>
      </c>
      <c r="U113" s="149" t="e">
        <f>+#REF!</f>
        <v>#REF!</v>
      </c>
      <c r="V113" s="149" t="e">
        <f>+#REF!</f>
        <v>#REF!</v>
      </c>
      <c r="W113" s="149" t="e">
        <f>+#REF!</f>
        <v>#REF!</v>
      </c>
      <c r="X113" s="149" t="e">
        <f>+#REF!</f>
        <v>#REF!</v>
      </c>
      <c r="Y113" s="149" t="e">
        <f>+#REF!</f>
        <v>#REF!</v>
      </c>
      <c r="Z113" s="149" t="e">
        <f>+#REF!</f>
        <v>#REF!</v>
      </c>
      <c r="AA113" s="149" t="e">
        <f>+#REF!</f>
        <v>#REF!</v>
      </c>
      <c r="AB113" s="149" t="e">
        <f>+#REF!</f>
        <v>#REF!</v>
      </c>
      <c r="AC113" s="149" t="e">
        <f>+#REF!</f>
        <v>#REF!</v>
      </c>
    </row>
    <row r="114" spans="1:31" ht="17.45" customHeight="1" x14ac:dyDescent="0.25">
      <c r="A114" s="1209" t="s">
        <v>4238</v>
      </c>
      <c r="B114" s="1209"/>
      <c r="C114" s="1209"/>
      <c r="D114" s="1209"/>
      <c r="E114" s="1209"/>
      <c r="F114" s="1209"/>
      <c r="G114" s="1209"/>
      <c r="H114" s="1209"/>
      <c r="I114" s="1209"/>
      <c r="J114" s="1209"/>
      <c r="K114" s="1209"/>
      <c r="L114" s="1209"/>
      <c r="M114" s="1209"/>
      <c r="N114" s="1209"/>
      <c r="O114" s="1209"/>
      <c r="P114" s="1209"/>
      <c r="Q114" s="149" t="e">
        <f>SUM(Q110:Q113)</f>
        <v>#REF!</v>
      </c>
      <c r="R114" s="149" t="e">
        <f t="shared" ref="R114:AC114" si="16">SUM(R110:R113)</f>
        <v>#REF!</v>
      </c>
      <c r="S114" s="149" t="e">
        <f t="shared" si="16"/>
        <v>#REF!</v>
      </c>
      <c r="T114" s="149" t="e">
        <f t="shared" si="16"/>
        <v>#REF!</v>
      </c>
      <c r="U114" s="149" t="e">
        <f t="shared" si="16"/>
        <v>#REF!</v>
      </c>
      <c r="V114" s="149" t="e">
        <f t="shared" si="16"/>
        <v>#REF!</v>
      </c>
      <c r="W114" s="149" t="e">
        <f t="shared" si="16"/>
        <v>#REF!</v>
      </c>
      <c r="X114" s="149" t="e">
        <f t="shared" si="16"/>
        <v>#REF!</v>
      </c>
      <c r="Y114" s="149" t="e">
        <f t="shared" si="16"/>
        <v>#REF!</v>
      </c>
      <c r="Z114" s="149" t="e">
        <f t="shared" si="16"/>
        <v>#REF!</v>
      </c>
      <c r="AA114" s="149" t="e">
        <f t="shared" si="16"/>
        <v>#REF!</v>
      </c>
      <c r="AB114" s="149" t="e">
        <f t="shared" si="16"/>
        <v>#REF!</v>
      </c>
      <c r="AC114" s="149" t="e">
        <f t="shared" si="16"/>
        <v>#REF!</v>
      </c>
      <c r="AE114" s="1" t="e">
        <f>+Q114-'POAI 2011 AC.017 MAYO'!I24</f>
        <v>#REF!</v>
      </c>
    </row>
    <row r="115" spans="1:31" ht="33.75" customHeight="1" x14ac:dyDescent="0.25">
      <c r="A115" s="1243" t="s">
        <v>2988</v>
      </c>
      <c r="B115" s="1292" t="s">
        <v>3180</v>
      </c>
      <c r="C115" s="1209" t="str">
        <f>+'PLANINDICATIVO PD MAYO'!J29</f>
        <v>PUBLICAR 35  LIBROS PRODUCTO DE INVESTIGACIÓN, 50 LOS ARTÍCULOS EN REVISTAS INDEXADAS E INDEXAR 2 REVISTAS USCO</v>
      </c>
      <c r="D115" s="1209" t="s">
        <v>3272</v>
      </c>
      <c r="E115" s="1209"/>
      <c r="F115" s="1209" t="str">
        <f>+'PLANINDICATIVO PD MAYO'!O29</f>
        <v>9 libros, 12 artìculos, 1 revistas indexadas</v>
      </c>
      <c r="G115" s="2" t="s">
        <v>3887</v>
      </c>
      <c r="H115" s="154" t="s">
        <v>3181</v>
      </c>
      <c r="I115" s="154"/>
      <c r="J115" s="154"/>
      <c r="K115" s="154"/>
      <c r="L115" s="154"/>
      <c r="M115" s="155">
        <v>70000000</v>
      </c>
      <c r="N115" s="155">
        <v>70000000</v>
      </c>
      <c r="O115" s="151">
        <v>410</v>
      </c>
      <c r="P115" s="1205" t="s">
        <v>3350</v>
      </c>
      <c r="Q115" s="149" t="e">
        <f>SUM(R115:AC115)</f>
        <v>#REF!</v>
      </c>
      <c r="R115" s="149" t="e">
        <f>+#REF!</f>
        <v>#REF!</v>
      </c>
      <c r="S115" s="149" t="e">
        <f>+#REF!</f>
        <v>#REF!</v>
      </c>
      <c r="T115" s="149" t="e">
        <f>+#REF!</f>
        <v>#REF!</v>
      </c>
      <c r="U115" s="149" t="e">
        <f>+#REF!</f>
        <v>#REF!</v>
      </c>
      <c r="V115" s="149" t="e">
        <f>+#REF!</f>
        <v>#REF!</v>
      </c>
      <c r="W115" s="149" t="e">
        <f>+#REF!</f>
        <v>#REF!</v>
      </c>
      <c r="X115" s="149" t="e">
        <f>+#REF!</f>
        <v>#REF!</v>
      </c>
      <c r="Y115" s="149" t="e">
        <f>+#REF!</f>
        <v>#REF!</v>
      </c>
      <c r="Z115" s="149" t="e">
        <f>+#REF!</f>
        <v>#REF!</v>
      </c>
      <c r="AA115" s="149" t="e">
        <f>+#REF!</f>
        <v>#REF!</v>
      </c>
      <c r="AB115" s="149" t="e">
        <f>+#REF!</f>
        <v>#REF!</v>
      </c>
      <c r="AC115" s="149" t="e">
        <f>+#REF!</f>
        <v>#REF!</v>
      </c>
    </row>
    <row r="116" spans="1:31" ht="40.5" customHeight="1" x14ac:dyDescent="0.25">
      <c r="A116" s="1244"/>
      <c r="B116" s="1293"/>
      <c r="C116" s="1209"/>
      <c r="D116" s="1209"/>
      <c r="E116" s="1209"/>
      <c r="F116" s="1209"/>
      <c r="G116" s="2" t="s">
        <v>3888</v>
      </c>
      <c r="H116" s="154" t="s">
        <v>3237</v>
      </c>
      <c r="I116" s="154"/>
      <c r="J116" s="154"/>
      <c r="K116" s="154"/>
      <c r="L116" s="154"/>
      <c r="M116" s="155">
        <v>50000000</v>
      </c>
      <c r="N116" s="155">
        <v>50000000</v>
      </c>
      <c r="O116" s="151">
        <v>410</v>
      </c>
      <c r="P116" s="1199"/>
      <c r="Q116" s="149" t="e">
        <f>SUM(R116:AC116)</f>
        <v>#REF!</v>
      </c>
      <c r="R116" s="149" t="e">
        <f>+#REF!</f>
        <v>#REF!</v>
      </c>
      <c r="S116" s="149" t="e">
        <f>+#REF!</f>
        <v>#REF!</v>
      </c>
      <c r="T116" s="149" t="e">
        <f>+#REF!</f>
        <v>#REF!</v>
      </c>
      <c r="U116" s="149" t="e">
        <f>+#REF!</f>
        <v>#REF!</v>
      </c>
      <c r="V116" s="149" t="e">
        <f>+#REF!</f>
        <v>#REF!</v>
      </c>
      <c r="W116" s="149" t="e">
        <f>+#REF!</f>
        <v>#REF!</v>
      </c>
      <c r="X116" s="149" t="e">
        <f>+#REF!</f>
        <v>#REF!</v>
      </c>
      <c r="Y116" s="149" t="e">
        <f>+#REF!</f>
        <v>#REF!</v>
      </c>
      <c r="Z116" s="149" t="e">
        <f>+#REF!</f>
        <v>#REF!</v>
      </c>
      <c r="AA116" s="149" t="e">
        <f>+#REF!</f>
        <v>#REF!</v>
      </c>
      <c r="AB116" s="149" t="e">
        <f>+#REF!</f>
        <v>#REF!</v>
      </c>
      <c r="AC116" s="149" t="e">
        <f>+#REF!</f>
        <v>#REF!</v>
      </c>
    </row>
    <row r="117" spans="1:31" ht="48" customHeight="1" x14ac:dyDescent="0.25">
      <c r="A117" s="1244"/>
      <c r="B117" s="1293"/>
      <c r="C117" s="1209"/>
      <c r="D117" s="1209"/>
      <c r="E117" s="1209"/>
      <c r="F117" s="1209"/>
      <c r="G117" s="2" t="s">
        <v>3889</v>
      </c>
      <c r="H117" s="154" t="s">
        <v>394</v>
      </c>
      <c r="I117" s="154"/>
      <c r="J117" s="154"/>
      <c r="K117" s="154"/>
      <c r="L117" s="154"/>
      <c r="M117" s="155">
        <v>50000000</v>
      </c>
      <c r="N117" s="155">
        <v>50000000</v>
      </c>
      <c r="O117" s="151">
        <v>410</v>
      </c>
      <c r="P117" s="1206"/>
      <c r="Q117" s="149" t="e">
        <f>SUM(R117:AC117)</f>
        <v>#REF!</v>
      </c>
      <c r="R117" s="149" t="e">
        <f>+#REF!</f>
        <v>#REF!</v>
      </c>
      <c r="S117" s="149" t="e">
        <f>+#REF!</f>
        <v>#REF!</v>
      </c>
      <c r="T117" s="149" t="e">
        <f>+#REF!</f>
        <v>#REF!</v>
      </c>
      <c r="U117" s="149" t="e">
        <f>+#REF!</f>
        <v>#REF!</v>
      </c>
      <c r="V117" s="149" t="e">
        <f>+#REF!</f>
        <v>#REF!</v>
      </c>
      <c r="W117" s="149" t="e">
        <f>+#REF!</f>
        <v>#REF!</v>
      </c>
      <c r="X117" s="149" t="e">
        <f>+#REF!</f>
        <v>#REF!</v>
      </c>
      <c r="Y117" s="149" t="e">
        <f>+#REF!</f>
        <v>#REF!</v>
      </c>
      <c r="Z117" s="149" t="e">
        <f>+#REF!</f>
        <v>#REF!</v>
      </c>
      <c r="AA117" s="149" t="e">
        <f>+#REF!</f>
        <v>#REF!</v>
      </c>
      <c r="AB117" s="149" t="e">
        <f>+#REF!</f>
        <v>#REF!</v>
      </c>
      <c r="AC117" s="149" t="e">
        <f>+#REF!</f>
        <v>#REF!</v>
      </c>
    </row>
    <row r="118" spans="1:31" ht="72.75" customHeight="1" x14ac:dyDescent="0.25">
      <c r="A118" s="1260"/>
      <c r="B118" s="1294"/>
      <c r="C118" s="823" t="str">
        <f>+'PLANINDICATIVO PD MAYO'!J30</f>
        <v>PUBLICAR 13 LIBROS EN DESARROLLO DE LA EDITORIAL DE LA UNIVERSIDAD</v>
      </c>
      <c r="D118" s="823" t="str">
        <f>+'PLANINDICATIVO PD MAYO'!L30</f>
        <v xml:space="preserve">NÚMERO DE LIBROS PUBLICADOS </v>
      </c>
      <c r="E118" s="823"/>
      <c r="F118" s="823">
        <f>+'PLANINDICATIVO PD MAYO'!O30</f>
        <v>4</v>
      </c>
      <c r="G118" s="2" t="s">
        <v>3890</v>
      </c>
      <c r="H118" s="154" t="s">
        <v>3424</v>
      </c>
      <c r="I118" s="154"/>
      <c r="J118" s="154"/>
      <c r="K118" s="154"/>
      <c r="L118" s="154"/>
      <c r="M118" s="155"/>
      <c r="N118" s="155"/>
      <c r="O118" s="151">
        <v>410</v>
      </c>
      <c r="P118" s="805" t="s">
        <v>3350</v>
      </c>
      <c r="Q118" s="149" t="e">
        <f>SUM(R118:AC118)</f>
        <v>#REF!</v>
      </c>
      <c r="R118" s="149" t="e">
        <f>+#REF!</f>
        <v>#REF!</v>
      </c>
      <c r="S118" s="149" t="e">
        <f>+#REF!</f>
        <v>#REF!</v>
      </c>
      <c r="T118" s="149" t="e">
        <f>+#REF!</f>
        <v>#REF!</v>
      </c>
      <c r="U118" s="149" t="e">
        <f>+#REF!</f>
        <v>#REF!</v>
      </c>
      <c r="V118" s="149" t="e">
        <f>+#REF!</f>
        <v>#REF!</v>
      </c>
      <c r="W118" s="149" t="e">
        <f>+#REF!</f>
        <v>#REF!</v>
      </c>
      <c r="X118" s="149" t="e">
        <f>+#REF!</f>
        <v>#REF!</v>
      </c>
      <c r="Y118" s="149" t="e">
        <f>+#REF!</f>
        <v>#REF!</v>
      </c>
      <c r="Z118" s="149" t="e">
        <f>+#REF!</f>
        <v>#REF!</v>
      </c>
      <c r="AA118" s="149" t="e">
        <f>+#REF!</f>
        <v>#REF!</v>
      </c>
      <c r="AB118" s="149" t="e">
        <f>+#REF!</f>
        <v>#REF!</v>
      </c>
      <c r="AC118" s="149" t="e">
        <f>+#REF!</f>
        <v>#REF!</v>
      </c>
    </row>
    <row r="119" spans="1:31" ht="17.45" customHeight="1" x14ac:dyDescent="0.25">
      <c r="A119" s="1209" t="s">
        <v>4239</v>
      </c>
      <c r="B119" s="1209"/>
      <c r="C119" s="1209"/>
      <c r="D119" s="1209"/>
      <c r="E119" s="1209"/>
      <c r="F119" s="1209"/>
      <c r="G119" s="1209"/>
      <c r="H119" s="1209"/>
      <c r="I119" s="1209"/>
      <c r="J119" s="1209"/>
      <c r="K119" s="1209"/>
      <c r="L119" s="1209"/>
      <c r="M119" s="1209"/>
      <c r="N119" s="1209"/>
      <c r="O119" s="1209"/>
      <c r="P119" s="1209"/>
      <c r="Q119" s="149" t="e">
        <f>SUM(Q115:Q118)</f>
        <v>#REF!</v>
      </c>
      <c r="R119" s="149" t="e">
        <f>SUM(R115:R118)</f>
        <v>#REF!</v>
      </c>
      <c r="S119" s="149" t="e">
        <f t="shared" ref="S119:AC119" si="17">SUM(S115:S118)</f>
        <v>#REF!</v>
      </c>
      <c r="T119" s="149" t="e">
        <f t="shared" si="17"/>
        <v>#REF!</v>
      </c>
      <c r="U119" s="149" t="e">
        <f t="shared" si="17"/>
        <v>#REF!</v>
      </c>
      <c r="V119" s="149" t="e">
        <f t="shared" si="17"/>
        <v>#REF!</v>
      </c>
      <c r="W119" s="149" t="e">
        <f t="shared" si="17"/>
        <v>#REF!</v>
      </c>
      <c r="X119" s="149" t="e">
        <f t="shared" si="17"/>
        <v>#REF!</v>
      </c>
      <c r="Y119" s="149" t="e">
        <f t="shared" si="17"/>
        <v>#REF!</v>
      </c>
      <c r="Z119" s="149" t="e">
        <f t="shared" si="17"/>
        <v>#REF!</v>
      </c>
      <c r="AA119" s="149" t="e">
        <f t="shared" si="17"/>
        <v>#REF!</v>
      </c>
      <c r="AB119" s="149" t="e">
        <f t="shared" si="17"/>
        <v>#REF!</v>
      </c>
      <c r="AC119" s="149" t="e">
        <f t="shared" si="17"/>
        <v>#REF!</v>
      </c>
      <c r="AE119" s="1" t="e">
        <f>+Q119-'POAI 2011 AC.017 MAYO'!I25</f>
        <v>#REF!</v>
      </c>
    </row>
    <row r="120" spans="1:31" ht="69" customHeight="1" x14ac:dyDescent="0.25">
      <c r="A120" s="1243" t="s">
        <v>2973</v>
      </c>
      <c r="B120" s="1243" t="s">
        <v>3205</v>
      </c>
      <c r="C120" s="826" t="str">
        <f>+'PLANINDICATIVO PD MAYO'!J31</f>
        <v>INCREMENTAR EN 5 LOS CONVENIOS/ALIANZAS PARA LA INVESTIGACIÓN</v>
      </c>
      <c r="D120" s="826" t="str">
        <f>+'PLANINDICATIVO PD MAYO'!L31</f>
        <v>NÚMERO DE CONVENIOS/ALIANZAS</v>
      </c>
      <c r="E120" s="812"/>
      <c r="F120" s="811">
        <f>+'PLANINDICATIVO PD MAYO'!O31</f>
        <v>8</v>
      </c>
      <c r="G120" s="2" t="s">
        <v>3891</v>
      </c>
      <c r="H120" s="154" t="s">
        <v>3178</v>
      </c>
      <c r="I120" s="154"/>
      <c r="J120" s="154"/>
      <c r="K120" s="154"/>
      <c r="L120" s="154"/>
      <c r="M120" s="155">
        <v>105000000</v>
      </c>
      <c r="N120" s="155">
        <v>105000000</v>
      </c>
      <c r="O120" s="151">
        <v>410</v>
      </c>
      <c r="P120" s="1205" t="s">
        <v>3350</v>
      </c>
      <c r="Q120" s="149" t="e">
        <f t="shared" si="1"/>
        <v>#REF!</v>
      </c>
      <c r="R120" s="149" t="e">
        <f>+#REF!</f>
        <v>#REF!</v>
      </c>
      <c r="S120" s="149" t="e">
        <f>+#REF!</f>
        <v>#REF!</v>
      </c>
      <c r="T120" s="149" t="e">
        <f>+#REF!</f>
        <v>#REF!</v>
      </c>
      <c r="U120" s="149" t="e">
        <f>+#REF!</f>
        <v>#REF!</v>
      </c>
      <c r="V120" s="149" t="e">
        <f>+#REF!</f>
        <v>#REF!</v>
      </c>
      <c r="W120" s="149" t="e">
        <f>+#REF!</f>
        <v>#REF!</v>
      </c>
      <c r="X120" s="149" t="e">
        <f>+#REF!</f>
        <v>#REF!</v>
      </c>
      <c r="Y120" s="149" t="e">
        <f>+#REF!</f>
        <v>#REF!</v>
      </c>
      <c r="Z120" s="149" t="e">
        <f>+#REF!</f>
        <v>#REF!</v>
      </c>
      <c r="AA120" s="149" t="e">
        <f>+#REF!</f>
        <v>#REF!</v>
      </c>
      <c r="AB120" s="149" t="e">
        <f>+#REF!</f>
        <v>#REF!</v>
      </c>
      <c r="AC120" s="149" t="e">
        <f>+#REF!</f>
        <v>#REF!</v>
      </c>
    </row>
    <row r="121" spans="1:31" ht="72" customHeight="1" x14ac:dyDescent="0.25">
      <c r="A121" s="1260"/>
      <c r="B121" s="1260"/>
      <c r="C121" s="826" t="str">
        <f>+'PLANINDICATIVO PD MAYO'!J32</f>
        <v>MANTENER FINANCIADOS 56 PROYECTOS DE INVESTIGACIÓN</v>
      </c>
      <c r="D121" s="826" t="str">
        <f>+'PLANINDICATIVO PD MAYO'!L32</f>
        <v>NÚMERO DE PROYECTOS DE INVESTIGACIÓN FINANCIADOS POR AÑO</v>
      </c>
      <c r="E121" s="100"/>
      <c r="F121" s="826">
        <f>+'PLANINDICATIVO PD MAYO'!O32</f>
        <v>52</v>
      </c>
      <c r="G121" s="2" t="s">
        <v>3892</v>
      </c>
      <c r="H121" s="154" t="s">
        <v>3179</v>
      </c>
      <c r="I121" s="154"/>
      <c r="J121" s="154"/>
      <c r="K121" s="154"/>
      <c r="L121" s="154"/>
      <c r="M121" s="155">
        <v>780000000</v>
      </c>
      <c r="N121" s="155">
        <v>780000000</v>
      </c>
      <c r="O121" s="151">
        <v>410</v>
      </c>
      <c r="P121" s="1206"/>
      <c r="Q121" s="149" t="e">
        <f t="shared" si="1"/>
        <v>#REF!</v>
      </c>
      <c r="R121" s="149" t="e">
        <f>+#REF!</f>
        <v>#REF!</v>
      </c>
      <c r="S121" s="149" t="e">
        <f>+#REF!</f>
        <v>#REF!</v>
      </c>
      <c r="T121" s="149" t="e">
        <f>+#REF!</f>
        <v>#REF!</v>
      </c>
      <c r="U121" s="149" t="e">
        <f>+#REF!</f>
        <v>#REF!</v>
      </c>
      <c r="V121" s="149" t="e">
        <f>+#REF!</f>
        <v>#REF!</v>
      </c>
      <c r="W121" s="149" t="e">
        <f>+#REF!</f>
        <v>#REF!</v>
      </c>
      <c r="X121" s="149" t="e">
        <f>+#REF!</f>
        <v>#REF!</v>
      </c>
      <c r="Y121" s="149" t="e">
        <f>+#REF!</f>
        <v>#REF!</v>
      </c>
      <c r="Z121" s="149" t="e">
        <f>+#REF!</f>
        <v>#REF!</v>
      </c>
      <c r="AA121" s="149" t="e">
        <f>+#REF!</f>
        <v>#REF!</v>
      </c>
      <c r="AB121" s="149" t="e">
        <f>+#REF!</f>
        <v>#REF!</v>
      </c>
      <c r="AC121" s="149" t="e">
        <f>+#REF!</f>
        <v>#REF!</v>
      </c>
    </row>
    <row r="122" spans="1:31" ht="18" customHeight="1" x14ac:dyDescent="0.25">
      <c r="A122" s="1209" t="s">
        <v>4240</v>
      </c>
      <c r="B122" s="1209"/>
      <c r="C122" s="1209"/>
      <c r="D122" s="1209"/>
      <c r="E122" s="1209"/>
      <c r="F122" s="1209"/>
      <c r="G122" s="1209"/>
      <c r="H122" s="1209"/>
      <c r="I122" s="1209"/>
      <c r="J122" s="1209"/>
      <c r="K122" s="1209"/>
      <c r="L122" s="1209"/>
      <c r="M122" s="1209"/>
      <c r="N122" s="1209"/>
      <c r="O122" s="1209"/>
      <c r="P122" s="1209"/>
      <c r="Q122" s="149" t="e">
        <f>SUM(Q120:Q121)</f>
        <v>#REF!</v>
      </c>
      <c r="R122" s="149" t="e">
        <f t="shared" ref="R122:AC122" si="18">SUM(R120:R121)</f>
        <v>#REF!</v>
      </c>
      <c r="S122" s="149" t="e">
        <f t="shared" si="18"/>
        <v>#REF!</v>
      </c>
      <c r="T122" s="149" t="e">
        <f t="shared" si="18"/>
        <v>#REF!</v>
      </c>
      <c r="U122" s="149" t="e">
        <f t="shared" si="18"/>
        <v>#REF!</v>
      </c>
      <c r="V122" s="149" t="e">
        <f t="shared" si="18"/>
        <v>#REF!</v>
      </c>
      <c r="W122" s="149" t="e">
        <f t="shared" si="18"/>
        <v>#REF!</v>
      </c>
      <c r="X122" s="149" t="e">
        <f t="shared" si="18"/>
        <v>#REF!</v>
      </c>
      <c r="Y122" s="149" t="e">
        <f t="shared" si="18"/>
        <v>#REF!</v>
      </c>
      <c r="Z122" s="149" t="e">
        <f t="shared" si="18"/>
        <v>#REF!</v>
      </c>
      <c r="AA122" s="149" t="e">
        <f t="shared" si="18"/>
        <v>#REF!</v>
      </c>
      <c r="AB122" s="149" t="e">
        <f t="shared" si="18"/>
        <v>#REF!</v>
      </c>
      <c r="AC122" s="149" t="e">
        <f t="shared" si="18"/>
        <v>#REF!</v>
      </c>
      <c r="AE122" s="1" t="e">
        <f>+Q122-'POAI 2011 AC.017 MAYO'!I26</f>
        <v>#REF!</v>
      </c>
    </row>
    <row r="123" spans="1:31" ht="57" customHeight="1" x14ac:dyDescent="0.25">
      <c r="A123" s="2" t="s">
        <v>2980</v>
      </c>
      <c r="B123" s="2" t="s">
        <v>3230</v>
      </c>
      <c r="C123" s="2" t="str">
        <f>+'PLANINDICATIVO PD MAYO'!J33</f>
        <v>AMPLIAR A 4 LAS MEMBRESÍAS A REDES DE INVESTIGACIÓN</v>
      </c>
      <c r="D123" s="2" t="str">
        <f>+'PLANINDICATIVO PD MAYO'!L33</f>
        <v>NÚMERO DE MEBRESÍAS A REDES DE INVESTIGACIÓN</v>
      </c>
      <c r="E123" s="100"/>
      <c r="F123" s="2">
        <f>+'PLANINDICATIVO PD MAYO'!O33</f>
        <v>4</v>
      </c>
      <c r="G123" s="2" t="s">
        <v>3893</v>
      </c>
      <c r="H123" s="154" t="s">
        <v>3231</v>
      </c>
      <c r="I123" s="154"/>
      <c r="J123" s="154"/>
      <c r="K123" s="154"/>
      <c r="L123" s="154"/>
      <c r="M123" s="155">
        <v>30000000</v>
      </c>
      <c r="N123" s="155">
        <v>30000000</v>
      </c>
      <c r="O123" s="151">
        <v>410</v>
      </c>
      <c r="P123" s="903" t="s">
        <v>3350</v>
      </c>
      <c r="Q123" s="149" t="e">
        <f t="shared" si="1"/>
        <v>#REF!</v>
      </c>
      <c r="R123" s="149" t="e">
        <f>+#REF!</f>
        <v>#REF!</v>
      </c>
      <c r="S123" s="149" t="e">
        <f>+#REF!</f>
        <v>#REF!</v>
      </c>
      <c r="T123" s="149" t="e">
        <f>+#REF!</f>
        <v>#REF!</v>
      </c>
      <c r="U123" s="149" t="e">
        <f>+#REF!</f>
        <v>#REF!</v>
      </c>
      <c r="V123" s="149" t="e">
        <f>+#REF!</f>
        <v>#REF!</v>
      </c>
      <c r="W123" s="149" t="e">
        <f>+#REF!</f>
        <v>#REF!</v>
      </c>
      <c r="X123" s="149" t="e">
        <f>+#REF!</f>
        <v>#REF!</v>
      </c>
      <c r="Y123" s="149" t="e">
        <f>+#REF!</f>
        <v>#REF!</v>
      </c>
      <c r="Z123" s="149" t="e">
        <f>+#REF!</f>
        <v>#REF!</v>
      </c>
      <c r="AA123" s="149" t="e">
        <f>+#REF!</f>
        <v>#REF!</v>
      </c>
      <c r="AB123" s="149" t="e">
        <f>+#REF!</f>
        <v>#REF!</v>
      </c>
      <c r="AC123" s="149" t="e">
        <f>+#REF!</f>
        <v>#REF!</v>
      </c>
    </row>
    <row r="124" spans="1:31" ht="15" customHeight="1" x14ac:dyDescent="0.25">
      <c r="A124" s="1209" t="s">
        <v>4241</v>
      </c>
      <c r="B124" s="1209"/>
      <c r="C124" s="1209"/>
      <c r="D124" s="1209"/>
      <c r="E124" s="1209"/>
      <c r="F124" s="1209"/>
      <c r="G124" s="1209"/>
      <c r="H124" s="1209"/>
      <c r="I124" s="1209"/>
      <c r="J124" s="1209"/>
      <c r="K124" s="1209"/>
      <c r="L124" s="1209"/>
      <c r="M124" s="1209"/>
      <c r="N124" s="1209"/>
      <c r="O124" s="1209"/>
      <c r="P124" s="1209"/>
      <c r="Q124" s="149" t="e">
        <f>SUM(Q123)</f>
        <v>#REF!</v>
      </c>
      <c r="R124" s="149" t="e">
        <f t="shared" ref="R124:AC124" si="19">SUM(R123)</f>
        <v>#REF!</v>
      </c>
      <c r="S124" s="149" t="e">
        <f t="shared" si="19"/>
        <v>#REF!</v>
      </c>
      <c r="T124" s="149" t="e">
        <f t="shared" si="19"/>
        <v>#REF!</v>
      </c>
      <c r="U124" s="149" t="e">
        <f t="shared" si="19"/>
        <v>#REF!</v>
      </c>
      <c r="V124" s="149" t="e">
        <f t="shared" si="19"/>
        <v>#REF!</v>
      </c>
      <c r="W124" s="149" t="e">
        <f t="shared" si="19"/>
        <v>#REF!</v>
      </c>
      <c r="X124" s="149" t="e">
        <f t="shared" si="19"/>
        <v>#REF!</v>
      </c>
      <c r="Y124" s="149" t="e">
        <f t="shared" si="19"/>
        <v>#REF!</v>
      </c>
      <c r="Z124" s="149" t="e">
        <f t="shared" si="19"/>
        <v>#REF!</v>
      </c>
      <c r="AA124" s="149" t="e">
        <f t="shared" si="19"/>
        <v>#REF!</v>
      </c>
      <c r="AB124" s="149" t="e">
        <f t="shared" si="19"/>
        <v>#REF!</v>
      </c>
      <c r="AC124" s="149" t="e">
        <f t="shared" si="19"/>
        <v>#REF!</v>
      </c>
      <c r="AE124" s="1" t="e">
        <f>+Q124-'POAI 2011 AC.017 MAYO'!I27</f>
        <v>#REF!</v>
      </c>
    </row>
    <row r="125" spans="1:31" ht="112.9" customHeight="1" x14ac:dyDescent="0.25">
      <c r="A125" s="2" t="s">
        <v>2984</v>
      </c>
      <c r="B125" s="2" t="s">
        <v>2985</v>
      </c>
      <c r="C125" s="2" t="str">
        <f>+'PLANINDICATIVO PD MAYO'!J34</f>
        <v>AVANZAR EN UN 50% EN EL PROCESOS PARA OBTENER UNA PATENTES O REGISTRO DE MARCA A NOMBRE DE USCO</v>
      </c>
      <c r="D125" s="824" t="str">
        <f>+'PLANINDICATIVO PD MAYO'!L34</f>
        <v>50% DEL PROCESO AVANZADO DE PATENTES O REGISTRO DE MARCA A FAVOR USCO</v>
      </c>
      <c r="E125" s="809"/>
      <c r="F125" s="349">
        <f>+'PLANINDICATIVO PD MAYO'!O34</f>
        <v>0.2</v>
      </c>
      <c r="G125" s="2" t="s">
        <v>3894</v>
      </c>
      <c r="H125" s="154" t="s">
        <v>388</v>
      </c>
      <c r="I125" s="154"/>
      <c r="J125" s="154"/>
      <c r="K125" s="154"/>
      <c r="L125" s="154"/>
      <c r="M125" s="155">
        <v>20000000</v>
      </c>
      <c r="N125" s="155">
        <v>20000000</v>
      </c>
      <c r="O125" s="151">
        <v>410</v>
      </c>
      <c r="P125" s="846"/>
      <c r="Q125" s="149" t="e">
        <f t="shared" si="1"/>
        <v>#REF!</v>
      </c>
      <c r="R125" s="149" t="e">
        <f>+#REF!</f>
        <v>#REF!</v>
      </c>
      <c r="S125" s="149" t="e">
        <f>+#REF!</f>
        <v>#REF!</v>
      </c>
      <c r="T125" s="149" t="e">
        <f>+#REF!</f>
        <v>#REF!</v>
      </c>
      <c r="U125" s="149" t="e">
        <f>+#REF!</f>
        <v>#REF!</v>
      </c>
      <c r="V125" s="149" t="e">
        <f>+#REF!</f>
        <v>#REF!</v>
      </c>
      <c r="W125" s="149" t="e">
        <f>+#REF!</f>
        <v>#REF!</v>
      </c>
      <c r="X125" s="149" t="e">
        <f>+#REF!</f>
        <v>#REF!</v>
      </c>
      <c r="Y125" s="149" t="e">
        <f>+#REF!</f>
        <v>#REF!</v>
      </c>
      <c r="Z125" s="149" t="e">
        <f>+#REF!</f>
        <v>#REF!</v>
      </c>
      <c r="AA125" s="149" t="e">
        <f>+#REF!</f>
        <v>#REF!</v>
      </c>
      <c r="AB125" s="149" t="e">
        <f>+#REF!</f>
        <v>#REF!</v>
      </c>
      <c r="AC125" s="149" t="e">
        <f>+#REF!</f>
        <v>#REF!</v>
      </c>
    </row>
    <row r="126" spans="1:31" ht="23.45" customHeight="1" x14ac:dyDescent="0.25">
      <c r="A126" s="1209" t="s">
        <v>4242</v>
      </c>
      <c r="B126" s="1209"/>
      <c r="C126" s="1209"/>
      <c r="D126" s="1209"/>
      <c r="E126" s="1209"/>
      <c r="F126" s="1209"/>
      <c r="G126" s="1209"/>
      <c r="H126" s="1209"/>
      <c r="I126" s="1209"/>
      <c r="J126" s="1209"/>
      <c r="K126" s="1209"/>
      <c r="L126" s="1209"/>
      <c r="M126" s="1209"/>
      <c r="N126" s="1209"/>
      <c r="O126" s="1209"/>
      <c r="P126" s="1209"/>
      <c r="Q126" s="149" t="e">
        <f>SUM(Q125)</f>
        <v>#REF!</v>
      </c>
      <c r="R126" s="149" t="e">
        <f t="shared" ref="R126:AC126" si="20">SUM(R125)</f>
        <v>#REF!</v>
      </c>
      <c r="S126" s="149" t="e">
        <f t="shared" si="20"/>
        <v>#REF!</v>
      </c>
      <c r="T126" s="149" t="e">
        <f t="shared" si="20"/>
        <v>#REF!</v>
      </c>
      <c r="U126" s="149" t="e">
        <f t="shared" si="20"/>
        <v>#REF!</v>
      </c>
      <c r="V126" s="149" t="e">
        <f t="shared" si="20"/>
        <v>#REF!</v>
      </c>
      <c r="W126" s="149" t="e">
        <f t="shared" si="20"/>
        <v>#REF!</v>
      </c>
      <c r="X126" s="149" t="e">
        <f t="shared" si="20"/>
        <v>#REF!</v>
      </c>
      <c r="Y126" s="149" t="e">
        <f t="shared" si="20"/>
        <v>#REF!</v>
      </c>
      <c r="Z126" s="149" t="e">
        <f t="shared" si="20"/>
        <v>#REF!</v>
      </c>
      <c r="AA126" s="149" t="e">
        <f t="shared" si="20"/>
        <v>#REF!</v>
      </c>
      <c r="AB126" s="149" t="e">
        <f t="shared" si="20"/>
        <v>#REF!</v>
      </c>
      <c r="AC126" s="149" t="e">
        <f t="shared" si="20"/>
        <v>#REF!</v>
      </c>
      <c r="AE126" s="1" t="e">
        <f>+Q126-'POAI 2011 AC.017 MAYO'!I28</f>
        <v>#REF!</v>
      </c>
    </row>
    <row r="127" spans="1:31" ht="57" customHeight="1" x14ac:dyDescent="0.25">
      <c r="A127" s="2" t="s">
        <v>2957</v>
      </c>
      <c r="B127" s="2" t="s">
        <v>3175</v>
      </c>
      <c r="C127" s="2" t="str">
        <f>+'PLANINDICATIVO PD MAYO'!J35</f>
        <v>CREAR UN(1) CENTRO DE INVESTIGACIÓN (RED) EN LA USCO</v>
      </c>
      <c r="D127" s="824" t="str">
        <f>+'PLANINDICATIVO PD MAYO'!L35</f>
        <v>NÚMERO DE CENTRO DE INVESTIGACIÓN EN LA USCO</v>
      </c>
      <c r="E127" s="809"/>
      <c r="F127" s="349">
        <f>+'PLANINDICATIVO PD MAYO'!O35</f>
        <v>0.2</v>
      </c>
      <c r="G127" s="2" t="s">
        <v>3895</v>
      </c>
      <c r="H127" s="154" t="s">
        <v>3176</v>
      </c>
      <c r="I127" s="154"/>
      <c r="J127" s="154"/>
      <c r="K127" s="154"/>
      <c r="L127" s="154"/>
      <c r="M127" s="155">
        <v>50000000</v>
      </c>
      <c r="N127" s="155">
        <v>50000000</v>
      </c>
      <c r="O127" s="151">
        <v>410</v>
      </c>
      <c r="P127" s="846" t="str">
        <f>+P123</f>
        <v>VIPS</v>
      </c>
      <c r="Q127" s="149" t="e">
        <f t="shared" si="1"/>
        <v>#REF!</v>
      </c>
      <c r="R127" s="149" t="e">
        <f>+#REF!</f>
        <v>#REF!</v>
      </c>
      <c r="S127" s="149" t="e">
        <f>+#REF!</f>
        <v>#REF!</v>
      </c>
      <c r="T127" s="149" t="e">
        <f>+#REF!</f>
        <v>#REF!</v>
      </c>
      <c r="U127" s="149" t="e">
        <f>+#REF!</f>
        <v>#REF!</v>
      </c>
      <c r="V127" s="149" t="e">
        <f>+#REF!</f>
        <v>#REF!</v>
      </c>
      <c r="W127" s="149" t="e">
        <f>+#REF!</f>
        <v>#REF!</v>
      </c>
      <c r="X127" s="149" t="e">
        <f>+#REF!</f>
        <v>#REF!</v>
      </c>
      <c r="Y127" s="149" t="e">
        <f>+#REF!</f>
        <v>#REF!</v>
      </c>
      <c r="Z127" s="149" t="e">
        <f>+#REF!</f>
        <v>#REF!</v>
      </c>
      <c r="AA127" s="149" t="e">
        <f>+#REF!</f>
        <v>#REF!</v>
      </c>
      <c r="AB127" s="149" t="e">
        <f>+#REF!</f>
        <v>#REF!</v>
      </c>
      <c r="AC127" s="149" t="e">
        <f>+#REF!</f>
        <v>#REF!</v>
      </c>
    </row>
    <row r="128" spans="1:31" ht="20.45" customHeight="1" x14ac:dyDescent="0.25">
      <c r="A128" s="1209" t="s">
        <v>4243</v>
      </c>
      <c r="B128" s="1209"/>
      <c r="C128" s="1209"/>
      <c r="D128" s="1209"/>
      <c r="E128" s="1209"/>
      <c r="F128" s="1209"/>
      <c r="G128" s="1209"/>
      <c r="H128" s="1209"/>
      <c r="I128" s="1209"/>
      <c r="J128" s="1209"/>
      <c r="K128" s="1209"/>
      <c r="L128" s="1209"/>
      <c r="M128" s="1209"/>
      <c r="N128" s="1209"/>
      <c r="O128" s="1209"/>
      <c r="P128" s="1209"/>
      <c r="Q128" s="149" t="e">
        <f>SUM(Q127)</f>
        <v>#REF!</v>
      </c>
      <c r="R128" s="149" t="e">
        <f t="shared" ref="R128:AC128" si="21">SUM(R127)</f>
        <v>#REF!</v>
      </c>
      <c r="S128" s="149" t="e">
        <f t="shared" si="21"/>
        <v>#REF!</v>
      </c>
      <c r="T128" s="149" t="e">
        <f t="shared" si="21"/>
        <v>#REF!</v>
      </c>
      <c r="U128" s="149" t="e">
        <f t="shared" si="21"/>
        <v>#REF!</v>
      </c>
      <c r="V128" s="149" t="e">
        <f t="shared" si="21"/>
        <v>#REF!</v>
      </c>
      <c r="W128" s="149" t="e">
        <f t="shared" si="21"/>
        <v>#REF!</v>
      </c>
      <c r="X128" s="149" t="e">
        <f t="shared" si="21"/>
        <v>#REF!</v>
      </c>
      <c r="Y128" s="149" t="e">
        <f t="shared" si="21"/>
        <v>#REF!</v>
      </c>
      <c r="Z128" s="149" t="e">
        <f t="shared" si="21"/>
        <v>#REF!</v>
      </c>
      <c r="AA128" s="149" t="e">
        <f t="shared" si="21"/>
        <v>#REF!</v>
      </c>
      <c r="AB128" s="149" t="e">
        <f t="shared" si="21"/>
        <v>#REF!</v>
      </c>
      <c r="AC128" s="149" t="e">
        <f t="shared" si="21"/>
        <v>#REF!</v>
      </c>
      <c r="AE128" s="1" t="e">
        <f>+Q128-'POAI 2011 AC.017 MAYO'!I29</f>
        <v>#REF!</v>
      </c>
    </row>
    <row r="129" spans="1:31" ht="20.45" customHeight="1" x14ac:dyDescent="0.25">
      <c r="A129" s="1209" t="s">
        <v>4247</v>
      </c>
      <c r="B129" s="1209"/>
      <c r="C129" s="1209"/>
      <c r="D129" s="1209"/>
      <c r="E129" s="1209"/>
      <c r="F129" s="1209"/>
      <c r="G129" s="1209"/>
      <c r="H129" s="1209"/>
      <c r="I129" s="1209"/>
      <c r="J129" s="1209"/>
      <c r="K129" s="1209"/>
      <c r="L129" s="1209"/>
      <c r="M129" s="1209"/>
      <c r="N129" s="1209"/>
      <c r="O129" s="1209"/>
      <c r="P129" s="1209"/>
      <c r="Q129" s="149" t="e">
        <f>+Q128+Q126+Q124+Q122+Q119+Q114+Q109</f>
        <v>#REF!</v>
      </c>
      <c r="R129" s="149" t="e">
        <f t="shared" ref="R129:AC129" si="22">+R128+R126+R124+R122+R119+R114+R109</f>
        <v>#REF!</v>
      </c>
      <c r="S129" s="149" t="e">
        <f t="shared" si="22"/>
        <v>#REF!</v>
      </c>
      <c r="T129" s="149" t="e">
        <f t="shared" si="22"/>
        <v>#REF!</v>
      </c>
      <c r="U129" s="149" t="e">
        <f t="shared" si="22"/>
        <v>#REF!</v>
      </c>
      <c r="V129" s="149" t="e">
        <f t="shared" si="22"/>
        <v>#REF!</v>
      </c>
      <c r="W129" s="149" t="e">
        <f t="shared" si="22"/>
        <v>#REF!</v>
      </c>
      <c r="X129" s="149" t="e">
        <f t="shared" si="22"/>
        <v>#REF!</v>
      </c>
      <c r="Y129" s="149" t="e">
        <f t="shared" si="22"/>
        <v>#REF!</v>
      </c>
      <c r="Z129" s="149" t="e">
        <f t="shared" si="22"/>
        <v>#REF!</v>
      </c>
      <c r="AA129" s="149" t="e">
        <f t="shared" si="22"/>
        <v>#REF!</v>
      </c>
      <c r="AB129" s="149" t="e">
        <f t="shared" si="22"/>
        <v>#REF!</v>
      </c>
      <c r="AC129" s="149" t="e">
        <f t="shared" si="22"/>
        <v>#REF!</v>
      </c>
      <c r="AE129" s="1" t="e">
        <f>+Q129-'POAI 2011 AC.017 MAYO'!I22</f>
        <v>#REF!</v>
      </c>
    </row>
    <row r="130" spans="1:31" ht="20.45" customHeight="1" x14ac:dyDescent="0.3">
      <c r="A130" s="897" t="s">
        <v>4220</v>
      </c>
      <c r="B130" s="853"/>
      <c r="C130" s="853"/>
      <c r="D130" s="853"/>
      <c r="E130" s="853"/>
      <c r="F130" s="853"/>
      <c r="G130" s="853"/>
      <c r="H130" s="853"/>
      <c r="I130" s="853"/>
      <c r="J130" s="853"/>
      <c r="K130" s="853"/>
      <c r="L130" s="853"/>
      <c r="M130" s="853"/>
      <c r="N130" s="853"/>
      <c r="O130" s="853"/>
      <c r="P130" s="853"/>
      <c r="Q130" s="898"/>
      <c r="R130" s="898"/>
      <c r="S130" s="898"/>
      <c r="T130" s="898"/>
      <c r="U130" s="898"/>
      <c r="V130" s="898"/>
      <c r="W130" s="898"/>
      <c r="X130" s="898"/>
      <c r="Y130" s="898"/>
      <c r="Z130" s="898"/>
      <c r="AA130" s="898"/>
      <c r="AB130" s="898"/>
      <c r="AC130" s="898"/>
    </row>
    <row r="131" spans="1:31" ht="20.45" customHeight="1" x14ac:dyDescent="0.3">
      <c r="A131" s="882" t="s">
        <v>4246</v>
      </c>
      <c r="B131" s="233"/>
      <c r="C131" s="233"/>
      <c r="D131" s="233"/>
      <c r="E131" s="233"/>
      <c r="F131" s="233"/>
      <c r="G131" s="233"/>
      <c r="H131" s="233"/>
      <c r="I131" s="233"/>
      <c r="J131" s="233"/>
      <c r="K131" s="233"/>
      <c r="L131" s="233"/>
      <c r="M131" s="233"/>
      <c r="N131" s="233"/>
      <c r="O131" s="233"/>
      <c r="P131" s="233"/>
      <c r="Q131" s="686"/>
      <c r="R131" s="686"/>
      <c r="S131" s="686"/>
      <c r="T131" s="686"/>
      <c r="U131" s="686"/>
      <c r="V131" s="686"/>
      <c r="W131" s="686"/>
      <c r="X131" s="686"/>
      <c r="Y131" s="686"/>
      <c r="Z131" s="686"/>
      <c r="AA131" s="686"/>
      <c r="AB131" s="686"/>
      <c r="AC131" s="686"/>
    </row>
    <row r="132" spans="1:31" ht="20.45" customHeight="1" x14ac:dyDescent="0.25">
      <c r="A132" s="1315" t="s">
        <v>3139</v>
      </c>
      <c r="B132" s="1315"/>
      <c r="C132" s="1315" t="s">
        <v>4179</v>
      </c>
      <c r="D132" s="1490" t="s">
        <v>4171</v>
      </c>
      <c r="E132" s="1491"/>
      <c r="F132" s="1492"/>
      <c r="G132" s="1232" t="s">
        <v>4174</v>
      </c>
      <c r="H132" s="1232"/>
      <c r="I132" s="1232" t="s">
        <v>4175</v>
      </c>
      <c r="J132" s="1232" t="s">
        <v>4176</v>
      </c>
      <c r="K132" s="1232"/>
      <c r="L132" s="1232"/>
      <c r="M132" s="893"/>
      <c r="N132" s="893"/>
      <c r="O132" s="1418" t="s">
        <v>447</v>
      </c>
      <c r="P132" s="1495" t="s">
        <v>3347</v>
      </c>
      <c r="Q132" s="1489" t="s">
        <v>3333</v>
      </c>
      <c r="R132" s="1489"/>
      <c r="S132" s="1489"/>
      <c r="T132" s="1489"/>
      <c r="U132" s="1489"/>
      <c r="V132" s="1489"/>
      <c r="W132" s="1489" t="s">
        <v>3333</v>
      </c>
      <c r="X132" s="1489"/>
      <c r="Y132" s="1489"/>
      <c r="Z132" s="1489"/>
      <c r="AA132" s="1489"/>
      <c r="AB132" s="1489"/>
      <c r="AC132" s="1489"/>
    </row>
    <row r="133" spans="1:31" ht="58.15" customHeight="1" x14ac:dyDescent="0.25">
      <c r="A133" s="1315"/>
      <c r="B133" s="1315"/>
      <c r="C133" s="1315"/>
      <c r="D133" s="891" t="s">
        <v>4178</v>
      </c>
      <c r="E133" s="891" t="s">
        <v>4173</v>
      </c>
      <c r="F133" s="891" t="s">
        <v>4172</v>
      </c>
      <c r="G133" s="886" t="s">
        <v>1</v>
      </c>
      <c r="H133" s="886" t="s">
        <v>4174</v>
      </c>
      <c r="I133" s="1232"/>
      <c r="J133" s="886" t="s">
        <v>4178</v>
      </c>
      <c r="K133" s="886" t="s">
        <v>4173</v>
      </c>
      <c r="L133" s="886" t="s">
        <v>4177</v>
      </c>
      <c r="M133" s="886" t="s">
        <v>460</v>
      </c>
      <c r="N133" s="886" t="s">
        <v>462</v>
      </c>
      <c r="O133" s="1418"/>
      <c r="P133" s="1495"/>
      <c r="Q133" s="894" t="s">
        <v>695</v>
      </c>
      <c r="R133" s="894" t="s">
        <v>3310</v>
      </c>
      <c r="S133" s="894" t="s">
        <v>3311</v>
      </c>
      <c r="T133" s="894" t="s">
        <v>3312</v>
      </c>
      <c r="U133" s="894" t="s">
        <v>3313</v>
      </c>
      <c r="V133" s="894" t="s">
        <v>3314</v>
      </c>
      <c r="W133" s="894" t="s">
        <v>3315</v>
      </c>
      <c r="X133" s="894" t="s">
        <v>3316</v>
      </c>
      <c r="Y133" s="894" t="s">
        <v>3317</v>
      </c>
      <c r="Z133" s="894" t="s">
        <v>3346</v>
      </c>
      <c r="AA133" s="894" t="s">
        <v>3756</v>
      </c>
      <c r="AB133" s="894" t="s">
        <v>3318</v>
      </c>
      <c r="AC133" s="894" t="s">
        <v>3319</v>
      </c>
    </row>
    <row r="134" spans="1:31" ht="82.15" customHeight="1" x14ac:dyDescent="0.25">
      <c r="A134" s="2" t="s">
        <v>2999</v>
      </c>
      <c r="B134" s="2" t="s">
        <v>3300</v>
      </c>
      <c r="C134" s="2" t="str">
        <f>+'PLANINDICATIVO PD MAYO'!J36</f>
        <v>AVANZAR UN 40% DEL PROCESO  NUEVOS PROGRAMAS CON DOBLE TITULACIÓN OFRECIDOS</v>
      </c>
      <c r="D134" s="2" t="str">
        <f>+'PLANINDICATIVO PD MAYO'!L36</f>
        <v>40% AVANCE PROGRAMAS CON DOBLE TITULACIÓN OFRECIDOS</v>
      </c>
      <c r="E134" s="2"/>
      <c r="F134" s="110">
        <f>+'PLANINDICATIVO PD MAYO'!O36</f>
        <v>0.15</v>
      </c>
      <c r="G134" s="2" t="s">
        <v>3896</v>
      </c>
      <c r="H134" s="154" t="s">
        <v>3183</v>
      </c>
      <c r="I134" s="154"/>
      <c r="J134" s="154"/>
      <c r="K134" s="154"/>
      <c r="L134" s="154"/>
      <c r="M134" s="155">
        <v>5000000</v>
      </c>
      <c r="N134" s="158">
        <v>105000000</v>
      </c>
      <c r="O134" s="151">
        <v>510</v>
      </c>
      <c r="P134" s="813" t="s">
        <v>3353</v>
      </c>
      <c r="Q134" s="149" t="e">
        <f t="shared" si="1"/>
        <v>#REF!</v>
      </c>
      <c r="R134" s="149" t="e">
        <f>+#REF!</f>
        <v>#REF!</v>
      </c>
      <c r="S134" s="149" t="e">
        <f>+#REF!</f>
        <v>#REF!</v>
      </c>
      <c r="T134" s="149" t="e">
        <f>+#REF!</f>
        <v>#REF!</v>
      </c>
      <c r="U134" s="149" t="e">
        <f>+#REF!</f>
        <v>#REF!</v>
      </c>
      <c r="V134" s="149" t="e">
        <f>+#REF!</f>
        <v>#REF!</v>
      </c>
      <c r="W134" s="149" t="e">
        <f>+#REF!</f>
        <v>#REF!</v>
      </c>
      <c r="X134" s="149" t="e">
        <f>+#REF!</f>
        <v>#REF!</v>
      </c>
      <c r="Y134" s="149" t="e">
        <f>+#REF!</f>
        <v>#REF!</v>
      </c>
      <c r="Z134" s="149" t="e">
        <f>+#REF!</f>
        <v>#REF!</v>
      </c>
      <c r="AA134" s="149" t="e">
        <f>+#REF!</f>
        <v>#REF!</v>
      </c>
      <c r="AB134" s="149" t="e">
        <f>+#REF!</f>
        <v>#REF!</v>
      </c>
      <c r="AC134" s="149" t="e">
        <f>+#REF!</f>
        <v>#REF!</v>
      </c>
    </row>
    <row r="135" spans="1:31" ht="19.899999999999999" customHeight="1" x14ac:dyDescent="0.25">
      <c r="A135" s="1209" t="s">
        <v>4245</v>
      </c>
      <c r="B135" s="1209"/>
      <c r="C135" s="1209"/>
      <c r="D135" s="1209"/>
      <c r="E135" s="1209"/>
      <c r="F135" s="1209"/>
      <c r="G135" s="1209"/>
      <c r="H135" s="1209"/>
      <c r="I135" s="1209"/>
      <c r="J135" s="1209"/>
      <c r="K135" s="1209"/>
      <c r="L135" s="1209"/>
      <c r="M135" s="1209"/>
      <c r="N135" s="1209"/>
      <c r="O135" s="1209"/>
      <c r="P135" s="1209"/>
      <c r="Q135" s="149" t="e">
        <f>SUM(Q134)</f>
        <v>#REF!</v>
      </c>
      <c r="R135" s="149" t="e">
        <f t="shared" ref="R135:AC135" si="23">SUM(R134)</f>
        <v>#REF!</v>
      </c>
      <c r="S135" s="149" t="e">
        <f t="shared" si="23"/>
        <v>#REF!</v>
      </c>
      <c r="T135" s="149" t="e">
        <f t="shared" si="23"/>
        <v>#REF!</v>
      </c>
      <c r="U135" s="149" t="e">
        <f t="shared" si="23"/>
        <v>#REF!</v>
      </c>
      <c r="V135" s="149" t="e">
        <f t="shared" si="23"/>
        <v>#REF!</v>
      </c>
      <c r="W135" s="149" t="e">
        <f t="shared" si="23"/>
        <v>#REF!</v>
      </c>
      <c r="X135" s="149" t="e">
        <f t="shared" si="23"/>
        <v>#REF!</v>
      </c>
      <c r="Y135" s="149" t="e">
        <f t="shared" si="23"/>
        <v>#REF!</v>
      </c>
      <c r="Z135" s="149" t="e">
        <f t="shared" si="23"/>
        <v>#REF!</v>
      </c>
      <c r="AA135" s="149" t="e">
        <f t="shared" si="23"/>
        <v>#REF!</v>
      </c>
      <c r="AB135" s="149" t="e">
        <f t="shared" si="23"/>
        <v>#REF!</v>
      </c>
      <c r="AC135" s="149" t="e">
        <f t="shared" si="23"/>
        <v>#REF!</v>
      </c>
      <c r="AE135" s="1" t="e">
        <f>+Q135-'POAI 2011 AC.017 MAYO'!I31</f>
        <v>#REF!</v>
      </c>
    </row>
    <row r="136" spans="1:31" ht="136.9" customHeight="1" x14ac:dyDescent="0.25">
      <c r="A136" s="808" t="s">
        <v>2994</v>
      </c>
      <c r="B136" s="824" t="s">
        <v>3301</v>
      </c>
      <c r="C136" s="824" t="str">
        <f>+'PLANINDICATIVO PD MAYO'!J37</f>
        <v>AUMENTAR A 11 LOS  CONVENIOS CON UNIVERSIDADES NALES/INTERNALES PARA INTERCAMBIO DE DOCENTES/ESTUDIANTES/EGRESADOS</v>
      </c>
      <c r="D136" s="825" t="str">
        <f>+'PLANINDICATIVO PD MAYO'!L37</f>
        <v>NÚMERO DE CONVENIOS EN OPERACIÓN</v>
      </c>
      <c r="E136" s="825"/>
      <c r="F136" s="827">
        <f>+'PLANINDICATIVO PD MAYO'!O37</f>
        <v>11</v>
      </c>
      <c r="G136" s="808" t="s">
        <v>3897</v>
      </c>
      <c r="H136" s="171" t="s">
        <v>242</v>
      </c>
      <c r="I136" s="171"/>
      <c r="J136" s="171"/>
      <c r="K136" s="171"/>
      <c r="L136" s="171"/>
      <c r="M136" s="172">
        <v>100000000</v>
      </c>
      <c r="N136" s="173">
        <v>122000000</v>
      </c>
      <c r="O136" s="561">
        <v>510</v>
      </c>
      <c r="P136" s="815" t="s">
        <v>3358</v>
      </c>
      <c r="Q136" s="149" t="e">
        <f t="shared" si="1"/>
        <v>#REF!</v>
      </c>
      <c r="R136" s="149" t="e">
        <f>+#REF!</f>
        <v>#REF!</v>
      </c>
      <c r="S136" s="149" t="e">
        <f>+#REF!</f>
        <v>#REF!</v>
      </c>
      <c r="T136" s="149" t="e">
        <f>+#REF!</f>
        <v>#REF!</v>
      </c>
      <c r="U136" s="149" t="e">
        <f>+#REF!</f>
        <v>#REF!</v>
      </c>
      <c r="V136" s="149" t="e">
        <f>+#REF!</f>
        <v>#REF!</v>
      </c>
      <c r="W136" s="149" t="e">
        <f>+#REF!</f>
        <v>#REF!</v>
      </c>
      <c r="X136" s="149" t="e">
        <f>+#REF!</f>
        <v>#REF!</v>
      </c>
      <c r="Y136" s="149" t="e">
        <f>+#REF!</f>
        <v>#REF!</v>
      </c>
      <c r="Z136" s="149" t="e">
        <f>+#REF!</f>
        <v>#REF!</v>
      </c>
      <c r="AA136" s="149" t="e">
        <f>+#REF!</f>
        <v>#REF!</v>
      </c>
      <c r="AB136" s="149" t="e">
        <f>+#REF!</f>
        <v>#REF!</v>
      </c>
      <c r="AC136" s="149" t="e">
        <f>+#REF!</f>
        <v>#REF!</v>
      </c>
    </row>
    <row r="137" spans="1:31" ht="16.899999999999999" customHeight="1" x14ac:dyDescent="0.25">
      <c r="A137" s="1209" t="s">
        <v>4244</v>
      </c>
      <c r="B137" s="1209"/>
      <c r="C137" s="1209"/>
      <c r="D137" s="1209"/>
      <c r="E137" s="1209"/>
      <c r="F137" s="1209"/>
      <c r="G137" s="1209"/>
      <c r="H137" s="1209"/>
      <c r="I137" s="1209"/>
      <c r="J137" s="1209"/>
      <c r="K137" s="1209"/>
      <c r="L137" s="1209"/>
      <c r="M137" s="1209"/>
      <c r="N137" s="1209"/>
      <c r="O137" s="1209"/>
      <c r="P137" s="1209"/>
      <c r="Q137" s="149" t="e">
        <f>SUM(Q136)</f>
        <v>#REF!</v>
      </c>
      <c r="R137" s="149" t="e">
        <f t="shared" ref="R137:AC137" si="24">SUM(R136)</f>
        <v>#REF!</v>
      </c>
      <c r="S137" s="149" t="e">
        <f t="shared" si="24"/>
        <v>#REF!</v>
      </c>
      <c r="T137" s="149" t="e">
        <f t="shared" si="24"/>
        <v>#REF!</v>
      </c>
      <c r="U137" s="149" t="e">
        <f t="shared" si="24"/>
        <v>#REF!</v>
      </c>
      <c r="V137" s="149" t="e">
        <f t="shared" si="24"/>
        <v>#REF!</v>
      </c>
      <c r="W137" s="149" t="e">
        <f t="shared" si="24"/>
        <v>#REF!</v>
      </c>
      <c r="X137" s="149" t="e">
        <f t="shared" si="24"/>
        <v>#REF!</v>
      </c>
      <c r="Y137" s="149" t="e">
        <f t="shared" si="24"/>
        <v>#REF!</v>
      </c>
      <c r="Z137" s="149" t="e">
        <f t="shared" si="24"/>
        <v>#REF!</v>
      </c>
      <c r="AA137" s="149" t="e">
        <f t="shared" si="24"/>
        <v>#REF!</v>
      </c>
      <c r="AB137" s="149" t="e">
        <f t="shared" si="24"/>
        <v>#REF!</v>
      </c>
      <c r="AC137" s="149" t="e">
        <f t="shared" si="24"/>
        <v>#REF!</v>
      </c>
      <c r="AE137" s="1" t="e">
        <f>+Q137-'POAI 2011 AC.017 MAYO'!I32</f>
        <v>#REF!</v>
      </c>
    </row>
    <row r="138" spans="1:31" ht="19.149999999999999" customHeight="1" x14ac:dyDescent="0.25">
      <c r="A138" s="1209" t="s">
        <v>4248</v>
      </c>
      <c r="B138" s="1209"/>
      <c r="C138" s="1209"/>
      <c r="D138" s="1209"/>
      <c r="E138" s="1209"/>
      <c r="F138" s="1209"/>
      <c r="G138" s="1209"/>
      <c r="H138" s="1209"/>
      <c r="I138" s="1209"/>
      <c r="J138" s="1209"/>
      <c r="K138" s="1209"/>
      <c r="L138" s="1209"/>
      <c r="M138" s="1209"/>
      <c r="N138" s="1209"/>
      <c r="O138" s="1209"/>
      <c r="P138" s="1209"/>
      <c r="Q138" s="149" t="e">
        <f>+Q137+Q135</f>
        <v>#REF!</v>
      </c>
      <c r="R138" s="149" t="e">
        <f t="shared" ref="R138:AC138" si="25">+R137+R135</f>
        <v>#REF!</v>
      </c>
      <c r="S138" s="149" t="e">
        <f t="shared" si="25"/>
        <v>#REF!</v>
      </c>
      <c r="T138" s="149" t="e">
        <f t="shared" si="25"/>
        <v>#REF!</v>
      </c>
      <c r="U138" s="149" t="e">
        <f t="shared" si="25"/>
        <v>#REF!</v>
      </c>
      <c r="V138" s="149" t="e">
        <f t="shared" si="25"/>
        <v>#REF!</v>
      </c>
      <c r="W138" s="149" t="e">
        <f t="shared" si="25"/>
        <v>#REF!</v>
      </c>
      <c r="X138" s="149" t="e">
        <f t="shared" si="25"/>
        <v>#REF!</v>
      </c>
      <c r="Y138" s="149" t="e">
        <f t="shared" si="25"/>
        <v>#REF!</v>
      </c>
      <c r="Z138" s="149" t="e">
        <f t="shared" si="25"/>
        <v>#REF!</v>
      </c>
      <c r="AA138" s="149" t="e">
        <f t="shared" si="25"/>
        <v>#REF!</v>
      </c>
      <c r="AB138" s="149" t="e">
        <f t="shared" si="25"/>
        <v>#REF!</v>
      </c>
      <c r="AC138" s="149" t="e">
        <f t="shared" si="25"/>
        <v>#REF!</v>
      </c>
      <c r="AE138" s="1" t="e">
        <f>+Q138-'POAI 2011 AC.017 MAYO'!I30</f>
        <v>#REF!</v>
      </c>
    </row>
    <row r="139" spans="1:31" ht="16.899999999999999" customHeight="1" x14ac:dyDescent="0.25">
      <c r="A139" s="1207" t="s">
        <v>3407</v>
      </c>
      <c r="B139" s="1208"/>
      <c r="C139" s="1208"/>
      <c r="D139" s="1208"/>
      <c r="E139" s="1208"/>
      <c r="F139" s="1208"/>
      <c r="G139" s="1208"/>
      <c r="H139" s="1208"/>
      <c r="I139" s="1208"/>
      <c r="J139" s="1208"/>
      <c r="K139" s="1208"/>
      <c r="L139" s="1208"/>
      <c r="M139" s="1208"/>
      <c r="N139" s="1208"/>
      <c r="O139" s="1208"/>
      <c r="P139" s="1217"/>
      <c r="Q139" s="149" t="e">
        <f>+Q138+Q129+Q101+Q67</f>
        <v>#REF!</v>
      </c>
      <c r="R139" s="149" t="e">
        <f t="shared" ref="R139:AC139" si="26">+R138+R129+R101+R67</f>
        <v>#REF!</v>
      </c>
      <c r="S139" s="149" t="e">
        <f t="shared" si="26"/>
        <v>#REF!</v>
      </c>
      <c r="T139" s="149" t="e">
        <f t="shared" si="26"/>
        <v>#REF!</v>
      </c>
      <c r="U139" s="149" t="e">
        <f t="shared" si="26"/>
        <v>#REF!</v>
      </c>
      <c r="V139" s="149" t="e">
        <f t="shared" si="26"/>
        <v>#REF!</v>
      </c>
      <c r="W139" s="149" t="e">
        <f t="shared" si="26"/>
        <v>#REF!</v>
      </c>
      <c r="X139" s="149" t="e">
        <f t="shared" si="26"/>
        <v>#REF!</v>
      </c>
      <c r="Y139" s="149" t="e">
        <f t="shared" si="26"/>
        <v>#REF!</v>
      </c>
      <c r="Z139" s="149" t="e">
        <f t="shared" si="26"/>
        <v>#REF!</v>
      </c>
      <c r="AA139" s="149" t="e">
        <f t="shared" si="26"/>
        <v>#REF!</v>
      </c>
      <c r="AB139" s="149" t="e">
        <f t="shared" si="26"/>
        <v>#REF!</v>
      </c>
      <c r="AC139" s="149" t="e">
        <f t="shared" si="26"/>
        <v>#REF!</v>
      </c>
      <c r="AE139" s="1" t="e">
        <f>+Q139-'POAI 2011 AC.017 MAYO'!I12</f>
        <v>#REF!</v>
      </c>
    </row>
    <row r="140" spans="1:31" ht="18.75" customHeight="1" x14ac:dyDescent="0.3">
      <c r="A140" s="897" t="s">
        <v>4249</v>
      </c>
      <c r="B140" s="853"/>
      <c r="C140" s="853"/>
      <c r="D140" s="853"/>
      <c r="E140" s="853"/>
      <c r="F140" s="853"/>
      <c r="G140" s="853"/>
      <c r="H140" s="853"/>
      <c r="I140" s="853"/>
      <c r="J140" s="853"/>
      <c r="K140" s="853"/>
      <c r="L140" s="853"/>
      <c r="M140" s="853"/>
      <c r="N140" s="853"/>
      <c r="O140" s="853"/>
      <c r="P140" s="853"/>
      <c r="Q140" s="898"/>
      <c r="R140" s="898"/>
      <c r="S140" s="898"/>
      <c r="T140" s="898"/>
      <c r="U140" s="898"/>
      <c r="V140" s="898"/>
      <c r="W140" s="898"/>
      <c r="X140" s="898"/>
      <c r="Y140" s="898"/>
      <c r="Z140" s="898"/>
      <c r="AA140" s="898"/>
      <c r="AB140" s="898"/>
      <c r="AC140" s="898"/>
    </row>
    <row r="141" spans="1:31" ht="18.75" customHeight="1" x14ac:dyDescent="0.3">
      <c r="A141" s="882" t="s">
        <v>4250</v>
      </c>
      <c r="B141" s="233"/>
      <c r="C141" s="233"/>
      <c r="D141" s="233"/>
      <c r="E141" s="233"/>
      <c r="F141" s="233"/>
      <c r="G141" s="233"/>
      <c r="H141" s="233"/>
      <c r="I141" s="233"/>
      <c r="J141" s="233"/>
      <c r="K141" s="233"/>
      <c r="L141" s="233"/>
      <c r="M141" s="233"/>
      <c r="N141" s="233"/>
      <c r="O141" s="233"/>
      <c r="P141" s="233"/>
      <c r="Q141" s="686"/>
      <c r="R141" s="686"/>
      <c r="S141" s="686"/>
      <c r="T141" s="686"/>
      <c r="U141" s="686"/>
      <c r="V141" s="686"/>
      <c r="W141" s="686"/>
      <c r="X141" s="686"/>
      <c r="Y141" s="686"/>
      <c r="Z141" s="686"/>
      <c r="AA141" s="686"/>
      <c r="AB141" s="686"/>
      <c r="AC141" s="686"/>
    </row>
    <row r="142" spans="1:31" ht="18.75" customHeight="1" x14ac:dyDescent="0.25">
      <c r="A142" s="1315" t="s">
        <v>3139</v>
      </c>
      <c r="B142" s="1315"/>
      <c r="C142" s="1315" t="s">
        <v>4179</v>
      </c>
      <c r="D142" s="1490" t="s">
        <v>4171</v>
      </c>
      <c r="E142" s="1491"/>
      <c r="F142" s="1492"/>
      <c r="G142" s="1232" t="s">
        <v>4174</v>
      </c>
      <c r="H142" s="1232"/>
      <c r="I142" s="1232" t="s">
        <v>4175</v>
      </c>
      <c r="J142" s="1232" t="s">
        <v>4176</v>
      </c>
      <c r="K142" s="1232"/>
      <c r="L142" s="1232"/>
      <c r="M142" s="893"/>
      <c r="N142" s="893"/>
      <c r="O142" s="1418" t="s">
        <v>447</v>
      </c>
      <c r="P142" s="1495" t="s">
        <v>3347</v>
      </c>
      <c r="Q142" s="1489" t="s">
        <v>3333</v>
      </c>
      <c r="R142" s="1489"/>
      <c r="S142" s="1489"/>
      <c r="T142" s="1489"/>
      <c r="U142" s="1489"/>
      <c r="V142" s="1489"/>
      <c r="W142" s="1489" t="s">
        <v>3333</v>
      </c>
      <c r="X142" s="1489"/>
      <c r="Y142" s="1489"/>
      <c r="Z142" s="1489"/>
      <c r="AA142" s="1489"/>
      <c r="AB142" s="1489"/>
      <c r="AC142" s="1489"/>
    </row>
    <row r="143" spans="1:31" ht="41.45" customHeight="1" x14ac:dyDescent="0.25">
      <c r="A143" s="1315"/>
      <c r="B143" s="1315"/>
      <c r="C143" s="1315"/>
      <c r="D143" s="891" t="s">
        <v>4178</v>
      </c>
      <c r="E143" s="891" t="s">
        <v>4173</v>
      </c>
      <c r="F143" s="891" t="s">
        <v>4172</v>
      </c>
      <c r="G143" s="886" t="s">
        <v>1</v>
      </c>
      <c r="H143" s="886" t="s">
        <v>4174</v>
      </c>
      <c r="I143" s="1232"/>
      <c r="J143" s="886" t="s">
        <v>4178</v>
      </c>
      <c r="K143" s="886" t="s">
        <v>4173</v>
      </c>
      <c r="L143" s="886" t="s">
        <v>4177</v>
      </c>
      <c r="M143" s="886" t="s">
        <v>460</v>
      </c>
      <c r="N143" s="886" t="s">
        <v>462</v>
      </c>
      <c r="O143" s="1418"/>
      <c r="P143" s="1495"/>
      <c r="Q143" s="894" t="s">
        <v>695</v>
      </c>
      <c r="R143" s="894" t="s">
        <v>3310</v>
      </c>
      <c r="S143" s="894" t="s">
        <v>3311</v>
      </c>
      <c r="T143" s="894" t="s">
        <v>3312</v>
      </c>
      <c r="U143" s="894" t="s">
        <v>3313</v>
      </c>
      <c r="V143" s="894" t="s">
        <v>3314</v>
      </c>
      <c r="W143" s="894" t="s">
        <v>3315</v>
      </c>
      <c r="X143" s="894" t="s">
        <v>3316</v>
      </c>
      <c r="Y143" s="894" t="s">
        <v>3317</v>
      </c>
      <c r="Z143" s="894" t="s">
        <v>3346</v>
      </c>
      <c r="AA143" s="894" t="s">
        <v>3756</v>
      </c>
      <c r="AB143" s="894" t="s">
        <v>3318</v>
      </c>
      <c r="AC143" s="894" t="s">
        <v>3319</v>
      </c>
    </row>
    <row r="144" spans="1:31" ht="67.5" customHeight="1" x14ac:dyDescent="0.25">
      <c r="A144" s="1243" t="s">
        <v>2822</v>
      </c>
      <c r="B144" s="1259" t="str">
        <f>+'PLANINDICATIVO PD MAYO'!I40</f>
        <v xml:space="preserve"> HACIA LAS CERTIFICACIONES ISO 9001:2000 y NTCGP-1000</v>
      </c>
      <c r="C144" s="1259" t="str">
        <f>+'PLANINDICATIVO PD MAYO'!J40</f>
        <v>IMPLEMENTAR UN SISTEMA DE GESTIÒN INTEGRAL DE ACUERDO CON NORMATIVIDAD ISO</v>
      </c>
      <c r="D144" s="1209" t="str">
        <f>+'PLANINDICATIVO PD MAYO'!L40</f>
        <v>SISTEMA DE GESTIÒN IMPLEMENTADO</v>
      </c>
      <c r="E144" s="1203"/>
      <c r="F144" s="1501" t="str">
        <f>+'PLANINDICATIVO PD MAYO'!O40</f>
        <v>1 SISTEMA IMPLEMENTADO</v>
      </c>
      <c r="G144" s="806" t="s">
        <v>3898</v>
      </c>
      <c r="H144" s="174" t="s">
        <v>3145</v>
      </c>
      <c r="I144" s="174"/>
      <c r="J144" s="174"/>
      <c r="K144" s="174"/>
      <c r="L144" s="174"/>
      <c r="M144" s="155">
        <v>30000000</v>
      </c>
      <c r="N144" s="155">
        <f>+M144</f>
        <v>30000000</v>
      </c>
      <c r="O144" s="151">
        <v>510</v>
      </c>
      <c r="P144" s="1431" t="s">
        <v>3359</v>
      </c>
      <c r="Q144" s="149" t="e">
        <f>SUM(R144:AC144)</f>
        <v>#REF!</v>
      </c>
      <c r="R144" s="149" t="e">
        <f>+#REF!</f>
        <v>#REF!</v>
      </c>
      <c r="S144" s="149" t="e">
        <f>+#REF!</f>
        <v>#REF!</v>
      </c>
      <c r="T144" s="149" t="e">
        <f>+#REF!</f>
        <v>#REF!</v>
      </c>
      <c r="U144" s="149" t="e">
        <f>+#REF!</f>
        <v>#REF!</v>
      </c>
      <c r="V144" s="149" t="e">
        <f>+#REF!</f>
        <v>#REF!</v>
      </c>
      <c r="W144" s="149" t="e">
        <f>+#REF!</f>
        <v>#REF!</v>
      </c>
      <c r="X144" s="149" t="e">
        <f>+#REF!</f>
        <v>#REF!</v>
      </c>
      <c r="Y144" s="149" t="e">
        <f>+#REF!</f>
        <v>#REF!</v>
      </c>
      <c r="Z144" s="149" t="e">
        <f>+#REF!</f>
        <v>#REF!</v>
      </c>
      <c r="AA144" s="149" t="e">
        <f>+#REF!</f>
        <v>#REF!</v>
      </c>
      <c r="AB144" s="149" t="e">
        <f>+#REF!</f>
        <v>#REF!</v>
      </c>
      <c r="AC144" s="149" t="e">
        <f>+#REF!</f>
        <v>#REF!</v>
      </c>
    </row>
    <row r="145" spans="1:31" ht="31.5" customHeight="1" x14ac:dyDescent="0.25">
      <c r="A145" s="1244"/>
      <c r="B145" s="1260"/>
      <c r="C145" s="1260"/>
      <c r="D145" s="1209"/>
      <c r="E145" s="1210"/>
      <c r="F145" s="1209"/>
      <c r="G145" s="806" t="s">
        <v>3899</v>
      </c>
      <c r="H145" s="174" t="s">
        <v>3900</v>
      </c>
      <c r="I145" s="174"/>
      <c r="J145" s="174"/>
      <c r="K145" s="174"/>
      <c r="L145" s="174"/>
      <c r="M145" s="155">
        <v>30000000</v>
      </c>
      <c r="N145" s="155">
        <f>+M145</f>
        <v>30000000</v>
      </c>
      <c r="O145" s="151">
        <v>510</v>
      </c>
      <c r="P145" s="1432"/>
      <c r="Q145" s="149" t="e">
        <f>SUM(R145:AC145)</f>
        <v>#REF!</v>
      </c>
      <c r="R145" s="149" t="e">
        <f>+#REF!</f>
        <v>#REF!</v>
      </c>
      <c r="S145" s="149" t="e">
        <f>+#REF!</f>
        <v>#REF!</v>
      </c>
      <c r="T145" s="149" t="e">
        <f>+#REF!</f>
        <v>#REF!</v>
      </c>
      <c r="U145" s="149" t="e">
        <f>+#REF!</f>
        <v>#REF!</v>
      </c>
      <c r="V145" s="149" t="e">
        <f>+#REF!</f>
        <v>#REF!</v>
      </c>
      <c r="W145" s="149" t="e">
        <f>+#REF!</f>
        <v>#REF!</v>
      </c>
      <c r="X145" s="149" t="e">
        <f>+#REF!</f>
        <v>#REF!</v>
      </c>
      <c r="Y145" s="149" t="e">
        <f>+#REF!</f>
        <v>#REF!</v>
      </c>
      <c r="Z145" s="149" t="e">
        <f>+#REF!</f>
        <v>#REF!</v>
      </c>
      <c r="AA145" s="149" t="e">
        <f>+#REF!</f>
        <v>#REF!</v>
      </c>
      <c r="AB145" s="149" t="e">
        <f>+#REF!</f>
        <v>#REF!</v>
      </c>
      <c r="AC145" s="149" t="e">
        <f>+#REF!</f>
        <v>#REF!</v>
      </c>
    </row>
    <row r="146" spans="1:31" ht="16.899999999999999" customHeight="1" x14ac:dyDescent="0.25">
      <c r="A146" s="1209" t="s">
        <v>4251</v>
      </c>
      <c r="B146" s="1209"/>
      <c r="C146" s="1209"/>
      <c r="D146" s="1209"/>
      <c r="E146" s="1209"/>
      <c r="F146" s="1209"/>
      <c r="G146" s="1209"/>
      <c r="H146" s="1209"/>
      <c r="I146" s="1209"/>
      <c r="J146" s="1209"/>
      <c r="K146" s="1209"/>
      <c r="L146" s="1209"/>
      <c r="M146" s="1209"/>
      <c r="N146" s="1209"/>
      <c r="O146" s="1209"/>
      <c r="P146" s="1209"/>
      <c r="Q146" s="149" t="e">
        <f>SUM(Q144:Q145)</f>
        <v>#REF!</v>
      </c>
      <c r="R146" s="149" t="e">
        <f t="shared" ref="R146:AC146" si="27">SUM(R144:R145)</f>
        <v>#REF!</v>
      </c>
      <c r="S146" s="149" t="e">
        <f t="shared" si="27"/>
        <v>#REF!</v>
      </c>
      <c r="T146" s="149" t="e">
        <f t="shared" si="27"/>
        <v>#REF!</v>
      </c>
      <c r="U146" s="149" t="e">
        <f t="shared" si="27"/>
        <v>#REF!</v>
      </c>
      <c r="V146" s="149" t="e">
        <f t="shared" si="27"/>
        <v>#REF!</v>
      </c>
      <c r="W146" s="149" t="e">
        <f t="shared" si="27"/>
        <v>#REF!</v>
      </c>
      <c r="X146" s="149" t="e">
        <f t="shared" si="27"/>
        <v>#REF!</v>
      </c>
      <c r="Y146" s="149" t="e">
        <f t="shared" si="27"/>
        <v>#REF!</v>
      </c>
      <c r="Z146" s="149" t="e">
        <f t="shared" si="27"/>
        <v>#REF!</v>
      </c>
      <c r="AA146" s="149" t="e">
        <f t="shared" si="27"/>
        <v>#REF!</v>
      </c>
      <c r="AB146" s="149" t="e">
        <f t="shared" si="27"/>
        <v>#REF!</v>
      </c>
      <c r="AC146" s="149" t="e">
        <f t="shared" si="27"/>
        <v>#REF!</v>
      </c>
      <c r="AE146" s="1" t="e">
        <f>+Q146-'POAI 2011 AC.017 MAYO'!I35</f>
        <v>#REF!</v>
      </c>
    </row>
    <row r="147" spans="1:31" ht="69.599999999999994" customHeight="1" x14ac:dyDescent="0.25">
      <c r="A147" s="829" t="s">
        <v>2818</v>
      </c>
      <c r="B147" s="829" t="str">
        <f>+'PLANINDICATIVO PD MAYO'!I41</f>
        <v xml:space="preserve"> CLIMA ORGANIZACIONAL PARA UNA USCO COMPETITIVA</v>
      </c>
      <c r="C147" s="829" t="str">
        <f>+'PLANINDICATIVO PD MAYO'!J41</f>
        <v>85% DE ACEPTACIÓN DE LA GESTIÒN EN LA COMUNIDAD UNIVERSITARIA</v>
      </c>
      <c r="D147" s="835" t="str">
        <f>+'PLANINDICATIVO PD MAYO'!L41</f>
        <v xml:space="preserve">NIVEL DE ACEPTACIÓN DE LA GESTIÓN ANUAL </v>
      </c>
      <c r="E147" s="845"/>
      <c r="F147" s="837">
        <f>+'PLANINDICATIVO PD MAYO'!O41</f>
        <v>0.3</v>
      </c>
      <c r="G147" s="806" t="s">
        <v>3901</v>
      </c>
      <c r="H147" s="699" t="s">
        <v>3142</v>
      </c>
      <c r="I147" s="699"/>
      <c r="J147" s="699"/>
      <c r="K147" s="699"/>
      <c r="L147" s="699"/>
      <c r="M147" s="166">
        <v>5000000</v>
      </c>
      <c r="N147" s="166">
        <v>16000000</v>
      </c>
      <c r="O147" s="151">
        <v>510</v>
      </c>
      <c r="P147" s="813" t="s">
        <v>3348</v>
      </c>
      <c r="Q147" s="149" t="e">
        <f t="shared" si="1"/>
        <v>#REF!</v>
      </c>
      <c r="R147" s="149" t="e">
        <f>+#REF!</f>
        <v>#REF!</v>
      </c>
      <c r="S147" s="149" t="e">
        <f>+#REF!</f>
        <v>#REF!</v>
      </c>
      <c r="T147" s="149" t="e">
        <f>+#REF!</f>
        <v>#REF!</v>
      </c>
      <c r="U147" s="149" t="e">
        <f>+#REF!</f>
        <v>#REF!</v>
      </c>
      <c r="V147" s="149" t="e">
        <f>+#REF!</f>
        <v>#REF!</v>
      </c>
      <c r="W147" s="149" t="e">
        <f>+#REF!</f>
        <v>#REF!</v>
      </c>
      <c r="X147" s="149" t="e">
        <f>+#REF!</f>
        <v>#REF!</v>
      </c>
      <c r="Y147" s="149" t="e">
        <f>+#REF!</f>
        <v>#REF!</v>
      </c>
      <c r="Z147" s="149" t="e">
        <f>+#REF!</f>
        <v>#REF!</v>
      </c>
      <c r="AA147" s="149" t="e">
        <f>+#REF!</f>
        <v>#REF!</v>
      </c>
      <c r="AB147" s="149" t="e">
        <f>+#REF!</f>
        <v>#REF!</v>
      </c>
      <c r="AC147" s="149" t="e">
        <f>+#REF!</f>
        <v>#REF!</v>
      </c>
    </row>
    <row r="148" spans="1:31" ht="25.15" customHeight="1" x14ac:dyDescent="0.25">
      <c r="A148" s="1209" t="s">
        <v>4252</v>
      </c>
      <c r="B148" s="1209"/>
      <c r="C148" s="1209"/>
      <c r="D148" s="1209"/>
      <c r="E148" s="1209"/>
      <c r="F148" s="1209"/>
      <c r="G148" s="1209"/>
      <c r="H148" s="1209"/>
      <c r="I148" s="1209"/>
      <c r="J148" s="1209"/>
      <c r="K148" s="1209"/>
      <c r="L148" s="1209"/>
      <c r="M148" s="1209"/>
      <c r="N148" s="1209"/>
      <c r="O148" s="1209"/>
      <c r="P148" s="1209"/>
      <c r="Q148" s="149" t="e">
        <f t="shared" ref="Q148:AC148" si="28">SUM(Q147)</f>
        <v>#REF!</v>
      </c>
      <c r="R148" s="149" t="e">
        <f t="shared" si="28"/>
        <v>#REF!</v>
      </c>
      <c r="S148" s="149" t="e">
        <f t="shared" si="28"/>
        <v>#REF!</v>
      </c>
      <c r="T148" s="149" t="e">
        <f t="shared" si="28"/>
        <v>#REF!</v>
      </c>
      <c r="U148" s="149" t="e">
        <f t="shared" si="28"/>
        <v>#REF!</v>
      </c>
      <c r="V148" s="149" t="e">
        <f t="shared" si="28"/>
        <v>#REF!</v>
      </c>
      <c r="W148" s="149" t="e">
        <f t="shared" si="28"/>
        <v>#REF!</v>
      </c>
      <c r="X148" s="149" t="e">
        <f t="shared" si="28"/>
        <v>#REF!</v>
      </c>
      <c r="Y148" s="149" t="e">
        <f t="shared" si="28"/>
        <v>#REF!</v>
      </c>
      <c r="Z148" s="149" t="e">
        <f t="shared" si="28"/>
        <v>#REF!</v>
      </c>
      <c r="AA148" s="149" t="e">
        <f t="shared" si="28"/>
        <v>#REF!</v>
      </c>
      <c r="AB148" s="149" t="e">
        <f t="shared" si="28"/>
        <v>#REF!</v>
      </c>
      <c r="AC148" s="149" t="e">
        <f t="shared" si="28"/>
        <v>#REF!</v>
      </c>
      <c r="AE148" s="1" t="e">
        <f>+Q148-'POAI 2011 AC.017 MAYO'!I36</f>
        <v>#REF!</v>
      </c>
    </row>
    <row r="149" spans="1:31" ht="21" customHeight="1" x14ac:dyDescent="0.25">
      <c r="A149" s="1209" t="s">
        <v>4253</v>
      </c>
      <c r="B149" s="1209"/>
      <c r="C149" s="1209"/>
      <c r="D149" s="1209"/>
      <c r="E149" s="1209"/>
      <c r="F149" s="1209"/>
      <c r="G149" s="1209"/>
      <c r="H149" s="1209"/>
      <c r="I149" s="1209"/>
      <c r="J149" s="1209"/>
      <c r="K149" s="1209"/>
      <c r="L149" s="1209"/>
      <c r="M149" s="1209"/>
      <c r="N149" s="1209"/>
      <c r="O149" s="1209"/>
      <c r="P149" s="1209"/>
      <c r="Q149" s="149" t="e">
        <f t="shared" ref="Q149:AC149" si="29">+Q148+Q146</f>
        <v>#REF!</v>
      </c>
      <c r="R149" s="149" t="e">
        <f t="shared" si="29"/>
        <v>#REF!</v>
      </c>
      <c r="S149" s="149" t="e">
        <f t="shared" si="29"/>
        <v>#REF!</v>
      </c>
      <c r="T149" s="149" t="e">
        <f t="shared" si="29"/>
        <v>#REF!</v>
      </c>
      <c r="U149" s="149" t="e">
        <f t="shared" si="29"/>
        <v>#REF!</v>
      </c>
      <c r="V149" s="149" t="e">
        <f t="shared" si="29"/>
        <v>#REF!</v>
      </c>
      <c r="W149" s="149" t="e">
        <f t="shared" si="29"/>
        <v>#REF!</v>
      </c>
      <c r="X149" s="149" t="e">
        <f t="shared" si="29"/>
        <v>#REF!</v>
      </c>
      <c r="Y149" s="149" t="e">
        <f t="shared" si="29"/>
        <v>#REF!</v>
      </c>
      <c r="Z149" s="149" t="e">
        <f t="shared" si="29"/>
        <v>#REF!</v>
      </c>
      <c r="AA149" s="149" t="e">
        <f t="shared" si="29"/>
        <v>#REF!</v>
      </c>
      <c r="AB149" s="149" t="e">
        <f t="shared" si="29"/>
        <v>#REF!</v>
      </c>
      <c r="AC149" s="149" t="e">
        <f t="shared" si="29"/>
        <v>#REF!</v>
      </c>
      <c r="AE149" s="1" t="e">
        <f>+Q149-'POAI 2011 AC.017 MAYO'!I34</f>
        <v>#REF!</v>
      </c>
    </row>
    <row r="150" spans="1:31" ht="21" customHeight="1" x14ac:dyDescent="0.3">
      <c r="A150" s="897" t="s">
        <v>4249</v>
      </c>
      <c r="B150" s="853"/>
      <c r="C150" s="853"/>
      <c r="D150" s="853"/>
      <c r="E150" s="853"/>
      <c r="F150" s="853"/>
      <c r="G150" s="853"/>
      <c r="H150" s="853"/>
      <c r="I150" s="853"/>
      <c r="J150" s="853"/>
      <c r="K150" s="853"/>
      <c r="L150" s="853"/>
      <c r="M150" s="853"/>
      <c r="N150" s="853"/>
      <c r="O150" s="853"/>
      <c r="P150" s="853"/>
      <c r="Q150" s="898"/>
      <c r="R150" s="898"/>
      <c r="S150" s="898"/>
      <c r="T150" s="898"/>
      <c r="U150" s="898"/>
      <c r="V150" s="898"/>
      <c r="W150" s="898"/>
      <c r="X150" s="898"/>
      <c r="Y150" s="898"/>
      <c r="Z150" s="898"/>
      <c r="AA150" s="898"/>
      <c r="AB150" s="898"/>
      <c r="AC150" s="898"/>
    </row>
    <row r="151" spans="1:31" ht="21" customHeight="1" x14ac:dyDescent="0.3">
      <c r="A151" s="882" t="s">
        <v>4254</v>
      </c>
      <c r="B151" s="233"/>
      <c r="C151" s="233"/>
      <c r="D151" s="233"/>
      <c r="E151" s="233"/>
      <c r="F151" s="233"/>
      <c r="G151" s="233"/>
      <c r="H151" s="233"/>
      <c r="I151" s="233"/>
      <c r="J151" s="233"/>
      <c r="K151" s="233"/>
      <c r="L151" s="233"/>
      <c r="M151" s="233"/>
      <c r="N151" s="233"/>
      <c r="O151" s="233"/>
      <c r="P151" s="233"/>
      <c r="Q151" s="686"/>
      <c r="R151" s="686"/>
      <c r="S151" s="686"/>
      <c r="T151" s="686"/>
      <c r="U151" s="686"/>
      <c r="V151" s="686"/>
      <c r="W151" s="686"/>
      <c r="X151" s="686"/>
      <c r="Y151" s="686"/>
      <c r="Z151" s="686"/>
      <c r="AA151" s="686"/>
      <c r="AB151" s="686"/>
      <c r="AC151" s="686"/>
    </row>
    <row r="152" spans="1:31" ht="21" customHeight="1" x14ac:dyDescent="0.25">
      <c r="A152" s="1315" t="s">
        <v>3139</v>
      </c>
      <c r="B152" s="1315"/>
      <c r="C152" s="1315" t="s">
        <v>4179</v>
      </c>
      <c r="D152" s="1490" t="s">
        <v>4171</v>
      </c>
      <c r="E152" s="1491"/>
      <c r="F152" s="1492"/>
      <c r="G152" s="1232" t="s">
        <v>4174</v>
      </c>
      <c r="H152" s="1232"/>
      <c r="I152" s="1232" t="s">
        <v>4175</v>
      </c>
      <c r="J152" s="1232" t="s">
        <v>4176</v>
      </c>
      <c r="K152" s="1232"/>
      <c r="L152" s="1232"/>
      <c r="M152" s="893"/>
      <c r="N152" s="893"/>
      <c r="O152" s="1418" t="s">
        <v>447</v>
      </c>
      <c r="P152" s="1495" t="s">
        <v>3347</v>
      </c>
      <c r="Q152" s="1489" t="s">
        <v>3333</v>
      </c>
      <c r="R152" s="1489"/>
      <c r="S152" s="1489"/>
      <c r="T152" s="1489"/>
      <c r="U152" s="1489"/>
      <c r="V152" s="1489"/>
      <c r="W152" s="1489" t="s">
        <v>3333</v>
      </c>
      <c r="X152" s="1489"/>
      <c r="Y152" s="1489"/>
      <c r="Z152" s="1489"/>
      <c r="AA152" s="1489"/>
      <c r="AB152" s="1489"/>
      <c r="AC152" s="1489"/>
    </row>
    <row r="153" spans="1:31" ht="42.6" customHeight="1" x14ac:dyDescent="0.25">
      <c r="A153" s="1315"/>
      <c r="B153" s="1315"/>
      <c r="C153" s="1315"/>
      <c r="D153" s="891" t="s">
        <v>4178</v>
      </c>
      <c r="E153" s="891" t="s">
        <v>4173</v>
      </c>
      <c r="F153" s="891" t="s">
        <v>4172</v>
      </c>
      <c r="G153" s="886" t="s">
        <v>1</v>
      </c>
      <c r="H153" s="886" t="s">
        <v>4174</v>
      </c>
      <c r="I153" s="1232"/>
      <c r="J153" s="886" t="s">
        <v>4178</v>
      </c>
      <c r="K153" s="886" t="s">
        <v>4173</v>
      </c>
      <c r="L153" s="886" t="s">
        <v>4177</v>
      </c>
      <c r="M153" s="886" t="s">
        <v>460</v>
      </c>
      <c r="N153" s="886" t="s">
        <v>462</v>
      </c>
      <c r="O153" s="1418"/>
      <c r="P153" s="1495"/>
      <c r="Q153" s="894" t="s">
        <v>695</v>
      </c>
      <c r="R153" s="894" t="s">
        <v>3310</v>
      </c>
      <c r="S153" s="894" t="s">
        <v>3311</v>
      </c>
      <c r="T153" s="894" t="s">
        <v>3312</v>
      </c>
      <c r="U153" s="894" t="s">
        <v>3313</v>
      </c>
      <c r="V153" s="894" t="s">
        <v>3314</v>
      </c>
      <c r="W153" s="894" t="s">
        <v>3315</v>
      </c>
      <c r="X153" s="894" t="s">
        <v>3316</v>
      </c>
      <c r="Y153" s="894" t="s">
        <v>3317</v>
      </c>
      <c r="Z153" s="894" t="s">
        <v>3346</v>
      </c>
      <c r="AA153" s="894" t="s">
        <v>3756</v>
      </c>
      <c r="AB153" s="894" t="s">
        <v>3318</v>
      </c>
      <c r="AC153" s="894" t="s">
        <v>3319</v>
      </c>
    </row>
    <row r="154" spans="1:31" ht="69" customHeight="1" x14ac:dyDescent="0.25">
      <c r="A154" s="1209" t="s">
        <v>3032</v>
      </c>
      <c r="B154" s="1209" t="str">
        <f>+'PLANINDICATIVO PD MAYO'!I42</f>
        <v>CONSTRUCCIÓN, ADECUACIÓN Y MANTENIMIENTO DE INFRAESTRUCTURA FÍSICA (PLANTA FÍSICA TODAS LAS SEDES)</v>
      </c>
      <c r="C154" s="1209" t="str">
        <f>+'PLANINDICATIVO PD MAYO'!J42</f>
        <v xml:space="preserve">9210 NUEVOS M2 CONSTRUIDOS, 1.000 ADECUADOS Y 12.500 (Incluye estudios, diseños e interventorías) MANTENIDOS EN TODAS LAS SEDES </v>
      </c>
      <c r="D154" s="1209" t="str">
        <f>+'PLANINDICATIVO PD MAYO'!L42</f>
        <v>M2 CONSTRUIDOS, M2 ADECUADOS, Y M2 MANTENIDOS EN TODAS LA SEDES</v>
      </c>
      <c r="E154" s="1209"/>
      <c r="F154" s="1209" t="str">
        <f>+'PLANINDICATIVO PD MAYO'!O42</f>
        <v>2200 CONSTRUIDOS- 200 ADECUADOS-Y 12.500 MANTENIDOS</v>
      </c>
      <c r="G154" s="806" t="s">
        <v>3903</v>
      </c>
      <c r="H154" s="174" t="s">
        <v>3902</v>
      </c>
      <c r="I154" s="174"/>
      <c r="J154" s="174"/>
      <c r="K154" s="174"/>
      <c r="L154" s="174"/>
      <c r="M154" s="155">
        <v>2860000000</v>
      </c>
      <c r="N154" s="155">
        <v>4387000000</v>
      </c>
      <c r="O154" s="151">
        <v>111</v>
      </c>
      <c r="P154" s="815" t="s">
        <v>3359</v>
      </c>
      <c r="Q154" s="149" t="e">
        <f>SUM(R154:AC154)</f>
        <v>#REF!</v>
      </c>
      <c r="R154" s="149" t="e">
        <f>+#REF!</f>
        <v>#REF!</v>
      </c>
      <c r="S154" s="149" t="e">
        <f>+#REF!</f>
        <v>#REF!</v>
      </c>
      <c r="T154" s="149" t="e">
        <f>+#REF!</f>
        <v>#REF!</v>
      </c>
      <c r="U154" s="149" t="e">
        <f>+#REF!</f>
        <v>#REF!</v>
      </c>
      <c r="V154" s="149" t="e">
        <f>+#REF!</f>
        <v>#REF!</v>
      </c>
      <c r="W154" s="149" t="e">
        <f>+#REF!</f>
        <v>#REF!</v>
      </c>
      <c r="X154" s="149" t="e">
        <f>+#REF!</f>
        <v>#REF!</v>
      </c>
      <c r="Y154" s="149" t="e">
        <f>+#REF!</f>
        <v>#REF!</v>
      </c>
      <c r="Z154" s="149" t="e">
        <f>+#REF!</f>
        <v>#REF!</v>
      </c>
      <c r="AA154" s="149" t="e">
        <f>+#REF!</f>
        <v>#REF!</v>
      </c>
      <c r="AB154" s="149" t="e">
        <f>+#REF!</f>
        <v>#REF!</v>
      </c>
      <c r="AC154" s="149" t="e">
        <f>+#REF!</f>
        <v>#REF!</v>
      </c>
    </row>
    <row r="155" spans="1:31" ht="63.75" x14ac:dyDescent="0.25">
      <c r="A155" s="1209"/>
      <c r="B155" s="1209"/>
      <c r="C155" s="1209"/>
      <c r="D155" s="1209"/>
      <c r="E155" s="1209"/>
      <c r="F155" s="1209"/>
      <c r="G155" s="811" t="s">
        <v>3904</v>
      </c>
      <c r="H155" s="154" t="s">
        <v>3907</v>
      </c>
      <c r="I155" s="154"/>
      <c r="J155" s="154"/>
      <c r="K155" s="154"/>
      <c r="L155" s="154"/>
      <c r="M155" s="155">
        <v>380000000</v>
      </c>
      <c r="N155" s="155">
        <v>515000000</v>
      </c>
      <c r="O155" s="151">
        <v>111</v>
      </c>
      <c r="P155" s="815" t="s">
        <v>3359</v>
      </c>
      <c r="Q155" s="149" t="e">
        <f>SUM(R155:AC155)</f>
        <v>#REF!</v>
      </c>
      <c r="R155" s="149" t="e">
        <f>+#REF!</f>
        <v>#REF!</v>
      </c>
      <c r="S155" s="149" t="e">
        <f>+#REF!</f>
        <v>#REF!</v>
      </c>
      <c r="T155" s="149" t="e">
        <f>+#REF!</f>
        <v>#REF!</v>
      </c>
      <c r="U155" s="149" t="e">
        <f>+#REF!</f>
        <v>#REF!</v>
      </c>
      <c r="V155" s="149" t="e">
        <f>+#REF!</f>
        <v>#REF!</v>
      </c>
      <c r="W155" s="149" t="e">
        <f>+#REF!</f>
        <v>#REF!</v>
      </c>
      <c r="X155" s="149" t="e">
        <f>+#REF!</f>
        <v>#REF!</v>
      </c>
      <c r="Y155" s="149" t="e">
        <f>+#REF!</f>
        <v>#REF!</v>
      </c>
      <c r="Z155" s="149" t="e">
        <f>+#REF!</f>
        <v>#REF!</v>
      </c>
      <c r="AA155" s="149" t="e">
        <f>+#REF!</f>
        <v>#REF!</v>
      </c>
      <c r="AB155" s="149" t="e">
        <f>+#REF!</f>
        <v>#REF!</v>
      </c>
      <c r="AC155" s="149" t="e">
        <f>+#REF!</f>
        <v>#REF!</v>
      </c>
    </row>
    <row r="156" spans="1:31" ht="69" customHeight="1" x14ac:dyDescent="0.25">
      <c r="A156" s="1209"/>
      <c r="B156" s="1209"/>
      <c r="C156" s="1209"/>
      <c r="D156" s="1209"/>
      <c r="E156" s="1209"/>
      <c r="F156" s="1209"/>
      <c r="G156" s="2" t="s">
        <v>3905</v>
      </c>
      <c r="H156" s="154" t="s">
        <v>3908</v>
      </c>
      <c r="I156" s="154"/>
      <c r="J156" s="154"/>
      <c r="K156" s="154"/>
      <c r="L156" s="154"/>
      <c r="M156" s="155">
        <v>260000000</v>
      </c>
      <c r="N156" s="155">
        <v>260000000</v>
      </c>
      <c r="O156" s="151">
        <v>111</v>
      </c>
      <c r="P156" s="815" t="s">
        <v>3359</v>
      </c>
      <c r="Q156" s="149" t="e">
        <f t="shared" si="1"/>
        <v>#REF!</v>
      </c>
      <c r="R156" s="149" t="e">
        <f>+#REF!</f>
        <v>#REF!</v>
      </c>
      <c r="S156" s="149" t="e">
        <f>+#REF!</f>
        <v>#REF!</v>
      </c>
      <c r="T156" s="149" t="e">
        <f>+#REF!</f>
        <v>#REF!</v>
      </c>
      <c r="U156" s="149" t="e">
        <f>+#REF!</f>
        <v>#REF!</v>
      </c>
      <c r="V156" s="149" t="e">
        <f>+#REF!</f>
        <v>#REF!</v>
      </c>
      <c r="W156" s="149" t="e">
        <f>+#REF!</f>
        <v>#REF!</v>
      </c>
      <c r="X156" s="149" t="e">
        <f>+#REF!</f>
        <v>#REF!</v>
      </c>
      <c r="Y156" s="149" t="e">
        <f>+#REF!</f>
        <v>#REF!</v>
      </c>
      <c r="Z156" s="149" t="e">
        <f>+#REF!</f>
        <v>#REF!</v>
      </c>
      <c r="AA156" s="149" t="e">
        <f>+#REF!</f>
        <v>#REF!</v>
      </c>
      <c r="AB156" s="149" t="e">
        <f>+#REF!</f>
        <v>#REF!</v>
      </c>
      <c r="AC156" s="149" t="e">
        <f>+#REF!</f>
        <v>#REF!</v>
      </c>
    </row>
    <row r="157" spans="1:31" ht="69.599999999999994" customHeight="1" x14ac:dyDescent="0.25">
      <c r="A157" s="1209"/>
      <c r="B157" s="1209"/>
      <c r="C157" s="1209"/>
      <c r="D157" s="1209"/>
      <c r="E157" s="1209"/>
      <c r="F157" s="1209"/>
      <c r="G157" s="2" t="s">
        <v>3906</v>
      </c>
      <c r="H157" s="174" t="s">
        <v>3909</v>
      </c>
      <c r="I157" s="174"/>
      <c r="J157" s="174"/>
      <c r="K157" s="174"/>
      <c r="L157" s="174"/>
      <c r="M157" s="155">
        <v>50000000</v>
      </c>
      <c r="N157" s="155">
        <v>58353559</v>
      </c>
      <c r="O157" s="151">
        <v>111</v>
      </c>
      <c r="P157" s="836" t="s">
        <v>3359</v>
      </c>
      <c r="Q157" s="149" t="e">
        <f t="shared" si="1"/>
        <v>#REF!</v>
      </c>
      <c r="R157" s="149" t="e">
        <f>+#REF!</f>
        <v>#REF!</v>
      </c>
      <c r="S157" s="149" t="e">
        <f>+#REF!</f>
        <v>#REF!</v>
      </c>
      <c r="T157" s="149" t="e">
        <f>+#REF!</f>
        <v>#REF!</v>
      </c>
      <c r="U157" s="149" t="e">
        <f>+#REF!</f>
        <v>#REF!</v>
      </c>
      <c r="V157" s="149" t="e">
        <f>+#REF!</f>
        <v>#REF!</v>
      </c>
      <c r="W157" s="149" t="e">
        <f>+#REF!</f>
        <v>#REF!</v>
      </c>
      <c r="X157" s="149" t="e">
        <f>+#REF!</f>
        <v>#REF!</v>
      </c>
      <c r="Y157" s="149" t="e">
        <f>+#REF!</f>
        <v>#REF!</v>
      </c>
      <c r="Z157" s="149" t="e">
        <f>+#REF!</f>
        <v>#REF!</v>
      </c>
      <c r="AA157" s="149" t="e">
        <f>+#REF!</f>
        <v>#REF!</v>
      </c>
      <c r="AB157" s="149" t="e">
        <f>+#REF!</f>
        <v>#REF!</v>
      </c>
      <c r="AC157" s="149" t="e">
        <f>+#REF!</f>
        <v>#REF!</v>
      </c>
    </row>
    <row r="158" spans="1:31" ht="112.9" customHeight="1" x14ac:dyDescent="0.25">
      <c r="A158" s="131" t="str">
        <f>+A154</f>
        <v>PY.4.2.1</v>
      </c>
      <c r="B158" s="834" t="str">
        <f>+B154</f>
        <v>CONSTRUCCIÓN, ADECUACIÓN Y MANTENIMIENTO DE INFRAESTRUCTURA FÍSICA (PLANTA FÍSICA TODAS LAS SEDES)</v>
      </c>
      <c r="C158" s="834" t="str">
        <f>+C154</f>
        <v xml:space="preserve">9210 NUEVOS M2 CONSTRUIDOS, 1.000 ADECUADOS Y 12.500 (Incluye estudios, diseños e interventorías) MANTENIDOS EN TODAS LAS SEDES </v>
      </c>
      <c r="D158" s="834" t="str">
        <f>+D154</f>
        <v>M2 CONSTRUIDOS, M2 ADECUADOS, Y M2 MANTENIDOS EN TODAS LA SEDES</v>
      </c>
      <c r="E158" s="834"/>
      <c r="F158" s="834" t="str">
        <f>+F154</f>
        <v>2200 CONSTRUIDOS- 200 ADECUADOS-Y 12.500 MANTENIDOS</v>
      </c>
      <c r="G158" s="2" t="s">
        <v>4062</v>
      </c>
      <c r="H158" s="174" t="s">
        <v>3297</v>
      </c>
      <c r="I158" s="174"/>
      <c r="J158" s="174"/>
      <c r="K158" s="174"/>
      <c r="L158" s="174"/>
      <c r="M158" s="155"/>
      <c r="N158" s="155"/>
      <c r="O158" s="151">
        <v>111</v>
      </c>
      <c r="P158" s="813" t="s">
        <v>3359</v>
      </c>
      <c r="Q158" s="149" t="e">
        <f t="shared" si="1"/>
        <v>#REF!</v>
      </c>
      <c r="R158" s="149" t="e">
        <f>+#REF!</f>
        <v>#REF!</v>
      </c>
      <c r="S158" s="149" t="e">
        <f>+#REF!</f>
        <v>#REF!</v>
      </c>
      <c r="T158" s="149" t="e">
        <f>+#REF!</f>
        <v>#REF!</v>
      </c>
      <c r="U158" s="149" t="e">
        <f>+#REF!</f>
        <v>#REF!</v>
      </c>
      <c r="V158" s="149" t="e">
        <f>+#REF!</f>
        <v>#REF!</v>
      </c>
      <c r="W158" s="149" t="e">
        <f>+#REF!</f>
        <v>#REF!</v>
      </c>
      <c r="X158" s="149" t="e">
        <f>+#REF!</f>
        <v>#REF!</v>
      </c>
      <c r="Y158" s="149" t="e">
        <f>+#REF!</f>
        <v>#REF!</v>
      </c>
      <c r="Z158" s="149" t="e">
        <f>+#REF!</f>
        <v>#REF!</v>
      </c>
      <c r="AA158" s="149" t="e">
        <f>+#REF!</f>
        <v>#REF!</v>
      </c>
      <c r="AB158" s="149" t="e">
        <f>+#REF!</f>
        <v>#REF!</v>
      </c>
      <c r="AC158" s="149" t="e">
        <f>+#REF!</f>
        <v>#REF!</v>
      </c>
    </row>
    <row r="159" spans="1:31" ht="18" customHeight="1" x14ac:dyDescent="0.25">
      <c r="A159" s="1209" t="s">
        <v>4255</v>
      </c>
      <c r="B159" s="1209"/>
      <c r="C159" s="1209"/>
      <c r="D159" s="1209"/>
      <c r="E159" s="1209"/>
      <c r="F159" s="1209"/>
      <c r="G159" s="1209"/>
      <c r="H159" s="1209"/>
      <c r="I159" s="1209"/>
      <c r="J159" s="1209"/>
      <c r="K159" s="1209"/>
      <c r="L159" s="1209"/>
      <c r="M159" s="1209"/>
      <c r="N159" s="1209"/>
      <c r="O159" s="1209"/>
      <c r="P159" s="1209"/>
      <c r="Q159" s="149" t="e">
        <f>SUM(Q154:Q158)</f>
        <v>#REF!</v>
      </c>
      <c r="R159" s="149" t="e">
        <f t="shared" ref="R159:AC159" si="30">SUM(R154:R158)</f>
        <v>#REF!</v>
      </c>
      <c r="S159" s="149" t="e">
        <f t="shared" si="30"/>
        <v>#REF!</v>
      </c>
      <c r="T159" s="149" t="e">
        <f t="shared" si="30"/>
        <v>#REF!</v>
      </c>
      <c r="U159" s="149" t="e">
        <f t="shared" si="30"/>
        <v>#REF!</v>
      </c>
      <c r="V159" s="149" t="e">
        <f t="shared" si="30"/>
        <v>#REF!</v>
      </c>
      <c r="W159" s="149" t="e">
        <f t="shared" si="30"/>
        <v>#REF!</v>
      </c>
      <c r="X159" s="149" t="e">
        <f t="shared" si="30"/>
        <v>#REF!</v>
      </c>
      <c r="Y159" s="149" t="e">
        <f t="shared" si="30"/>
        <v>#REF!</v>
      </c>
      <c r="Z159" s="149" t="e">
        <f t="shared" si="30"/>
        <v>#REF!</v>
      </c>
      <c r="AA159" s="149" t="e">
        <f t="shared" si="30"/>
        <v>#REF!</v>
      </c>
      <c r="AB159" s="149" t="e">
        <f t="shared" si="30"/>
        <v>#REF!</v>
      </c>
      <c r="AC159" s="149" t="e">
        <f t="shared" si="30"/>
        <v>#REF!</v>
      </c>
      <c r="AE159" s="1" t="e">
        <f>+Q159-'POAI 2011 AC.017 MAYO'!I38</f>
        <v>#REF!</v>
      </c>
    </row>
    <row r="160" spans="1:31" ht="33.6" customHeight="1" x14ac:dyDescent="0.25">
      <c r="A160" s="1209" t="s">
        <v>3032</v>
      </c>
      <c r="B160" s="1209" t="str">
        <f>+'PLANINDICATIVO PD MAYO'!I43</f>
        <v>DOTACIÓN Y MANTENIMIENTO DE EQUIPOS (DOTACIÓN OFICINAS Y AULAS TODAS LAS SEDES)</v>
      </c>
      <c r="C160" s="1209" t="str">
        <f>+'PLANINDICATIVO PD MAYO'!J43</f>
        <v xml:space="preserve">DOTAR 130 AULAS Y 130 OFICINAS PARA DOCENTES Y ADMINISTRATIVOS </v>
      </c>
      <c r="D160" s="1209" t="str">
        <f>+'PLANINDICATIVO PD MAYO'!L43</f>
        <v>NÙMERO DE AULAS Y OFICINAS DOTADAS</v>
      </c>
      <c r="E160" s="1209"/>
      <c r="F160" s="1209" t="str">
        <f>+'PLANINDICATIVO PD MAYO'!O43</f>
        <v xml:space="preserve">30 AULAS Y 30 OFICINAS </v>
      </c>
      <c r="G160" s="2" t="s">
        <v>3911</v>
      </c>
      <c r="H160" s="174" t="s">
        <v>3910</v>
      </c>
      <c r="I160" s="174"/>
      <c r="J160" s="174"/>
      <c r="K160" s="174"/>
      <c r="L160" s="174"/>
      <c r="M160" s="155">
        <v>10000000</v>
      </c>
      <c r="N160" s="155">
        <v>21763332</v>
      </c>
      <c r="O160" s="151">
        <v>211</v>
      </c>
      <c r="P160" s="1499" t="s">
        <v>4184</v>
      </c>
      <c r="Q160" s="149" t="e">
        <f t="shared" si="1"/>
        <v>#REF!</v>
      </c>
      <c r="R160" s="149" t="e">
        <f>+#REF!</f>
        <v>#REF!</v>
      </c>
      <c r="S160" s="149" t="e">
        <f>+#REF!</f>
        <v>#REF!</v>
      </c>
      <c r="T160" s="149" t="e">
        <f>+#REF!</f>
        <v>#REF!</v>
      </c>
      <c r="U160" s="149" t="e">
        <f>+#REF!</f>
        <v>#REF!</v>
      </c>
      <c r="V160" s="149" t="e">
        <f>+#REF!</f>
        <v>#REF!</v>
      </c>
      <c r="W160" s="149" t="e">
        <f>+#REF!</f>
        <v>#REF!</v>
      </c>
      <c r="X160" s="149" t="e">
        <f>+#REF!</f>
        <v>#REF!</v>
      </c>
      <c r="Y160" s="149" t="e">
        <f>+#REF!</f>
        <v>#REF!</v>
      </c>
      <c r="Z160" s="149" t="e">
        <f>+#REF!</f>
        <v>#REF!</v>
      </c>
      <c r="AA160" s="149" t="e">
        <f>+#REF!</f>
        <v>#REF!</v>
      </c>
      <c r="AB160" s="149" t="e">
        <f>+#REF!</f>
        <v>#REF!</v>
      </c>
      <c r="AC160" s="149" t="e">
        <f>+#REF!</f>
        <v>#REF!</v>
      </c>
    </row>
    <row r="161" spans="1:31" ht="44.25" customHeight="1" x14ac:dyDescent="0.25">
      <c r="A161" s="1209"/>
      <c r="B161" s="1209"/>
      <c r="C161" s="1209"/>
      <c r="D161" s="1209"/>
      <c r="E161" s="1209"/>
      <c r="F161" s="1209"/>
      <c r="G161" s="2" t="s">
        <v>3912</v>
      </c>
      <c r="H161" s="174" t="s">
        <v>3917</v>
      </c>
      <c r="I161" s="174"/>
      <c r="J161" s="174"/>
      <c r="K161" s="174"/>
      <c r="L161" s="174"/>
      <c r="M161" s="155">
        <v>30000000</v>
      </c>
      <c r="N161" s="155">
        <v>68513332</v>
      </c>
      <c r="O161" s="151">
        <v>211</v>
      </c>
      <c r="P161" s="1500"/>
      <c r="Q161" s="149" t="e">
        <f t="shared" si="1"/>
        <v>#REF!</v>
      </c>
      <c r="R161" s="149" t="e">
        <f>+#REF!</f>
        <v>#REF!</v>
      </c>
      <c r="S161" s="149" t="e">
        <f>+#REF!</f>
        <v>#REF!</v>
      </c>
      <c r="T161" s="149" t="e">
        <f>+#REF!</f>
        <v>#REF!</v>
      </c>
      <c r="U161" s="149" t="e">
        <f>+#REF!</f>
        <v>#REF!</v>
      </c>
      <c r="V161" s="149" t="e">
        <f>+#REF!</f>
        <v>#REF!</v>
      </c>
      <c r="W161" s="149" t="e">
        <f>+#REF!</f>
        <v>#REF!</v>
      </c>
      <c r="X161" s="149" t="e">
        <f>+#REF!</f>
        <v>#REF!</v>
      </c>
      <c r="Y161" s="149" t="e">
        <f>+#REF!</f>
        <v>#REF!</v>
      </c>
      <c r="Z161" s="149" t="e">
        <f>+#REF!</f>
        <v>#REF!</v>
      </c>
      <c r="AA161" s="149" t="e">
        <f>+#REF!</f>
        <v>#REF!</v>
      </c>
      <c r="AB161" s="149" t="e">
        <f>+#REF!</f>
        <v>#REF!</v>
      </c>
      <c r="AC161" s="149" t="e">
        <f>+#REF!</f>
        <v>#REF!</v>
      </c>
    </row>
    <row r="162" spans="1:31" ht="31.9" customHeight="1" x14ac:dyDescent="0.25">
      <c r="A162" s="1209"/>
      <c r="B162" s="1209"/>
      <c r="C162" s="1209"/>
      <c r="D162" s="1209"/>
      <c r="E162" s="1209"/>
      <c r="F162" s="1209"/>
      <c r="G162" s="2" t="s">
        <v>3913</v>
      </c>
      <c r="H162" s="174" t="s">
        <v>3918</v>
      </c>
      <c r="I162" s="174"/>
      <c r="J162" s="174"/>
      <c r="K162" s="174"/>
      <c r="L162" s="174"/>
      <c r="M162" s="155">
        <v>590000000</v>
      </c>
      <c r="N162" s="155">
        <v>907756276</v>
      </c>
      <c r="O162" s="151">
        <v>211</v>
      </c>
      <c r="P162" s="1500"/>
      <c r="Q162" s="149" t="e">
        <f t="shared" si="1"/>
        <v>#REF!</v>
      </c>
      <c r="R162" s="149" t="e">
        <f>+#REF!</f>
        <v>#REF!</v>
      </c>
      <c r="S162" s="149" t="e">
        <f>+#REF!</f>
        <v>#REF!</v>
      </c>
      <c r="T162" s="149" t="e">
        <f>+#REF!</f>
        <v>#REF!</v>
      </c>
      <c r="U162" s="149" t="e">
        <f>+#REF!</f>
        <v>#REF!</v>
      </c>
      <c r="V162" s="149" t="e">
        <f>+#REF!</f>
        <v>#REF!</v>
      </c>
      <c r="W162" s="149" t="e">
        <f>+#REF!</f>
        <v>#REF!</v>
      </c>
      <c r="X162" s="149" t="e">
        <f>+#REF!</f>
        <v>#REF!</v>
      </c>
      <c r="Y162" s="149" t="e">
        <f>+#REF!</f>
        <v>#REF!</v>
      </c>
      <c r="Z162" s="149" t="e">
        <f>+#REF!</f>
        <v>#REF!</v>
      </c>
      <c r="AA162" s="149" t="e">
        <f>+#REF!</f>
        <v>#REF!</v>
      </c>
      <c r="AB162" s="149" t="e">
        <f>+#REF!</f>
        <v>#REF!</v>
      </c>
      <c r="AC162" s="149" t="e">
        <f>+#REF!</f>
        <v>#REF!</v>
      </c>
    </row>
    <row r="163" spans="1:31" ht="41.45" customHeight="1" x14ac:dyDescent="0.25">
      <c r="A163" s="1209" t="str">
        <f>+A160</f>
        <v>PY.4.2.1</v>
      </c>
      <c r="B163" s="1209" t="str">
        <f>+B160</f>
        <v>DOTACIÓN Y MANTENIMIENTO DE EQUIPOS (DOTACIÓN OFICINAS Y AULAS TODAS LAS SEDES)</v>
      </c>
      <c r="C163" s="1209" t="str">
        <f>+C160</f>
        <v xml:space="preserve">DOTAR 130 AULAS Y 130 OFICINAS PARA DOCENTES Y ADMINISTRATIVOS </v>
      </c>
      <c r="D163" s="1209" t="str">
        <f>+D160</f>
        <v>NÙMERO DE AULAS Y OFICINAS DOTADAS</v>
      </c>
      <c r="E163" s="1209"/>
      <c r="F163" s="1209" t="str">
        <f>+F160</f>
        <v xml:space="preserve">30 AULAS Y 30 OFICINAS </v>
      </c>
      <c r="G163" s="2" t="s">
        <v>3914</v>
      </c>
      <c r="H163" s="154" t="s">
        <v>3919</v>
      </c>
      <c r="I163" s="154"/>
      <c r="J163" s="154"/>
      <c r="K163" s="154"/>
      <c r="L163" s="154"/>
      <c r="M163" s="155">
        <v>100000000</v>
      </c>
      <c r="N163" s="155">
        <v>86318000</v>
      </c>
      <c r="O163" s="151">
        <v>211</v>
      </c>
      <c r="P163" s="1199" t="s">
        <v>3361</v>
      </c>
      <c r="Q163" s="149" t="e">
        <f t="shared" si="1"/>
        <v>#REF!</v>
      </c>
      <c r="R163" s="149" t="e">
        <f>+#REF!</f>
        <v>#REF!</v>
      </c>
      <c r="S163" s="149" t="e">
        <f>+#REF!</f>
        <v>#REF!</v>
      </c>
      <c r="T163" s="149" t="e">
        <f>+#REF!</f>
        <v>#REF!</v>
      </c>
      <c r="U163" s="149" t="e">
        <f>+#REF!</f>
        <v>#REF!</v>
      </c>
      <c r="V163" s="149" t="e">
        <f>+#REF!</f>
        <v>#REF!</v>
      </c>
      <c r="W163" s="149" t="e">
        <f>+#REF!</f>
        <v>#REF!</v>
      </c>
      <c r="X163" s="149" t="e">
        <f>+#REF!</f>
        <v>#REF!</v>
      </c>
      <c r="Y163" s="149" t="e">
        <f>+#REF!</f>
        <v>#REF!</v>
      </c>
      <c r="Z163" s="149" t="e">
        <f>+#REF!</f>
        <v>#REF!</v>
      </c>
      <c r="AA163" s="149" t="e">
        <f>+#REF!</f>
        <v>#REF!</v>
      </c>
      <c r="AB163" s="149" t="e">
        <f>+#REF!</f>
        <v>#REF!</v>
      </c>
      <c r="AC163" s="149" t="e">
        <f>+#REF!</f>
        <v>#REF!</v>
      </c>
      <c r="AD163" s="203"/>
    </row>
    <row r="164" spans="1:31" ht="39.75" customHeight="1" x14ac:dyDescent="0.25">
      <c r="A164" s="1209"/>
      <c r="B164" s="1209"/>
      <c r="C164" s="1209"/>
      <c r="D164" s="1209"/>
      <c r="E164" s="1209"/>
      <c r="F164" s="1209"/>
      <c r="G164" s="2" t="s">
        <v>3915</v>
      </c>
      <c r="H164" s="154" t="s">
        <v>3920</v>
      </c>
      <c r="I164" s="154"/>
      <c r="J164" s="154"/>
      <c r="K164" s="154"/>
      <c r="L164" s="154"/>
      <c r="M164" s="155">
        <v>100000000</v>
      </c>
      <c r="N164" s="155">
        <v>400049000</v>
      </c>
      <c r="O164" s="151">
        <v>211</v>
      </c>
      <c r="P164" s="1199"/>
      <c r="Q164" s="149" t="e">
        <f t="shared" ref="Q164:Q170" si="31">SUM(R164:AC164)</f>
        <v>#REF!</v>
      </c>
      <c r="R164" s="149" t="e">
        <f>+#REF!</f>
        <v>#REF!</v>
      </c>
      <c r="S164" s="149" t="e">
        <f>+#REF!</f>
        <v>#REF!</v>
      </c>
      <c r="T164" s="149" t="e">
        <f>+#REF!</f>
        <v>#REF!</v>
      </c>
      <c r="U164" s="149" t="e">
        <f>+#REF!</f>
        <v>#REF!</v>
      </c>
      <c r="V164" s="149" t="e">
        <f>+#REF!</f>
        <v>#REF!</v>
      </c>
      <c r="W164" s="149" t="e">
        <f>+#REF!</f>
        <v>#REF!</v>
      </c>
      <c r="X164" s="149" t="e">
        <f>+#REF!</f>
        <v>#REF!</v>
      </c>
      <c r="Y164" s="149" t="e">
        <f>+#REF!</f>
        <v>#REF!</v>
      </c>
      <c r="Z164" s="149" t="e">
        <f>+#REF!</f>
        <v>#REF!</v>
      </c>
      <c r="AA164" s="149" t="e">
        <f>+#REF!</f>
        <v>#REF!</v>
      </c>
      <c r="AB164" s="149" t="e">
        <f>+#REF!</f>
        <v>#REF!</v>
      </c>
      <c r="AC164" s="149" t="e">
        <f>+#REF!</f>
        <v>#REF!</v>
      </c>
      <c r="AD164" s="203"/>
    </row>
    <row r="165" spans="1:31" ht="42" customHeight="1" x14ac:dyDescent="0.25">
      <c r="A165" s="1209"/>
      <c r="B165" s="1209"/>
      <c r="C165" s="1209"/>
      <c r="D165" s="1209"/>
      <c r="E165" s="1209"/>
      <c r="F165" s="1209"/>
      <c r="G165" s="2" t="s">
        <v>3921</v>
      </c>
      <c r="H165" s="154" t="s">
        <v>3924</v>
      </c>
      <c r="I165" s="154"/>
      <c r="J165" s="154"/>
      <c r="K165" s="154"/>
      <c r="L165" s="154"/>
      <c r="M165" s="155">
        <v>50000000</v>
      </c>
      <c r="N165" s="155">
        <v>14752000</v>
      </c>
      <c r="O165" s="151">
        <v>211</v>
      </c>
      <c r="P165" s="1199"/>
      <c r="Q165" s="149" t="e">
        <f t="shared" si="31"/>
        <v>#REF!</v>
      </c>
      <c r="R165" s="149" t="e">
        <f>+#REF!</f>
        <v>#REF!</v>
      </c>
      <c r="S165" s="149" t="e">
        <f>+#REF!</f>
        <v>#REF!</v>
      </c>
      <c r="T165" s="149" t="e">
        <f>+#REF!</f>
        <v>#REF!</v>
      </c>
      <c r="U165" s="149" t="e">
        <f>+#REF!</f>
        <v>#REF!</v>
      </c>
      <c r="V165" s="149" t="e">
        <f>+#REF!</f>
        <v>#REF!</v>
      </c>
      <c r="W165" s="149" t="e">
        <f>+#REF!</f>
        <v>#REF!</v>
      </c>
      <c r="X165" s="149" t="e">
        <f>+#REF!</f>
        <v>#REF!</v>
      </c>
      <c r="Y165" s="149" t="e">
        <f>+#REF!</f>
        <v>#REF!</v>
      </c>
      <c r="Z165" s="149" t="e">
        <f>+#REF!</f>
        <v>#REF!</v>
      </c>
      <c r="AA165" s="149" t="e">
        <f>+#REF!</f>
        <v>#REF!</v>
      </c>
      <c r="AB165" s="149" t="e">
        <f>+#REF!</f>
        <v>#REF!</v>
      </c>
      <c r="AC165" s="149" t="e">
        <f>+#REF!</f>
        <v>#REF!</v>
      </c>
      <c r="AD165" s="203"/>
    </row>
    <row r="166" spans="1:31" ht="34.9" customHeight="1" x14ac:dyDescent="0.25">
      <c r="A166" s="1209"/>
      <c r="B166" s="1209"/>
      <c r="C166" s="1209"/>
      <c r="D166" s="1209"/>
      <c r="E166" s="1209"/>
      <c r="F166" s="1209"/>
      <c r="G166" s="2" t="s">
        <v>3922</v>
      </c>
      <c r="H166" s="154" t="s">
        <v>3925</v>
      </c>
      <c r="I166" s="154"/>
      <c r="J166" s="154"/>
      <c r="K166" s="154"/>
      <c r="L166" s="154"/>
      <c r="M166" s="155">
        <v>150000000</v>
      </c>
      <c r="N166" s="155">
        <v>689156673</v>
      </c>
      <c r="O166" s="151">
        <v>211</v>
      </c>
      <c r="P166" s="1199"/>
      <c r="Q166" s="149" t="e">
        <f t="shared" si="31"/>
        <v>#REF!</v>
      </c>
      <c r="R166" s="149" t="e">
        <f>+#REF!</f>
        <v>#REF!</v>
      </c>
      <c r="S166" s="149" t="e">
        <f>+#REF!</f>
        <v>#REF!</v>
      </c>
      <c r="T166" s="149" t="e">
        <f>+#REF!</f>
        <v>#REF!</v>
      </c>
      <c r="U166" s="149" t="e">
        <f>+#REF!</f>
        <v>#REF!</v>
      </c>
      <c r="V166" s="149" t="e">
        <f>+#REF!</f>
        <v>#REF!</v>
      </c>
      <c r="W166" s="149" t="e">
        <f>+#REF!</f>
        <v>#REF!</v>
      </c>
      <c r="X166" s="149" t="e">
        <f>+#REF!</f>
        <v>#REF!</v>
      </c>
      <c r="Y166" s="149" t="e">
        <f>+#REF!</f>
        <v>#REF!</v>
      </c>
      <c r="Z166" s="149" t="e">
        <f>+#REF!</f>
        <v>#REF!</v>
      </c>
      <c r="AA166" s="149" t="e">
        <f>+#REF!</f>
        <v>#REF!</v>
      </c>
      <c r="AB166" s="149" t="e">
        <f>+#REF!</f>
        <v>#REF!</v>
      </c>
      <c r="AC166" s="149" t="e">
        <f>+#REF!</f>
        <v>#REF!</v>
      </c>
      <c r="AD166" s="203"/>
    </row>
    <row r="167" spans="1:31" ht="41.25" customHeight="1" x14ac:dyDescent="0.25">
      <c r="A167" s="1209"/>
      <c r="B167" s="1209"/>
      <c r="C167" s="1209"/>
      <c r="D167" s="1209"/>
      <c r="E167" s="1209"/>
      <c r="F167" s="1209"/>
      <c r="G167" s="2" t="s">
        <v>3923</v>
      </c>
      <c r="H167" s="154" t="s">
        <v>3926</v>
      </c>
      <c r="I167" s="154"/>
      <c r="J167" s="154"/>
      <c r="K167" s="154"/>
      <c r="L167" s="154"/>
      <c r="M167" s="155">
        <v>150000000</v>
      </c>
      <c r="N167" s="155">
        <v>626977688</v>
      </c>
      <c r="O167" s="151">
        <v>211</v>
      </c>
      <c r="P167" s="1206"/>
      <c r="Q167" s="149" t="e">
        <f t="shared" si="31"/>
        <v>#REF!</v>
      </c>
      <c r="R167" s="149" t="e">
        <f>+#REF!</f>
        <v>#REF!</v>
      </c>
      <c r="S167" s="149" t="e">
        <f>+#REF!</f>
        <v>#REF!</v>
      </c>
      <c r="T167" s="149" t="e">
        <f>+#REF!</f>
        <v>#REF!</v>
      </c>
      <c r="U167" s="149" t="e">
        <f>+#REF!</f>
        <v>#REF!</v>
      </c>
      <c r="V167" s="149" t="e">
        <f>+#REF!</f>
        <v>#REF!</v>
      </c>
      <c r="W167" s="149" t="e">
        <f>+#REF!</f>
        <v>#REF!</v>
      </c>
      <c r="X167" s="149" t="e">
        <f>+#REF!</f>
        <v>#REF!</v>
      </c>
      <c r="Y167" s="149" t="e">
        <f>+#REF!</f>
        <v>#REF!</v>
      </c>
      <c r="Z167" s="149" t="e">
        <f>+#REF!</f>
        <v>#REF!</v>
      </c>
      <c r="AA167" s="149" t="e">
        <f>+#REF!</f>
        <v>#REF!</v>
      </c>
      <c r="AB167" s="149" t="e">
        <f>+#REF!</f>
        <v>#REF!</v>
      </c>
      <c r="AC167" s="149" t="e">
        <f>+#REF!</f>
        <v>#REF!</v>
      </c>
      <c r="AD167" s="203"/>
    </row>
    <row r="168" spans="1:31" ht="21" customHeight="1" x14ac:dyDescent="0.25">
      <c r="A168" s="1209" t="s">
        <v>4256</v>
      </c>
      <c r="B168" s="1209"/>
      <c r="C168" s="1209"/>
      <c r="D168" s="1209"/>
      <c r="E168" s="1209"/>
      <c r="F168" s="1209"/>
      <c r="G168" s="1209"/>
      <c r="H168" s="1209"/>
      <c r="I168" s="1209"/>
      <c r="J168" s="1209"/>
      <c r="K168" s="1209"/>
      <c r="L168" s="1209"/>
      <c r="M168" s="1209"/>
      <c r="N168" s="1209"/>
      <c r="O168" s="1209"/>
      <c r="P168" s="1209"/>
      <c r="Q168" s="149" t="e">
        <f>SUM(Q160:Q167)</f>
        <v>#REF!</v>
      </c>
      <c r="R168" s="149" t="e">
        <f t="shared" ref="R168:AC168" si="32">SUM(R160:R167)</f>
        <v>#REF!</v>
      </c>
      <c r="S168" s="149" t="e">
        <f t="shared" si="32"/>
        <v>#REF!</v>
      </c>
      <c r="T168" s="149" t="e">
        <f t="shared" si="32"/>
        <v>#REF!</v>
      </c>
      <c r="U168" s="149" t="e">
        <f t="shared" si="32"/>
        <v>#REF!</v>
      </c>
      <c r="V168" s="149" t="e">
        <f t="shared" si="32"/>
        <v>#REF!</v>
      </c>
      <c r="W168" s="149" t="e">
        <f t="shared" si="32"/>
        <v>#REF!</v>
      </c>
      <c r="X168" s="149" t="e">
        <f t="shared" si="32"/>
        <v>#REF!</v>
      </c>
      <c r="Y168" s="149" t="e">
        <f t="shared" si="32"/>
        <v>#REF!</v>
      </c>
      <c r="Z168" s="149" t="e">
        <f t="shared" si="32"/>
        <v>#REF!</v>
      </c>
      <c r="AA168" s="149" t="e">
        <f t="shared" si="32"/>
        <v>#REF!</v>
      </c>
      <c r="AB168" s="149" t="e">
        <f t="shared" si="32"/>
        <v>#REF!</v>
      </c>
      <c r="AC168" s="149" t="e">
        <f t="shared" si="32"/>
        <v>#REF!</v>
      </c>
      <c r="AD168" s="203"/>
      <c r="AE168" s="1" t="e">
        <f>+Q168-'POAI 2011 AC.017 MAYO'!I39</f>
        <v>#REF!</v>
      </c>
    </row>
    <row r="169" spans="1:31" ht="42" customHeight="1" x14ac:dyDescent="0.25">
      <c r="A169" s="1209" t="str">
        <f>+A163</f>
        <v>PY.4.2.1</v>
      </c>
      <c r="B169" s="1209" t="str">
        <f>+'PLANINDICATIVO PD MAYO'!I44</f>
        <v>DOTACIÓN Y MATENIMIENTO DE EQUIPOS E INSUMOS DE LABORATORIOS(DOTACIÓN LABORATORIOS TODAS LA SEDES)</v>
      </c>
      <c r="C169" s="1209" t="str">
        <f>+'PLANINDICATIVO PD MAYO'!J44</f>
        <v>CONSTRUCCIÒN DE 2 LABORATORIOS PARA INVESTIGACIÒN Y MANTENIMIENTO Y DOTACIÒN DE EQUIPOS DE 16 LABORATORIOS DE DOCENCIA E INVESTIGACIÒN</v>
      </c>
      <c r="D169" s="1209" t="str">
        <f>+'PLANINDICATIVO PD MAYO'!L44</f>
        <v xml:space="preserve">NÙMERO DE LABORATORIOS CONSTRUIDOS, DOTADOS Y MANTENIDOS </v>
      </c>
      <c r="E169" s="1209"/>
      <c r="F169" s="1209" t="str">
        <f>+'PLANINDICATIVO PD MAYO'!O44</f>
        <v>16 LABORATORIOS DOTADOS Y MANTENIDOS</v>
      </c>
      <c r="G169" s="109" t="s">
        <v>3940</v>
      </c>
      <c r="H169" s="154" t="s">
        <v>3967</v>
      </c>
      <c r="I169" s="154"/>
      <c r="J169" s="154"/>
      <c r="K169" s="154"/>
      <c r="L169" s="154"/>
      <c r="M169" s="155"/>
      <c r="N169" s="155"/>
      <c r="O169" s="151">
        <v>211</v>
      </c>
      <c r="P169" s="817" t="s">
        <v>3878</v>
      </c>
      <c r="Q169" s="149" t="e">
        <f t="shared" si="31"/>
        <v>#REF!</v>
      </c>
      <c r="R169" s="149" t="e">
        <f>+#REF!</f>
        <v>#REF!</v>
      </c>
      <c r="S169" s="149" t="e">
        <f>+#REF!</f>
        <v>#REF!</v>
      </c>
      <c r="T169" s="149" t="e">
        <f>+#REF!</f>
        <v>#REF!</v>
      </c>
      <c r="U169" s="149" t="e">
        <f>+#REF!</f>
        <v>#REF!</v>
      </c>
      <c r="V169" s="149" t="e">
        <f>+#REF!</f>
        <v>#REF!</v>
      </c>
      <c r="W169" s="149" t="e">
        <f>+#REF!</f>
        <v>#REF!</v>
      </c>
      <c r="X169" s="149" t="e">
        <f>+#REF!</f>
        <v>#REF!</v>
      </c>
      <c r="Y169" s="149" t="e">
        <f>+#REF!</f>
        <v>#REF!</v>
      </c>
      <c r="Z169" s="149" t="e">
        <f>+#REF!</f>
        <v>#REF!</v>
      </c>
      <c r="AA169" s="149" t="e">
        <f>+#REF!</f>
        <v>#REF!</v>
      </c>
      <c r="AB169" s="149" t="e">
        <f>+#REF!</f>
        <v>#REF!</v>
      </c>
      <c r="AC169" s="149" t="e">
        <f>+#REF!</f>
        <v>#REF!</v>
      </c>
      <c r="AD169" s="203"/>
    </row>
    <row r="170" spans="1:31" ht="51.75" customHeight="1" x14ac:dyDescent="0.25">
      <c r="A170" s="1209"/>
      <c r="B170" s="1209"/>
      <c r="C170" s="1209"/>
      <c r="D170" s="1209"/>
      <c r="E170" s="1209"/>
      <c r="F170" s="1209"/>
      <c r="G170" s="109" t="s">
        <v>3928</v>
      </c>
      <c r="H170" s="154" t="s">
        <v>3927</v>
      </c>
      <c r="I170" s="154"/>
      <c r="J170" s="154"/>
      <c r="K170" s="154"/>
      <c r="L170" s="154"/>
      <c r="M170" s="155">
        <v>150000000</v>
      </c>
      <c r="N170" s="155">
        <v>138901200</v>
      </c>
      <c r="O170" s="151">
        <v>211</v>
      </c>
      <c r="P170" s="817" t="s">
        <v>3878</v>
      </c>
      <c r="Q170" s="149" t="e">
        <f t="shared" si="31"/>
        <v>#REF!</v>
      </c>
      <c r="R170" s="149" t="e">
        <f>+#REF!</f>
        <v>#REF!</v>
      </c>
      <c r="S170" s="149" t="e">
        <f>+#REF!</f>
        <v>#REF!</v>
      </c>
      <c r="T170" s="149" t="e">
        <f>+#REF!</f>
        <v>#REF!</v>
      </c>
      <c r="U170" s="149" t="e">
        <f>+#REF!</f>
        <v>#REF!</v>
      </c>
      <c r="V170" s="149" t="e">
        <f>+#REF!</f>
        <v>#REF!</v>
      </c>
      <c r="W170" s="149" t="e">
        <f>+#REF!</f>
        <v>#REF!</v>
      </c>
      <c r="X170" s="149" t="e">
        <f>+#REF!</f>
        <v>#REF!</v>
      </c>
      <c r="Y170" s="149" t="e">
        <f>+#REF!</f>
        <v>#REF!</v>
      </c>
      <c r="Z170" s="149" t="e">
        <f>+#REF!</f>
        <v>#REF!</v>
      </c>
      <c r="AA170" s="149" t="e">
        <f>+#REF!</f>
        <v>#REF!</v>
      </c>
      <c r="AB170" s="149" t="e">
        <f>+#REF!</f>
        <v>#REF!</v>
      </c>
      <c r="AC170" s="149" t="e">
        <f>+#REF!</f>
        <v>#REF!</v>
      </c>
      <c r="AD170" s="203"/>
    </row>
    <row r="171" spans="1:31" ht="54.75" customHeight="1" x14ac:dyDescent="0.25">
      <c r="A171" s="1209"/>
      <c r="B171" s="1209"/>
      <c r="C171" s="1209"/>
      <c r="D171" s="1209"/>
      <c r="E171" s="1209"/>
      <c r="F171" s="1209"/>
      <c r="G171" s="109" t="s">
        <v>3929</v>
      </c>
      <c r="H171" s="154" t="s">
        <v>3976</v>
      </c>
      <c r="I171" s="154"/>
      <c r="J171" s="154"/>
      <c r="K171" s="154"/>
      <c r="L171" s="154"/>
      <c r="M171" s="155">
        <v>150000000</v>
      </c>
      <c r="N171" s="155">
        <v>149998000</v>
      </c>
      <c r="O171" s="151">
        <v>211</v>
      </c>
      <c r="P171" s="817" t="s">
        <v>4088</v>
      </c>
      <c r="Q171" s="149" t="e">
        <f t="shared" si="1"/>
        <v>#REF!</v>
      </c>
      <c r="R171" s="149" t="e">
        <f>+#REF!</f>
        <v>#REF!</v>
      </c>
      <c r="S171" s="149" t="e">
        <f>+#REF!</f>
        <v>#REF!</v>
      </c>
      <c r="T171" s="149" t="e">
        <f>+#REF!</f>
        <v>#REF!</v>
      </c>
      <c r="U171" s="149" t="e">
        <f>+#REF!</f>
        <v>#REF!</v>
      </c>
      <c r="V171" s="149" t="e">
        <f>+#REF!</f>
        <v>#REF!</v>
      </c>
      <c r="W171" s="149" t="e">
        <f>+#REF!</f>
        <v>#REF!</v>
      </c>
      <c r="X171" s="149" t="e">
        <f>+#REF!</f>
        <v>#REF!</v>
      </c>
      <c r="Y171" s="149" t="e">
        <f>+#REF!</f>
        <v>#REF!</v>
      </c>
      <c r="Z171" s="149" t="e">
        <f>+#REF!</f>
        <v>#REF!</v>
      </c>
      <c r="AA171" s="149" t="e">
        <f>+#REF!</f>
        <v>#REF!</v>
      </c>
      <c r="AB171" s="149" t="e">
        <f>+#REF!</f>
        <v>#REF!</v>
      </c>
      <c r="AC171" s="149" t="e">
        <f>+#REF!</f>
        <v>#REF!</v>
      </c>
      <c r="AD171" s="203"/>
    </row>
    <row r="172" spans="1:31" ht="57" customHeight="1" x14ac:dyDescent="0.25">
      <c r="A172" s="1209"/>
      <c r="B172" s="1209"/>
      <c r="C172" s="1209"/>
      <c r="D172" s="1209"/>
      <c r="E172" s="1209"/>
      <c r="F172" s="1209"/>
      <c r="G172" s="109" t="s">
        <v>3930</v>
      </c>
      <c r="H172" s="154" t="s">
        <v>3983</v>
      </c>
      <c r="I172" s="154"/>
      <c r="J172" s="154"/>
      <c r="K172" s="154"/>
      <c r="L172" s="154"/>
      <c r="M172" s="155">
        <v>50000000</v>
      </c>
      <c r="N172" s="155">
        <v>28140000</v>
      </c>
      <c r="O172" s="151">
        <v>211</v>
      </c>
      <c r="P172" s="817" t="s">
        <v>4088</v>
      </c>
      <c r="Q172" s="149" t="e">
        <f>SUM(R172:AC172)</f>
        <v>#REF!</v>
      </c>
      <c r="R172" s="149" t="e">
        <f>+#REF!</f>
        <v>#REF!</v>
      </c>
      <c r="S172" s="149" t="e">
        <f>+#REF!</f>
        <v>#REF!</v>
      </c>
      <c r="T172" s="149" t="e">
        <f>+#REF!</f>
        <v>#REF!</v>
      </c>
      <c r="U172" s="149" t="e">
        <f>+#REF!</f>
        <v>#REF!</v>
      </c>
      <c r="V172" s="149" t="e">
        <f>+#REF!</f>
        <v>#REF!</v>
      </c>
      <c r="W172" s="149" t="e">
        <f>+#REF!</f>
        <v>#REF!</v>
      </c>
      <c r="X172" s="149" t="e">
        <f>+#REF!</f>
        <v>#REF!</v>
      </c>
      <c r="Y172" s="149" t="e">
        <f>+#REF!</f>
        <v>#REF!</v>
      </c>
      <c r="Z172" s="149" t="e">
        <f>+#REF!</f>
        <v>#REF!</v>
      </c>
      <c r="AA172" s="149" t="e">
        <f>+#REF!</f>
        <v>#REF!</v>
      </c>
      <c r="AB172" s="149" t="e">
        <f>+#REF!</f>
        <v>#REF!</v>
      </c>
      <c r="AC172" s="149" t="e">
        <f>+#REF!</f>
        <v>#REF!</v>
      </c>
      <c r="AD172" s="203"/>
    </row>
    <row r="173" spans="1:31" ht="61.15" customHeight="1" x14ac:dyDescent="0.25">
      <c r="A173" s="1209"/>
      <c r="B173" s="1209"/>
      <c r="C173" s="1209"/>
      <c r="D173" s="1209"/>
      <c r="E173" s="1209"/>
      <c r="F173" s="1209"/>
      <c r="G173" s="109" t="s">
        <v>3931</v>
      </c>
      <c r="H173" s="154" t="s">
        <v>3988</v>
      </c>
      <c r="I173" s="154"/>
      <c r="J173" s="154"/>
      <c r="K173" s="154"/>
      <c r="L173" s="154"/>
      <c r="M173" s="155">
        <v>300000000</v>
      </c>
      <c r="N173" s="155">
        <v>745245655</v>
      </c>
      <c r="O173" s="151">
        <v>211</v>
      </c>
      <c r="P173" s="817" t="s">
        <v>4088</v>
      </c>
      <c r="Q173" s="149" t="e">
        <f>SUM(R173:AC173)</f>
        <v>#REF!</v>
      </c>
      <c r="R173" s="149" t="e">
        <f>+#REF!</f>
        <v>#REF!</v>
      </c>
      <c r="S173" s="149" t="e">
        <f>+#REF!</f>
        <v>#REF!</v>
      </c>
      <c r="T173" s="149" t="e">
        <f>+#REF!</f>
        <v>#REF!</v>
      </c>
      <c r="U173" s="149" t="e">
        <f>+#REF!</f>
        <v>#REF!</v>
      </c>
      <c r="V173" s="149" t="e">
        <f>+#REF!</f>
        <v>#REF!</v>
      </c>
      <c r="W173" s="149" t="e">
        <f>+#REF!</f>
        <v>#REF!</v>
      </c>
      <c r="X173" s="149" t="e">
        <f>+#REF!</f>
        <v>#REF!</v>
      </c>
      <c r="Y173" s="149" t="e">
        <f>+#REF!</f>
        <v>#REF!</v>
      </c>
      <c r="Z173" s="149" t="e">
        <f>+#REF!</f>
        <v>#REF!</v>
      </c>
      <c r="AA173" s="149" t="e">
        <f>+#REF!</f>
        <v>#REF!</v>
      </c>
      <c r="AB173" s="149" t="e">
        <f>+#REF!</f>
        <v>#REF!</v>
      </c>
      <c r="AC173" s="149" t="e">
        <f>+#REF!</f>
        <v>#REF!</v>
      </c>
      <c r="AD173" s="203"/>
    </row>
    <row r="174" spans="1:31" ht="83.45" customHeight="1" x14ac:dyDescent="0.25">
      <c r="A174" s="1204" t="str">
        <f>+A169</f>
        <v>PY.4.2.1</v>
      </c>
      <c r="B174" s="1204" t="str">
        <f>+B169</f>
        <v>DOTACIÓN Y MATENIMIENTO DE EQUIPOS E INSUMOS DE LABORATORIOS(DOTACIÓN LABORATORIOS TODAS LA SEDES)</v>
      </c>
      <c r="C174" s="1204" t="str">
        <f>+C169</f>
        <v>CONSTRUCCIÒN DE 2 LABORATORIOS PARA INVESTIGACIÒN Y MANTENIMIENTO Y DOTACIÒN DE EQUIPOS DE 16 LABORATORIOS DE DOCENCIA E INVESTIGACIÒN</v>
      </c>
      <c r="D174" s="1204" t="str">
        <f>+D169</f>
        <v xml:space="preserve">NÙMERO DE LABORATORIOS CONSTRUIDOS, DOTADOS Y MANTENIDOS </v>
      </c>
      <c r="E174" s="1204"/>
      <c r="F174" s="1204" t="str">
        <f>+F169</f>
        <v>16 LABORATORIOS DOTADOS Y MANTENIDOS</v>
      </c>
      <c r="G174" s="2" t="s">
        <v>3932</v>
      </c>
      <c r="H174" s="154" t="s">
        <v>3941</v>
      </c>
      <c r="I174" s="154"/>
      <c r="J174" s="154"/>
      <c r="K174" s="154"/>
      <c r="L174" s="154"/>
      <c r="M174" s="155">
        <v>200000000</v>
      </c>
      <c r="N174" s="155">
        <v>1911460000</v>
      </c>
      <c r="O174" s="151">
        <v>211</v>
      </c>
      <c r="P174" s="817" t="s">
        <v>3875</v>
      </c>
      <c r="Q174" s="149" t="e">
        <f>SUM(R174:AC174)</f>
        <v>#REF!</v>
      </c>
      <c r="R174" s="149" t="e">
        <f>+#REF!</f>
        <v>#REF!</v>
      </c>
      <c r="S174" s="149" t="e">
        <f>+#REF!</f>
        <v>#REF!</v>
      </c>
      <c r="T174" s="149" t="e">
        <f>+#REF!</f>
        <v>#REF!</v>
      </c>
      <c r="U174" s="149" t="e">
        <f>+#REF!</f>
        <v>#REF!</v>
      </c>
      <c r="V174" s="149" t="e">
        <f>+#REF!</f>
        <v>#REF!</v>
      </c>
      <c r="W174" s="149" t="e">
        <f>+#REF!</f>
        <v>#REF!</v>
      </c>
      <c r="X174" s="149" t="e">
        <f>+#REF!</f>
        <v>#REF!</v>
      </c>
      <c r="Y174" s="149" t="e">
        <f>+#REF!</f>
        <v>#REF!</v>
      </c>
      <c r="Z174" s="149" t="e">
        <f>+#REF!</f>
        <v>#REF!</v>
      </c>
      <c r="AA174" s="149" t="e">
        <f>+#REF!</f>
        <v>#REF!</v>
      </c>
      <c r="AB174" s="149" t="e">
        <f>+#REF!</f>
        <v>#REF!</v>
      </c>
      <c r="AC174" s="149" t="e">
        <f>+#REF!</f>
        <v>#REF!</v>
      </c>
      <c r="AD174" s="203"/>
    </row>
    <row r="175" spans="1:31" ht="81.599999999999994" customHeight="1" x14ac:dyDescent="0.25">
      <c r="A175" s="1204"/>
      <c r="B175" s="1204"/>
      <c r="C175" s="1204"/>
      <c r="D175" s="1204"/>
      <c r="E175" s="1204"/>
      <c r="F175" s="1204"/>
      <c r="G175" s="2" t="s">
        <v>3933</v>
      </c>
      <c r="H175" s="154" t="s">
        <v>3989</v>
      </c>
      <c r="I175" s="154"/>
      <c r="J175" s="154"/>
      <c r="K175" s="154"/>
      <c r="L175" s="154"/>
      <c r="M175" s="155">
        <v>200000000</v>
      </c>
      <c r="N175" s="155">
        <v>230646000</v>
      </c>
      <c r="O175" s="151">
        <v>211</v>
      </c>
      <c r="P175" s="817" t="s">
        <v>3875</v>
      </c>
      <c r="Q175" s="149" t="e">
        <f>SUM(R175:AC175)</f>
        <v>#REF!</v>
      </c>
      <c r="R175" s="149" t="e">
        <f>+#REF!</f>
        <v>#REF!</v>
      </c>
      <c r="S175" s="149" t="e">
        <f>+#REF!</f>
        <v>#REF!</v>
      </c>
      <c r="T175" s="149" t="e">
        <f>+#REF!</f>
        <v>#REF!</v>
      </c>
      <c r="U175" s="149" t="e">
        <f>+#REF!</f>
        <v>#REF!</v>
      </c>
      <c r="V175" s="149" t="e">
        <f>+#REF!</f>
        <v>#REF!</v>
      </c>
      <c r="W175" s="149" t="e">
        <f>+#REF!</f>
        <v>#REF!</v>
      </c>
      <c r="X175" s="149" t="e">
        <f>+#REF!</f>
        <v>#REF!</v>
      </c>
      <c r="Y175" s="149" t="e">
        <f>+#REF!</f>
        <v>#REF!</v>
      </c>
      <c r="Z175" s="149" t="e">
        <f>+#REF!</f>
        <v>#REF!</v>
      </c>
      <c r="AA175" s="149" t="e">
        <f>+#REF!</f>
        <v>#REF!</v>
      </c>
      <c r="AB175" s="149" t="e">
        <f>+#REF!</f>
        <v>#REF!</v>
      </c>
      <c r="AC175" s="149" t="e">
        <f>+#REF!</f>
        <v>#REF!</v>
      </c>
      <c r="AD175" s="203"/>
    </row>
    <row r="176" spans="1:31" ht="85.9" customHeight="1" x14ac:dyDescent="0.25">
      <c r="A176" s="1210"/>
      <c r="B176" s="1210"/>
      <c r="C176" s="1210"/>
      <c r="D176" s="1210"/>
      <c r="E176" s="1210"/>
      <c r="F176" s="1210"/>
      <c r="G176" s="2" t="s">
        <v>3934</v>
      </c>
      <c r="H176" s="154" t="s">
        <v>3982</v>
      </c>
      <c r="I176" s="154"/>
      <c r="J176" s="154"/>
      <c r="K176" s="154"/>
      <c r="L176" s="154"/>
      <c r="M176" s="155">
        <v>200000000</v>
      </c>
      <c r="N176" s="155">
        <v>245963800</v>
      </c>
      <c r="O176" s="151">
        <v>211</v>
      </c>
      <c r="P176" s="817" t="s">
        <v>3875</v>
      </c>
      <c r="Q176" s="149" t="e">
        <f>SUM(R176:AC176)</f>
        <v>#REF!</v>
      </c>
      <c r="R176" s="149" t="e">
        <f>+#REF!</f>
        <v>#REF!</v>
      </c>
      <c r="S176" s="149" t="e">
        <f>+#REF!</f>
        <v>#REF!</v>
      </c>
      <c r="T176" s="149" t="e">
        <f>+#REF!</f>
        <v>#REF!</v>
      </c>
      <c r="U176" s="149" t="e">
        <f>+#REF!</f>
        <v>#REF!</v>
      </c>
      <c r="V176" s="149" t="e">
        <f>+#REF!</f>
        <v>#REF!</v>
      </c>
      <c r="W176" s="149" t="e">
        <f>+#REF!</f>
        <v>#REF!</v>
      </c>
      <c r="X176" s="149" t="e">
        <f>+#REF!</f>
        <v>#REF!</v>
      </c>
      <c r="Y176" s="149" t="e">
        <f>+#REF!</f>
        <v>#REF!</v>
      </c>
      <c r="Z176" s="149" t="e">
        <f>+#REF!</f>
        <v>#REF!</v>
      </c>
      <c r="AA176" s="149" t="e">
        <f>+#REF!</f>
        <v>#REF!</v>
      </c>
      <c r="AB176" s="149" t="e">
        <f>+#REF!</f>
        <v>#REF!</v>
      </c>
      <c r="AC176" s="149" t="e">
        <f>+#REF!</f>
        <v>#REF!</v>
      </c>
      <c r="AD176" s="203"/>
    </row>
    <row r="177" spans="1:30" ht="82.9" customHeight="1" x14ac:dyDescent="0.25">
      <c r="A177" s="1209" t="str">
        <f>+A169</f>
        <v>PY.4.2.1</v>
      </c>
      <c r="B177" s="1209" t="str">
        <f>+B169</f>
        <v>DOTACIÓN Y MATENIMIENTO DE EQUIPOS E INSUMOS DE LABORATORIOS(DOTACIÓN LABORATORIOS TODAS LA SEDES)</v>
      </c>
      <c r="C177" s="1209" t="str">
        <f>+C169</f>
        <v>CONSTRUCCIÒN DE 2 LABORATORIOS PARA INVESTIGACIÒN Y MANTENIMIENTO Y DOTACIÒN DE EQUIPOS DE 16 LABORATORIOS DE DOCENCIA E INVESTIGACIÒN</v>
      </c>
      <c r="D177" s="1209" t="str">
        <f>+D169</f>
        <v xml:space="preserve">NÙMERO DE LABORATORIOS CONSTRUIDOS, DOTADOS Y MANTENIDOS </v>
      </c>
      <c r="E177" s="1209"/>
      <c r="F177" s="1209" t="str">
        <f>+F169</f>
        <v>16 LABORATORIOS DOTADOS Y MANTENIDOS</v>
      </c>
      <c r="G177" s="109" t="s">
        <v>3935</v>
      </c>
      <c r="H177" s="154" t="s">
        <v>3942</v>
      </c>
      <c r="I177" s="154"/>
      <c r="J177" s="154"/>
      <c r="K177" s="154"/>
      <c r="L177" s="154"/>
      <c r="M177" s="155">
        <v>50000000</v>
      </c>
      <c r="N177" s="155">
        <v>156188000</v>
      </c>
      <c r="O177" s="151">
        <v>211</v>
      </c>
      <c r="P177" s="817" t="s">
        <v>3875</v>
      </c>
      <c r="Q177" s="149" t="e">
        <f t="shared" si="1"/>
        <v>#REF!</v>
      </c>
      <c r="R177" s="149" t="e">
        <f>+#REF!</f>
        <v>#REF!</v>
      </c>
      <c r="S177" s="149" t="e">
        <f>+#REF!</f>
        <v>#REF!</v>
      </c>
      <c r="T177" s="149" t="e">
        <f>+#REF!</f>
        <v>#REF!</v>
      </c>
      <c r="U177" s="149" t="e">
        <f>+#REF!</f>
        <v>#REF!</v>
      </c>
      <c r="V177" s="149" t="e">
        <f>+#REF!</f>
        <v>#REF!</v>
      </c>
      <c r="W177" s="149" t="e">
        <f>+#REF!</f>
        <v>#REF!</v>
      </c>
      <c r="X177" s="149" t="e">
        <f>+#REF!</f>
        <v>#REF!</v>
      </c>
      <c r="Y177" s="149" t="e">
        <f>+#REF!</f>
        <v>#REF!</v>
      </c>
      <c r="Z177" s="149" t="e">
        <f>+#REF!</f>
        <v>#REF!</v>
      </c>
      <c r="AA177" s="149" t="e">
        <f>+#REF!</f>
        <v>#REF!</v>
      </c>
      <c r="AB177" s="149" t="e">
        <f>+#REF!</f>
        <v>#REF!</v>
      </c>
      <c r="AC177" s="149" t="e">
        <f>+#REF!</f>
        <v>#REF!</v>
      </c>
      <c r="AD177" s="203"/>
    </row>
    <row r="178" spans="1:30" ht="55.5" customHeight="1" x14ac:dyDescent="0.25">
      <c r="A178" s="1209"/>
      <c r="B178" s="1209"/>
      <c r="C178" s="1209"/>
      <c r="D178" s="1209"/>
      <c r="E178" s="1209"/>
      <c r="F178" s="1209"/>
      <c r="G178" s="109" t="s">
        <v>3936</v>
      </c>
      <c r="H178" s="154" t="s">
        <v>3977</v>
      </c>
      <c r="I178" s="154"/>
      <c r="J178" s="154"/>
      <c r="K178" s="154"/>
      <c r="L178" s="154"/>
      <c r="M178" s="155">
        <v>100000000</v>
      </c>
      <c r="N178" s="155">
        <v>120379645</v>
      </c>
      <c r="O178" s="151">
        <v>211</v>
      </c>
      <c r="P178" s="817" t="s">
        <v>4089</v>
      </c>
      <c r="Q178" s="149" t="e">
        <f t="shared" ref="Q178:Q212" si="33">SUM(R178:AC178)</f>
        <v>#REF!</v>
      </c>
      <c r="R178" s="149" t="e">
        <f>+#REF!</f>
        <v>#REF!</v>
      </c>
      <c r="S178" s="149" t="e">
        <f>+#REF!</f>
        <v>#REF!</v>
      </c>
      <c r="T178" s="149" t="e">
        <f>+#REF!</f>
        <v>#REF!</v>
      </c>
      <c r="U178" s="149" t="e">
        <f>+#REF!</f>
        <v>#REF!</v>
      </c>
      <c r="V178" s="149" t="e">
        <f>+#REF!</f>
        <v>#REF!</v>
      </c>
      <c r="W178" s="149" t="e">
        <f>+#REF!</f>
        <v>#REF!</v>
      </c>
      <c r="X178" s="149" t="e">
        <f>+#REF!</f>
        <v>#REF!</v>
      </c>
      <c r="Y178" s="149" t="e">
        <f>+#REF!</f>
        <v>#REF!</v>
      </c>
      <c r="Z178" s="149" t="e">
        <f>+#REF!</f>
        <v>#REF!</v>
      </c>
      <c r="AA178" s="149" t="e">
        <f>+#REF!</f>
        <v>#REF!</v>
      </c>
      <c r="AB178" s="149" t="e">
        <f>+#REF!</f>
        <v>#REF!</v>
      </c>
      <c r="AC178" s="149" t="e">
        <f>+#REF!</f>
        <v>#REF!</v>
      </c>
      <c r="AD178" s="203"/>
    </row>
    <row r="179" spans="1:30" ht="58.5" customHeight="1" x14ac:dyDescent="0.25">
      <c r="A179" s="1209"/>
      <c r="B179" s="1209"/>
      <c r="C179" s="1209"/>
      <c r="D179" s="1209"/>
      <c r="E179" s="1209"/>
      <c r="F179" s="1209"/>
      <c r="G179" s="109" t="s">
        <v>3937</v>
      </c>
      <c r="H179" s="154" t="s">
        <v>3943</v>
      </c>
      <c r="I179" s="154"/>
      <c r="J179" s="154"/>
      <c r="K179" s="154"/>
      <c r="L179" s="154"/>
      <c r="M179" s="155">
        <v>100000000</v>
      </c>
      <c r="N179" s="155">
        <v>1831236000</v>
      </c>
      <c r="O179" s="151">
        <v>211</v>
      </c>
      <c r="P179" s="817" t="s">
        <v>4090</v>
      </c>
      <c r="Q179" s="149" t="e">
        <f t="shared" si="33"/>
        <v>#REF!</v>
      </c>
      <c r="R179" s="149" t="e">
        <f>+#REF!</f>
        <v>#REF!</v>
      </c>
      <c r="S179" s="149" t="e">
        <f>+#REF!</f>
        <v>#REF!</v>
      </c>
      <c r="T179" s="149" t="e">
        <f>+#REF!</f>
        <v>#REF!</v>
      </c>
      <c r="U179" s="149" t="e">
        <f>+#REF!</f>
        <v>#REF!</v>
      </c>
      <c r="V179" s="149" t="e">
        <f>+#REF!</f>
        <v>#REF!</v>
      </c>
      <c r="W179" s="149" t="e">
        <f>+#REF!</f>
        <v>#REF!</v>
      </c>
      <c r="X179" s="149" t="e">
        <f>+#REF!</f>
        <v>#REF!</v>
      </c>
      <c r="Y179" s="149" t="e">
        <f>+#REF!</f>
        <v>#REF!</v>
      </c>
      <c r="Z179" s="149" t="e">
        <f>+#REF!</f>
        <v>#REF!</v>
      </c>
      <c r="AA179" s="149" t="e">
        <f>+#REF!</f>
        <v>#REF!</v>
      </c>
      <c r="AB179" s="149" t="e">
        <f>+#REF!</f>
        <v>#REF!</v>
      </c>
      <c r="AC179" s="149" t="e">
        <f>+#REF!</f>
        <v>#REF!</v>
      </c>
      <c r="AD179" s="203"/>
    </row>
    <row r="180" spans="1:30" ht="71.45" customHeight="1" x14ac:dyDescent="0.25">
      <c r="A180" s="1209"/>
      <c r="B180" s="1209"/>
      <c r="C180" s="1209"/>
      <c r="D180" s="1209"/>
      <c r="E180" s="1209"/>
      <c r="F180" s="1209"/>
      <c r="G180" s="109" t="s">
        <v>3938</v>
      </c>
      <c r="H180" s="154" t="s">
        <v>3969</v>
      </c>
      <c r="I180" s="154"/>
      <c r="J180" s="154"/>
      <c r="K180" s="154"/>
      <c r="L180" s="154"/>
      <c r="M180" s="155">
        <v>280000000</v>
      </c>
      <c r="N180" s="155">
        <v>492473000</v>
      </c>
      <c r="O180" s="151">
        <v>211</v>
      </c>
      <c r="P180" s="817" t="s">
        <v>3349</v>
      </c>
      <c r="Q180" s="149" t="e">
        <f t="shared" si="33"/>
        <v>#REF!</v>
      </c>
      <c r="R180" s="149" t="e">
        <f>+#REF!</f>
        <v>#REF!</v>
      </c>
      <c r="S180" s="149" t="e">
        <f>+#REF!</f>
        <v>#REF!</v>
      </c>
      <c r="T180" s="149" t="e">
        <f>+#REF!</f>
        <v>#REF!</v>
      </c>
      <c r="U180" s="149" t="e">
        <f>+#REF!</f>
        <v>#REF!</v>
      </c>
      <c r="V180" s="149" t="e">
        <f>+#REF!</f>
        <v>#REF!</v>
      </c>
      <c r="W180" s="149" t="e">
        <f>+#REF!</f>
        <v>#REF!</v>
      </c>
      <c r="X180" s="149" t="e">
        <f>+#REF!</f>
        <v>#REF!</v>
      </c>
      <c r="Y180" s="149" t="e">
        <f>+#REF!</f>
        <v>#REF!</v>
      </c>
      <c r="Z180" s="149" t="e">
        <f>+#REF!</f>
        <v>#REF!</v>
      </c>
      <c r="AA180" s="149" t="e">
        <f>+#REF!</f>
        <v>#REF!</v>
      </c>
      <c r="AB180" s="149" t="e">
        <f>+#REF!</f>
        <v>#REF!</v>
      </c>
      <c r="AC180" s="149" t="e">
        <f>+#REF!</f>
        <v>#REF!</v>
      </c>
      <c r="AD180" s="203"/>
    </row>
    <row r="181" spans="1:30" ht="72" customHeight="1" x14ac:dyDescent="0.25">
      <c r="A181" s="1209"/>
      <c r="B181" s="1209"/>
      <c r="C181" s="1209"/>
      <c r="D181" s="1209"/>
      <c r="E181" s="1209"/>
      <c r="F181" s="1209"/>
      <c r="G181" s="109" t="s">
        <v>3939</v>
      </c>
      <c r="H181" s="154" t="s">
        <v>3991</v>
      </c>
      <c r="I181" s="154"/>
      <c r="J181" s="154"/>
      <c r="K181" s="154"/>
      <c r="L181" s="154"/>
      <c r="M181" s="155">
        <v>90000000</v>
      </c>
      <c r="N181" s="155">
        <v>135290000</v>
      </c>
      <c r="O181" s="151">
        <v>211</v>
      </c>
      <c r="P181" s="843" t="s">
        <v>4136</v>
      </c>
      <c r="Q181" s="149" t="e">
        <f t="shared" si="33"/>
        <v>#REF!</v>
      </c>
      <c r="R181" s="149" t="e">
        <f>+#REF!</f>
        <v>#REF!</v>
      </c>
      <c r="S181" s="149" t="e">
        <f>+#REF!</f>
        <v>#REF!</v>
      </c>
      <c r="T181" s="149" t="e">
        <f>+#REF!</f>
        <v>#REF!</v>
      </c>
      <c r="U181" s="149" t="e">
        <f>+#REF!</f>
        <v>#REF!</v>
      </c>
      <c r="V181" s="149" t="e">
        <f>+#REF!</f>
        <v>#REF!</v>
      </c>
      <c r="W181" s="149" t="e">
        <f>+#REF!</f>
        <v>#REF!</v>
      </c>
      <c r="X181" s="149" t="e">
        <f>+#REF!</f>
        <v>#REF!</v>
      </c>
      <c r="Y181" s="149" t="e">
        <f>+#REF!</f>
        <v>#REF!</v>
      </c>
      <c r="Z181" s="149" t="e">
        <f>+#REF!</f>
        <v>#REF!</v>
      </c>
      <c r="AA181" s="149" t="e">
        <f>+#REF!</f>
        <v>#REF!</v>
      </c>
      <c r="AB181" s="149" t="e">
        <f>+#REF!</f>
        <v>#REF!</v>
      </c>
      <c r="AC181" s="149" t="e">
        <f>+#REF!</f>
        <v>#REF!</v>
      </c>
      <c r="AD181" s="203"/>
    </row>
    <row r="182" spans="1:30" ht="51" x14ac:dyDescent="0.25">
      <c r="A182" s="1209"/>
      <c r="B182" s="1209"/>
      <c r="C182" s="1209"/>
      <c r="D182" s="1209"/>
      <c r="E182" s="1209"/>
      <c r="F182" s="1209"/>
      <c r="G182" s="109" t="s">
        <v>4094</v>
      </c>
      <c r="H182" s="154" t="s">
        <v>4095</v>
      </c>
      <c r="I182" s="171"/>
      <c r="J182" s="171"/>
      <c r="K182" s="171"/>
      <c r="L182" s="171"/>
      <c r="M182" s="172"/>
      <c r="N182" s="172"/>
      <c r="O182" s="151">
        <v>211</v>
      </c>
      <c r="P182" s="1503" t="s">
        <v>4088</v>
      </c>
      <c r="Q182" s="149" t="e">
        <f t="shared" si="33"/>
        <v>#REF!</v>
      </c>
      <c r="R182" s="149" t="e">
        <f>+#REF!</f>
        <v>#REF!</v>
      </c>
      <c r="S182" s="149" t="e">
        <f>+#REF!</f>
        <v>#REF!</v>
      </c>
      <c r="T182" s="149" t="e">
        <f>+#REF!</f>
        <v>#REF!</v>
      </c>
      <c r="U182" s="149" t="e">
        <f>+#REF!</f>
        <v>#REF!</v>
      </c>
      <c r="V182" s="149" t="e">
        <f>+#REF!</f>
        <v>#REF!</v>
      </c>
      <c r="W182" s="149" t="e">
        <f>+#REF!</f>
        <v>#REF!</v>
      </c>
      <c r="X182" s="149" t="e">
        <f>+#REF!</f>
        <v>#REF!</v>
      </c>
      <c r="Y182" s="149" t="e">
        <f>+#REF!</f>
        <v>#REF!</v>
      </c>
      <c r="Z182" s="149" t="e">
        <f>+#REF!</f>
        <v>#REF!</v>
      </c>
      <c r="AA182" s="149" t="e">
        <f>+#REF!</f>
        <v>#REF!</v>
      </c>
      <c r="AB182" s="149" t="e">
        <f>+#REF!</f>
        <v>#REF!</v>
      </c>
      <c r="AC182" s="149" t="e">
        <f>+#REF!</f>
        <v>#REF!</v>
      </c>
      <c r="AD182" s="203"/>
    </row>
    <row r="183" spans="1:30" ht="76.5" x14ac:dyDescent="0.25">
      <c r="A183" s="1209"/>
      <c r="B183" s="1209"/>
      <c r="C183" s="1209"/>
      <c r="D183" s="1209"/>
      <c r="E183" s="1209"/>
      <c r="F183" s="1209"/>
      <c r="G183" s="109" t="s">
        <v>4131</v>
      </c>
      <c r="H183" s="154" t="s">
        <v>4153</v>
      </c>
      <c r="I183" s="171"/>
      <c r="J183" s="171"/>
      <c r="K183" s="171"/>
      <c r="L183" s="171"/>
      <c r="M183" s="172"/>
      <c r="N183" s="172"/>
      <c r="O183" s="151">
        <v>211</v>
      </c>
      <c r="P183" s="1504"/>
      <c r="Q183" s="149" t="e">
        <f t="shared" si="33"/>
        <v>#REF!</v>
      </c>
      <c r="R183" s="149" t="e">
        <f>+#REF!</f>
        <v>#REF!</v>
      </c>
      <c r="S183" s="149" t="e">
        <f>+#REF!</f>
        <v>#REF!</v>
      </c>
      <c r="T183" s="149" t="e">
        <f>+#REF!</f>
        <v>#REF!</v>
      </c>
      <c r="U183" s="149" t="e">
        <f>+#REF!</f>
        <v>#REF!</v>
      </c>
      <c r="V183" s="149" t="e">
        <f>+#REF!</f>
        <v>#REF!</v>
      </c>
      <c r="W183" s="149" t="e">
        <f>+#REF!</f>
        <v>#REF!</v>
      </c>
      <c r="X183" s="149" t="e">
        <f>+#REF!</f>
        <v>#REF!</v>
      </c>
      <c r="Y183" s="149" t="e">
        <f>+#REF!</f>
        <v>#REF!</v>
      </c>
      <c r="Z183" s="149" t="e">
        <f>+#REF!</f>
        <v>#REF!</v>
      </c>
      <c r="AA183" s="149" t="e">
        <f>+#REF!</f>
        <v>#REF!</v>
      </c>
      <c r="AB183" s="149" t="e">
        <f>+#REF!</f>
        <v>#REF!</v>
      </c>
      <c r="AC183" s="149" t="e">
        <f>+#REF!</f>
        <v>#REF!</v>
      </c>
      <c r="AD183" s="203"/>
    </row>
    <row r="184" spans="1:30" ht="25.5" x14ac:dyDescent="0.25">
      <c r="A184" s="1209"/>
      <c r="B184" s="1209"/>
      <c r="C184" s="1209"/>
      <c r="D184" s="1209"/>
      <c r="E184" s="1209"/>
      <c r="F184" s="1209"/>
      <c r="G184" s="109" t="s">
        <v>4132</v>
      </c>
      <c r="H184" s="154" t="s">
        <v>4133</v>
      </c>
      <c r="I184" s="171"/>
      <c r="J184" s="171"/>
      <c r="K184" s="171"/>
      <c r="L184" s="171"/>
      <c r="M184" s="172"/>
      <c r="N184" s="172"/>
      <c r="O184" s="151">
        <v>211</v>
      </c>
      <c r="P184" s="1505"/>
      <c r="Q184" s="149" t="e">
        <f t="shared" si="33"/>
        <v>#REF!</v>
      </c>
      <c r="R184" s="149" t="e">
        <f>+#REF!</f>
        <v>#REF!</v>
      </c>
      <c r="S184" s="149" t="e">
        <f>+#REF!</f>
        <v>#REF!</v>
      </c>
      <c r="T184" s="149" t="e">
        <f>+#REF!</f>
        <v>#REF!</v>
      </c>
      <c r="U184" s="149" t="e">
        <f>+#REF!</f>
        <v>#REF!</v>
      </c>
      <c r="V184" s="149" t="e">
        <f>+#REF!</f>
        <v>#REF!</v>
      </c>
      <c r="W184" s="149" t="e">
        <f>+#REF!</f>
        <v>#REF!</v>
      </c>
      <c r="X184" s="149" t="e">
        <f>+#REF!</f>
        <v>#REF!</v>
      </c>
      <c r="Y184" s="149" t="e">
        <f>+#REF!</f>
        <v>#REF!</v>
      </c>
      <c r="Z184" s="149" t="e">
        <f>+#REF!</f>
        <v>#REF!</v>
      </c>
      <c r="AA184" s="149" t="e">
        <f>+#REF!</f>
        <v>#REF!</v>
      </c>
      <c r="AB184" s="149" t="e">
        <f>+#REF!</f>
        <v>#REF!</v>
      </c>
      <c r="AC184" s="149" t="e">
        <f>+#REF!</f>
        <v>#REF!</v>
      </c>
      <c r="AD184" s="203"/>
    </row>
    <row r="185" spans="1:30" ht="31.9" customHeight="1" x14ac:dyDescent="0.25">
      <c r="A185" s="1204" t="str">
        <f>+A177</f>
        <v>PY.4.2.1</v>
      </c>
      <c r="B185" s="1204" t="str">
        <f>+B177</f>
        <v>DOTACIÓN Y MATENIMIENTO DE EQUIPOS E INSUMOS DE LABORATORIOS(DOTACIÓN LABORATORIOS TODAS LA SEDES)</v>
      </c>
      <c r="C185" s="1204" t="str">
        <f>+C177</f>
        <v>CONSTRUCCIÒN DE 2 LABORATORIOS PARA INVESTIGACIÒN Y MANTENIMIENTO Y DOTACIÒN DE EQUIPOS DE 16 LABORATORIOS DE DOCENCIA E INVESTIGACIÒN</v>
      </c>
      <c r="D185" s="1204" t="str">
        <f>+D177</f>
        <v xml:space="preserve">NÙMERO DE LABORATORIOS CONSTRUIDOS, DOTADOS Y MANTENIDOS </v>
      </c>
      <c r="E185" s="1204"/>
      <c r="F185" s="1204" t="str">
        <f>+F177</f>
        <v>16 LABORATORIOS DOTADOS Y MANTENIDOS</v>
      </c>
      <c r="G185" s="2" t="s">
        <v>3944</v>
      </c>
      <c r="H185" s="171" t="s">
        <v>3986</v>
      </c>
      <c r="I185" s="171"/>
      <c r="J185" s="171"/>
      <c r="K185" s="171"/>
      <c r="L185" s="171"/>
      <c r="M185" s="172"/>
      <c r="N185" s="172"/>
      <c r="O185" s="561">
        <v>211</v>
      </c>
      <c r="P185" s="681" t="s">
        <v>4091</v>
      </c>
      <c r="Q185" s="149" t="e">
        <f t="shared" si="33"/>
        <v>#REF!</v>
      </c>
      <c r="R185" s="149" t="e">
        <f>+#REF!</f>
        <v>#REF!</v>
      </c>
      <c r="S185" s="149" t="e">
        <f>+#REF!</f>
        <v>#REF!</v>
      </c>
      <c r="T185" s="149" t="e">
        <f>+#REF!</f>
        <v>#REF!</v>
      </c>
      <c r="U185" s="149" t="e">
        <f>+#REF!</f>
        <v>#REF!</v>
      </c>
      <c r="V185" s="149" t="e">
        <f>+#REF!</f>
        <v>#REF!</v>
      </c>
      <c r="W185" s="149" t="e">
        <f>+#REF!</f>
        <v>#REF!</v>
      </c>
      <c r="X185" s="149" t="e">
        <f>+#REF!</f>
        <v>#REF!</v>
      </c>
      <c r="Y185" s="149" t="e">
        <f>+#REF!</f>
        <v>#REF!</v>
      </c>
      <c r="Z185" s="149" t="e">
        <f>+#REF!</f>
        <v>#REF!</v>
      </c>
      <c r="AA185" s="149" t="e">
        <f>+#REF!</f>
        <v>#REF!</v>
      </c>
      <c r="AB185" s="149" t="e">
        <f>+#REF!</f>
        <v>#REF!</v>
      </c>
      <c r="AC185" s="149" t="e">
        <f>+#REF!</f>
        <v>#REF!</v>
      </c>
      <c r="AD185" s="203"/>
    </row>
    <row r="186" spans="1:30" ht="97.15" customHeight="1" x14ac:dyDescent="0.25">
      <c r="A186" s="1204"/>
      <c r="B186" s="1204"/>
      <c r="C186" s="1204"/>
      <c r="D186" s="1204"/>
      <c r="E186" s="1204"/>
      <c r="F186" s="1204"/>
      <c r="G186" s="2" t="s">
        <v>3945</v>
      </c>
      <c r="H186" s="171" t="s">
        <v>3987</v>
      </c>
      <c r="I186" s="171"/>
      <c r="J186" s="171"/>
      <c r="K186" s="171"/>
      <c r="L186" s="171"/>
      <c r="M186" s="172"/>
      <c r="N186" s="172"/>
      <c r="O186" s="561">
        <v>211</v>
      </c>
      <c r="P186" s="816" t="s">
        <v>3875</v>
      </c>
      <c r="Q186" s="149" t="e">
        <f t="shared" si="33"/>
        <v>#REF!</v>
      </c>
      <c r="R186" s="149" t="e">
        <f>+#REF!</f>
        <v>#REF!</v>
      </c>
      <c r="S186" s="149" t="e">
        <f>+#REF!</f>
        <v>#REF!</v>
      </c>
      <c r="T186" s="149" t="e">
        <f>+#REF!</f>
        <v>#REF!</v>
      </c>
      <c r="U186" s="149" t="e">
        <f>+#REF!</f>
        <v>#REF!</v>
      </c>
      <c r="V186" s="149" t="e">
        <f>+#REF!</f>
        <v>#REF!</v>
      </c>
      <c r="W186" s="149" t="e">
        <f>+#REF!</f>
        <v>#REF!</v>
      </c>
      <c r="X186" s="149" t="e">
        <f>+#REF!</f>
        <v>#REF!</v>
      </c>
      <c r="Y186" s="149" t="e">
        <f>+#REF!</f>
        <v>#REF!</v>
      </c>
      <c r="Z186" s="149" t="e">
        <f>+#REF!</f>
        <v>#REF!</v>
      </c>
      <c r="AA186" s="149" t="e">
        <f>+#REF!</f>
        <v>#REF!</v>
      </c>
      <c r="AB186" s="149" t="e">
        <f>+#REF!</f>
        <v>#REF!</v>
      </c>
      <c r="AC186" s="149" t="e">
        <f>+#REF!</f>
        <v>#REF!</v>
      </c>
      <c r="AD186" s="203"/>
    </row>
    <row r="187" spans="1:30" ht="67.150000000000006" customHeight="1" x14ac:dyDescent="0.25">
      <c r="A187" s="1204"/>
      <c r="B187" s="1204"/>
      <c r="C187" s="1204"/>
      <c r="D187" s="1204"/>
      <c r="E187" s="1204"/>
      <c r="F187" s="1204"/>
      <c r="G187" s="2" t="s">
        <v>3946</v>
      </c>
      <c r="H187" s="171" t="s">
        <v>3993</v>
      </c>
      <c r="I187" s="171"/>
      <c r="J187" s="171"/>
      <c r="K187" s="171"/>
      <c r="L187" s="171"/>
      <c r="M187" s="172"/>
      <c r="N187" s="172"/>
      <c r="O187" s="561">
        <v>211</v>
      </c>
      <c r="P187" s="815" t="s">
        <v>3878</v>
      </c>
      <c r="Q187" s="149" t="e">
        <f t="shared" si="33"/>
        <v>#REF!</v>
      </c>
      <c r="R187" s="149" t="e">
        <f>+#REF!</f>
        <v>#REF!</v>
      </c>
      <c r="S187" s="149" t="e">
        <f>+#REF!</f>
        <v>#REF!</v>
      </c>
      <c r="T187" s="149" t="e">
        <f>+#REF!</f>
        <v>#REF!</v>
      </c>
      <c r="U187" s="149" t="e">
        <f>+#REF!</f>
        <v>#REF!</v>
      </c>
      <c r="V187" s="149" t="e">
        <f>+#REF!</f>
        <v>#REF!</v>
      </c>
      <c r="W187" s="149" t="e">
        <f>+#REF!</f>
        <v>#REF!</v>
      </c>
      <c r="X187" s="149" t="e">
        <f>+#REF!</f>
        <v>#REF!</v>
      </c>
      <c r="Y187" s="149" t="e">
        <f>+#REF!</f>
        <v>#REF!</v>
      </c>
      <c r="Z187" s="149" t="e">
        <f>+#REF!</f>
        <v>#REF!</v>
      </c>
      <c r="AA187" s="149" t="e">
        <f>+#REF!</f>
        <v>#REF!</v>
      </c>
      <c r="AB187" s="149" t="e">
        <f>+#REF!</f>
        <v>#REF!</v>
      </c>
      <c r="AC187" s="149" t="e">
        <f>+#REF!</f>
        <v>#REF!</v>
      </c>
      <c r="AD187" s="203"/>
    </row>
    <row r="188" spans="1:30" ht="69" customHeight="1" x14ac:dyDescent="0.25">
      <c r="A188" s="1210"/>
      <c r="B188" s="1210"/>
      <c r="C188" s="1210"/>
      <c r="D188" s="1210"/>
      <c r="E188" s="1210"/>
      <c r="F188" s="1210"/>
      <c r="G188" s="2" t="s">
        <v>3947</v>
      </c>
      <c r="H188" s="171" t="s">
        <v>3984</v>
      </c>
      <c r="I188" s="171"/>
      <c r="J188" s="171"/>
      <c r="K188" s="171"/>
      <c r="L188" s="171"/>
      <c r="M188" s="172"/>
      <c r="N188" s="172"/>
      <c r="O188" s="561">
        <v>211</v>
      </c>
      <c r="P188" s="813" t="s">
        <v>4089</v>
      </c>
      <c r="Q188" s="149" t="e">
        <f t="shared" si="33"/>
        <v>#REF!</v>
      </c>
      <c r="R188" s="149" t="e">
        <f>+#REF!</f>
        <v>#REF!</v>
      </c>
      <c r="S188" s="149" t="e">
        <f>+#REF!</f>
        <v>#REF!</v>
      </c>
      <c r="T188" s="149" t="e">
        <f>+#REF!</f>
        <v>#REF!</v>
      </c>
      <c r="U188" s="149" t="e">
        <f>+#REF!</f>
        <v>#REF!</v>
      </c>
      <c r="V188" s="149" t="e">
        <f>+#REF!</f>
        <v>#REF!</v>
      </c>
      <c r="W188" s="149" t="e">
        <f>+#REF!</f>
        <v>#REF!</v>
      </c>
      <c r="X188" s="149" t="e">
        <f>+#REF!</f>
        <v>#REF!</v>
      </c>
      <c r="Y188" s="149" t="e">
        <f>+#REF!</f>
        <v>#REF!</v>
      </c>
      <c r="Z188" s="149" t="e">
        <f>+#REF!</f>
        <v>#REF!</v>
      </c>
      <c r="AA188" s="149" t="e">
        <f>+#REF!</f>
        <v>#REF!</v>
      </c>
      <c r="AB188" s="149" t="e">
        <f>+#REF!</f>
        <v>#REF!</v>
      </c>
      <c r="AC188" s="149" t="e">
        <f>+#REF!</f>
        <v>#REF!</v>
      </c>
      <c r="AD188" s="203"/>
    </row>
    <row r="189" spans="1:30" ht="81" customHeight="1" x14ac:dyDescent="0.25">
      <c r="A189" s="1209" t="str">
        <f>+A177</f>
        <v>PY.4.2.1</v>
      </c>
      <c r="B189" s="1209" t="str">
        <f>+B177</f>
        <v>DOTACIÓN Y MATENIMIENTO DE EQUIPOS E INSUMOS DE LABORATORIOS(DOTACIÓN LABORATORIOS TODAS LA SEDES)</v>
      </c>
      <c r="C189" s="1209" t="str">
        <f>+C177</f>
        <v>CONSTRUCCIÒN DE 2 LABORATORIOS PARA INVESTIGACIÒN Y MANTENIMIENTO Y DOTACIÒN DE EQUIPOS DE 16 LABORATORIOS DE DOCENCIA E INVESTIGACIÒN</v>
      </c>
      <c r="D189" s="1209" t="str">
        <f>+D177</f>
        <v xml:space="preserve">NÙMERO DE LABORATORIOS CONSTRUIDOS, DOTADOS Y MANTENIDOS </v>
      </c>
      <c r="E189" s="1209"/>
      <c r="F189" s="1209" t="str">
        <f>+F177</f>
        <v>16 LABORATORIOS DOTADOS Y MANTENIDOS</v>
      </c>
      <c r="G189" s="109" t="s">
        <v>3948</v>
      </c>
      <c r="H189" s="171" t="s">
        <v>3994</v>
      </c>
      <c r="I189" s="171"/>
      <c r="J189" s="171"/>
      <c r="K189" s="171"/>
      <c r="L189" s="171"/>
      <c r="M189" s="172"/>
      <c r="N189" s="172"/>
      <c r="O189" s="561">
        <v>211</v>
      </c>
      <c r="P189" s="813" t="s">
        <v>4088</v>
      </c>
      <c r="Q189" s="149" t="e">
        <f t="shared" si="33"/>
        <v>#REF!</v>
      </c>
      <c r="R189" s="149" t="e">
        <f>+#REF!</f>
        <v>#REF!</v>
      </c>
      <c r="S189" s="149" t="e">
        <f>+#REF!</f>
        <v>#REF!</v>
      </c>
      <c r="T189" s="149" t="e">
        <f>+#REF!</f>
        <v>#REF!</v>
      </c>
      <c r="U189" s="149" t="e">
        <f>+#REF!</f>
        <v>#REF!</v>
      </c>
      <c r="V189" s="149" t="e">
        <f>+#REF!</f>
        <v>#REF!</v>
      </c>
      <c r="W189" s="149" t="e">
        <f>+#REF!</f>
        <v>#REF!</v>
      </c>
      <c r="X189" s="149" t="e">
        <f>+#REF!</f>
        <v>#REF!</v>
      </c>
      <c r="Y189" s="149" t="e">
        <f>+#REF!</f>
        <v>#REF!</v>
      </c>
      <c r="Z189" s="149" t="e">
        <f>+#REF!</f>
        <v>#REF!</v>
      </c>
      <c r="AA189" s="149" t="e">
        <f>+#REF!</f>
        <v>#REF!</v>
      </c>
      <c r="AB189" s="149" t="e">
        <f>+#REF!</f>
        <v>#REF!</v>
      </c>
      <c r="AC189" s="149" t="e">
        <f>+#REF!</f>
        <v>#REF!</v>
      </c>
      <c r="AD189" s="203"/>
    </row>
    <row r="190" spans="1:30" ht="83.25" customHeight="1" x14ac:dyDescent="0.25">
      <c r="A190" s="1209"/>
      <c r="B190" s="1209"/>
      <c r="C190" s="1209"/>
      <c r="D190" s="1209"/>
      <c r="E190" s="1209"/>
      <c r="F190" s="1209"/>
      <c r="G190" s="109" t="s">
        <v>3949</v>
      </c>
      <c r="H190" s="171" t="s">
        <v>3978</v>
      </c>
      <c r="I190" s="171"/>
      <c r="J190" s="171"/>
      <c r="K190" s="171"/>
      <c r="L190" s="171"/>
      <c r="M190" s="172"/>
      <c r="N190" s="172"/>
      <c r="O190" s="561">
        <v>211</v>
      </c>
      <c r="P190" s="813" t="s">
        <v>4088</v>
      </c>
      <c r="Q190" s="149" t="e">
        <f t="shared" si="33"/>
        <v>#REF!</v>
      </c>
      <c r="R190" s="149" t="e">
        <f>+#REF!</f>
        <v>#REF!</v>
      </c>
      <c r="S190" s="149" t="e">
        <f>+#REF!</f>
        <v>#REF!</v>
      </c>
      <c r="T190" s="149" t="e">
        <f>+#REF!</f>
        <v>#REF!</v>
      </c>
      <c r="U190" s="149" t="e">
        <f>+#REF!</f>
        <v>#REF!</v>
      </c>
      <c r="V190" s="149" t="e">
        <f>+#REF!</f>
        <v>#REF!</v>
      </c>
      <c r="W190" s="149" t="e">
        <f>+#REF!</f>
        <v>#REF!</v>
      </c>
      <c r="X190" s="149" t="e">
        <f>+#REF!</f>
        <v>#REF!</v>
      </c>
      <c r="Y190" s="149" t="e">
        <f>+#REF!</f>
        <v>#REF!</v>
      </c>
      <c r="Z190" s="149" t="e">
        <f>+#REF!</f>
        <v>#REF!</v>
      </c>
      <c r="AA190" s="149" t="e">
        <f>+#REF!</f>
        <v>#REF!</v>
      </c>
      <c r="AB190" s="149" t="e">
        <f>+#REF!</f>
        <v>#REF!</v>
      </c>
      <c r="AC190" s="149" t="e">
        <f>+#REF!</f>
        <v>#REF!</v>
      </c>
      <c r="AD190" s="203"/>
    </row>
    <row r="191" spans="1:30" ht="87" customHeight="1" x14ac:dyDescent="0.25">
      <c r="A191" s="1209"/>
      <c r="B191" s="1209"/>
      <c r="C191" s="1209"/>
      <c r="D191" s="1209"/>
      <c r="E191" s="1209"/>
      <c r="F191" s="1209"/>
      <c r="G191" s="109" t="s">
        <v>3950</v>
      </c>
      <c r="H191" s="171" t="s">
        <v>3952</v>
      </c>
      <c r="I191" s="171"/>
      <c r="J191" s="171"/>
      <c r="K191" s="171"/>
      <c r="L191" s="171"/>
      <c r="M191" s="172"/>
      <c r="N191" s="172"/>
      <c r="O191" s="561">
        <v>211</v>
      </c>
      <c r="P191" s="813" t="s">
        <v>4088</v>
      </c>
      <c r="Q191" s="149" t="e">
        <f t="shared" si="33"/>
        <v>#REF!</v>
      </c>
      <c r="R191" s="149" t="e">
        <f>+#REF!</f>
        <v>#REF!</v>
      </c>
      <c r="S191" s="149" t="e">
        <f>+#REF!</f>
        <v>#REF!</v>
      </c>
      <c r="T191" s="149" t="e">
        <f>+#REF!</f>
        <v>#REF!</v>
      </c>
      <c r="U191" s="149" t="e">
        <f>+#REF!</f>
        <v>#REF!</v>
      </c>
      <c r="V191" s="149" t="e">
        <f>+#REF!</f>
        <v>#REF!</v>
      </c>
      <c r="W191" s="149" t="e">
        <f>+#REF!</f>
        <v>#REF!</v>
      </c>
      <c r="X191" s="149" t="e">
        <f>+#REF!</f>
        <v>#REF!</v>
      </c>
      <c r="Y191" s="149" t="e">
        <f>+#REF!</f>
        <v>#REF!</v>
      </c>
      <c r="Z191" s="149" t="e">
        <f>+#REF!</f>
        <v>#REF!</v>
      </c>
      <c r="AA191" s="149" t="e">
        <f>+#REF!</f>
        <v>#REF!</v>
      </c>
      <c r="AB191" s="149" t="e">
        <f>+#REF!</f>
        <v>#REF!</v>
      </c>
      <c r="AC191" s="149" t="e">
        <f>+#REF!</f>
        <v>#REF!</v>
      </c>
      <c r="AD191" s="203"/>
    </row>
    <row r="192" spans="1:30" ht="82.5" customHeight="1" x14ac:dyDescent="0.25">
      <c r="A192" s="1209" t="str">
        <f>+A189</f>
        <v>PY.4.2.1</v>
      </c>
      <c r="B192" s="1209" t="str">
        <f>+B189</f>
        <v>DOTACIÓN Y MATENIMIENTO DE EQUIPOS E INSUMOS DE LABORATORIOS(DOTACIÓN LABORATORIOS TODAS LA SEDES)</v>
      </c>
      <c r="C192" s="1209" t="str">
        <f>+C189</f>
        <v>CONSTRUCCIÒN DE 2 LABORATORIOS PARA INVESTIGACIÒN Y MANTENIMIENTO Y DOTACIÒN DE EQUIPOS DE 16 LABORATORIOS DE DOCENCIA E INVESTIGACIÒN</v>
      </c>
      <c r="D192" s="1209" t="str">
        <f>+D189</f>
        <v xml:space="preserve">NÙMERO DE LABORATORIOS CONSTRUIDOS, DOTADOS Y MANTENIDOS </v>
      </c>
      <c r="E192" s="1209"/>
      <c r="F192" s="1209" t="str">
        <f>+F189</f>
        <v>16 LABORATORIOS DOTADOS Y MANTENIDOS</v>
      </c>
      <c r="G192" s="109" t="s">
        <v>3951</v>
      </c>
      <c r="H192" s="171" t="s">
        <v>3985</v>
      </c>
      <c r="I192" s="171"/>
      <c r="J192" s="171"/>
      <c r="K192" s="171"/>
      <c r="L192" s="171"/>
      <c r="M192" s="172"/>
      <c r="N192" s="172"/>
      <c r="O192" s="561">
        <v>211</v>
      </c>
      <c r="P192" s="813" t="s">
        <v>4088</v>
      </c>
      <c r="Q192" s="149" t="e">
        <f t="shared" si="33"/>
        <v>#REF!</v>
      </c>
      <c r="R192" s="149" t="e">
        <f>+#REF!</f>
        <v>#REF!</v>
      </c>
      <c r="S192" s="149" t="e">
        <f>+#REF!</f>
        <v>#REF!</v>
      </c>
      <c r="T192" s="149" t="e">
        <f>+#REF!</f>
        <v>#REF!</v>
      </c>
      <c r="U192" s="149" t="e">
        <f>+#REF!</f>
        <v>#REF!</v>
      </c>
      <c r="V192" s="149" t="e">
        <f>+#REF!</f>
        <v>#REF!</v>
      </c>
      <c r="W192" s="149" t="e">
        <f>+#REF!</f>
        <v>#REF!</v>
      </c>
      <c r="X192" s="149" t="e">
        <f>+#REF!</f>
        <v>#REF!</v>
      </c>
      <c r="Y192" s="149" t="e">
        <f>+#REF!</f>
        <v>#REF!</v>
      </c>
      <c r="Z192" s="149" t="e">
        <f>+#REF!</f>
        <v>#REF!</v>
      </c>
      <c r="AA192" s="149" t="e">
        <f>+#REF!</f>
        <v>#REF!</v>
      </c>
      <c r="AB192" s="149" t="e">
        <f>+#REF!</f>
        <v>#REF!</v>
      </c>
      <c r="AC192" s="149" t="e">
        <f>+#REF!</f>
        <v>#REF!</v>
      </c>
      <c r="AD192" s="203"/>
    </row>
    <row r="193" spans="1:30" ht="73.150000000000006" customHeight="1" x14ac:dyDescent="0.25">
      <c r="A193" s="1209"/>
      <c r="B193" s="1209"/>
      <c r="C193" s="1209"/>
      <c r="D193" s="1209"/>
      <c r="E193" s="1209"/>
      <c r="F193" s="1209"/>
      <c r="G193" s="109" t="s">
        <v>3953</v>
      </c>
      <c r="H193" s="171" t="s">
        <v>3990</v>
      </c>
      <c r="I193" s="171"/>
      <c r="J193" s="171"/>
      <c r="K193" s="171"/>
      <c r="L193" s="171"/>
      <c r="M193" s="172"/>
      <c r="N193" s="172"/>
      <c r="O193" s="561">
        <v>211</v>
      </c>
      <c r="P193" s="813" t="s">
        <v>3349</v>
      </c>
      <c r="Q193" s="149" t="e">
        <f t="shared" si="33"/>
        <v>#REF!</v>
      </c>
      <c r="R193" s="149" t="e">
        <f>+#REF!</f>
        <v>#REF!</v>
      </c>
      <c r="S193" s="149" t="e">
        <f>+#REF!</f>
        <v>#REF!</v>
      </c>
      <c r="T193" s="149" t="e">
        <f>+#REF!</f>
        <v>#REF!</v>
      </c>
      <c r="U193" s="149" t="e">
        <f>+#REF!</f>
        <v>#REF!</v>
      </c>
      <c r="V193" s="149" t="e">
        <f>+#REF!</f>
        <v>#REF!</v>
      </c>
      <c r="W193" s="149" t="e">
        <f>+#REF!</f>
        <v>#REF!</v>
      </c>
      <c r="X193" s="149" t="e">
        <f>+#REF!</f>
        <v>#REF!</v>
      </c>
      <c r="Y193" s="149" t="e">
        <f>+#REF!</f>
        <v>#REF!</v>
      </c>
      <c r="Z193" s="149" t="e">
        <f>+#REF!</f>
        <v>#REF!</v>
      </c>
      <c r="AA193" s="149" t="e">
        <f>+#REF!</f>
        <v>#REF!</v>
      </c>
      <c r="AB193" s="149" t="e">
        <f>+#REF!</f>
        <v>#REF!</v>
      </c>
      <c r="AC193" s="149" t="e">
        <f>+#REF!</f>
        <v>#REF!</v>
      </c>
      <c r="AD193" s="203"/>
    </row>
    <row r="194" spans="1:30" ht="57" customHeight="1" x14ac:dyDescent="0.25">
      <c r="A194" s="1209"/>
      <c r="B194" s="1209"/>
      <c r="C194" s="1209"/>
      <c r="D194" s="1209"/>
      <c r="E194" s="1209"/>
      <c r="F194" s="1209"/>
      <c r="G194" s="109" t="s">
        <v>3954</v>
      </c>
      <c r="H194" s="171" t="s">
        <v>3970</v>
      </c>
      <c r="I194" s="171"/>
      <c r="J194" s="171"/>
      <c r="K194" s="171"/>
      <c r="L194" s="171"/>
      <c r="M194" s="172"/>
      <c r="N194" s="172"/>
      <c r="O194" s="561">
        <v>211</v>
      </c>
      <c r="P194" s="813" t="s">
        <v>4090</v>
      </c>
      <c r="Q194" s="149" t="e">
        <f t="shared" si="33"/>
        <v>#REF!</v>
      </c>
      <c r="R194" s="149" t="e">
        <f>+#REF!</f>
        <v>#REF!</v>
      </c>
      <c r="S194" s="149" t="e">
        <f>+#REF!</f>
        <v>#REF!</v>
      </c>
      <c r="T194" s="149" t="e">
        <f>+#REF!</f>
        <v>#REF!</v>
      </c>
      <c r="U194" s="149" t="e">
        <f>+#REF!</f>
        <v>#REF!</v>
      </c>
      <c r="V194" s="149" t="e">
        <f>+#REF!</f>
        <v>#REF!</v>
      </c>
      <c r="W194" s="149" t="e">
        <f>+#REF!</f>
        <v>#REF!</v>
      </c>
      <c r="X194" s="149" t="e">
        <f>+#REF!</f>
        <v>#REF!</v>
      </c>
      <c r="Y194" s="149" t="e">
        <f>+#REF!</f>
        <v>#REF!</v>
      </c>
      <c r="Z194" s="149" t="e">
        <f>+#REF!</f>
        <v>#REF!</v>
      </c>
      <c r="AA194" s="149" t="e">
        <f>+#REF!</f>
        <v>#REF!</v>
      </c>
      <c r="AB194" s="149" t="e">
        <f>+#REF!</f>
        <v>#REF!</v>
      </c>
      <c r="AC194" s="149" t="e">
        <f>+#REF!</f>
        <v>#REF!</v>
      </c>
      <c r="AD194" s="203"/>
    </row>
    <row r="195" spans="1:30" ht="69" customHeight="1" x14ac:dyDescent="0.25">
      <c r="A195" s="1204" t="str">
        <f>+A189</f>
        <v>PY.4.2.1</v>
      </c>
      <c r="B195" s="1204" t="str">
        <f>+B189</f>
        <v>DOTACIÓN Y MATENIMIENTO DE EQUIPOS E INSUMOS DE LABORATORIOS(DOTACIÓN LABORATORIOS TODAS LA SEDES)</v>
      </c>
      <c r="C195" s="1204" t="str">
        <f>+C189</f>
        <v>CONSTRUCCIÒN DE 2 LABORATORIOS PARA INVESTIGACIÒN Y MANTENIMIENTO Y DOTACIÒN DE EQUIPOS DE 16 LABORATORIOS DE DOCENCIA E INVESTIGACIÒN</v>
      </c>
      <c r="D195" s="1204" t="str">
        <f>+D189</f>
        <v xml:space="preserve">NÙMERO DE LABORATORIOS CONSTRUIDOS, DOTADOS Y MANTENIDOS </v>
      </c>
      <c r="E195" s="1204"/>
      <c r="F195" s="1204" t="str">
        <f>+F189</f>
        <v>16 LABORATORIOS DOTADOS Y MANTENIDOS</v>
      </c>
      <c r="G195" s="2" t="s">
        <v>3955</v>
      </c>
      <c r="H195" s="171" t="s">
        <v>3968</v>
      </c>
      <c r="I195" s="171"/>
      <c r="J195" s="171"/>
      <c r="K195" s="171"/>
      <c r="L195" s="171"/>
      <c r="M195" s="172"/>
      <c r="N195" s="172"/>
      <c r="O195" s="561">
        <v>211</v>
      </c>
      <c r="P195" s="813" t="s">
        <v>3878</v>
      </c>
      <c r="Q195" s="149" t="e">
        <f t="shared" si="33"/>
        <v>#REF!</v>
      </c>
      <c r="R195" s="149" t="e">
        <f>+#REF!</f>
        <v>#REF!</v>
      </c>
      <c r="S195" s="149" t="e">
        <f>+#REF!</f>
        <v>#REF!</v>
      </c>
      <c r="T195" s="149" t="e">
        <f>+#REF!</f>
        <v>#REF!</v>
      </c>
      <c r="U195" s="149" t="e">
        <f>+#REF!</f>
        <v>#REF!</v>
      </c>
      <c r="V195" s="149" t="e">
        <f>+#REF!</f>
        <v>#REF!</v>
      </c>
      <c r="W195" s="149" t="e">
        <f>+#REF!</f>
        <v>#REF!</v>
      </c>
      <c r="X195" s="149" t="e">
        <f>+#REF!</f>
        <v>#REF!</v>
      </c>
      <c r="Y195" s="149" t="e">
        <f>+#REF!</f>
        <v>#REF!</v>
      </c>
      <c r="Z195" s="149" t="e">
        <f>+#REF!</f>
        <v>#REF!</v>
      </c>
      <c r="AA195" s="149" t="e">
        <f>+#REF!</f>
        <v>#REF!</v>
      </c>
      <c r="AB195" s="149" t="e">
        <f>+#REF!</f>
        <v>#REF!</v>
      </c>
      <c r="AC195" s="149" t="e">
        <f>+#REF!</f>
        <v>#REF!</v>
      </c>
      <c r="AD195" s="203"/>
    </row>
    <row r="196" spans="1:30" ht="46.15" customHeight="1" x14ac:dyDescent="0.25">
      <c r="A196" s="1204"/>
      <c r="B196" s="1204"/>
      <c r="C196" s="1204"/>
      <c r="D196" s="1204"/>
      <c r="E196" s="1204"/>
      <c r="F196" s="1204"/>
      <c r="G196" s="2" t="s">
        <v>3956</v>
      </c>
      <c r="H196" s="171" t="s">
        <v>4154</v>
      </c>
      <c r="I196" s="171"/>
      <c r="J196" s="171"/>
      <c r="K196" s="171"/>
      <c r="L196" s="171"/>
      <c r="M196" s="172"/>
      <c r="N196" s="172"/>
      <c r="O196" s="561">
        <v>211</v>
      </c>
      <c r="P196" s="813" t="s">
        <v>3878</v>
      </c>
      <c r="Q196" s="149" t="e">
        <f t="shared" si="33"/>
        <v>#REF!</v>
      </c>
      <c r="R196" s="149" t="e">
        <f>+#REF!</f>
        <v>#REF!</v>
      </c>
      <c r="S196" s="149" t="e">
        <f>+#REF!</f>
        <v>#REF!</v>
      </c>
      <c r="T196" s="149" t="e">
        <f>+#REF!</f>
        <v>#REF!</v>
      </c>
      <c r="U196" s="149" t="e">
        <f>+#REF!</f>
        <v>#REF!</v>
      </c>
      <c r="V196" s="149" t="e">
        <f>+#REF!</f>
        <v>#REF!</v>
      </c>
      <c r="W196" s="149" t="e">
        <f>+#REF!</f>
        <v>#REF!</v>
      </c>
      <c r="X196" s="149" t="e">
        <f>+#REF!</f>
        <v>#REF!</v>
      </c>
      <c r="Y196" s="149" t="e">
        <f>+#REF!</f>
        <v>#REF!</v>
      </c>
      <c r="Z196" s="149" t="e">
        <f>+#REF!</f>
        <v>#REF!</v>
      </c>
      <c r="AA196" s="149" t="e">
        <f>+#REF!</f>
        <v>#REF!</v>
      </c>
      <c r="AB196" s="149" t="e">
        <f>+#REF!</f>
        <v>#REF!</v>
      </c>
      <c r="AC196" s="149" t="e">
        <f>+#REF!</f>
        <v>#REF!</v>
      </c>
      <c r="AD196" s="203"/>
    </row>
    <row r="197" spans="1:30" ht="63.75" x14ac:dyDescent="0.25">
      <c r="A197" s="1204"/>
      <c r="B197" s="1204"/>
      <c r="C197" s="1204"/>
      <c r="D197" s="1204"/>
      <c r="E197" s="1204"/>
      <c r="F197" s="1204"/>
      <c r="G197" s="2" t="s">
        <v>3957</v>
      </c>
      <c r="H197" s="171" t="s">
        <v>3971</v>
      </c>
      <c r="I197" s="171"/>
      <c r="J197" s="171"/>
      <c r="K197" s="171"/>
      <c r="L197" s="171"/>
      <c r="M197" s="172"/>
      <c r="N197" s="172"/>
      <c r="O197" s="561">
        <v>211</v>
      </c>
      <c r="P197" s="813" t="s">
        <v>3878</v>
      </c>
      <c r="Q197" s="149" t="e">
        <f t="shared" si="33"/>
        <v>#REF!</v>
      </c>
      <c r="R197" s="149" t="e">
        <f>+#REF!</f>
        <v>#REF!</v>
      </c>
      <c r="S197" s="149" t="e">
        <f>+#REF!</f>
        <v>#REF!</v>
      </c>
      <c r="T197" s="149" t="e">
        <f>+#REF!</f>
        <v>#REF!</v>
      </c>
      <c r="U197" s="149" t="e">
        <f>+#REF!</f>
        <v>#REF!</v>
      </c>
      <c r="V197" s="149" t="e">
        <f>+#REF!</f>
        <v>#REF!</v>
      </c>
      <c r="W197" s="149" t="e">
        <f>+#REF!</f>
        <v>#REF!</v>
      </c>
      <c r="X197" s="149" t="e">
        <f>+#REF!</f>
        <v>#REF!</v>
      </c>
      <c r="Y197" s="149" t="e">
        <f>+#REF!</f>
        <v>#REF!</v>
      </c>
      <c r="Z197" s="149" t="e">
        <f>+#REF!</f>
        <v>#REF!</v>
      </c>
      <c r="AA197" s="149" t="e">
        <f>+#REF!</f>
        <v>#REF!</v>
      </c>
      <c r="AB197" s="149" t="e">
        <f>+#REF!</f>
        <v>#REF!</v>
      </c>
      <c r="AC197" s="149" t="e">
        <f>+#REF!</f>
        <v>#REF!</v>
      </c>
      <c r="AD197" s="203"/>
    </row>
    <row r="198" spans="1:30" ht="99.6" customHeight="1" x14ac:dyDescent="0.25">
      <c r="A198" s="1210"/>
      <c r="B198" s="1210"/>
      <c r="C198" s="1210"/>
      <c r="D198" s="1210"/>
      <c r="E198" s="1210"/>
      <c r="F198" s="1210"/>
      <c r="G198" s="2" t="s">
        <v>3958</v>
      </c>
      <c r="H198" s="171" t="s">
        <v>3980</v>
      </c>
      <c r="I198" s="171"/>
      <c r="J198" s="171"/>
      <c r="K198" s="171"/>
      <c r="L198" s="171"/>
      <c r="M198" s="172"/>
      <c r="N198" s="172"/>
      <c r="O198" s="561">
        <v>211</v>
      </c>
      <c r="P198" s="813" t="s">
        <v>3875</v>
      </c>
      <c r="Q198" s="149" t="e">
        <f t="shared" si="33"/>
        <v>#REF!</v>
      </c>
      <c r="R198" s="149" t="e">
        <f>+#REF!</f>
        <v>#REF!</v>
      </c>
      <c r="S198" s="149" t="e">
        <f>+#REF!</f>
        <v>#REF!</v>
      </c>
      <c r="T198" s="149" t="e">
        <f>+#REF!</f>
        <v>#REF!</v>
      </c>
      <c r="U198" s="149" t="e">
        <f>+#REF!</f>
        <v>#REF!</v>
      </c>
      <c r="V198" s="149" t="e">
        <f>+#REF!</f>
        <v>#REF!</v>
      </c>
      <c r="W198" s="149" t="e">
        <f>+#REF!</f>
        <v>#REF!</v>
      </c>
      <c r="X198" s="149" t="e">
        <f>+#REF!</f>
        <v>#REF!</v>
      </c>
      <c r="Y198" s="149" t="e">
        <f>+#REF!</f>
        <v>#REF!</v>
      </c>
      <c r="Z198" s="149" t="e">
        <f>+#REF!</f>
        <v>#REF!</v>
      </c>
      <c r="AA198" s="149" t="e">
        <f>+#REF!</f>
        <v>#REF!</v>
      </c>
      <c r="AB198" s="149" t="e">
        <f>+#REF!</f>
        <v>#REF!</v>
      </c>
      <c r="AC198" s="149" t="e">
        <f>+#REF!</f>
        <v>#REF!</v>
      </c>
      <c r="AD198" s="203"/>
    </row>
    <row r="199" spans="1:30" ht="93.75" customHeight="1" x14ac:dyDescent="0.25">
      <c r="A199" s="1209" t="str">
        <f>+A189</f>
        <v>PY.4.2.1</v>
      </c>
      <c r="B199" s="1209" t="str">
        <f>+B189</f>
        <v>DOTACIÓN Y MATENIMIENTO DE EQUIPOS E INSUMOS DE LABORATORIOS(DOTACIÓN LABORATORIOS TODAS LA SEDES)</v>
      </c>
      <c r="C199" s="1209" t="str">
        <f>+C189</f>
        <v>CONSTRUCCIÒN DE 2 LABORATORIOS PARA INVESTIGACIÒN Y MANTENIMIENTO Y DOTACIÒN DE EQUIPOS DE 16 LABORATORIOS DE DOCENCIA E INVESTIGACIÒN</v>
      </c>
      <c r="D199" s="1209" t="str">
        <f>+D189</f>
        <v xml:space="preserve">NÙMERO DE LABORATORIOS CONSTRUIDOS, DOTADOS Y MANTENIDOS </v>
      </c>
      <c r="E199" s="1209"/>
      <c r="F199" s="1209" t="str">
        <f>+F189</f>
        <v>16 LABORATORIOS DOTADOS Y MANTENIDOS</v>
      </c>
      <c r="G199" s="109" t="s">
        <v>3959</v>
      </c>
      <c r="H199" s="171" t="s">
        <v>3965</v>
      </c>
      <c r="I199" s="171"/>
      <c r="J199" s="171"/>
      <c r="K199" s="171"/>
      <c r="L199" s="171"/>
      <c r="M199" s="172"/>
      <c r="N199" s="172"/>
      <c r="O199" s="561">
        <v>211</v>
      </c>
      <c r="P199" s="813" t="s">
        <v>3875</v>
      </c>
      <c r="Q199" s="149" t="e">
        <f t="shared" si="33"/>
        <v>#REF!</v>
      </c>
      <c r="R199" s="149" t="e">
        <f>+#REF!</f>
        <v>#REF!</v>
      </c>
      <c r="S199" s="149" t="e">
        <f>+#REF!</f>
        <v>#REF!</v>
      </c>
      <c r="T199" s="149" t="e">
        <f>+#REF!</f>
        <v>#REF!</v>
      </c>
      <c r="U199" s="149" t="e">
        <f>+#REF!</f>
        <v>#REF!</v>
      </c>
      <c r="V199" s="149" t="e">
        <f>+#REF!</f>
        <v>#REF!</v>
      </c>
      <c r="W199" s="149" t="e">
        <f>+#REF!</f>
        <v>#REF!</v>
      </c>
      <c r="X199" s="149" t="e">
        <f>+#REF!</f>
        <v>#REF!</v>
      </c>
      <c r="Y199" s="149" t="e">
        <f>+#REF!</f>
        <v>#REF!</v>
      </c>
      <c r="Z199" s="149" t="e">
        <f>+#REF!</f>
        <v>#REF!</v>
      </c>
      <c r="AA199" s="149" t="e">
        <f>+#REF!</f>
        <v>#REF!</v>
      </c>
      <c r="AB199" s="149" t="e">
        <f>+#REF!</f>
        <v>#REF!</v>
      </c>
      <c r="AC199" s="149" t="e">
        <f>+#REF!</f>
        <v>#REF!</v>
      </c>
      <c r="AD199" s="203"/>
    </row>
    <row r="200" spans="1:30" ht="70.900000000000006" customHeight="1" x14ac:dyDescent="0.25">
      <c r="A200" s="1209"/>
      <c r="B200" s="1209"/>
      <c r="C200" s="1209"/>
      <c r="D200" s="1209"/>
      <c r="E200" s="1209"/>
      <c r="F200" s="1209"/>
      <c r="G200" s="109" t="s">
        <v>4076</v>
      </c>
      <c r="H200" s="171" t="s">
        <v>4077</v>
      </c>
      <c r="I200" s="171"/>
      <c r="J200" s="171"/>
      <c r="K200" s="171"/>
      <c r="L200" s="171"/>
      <c r="M200" s="172"/>
      <c r="N200" s="172"/>
      <c r="O200" s="561">
        <v>211</v>
      </c>
      <c r="P200" s="813" t="s">
        <v>4088</v>
      </c>
      <c r="Q200" s="149" t="e">
        <f t="shared" si="33"/>
        <v>#REF!</v>
      </c>
      <c r="R200" s="149" t="e">
        <f>+#REF!</f>
        <v>#REF!</v>
      </c>
      <c r="S200" s="149" t="e">
        <f>+#REF!</f>
        <v>#REF!</v>
      </c>
      <c r="T200" s="149" t="e">
        <f>+#REF!</f>
        <v>#REF!</v>
      </c>
      <c r="U200" s="149" t="e">
        <f>+#REF!</f>
        <v>#REF!</v>
      </c>
      <c r="V200" s="149" t="e">
        <f>+#REF!</f>
        <v>#REF!</v>
      </c>
      <c r="W200" s="149" t="e">
        <f>+#REF!</f>
        <v>#REF!</v>
      </c>
      <c r="X200" s="149" t="e">
        <f>+#REF!</f>
        <v>#REF!</v>
      </c>
      <c r="Y200" s="149" t="e">
        <f>+#REF!</f>
        <v>#REF!</v>
      </c>
      <c r="Z200" s="149" t="e">
        <f>+#REF!</f>
        <v>#REF!</v>
      </c>
      <c r="AA200" s="149" t="e">
        <f>+#REF!</f>
        <v>#REF!</v>
      </c>
      <c r="AB200" s="149" t="e">
        <f>+#REF!</f>
        <v>#REF!</v>
      </c>
      <c r="AC200" s="149" t="e">
        <f>+#REF!</f>
        <v>#REF!</v>
      </c>
      <c r="AD200" s="203"/>
    </row>
    <row r="201" spans="1:30" ht="73.900000000000006" customHeight="1" x14ac:dyDescent="0.25">
      <c r="A201" s="1209"/>
      <c r="B201" s="1209"/>
      <c r="C201" s="1209"/>
      <c r="D201" s="1209"/>
      <c r="E201" s="1209"/>
      <c r="F201" s="1209"/>
      <c r="G201" s="109" t="s">
        <v>4078</v>
      </c>
      <c r="H201" s="171" t="s">
        <v>4083</v>
      </c>
      <c r="I201" s="171"/>
      <c r="J201" s="171"/>
      <c r="K201" s="171"/>
      <c r="L201" s="171"/>
      <c r="M201" s="172"/>
      <c r="N201" s="172"/>
      <c r="O201" s="561">
        <v>211</v>
      </c>
      <c r="P201" s="813" t="s">
        <v>3878</v>
      </c>
      <c r="Q201" s="149" t="e">
        <f t="shared" si="33"/>
        <v>#REF!</v>
      </c>
      <c r="R201" s="149" t="e">
        <f>+#REF!</f>
        <v>#REF!</v>
      </c>
      <c r="S201" s="149" t="e">
        <f>+#REF!</f>
        <v>#REF!</v>
      </c>
      <c r="T201" s="149" t="e">
        <f>+#REF!</f>
        <v>#REF!</v>
      </c>
      <c r="U201" s="149" t="e">
        <f>+#REF!</f>
        <v>#REF!</v>
      </c>
      <c r="V201" s="149" t="e">
        <f>+#REF!</f>
        <v>#REF!</v>
      </c>
      <c r="W201" s="149" t="e">
        <f>+#REF!</f>
        <v>#REF!</v>
      </c>
      <c r="X201" s="149" t="e">
        <f>+#REF!</f>
        <v>#REF!</v>
      </c>
      <c r="Y201" s="149" t="e">
        <f>+#REF!</f>
        <v>#REF!</v>
      </c>
      <c r="Z201" s="149" t="e">
        <f>+#REF!</f>
        <v>#REF!</v>
      </c>
      <c r="AA201" s="149" t="e">
        <f>+#REF!</f>
        <v>#REF!</v>
      </c>
      <c r="AB201" s="149" t="e">
        <f>+#REF!</f>
        <v>#REF!</v>
      </c>
      <c r="AC201" s="149" t="e">
        <f>+#REF!</f>
        <v>#REF!</v>
      </c>
      <c r="AD201" s="203"/>
    </row>
    <row r="202" spans="1:30" ht="66" customHeight="1" x14ac:dyDescent="0.25">
      <c r="A202" s="1209"/>
      <c r="B202" s="1209"/>
      <c r="C202" s="1209"/>
      <c r="D202" s="1209"/>
      <c r="E202" s="1209"/>
      <c r="F202" s="1209"/>
      <c r="G202" s="109" t="s">
        <v>4079</v>
      </c>
      <c r="H202" s="171" t="s">
        <v>4084</v>
      </c>
      <c r="I202" s="171"/>
      <c r="J202" s="171"/>
      <c r="K202" s="171"/>
      <c r="L202" s="171"/>
      <c r="M202" s="172"/>
      <c r="N202" s="172"/>
      <c r="O202" s="561">
        <v>211</v>
      </c>
      <c r="P202" s="813" t="s">
        <v>3875</v>
      </c>
      <c r="Q202" s="149" t="e">
        <f t="shared" si="33"/>
        <v>#REF!</v>
      </c>
      <c r="R202" s="149" t="e">
        <f>+#REF!</f>
        <v>#REF!</v>
      </c>
      <c r="S202" s="149" t="e">
        <f>+#REF!</f>
        <v>#REF!</v>
      </c>
      <c r="T202" s="149" t="e">
        <f>+#REF!</f>
        <v>#REF!</v>
      </c>
      <c r="U202" s="149" t="e">
        <f>+#REF!</f>
        <v>#REF!</v>
      </c>
      <c r="V202" s="149" t="e">
        <f>+#REF!</f>
        <v>#REF!</v>
      </c>
      <c r="W202" s="149" t="e">
        <f>+#REF!</f>
        <v>#REF!</v>
      </c>
      <c r="X202" s="149" t="e">
        <f>+#REF!</f>
        <v>#REF!</v>
      </c>
      <c r="Y202" s="149" t="e">
        <f>+#REF!</f>
        <v>#REF!</v>
      </c>
      <c r="Z202" s="149" t="e">
        <f>+#REF!</f>
        <v>#REF!</v>
      </c>
      <c r="AA202" s="149" t="e">
        <f>+#REF!</f>
        <v>#REF!</v>
      </c>
      <c r="AB202" s="149" t="e">
        <f>+#REF!</f>
        <v>#REF!</v>
      </c>
      <c r="AC202" s="149" t="e">
        <f>+#REF!</f>
        <v>#REF!</v>
      </c>
      <c r="AD202" s="203"/>
    </row>
    <row r="203" spans="1:30" ht="99" customHeight="1" x14ac:dyDescent="0.25">
      <c r="A203" s="1209"/>
      <c r="B203" s="1209"/>
      <c r="C203" s="1209"/>
      <c r="D203" s="1209"/>
      <c r="E203" s="1209"/>
      <c r="F203" s="1209"/>
      <c r="G203" s="109" t="s">
        <v>4080</v>
      </c>
      <c r="H203" s="171" t="s">
        <v>4085</v>
      </c>
      <c r="I203" s="171"/>
      <c r="J203" s="171"/>
      <c r="K203" s="171"/>
      <c r="L203" s="171"/>
      <c r="M203" s="172"/>
      <c r="N203" s="172"/>
      <c r="O203" s="561">
        <v>211</v>
      </c>
      <c r="P203" s="813" t="s">
        <v>4088</v>
      </c>
      <c r="Q203" s="149" t="e">
        <f t="shared" si="33"/>
        <v>#REF!</v>
      </c>
      <c r="R203" s="149" t="e">
        <f>+#REF!</f>
        <v>#REF!</v>
      </c>
      <c r="S203" s="149" t="e">
        <f>+#REF!</f>
        <v>#REF!</v>
      </c>
      <c r="T203" s="149" t="e">
        <f>+#REF!</f>
        <v>#REF!</v>
      </c>
      <c r="U203" s="149" t="e">
        <f>+#REF!</f>
        <v>#REF!</v>
      </c>
      <c r="V203" s="149" t="e">
        <f>+#REF!</f>
        <v>#REF!</v>
      </c>
      <c r="W203" s="149" t="e">
        <f>+#REF!</f>
        <v>#REF!</v>
      </c>
      <c r="X203" s="149" t="e">
        <f>+#REF!</f>
        <v>#REF!</v>
      </c>
      <c r="Y203" s="149" t="e">
        <f>+#REF!</f>
        <v>#REF!</v>
      </c>
      <c r="Z203" s="149" t="e">
        <f>+#REF!</f>
        <v>#REF!</v>
      </c>
      <c r="AA203" s="149" t="e">
        <f>+#REF!</f>
        <v>#REF!</v>
      </c>
      <c r="AB203" s="149" t="e">
        <f>+#REF!</f>
        <v>#REF!</v>
      </c>
      <c r="AC203" s="149" t="e">
        <f>+#REF!</f>
        <v>#REF!</v>
      </c>
      <c r="AD203" s="203"/>
    </row>
    <row r="204" spans="1:30" ht="82.9" customHeight="1" x14ac:dyDescent="0.25">
      <c r="A204" s="1209"/>
      <c r="B204" s="1209"/>
      <c r="C204" s="1209"/>
      <c r="D204" s="1209"/>
      <c r="E204" s="1209"/>
      <c r="F204" s="1209"/>
      <c r="G204" s="109" t="s">
        <v>4081</v>
      </c>
      <c r="H204" s="171" t="s">
        <v>4086</v>
      </c>
      <c r="I204" s="171"/>
      <c r="J204" s="171"/>
      <c r="K204" s="171"/>
      <c r="L204" s="171"/>
      <c r="M204" s="172"/>
      <c r="N204" s="172"/>
      <c r="O204" s="561">
        <v>211</v>
      </c>
      <c r="P204" s="813" t="s">
        <v>4091</v>
      </c>
      <c r="Q204" s="149" t="e">
        <f t="shared" si="33"/>
        <v>#REF!</v>
      </c>
      <c r="R204" s="149" t="e">
        <f>+#REF!</f>
        <v>#REF!</v>
      </c>
      <c r="S204" s="149" t="e">
        <f>+#REF!</f>
        <v>#REF!</v>
      </c>
      <c r="T204" s="149" t="e">
        <f>+#REF!</f>
        <v>#REF!</v>
      </c>
      <c r="U204" s="149" t="e">
        <f>+#REF!</f>
        <v>#REF!</v>
      </c>
      <c r="V204" s="149" t="e">
        <f>+#REF!</f>
        <v>#REF!</v>
      </c>
      <c r="W204" s="149" t="e">
        <f>+#REF!</f>
        <v>#REF!</v>
      </c>
      <c r="X204" s="149" t="e">
        <f>+#REF!</f>
        <v>#REF!</v>
      </c>
      <c r="Y204" s="149" t="e">
        <f>+#REF!</f>
        <v>#REF!</v>
      </c>
      <c r="Z204" s="149" t="e">
        <f>+#REF!</f>
        <v>#REF!</v>
      </c>
      <c r="AA204" s="149" t="e">
        <f>+#REF!</f>
        <v>#REF!</v>
      </c>
      <c r="AB204" s="149" t="e">
        <f>+#REF!</f>
        <v>#REF!</v>
      </c>
      <c r="AC204" s="149" t="e">
        <f>+#REF!</f>
        <v>#REF!</v>
      </c>
      <c r="AD204" s="203"/>
    </row>
    <row r="205" spans="1:30" ht="46.15" customHeight="1" x14ac:dyDescent="0.25">
      <c r="A205" s="1204" t="str">
        <f>+A199</f>
        <v>PY.4.2.1</v>
      </c>
      <c r="B205" s="1204" t="str">
        <f>+B199</f>
        <v>DOTACIÓN Y MATENIMIENTO DE EQUIPOS E INSUMOS DE LABORATORIOS(DOTACIÓN LABORATORIOS TODAS LA SEDES)</v>
      </c>
      <c r="C205" s="1204" t="str">
        <f>+C199</f>
        <v>CONSTRUCCIÒN DE 2 LABORATORIOS PARA INVESTIGACIÒN Y MANTENIMIENTO Y DOTACIÒN DE EQUIPOS DE 16 LABORATORIOS DE DOCENCIA E INVESTIGACIÒN</v>
      </c>
      <c r="D205" s="1204" t="str">
        <f>+D199</f>
        <v xml:space="preserve">NÙMERO DE LABORATORIOS CONSTRUIDOS, DOTADOS Y MANTENIDOS </v>
      </c>
      <c r="E205" s="1204"/>
      <c r="F205" s="1204" t="str">
        <f>+F199</f>
        <v>16 LABORATORIOS DOTADOS Y MANTENIDOS</v>
      </c>
      <c r="G205" s="2" t="s">
        <v>4082</v>
      </c>
      <c r="H205" s="171" t="s">
        <v>4087</v>
      </c>
      <c r="I205" s="171"/>
      <c r="J205" s="171"/>
      <c r="K205" s="171"/>
      <c r="L205" s="171"/>
      <c r="M205" s="172"/>
      <c r="N205" s="172"/>
      <c r="O205" s="561">
        <v>211</v>
      </c>
      <c r="P205" s="813" t="s">
        <v>4088</v>
      </c>
      <c r="Q205" s="149" t="e">
        <f t="shared" si="33"/>
        <v>#REF!</v>
      </c>
      <c r="R205" s="149" t="e">
        <f>+#REF!</f>
        <v>#REF!</v>
      </c>
      <c r="S205" s="149" t="e">
        <f>+#REF!</f>
        <v>#REF!</v>
      </c>
      <c r="T205" s="149" t="e">
        <f>+#REF!</f>
        <v>#REF!</v>
      </c>
      <c r="U205" s="149" t="e">
        <f>+#REF!</f>
        <v>#REF!</v>
      </c>
      <c r="V205" s="149" t="e">
        <f>+#REF!</f>
        <v>#REF!</v>
      </c>
      <c r="W205" s="149" t="e">
        <f>+#REF!</f>
        <v>#REF!</v>
      </c>
      <c r="X205" s="149" t="e">
        <f>+#REF!</f>
        <v>#REF!</v>
      </c>
      <c r="Y205" s="149" t="e">
        <f>+#REF!</f>
        <v>#REF!</v>
      </c>
      <c r="Z205" s="149" t="e">
        <f>+#REF!</f>
        <v>#REF!</v>
      </c>
      <c r="AA205" s="149" t="e">
        <f>+#REF!</f>
        <v>#REF!</v>
      </c>
      <c r="AB205" s="149" t="e">
        <f>+#REF!</f>
        <v>#REF!</v>
      </c>
      <c r="AC205" s="149" t="e">
        <f>+#REF!</f>
        <v>#REF!</v>
      </c>
      <c r="AD205" s="203"/>
    </row>
    <row r="206" spans="1:30" ht="86.45" customHeight="1" x14ac:dyDescent="0.25">
      <c r="A206" s="1204"/>
      <c r="B206" s="1204"/>
      <c r="C206" s="1204"/>
      <c r="D206" s="1204"/>
      <c r="E206" s="1204"/>
      <c r="F206" s="1204"/>
      <c r="G206" s="2" t="s">
        <v>3960</v>
      </c>
      <c r="H206" s="171" t="s">
        <v>3979</v>
      </c>
      <c r="I206" s="171"/>
      <c r="J206" s="171"/>
      <c r="K206" s="171"/>
      <c r="L206" s="171"/>
      <c r="M206" s="172"/>
      <c r="N206" s="172"/>
      <c r="O206" s="561">
        <v>211</v>
      </c>
      <c r="P206" s="813" t="s">
        <v>3875</v>
      </c>
      <c r="Q206" s="149" t="e">
        <f t="shared" si="33"/>
        <v>#REF!</v>
      </c>
      <c r="R206" s="149" t="e">
        <f>+#REF!</f>
        <v>#REF!</v>
      </c>
      <c r="S206" s="149" t="e">
        <f>+#REF!</f>
        <v>#REF!</v>
      </c>
      <c r="T206" s="149" t="e">
        <f>+#REF!</f>
        <v>#REF!</v>
      </c>
      <c r="U206" s="149" t="e">
        <f>+#REF!</f>
        <v>#REF!</v>
      </c>
      <c r="V206" s="149" t="e">
        <f>+#REF!</f>
        <v>#REF!</v>
      </c>
      <c r="W206" s="149" t="e">
        <f>+#REF!</f>
        <v>#REF!</v>
      </c>
      <c r="X206" s="149" t="e">
        <f>+#REF!</f>
        <v>#REF!</v>
      </c>
      <c r="Y206" s="149" t="e">
        <f>+#REF!</f>
        <v>#REF!</v>
      </c>
      <c r="Z206" s="149" t="e">
        <f>+#REF!</f>
        <v>#REF!</v>
      </c>
      <c r="AA206" s="149" t="e">
        <f>+#REF!</f>
        <v>#REF!</v>
      </c>
      <c r="AB206" s="149" t="e">
        <f>+#REF!</f>
        <v>#REF!</v>
      </c>
      <c r="AC206" s="149" t="e">
        <f>+#REF!</f>
        <v>#REF!</v>
      </c>
      <c r="AD206" s="203"/>
    </row>
    <row r="207" spans="1:30" ht="82.15" customHeight="1" x14ac:dyDescent="0.25">
      <c r="A207" s="1204"/>
      <c r="B207" s="1204"/>
      <c r="C207" s="1204"/>
      <c r="D207" s="1204"/>
      <c r="E207" s="1204"/>
      <c r="F207" s="1204"/>
      <c r="G207" s="2" t="s">
        <v>3961</v>
      </c>
      <c r="H207" s="171" t="s">
        <v>3964</v>
      </c>
      <c r="I207" s="171"/>
      <c r="J207" s="171"/>
      <c r="K207" s="171"/>
      <c r="L207" s="171"/>
      <c r="M207" s="172"/>
      <c r="N207" s="172"/>
      <c r="O207" s="561">
        <v>211</v>
      </c>
      <c r="P207" s="813" t="s">
        <v>3875</v>
      </c>
      <c r="Q207" s="149" t="e">
        <f t="shared" si="33"/>
        <v>#REF!</v>
      </c>
      <c r="R207" s="149" t="e">
        <f>+#REF!</f>
        <v>#REF!</v>
      </c>
      <c r="S207" s="149" t="e">
        <f>+#REF!</f>
        <v>#REF!</v>
      </c>
      <c r="T207" s="149" t="e">
        <f>+#REF!</f>
        <v>#REF!</v>
      </c>
      <c r="U207" s="149" t="e">
        <f>+#REF!</f>
        <v>#REF!</v>
      </c>
      <c r="V207" s="149" t="e">
        <f>+#REF!</f>
        <v>#REF!</v>
      </c>
      <c r="W207" s="149" t="e">
        <f>+#REF!</f>
        <v>#REF!</v>
      </c>
      <c r="X207" s="149" t="e">
        <f>+#REF!</f>
        <v>#REF!</v>
      </c>
      <c r="Y207" s="149" t="e">
        <f>+#REF!</f>
        <v>#REF!</v>
      </c>
      <c r="Z207" s="149" t="e">
        <f>+#REF!</f>
        <v>#REF!</v>
      </c>
      <c r="AA207" s="149" t="e">
        <f>+#REF!</f>
        <v>#REF!</v>
      </c>
      <c r="AB207" s="149" t="e">
        <f>+#REF!</f>
        <v>#REF!</v>
      </c>
      <c r="AC207" s="149" t="e">
        <f>+#REF!</f>
        <v>#REF!</v>
      </c>
      <c r="AD207" s="203"/>
    </row>
    <row r="208" spans="1:30" ht="72.599999999999994" customHeight="1" x14ac:dyDescent="0.25">
      <c r="A208" s="1210"/>
      <c r="B208" s="1210"/>
      <c r="C208" s="1210"/>
      <c r="D208" s="1210"/>
      <c r="E208" s="1210"/>
      <c r="F208" s="1210"/>
      <c r="G208" s="2" t="s">
        <v>3962</v>
      </c>
      <c r="H208" s="171" t="s">
        <v>3966</v>
      </c>
      <c r="I208" s="171"/>
      <c r="J208" s="171"/>
      <c r="K208" s="171"/>
      <c r="L208" s="171"/>
      <c r="M208" s="172"/>
      <c r="N208" s="172"/>
      <c r="O208" s="561">
        <v>211</v>
      </c>
      <c r="P208" s="813" t="s">
        <v>3878</v>
      </c>
      <c r="Q208" s="149" t="e">
        <f t="shared" si="33"/>
        <v>#REF!</v>
      </c>
      <c r="R208" s="149" t="e">
        <f>+#REF!</f>
        <v>#REF!</v>
      </c>
      <c r="S208" s="149" t="e">
        <f>+#REF!</f>
        <v>#REF!</v>
      </c>
      <c r="T208" s="149" t="e">
        <f>+#REF!</f>
        <v>#REF!</v>
      </c>
      <c r="U208" s="149" t="e">
        <f>+#REF!</f>
        <v>#REF!</v>
      </c>
      <c r="V208" s="149" t="e">
        <f>+#REF!</f>
        <v>#REF!</v>
      </c>
      <c r="W208" s="149" t="e">
        <f>+#REF!</f>
        <v>#REF!</v>
      </c>
      <c r="X208" s="149" t="e">
        <f>+#REF!</f>
        <v>#REF!</v>
      </c>
      <c r="Y208" s="149" t="e">
        <f>+#REF!</f>
        <v>#REF!</v>
      </c>
      <c r="Z208" s="149" t="e">
        <f>+#REF!</f>
        <v>#REF!</v>
      </c>
      <c r="AA208" s="149" t="e">
        <f>+#REF!</f>
        <v>#REF!</v>
      </c>
      <c r="AB208" s="149" t="e">
        <f>+#REF!</f>
        <v>#REF!</v>
      </c>
      <c r="AC208" s="149" t="e">
        <f>+#REF!</f>
        <v>#REF!</v>
      </c>
      <c r="AD208" s="203"/>
    </row>
    <row r="209" spans="1:31" ht="68.25" customHeight="1" x14ac:dyDescent="0.25">
      <c r="A209" s="1203" t="str">
        <f>+A199</f>
        <v>PY.4.2.1</v>
      </c>
      <c r="B209" s="1203" t="str">
        <f>+B199</f>
        <v>DOTACIÓN Y MATENIMIENTO DE EQUIPOS E INSUMOS DE LABORATORIOS(DOTACIÓN LABORATORIOS TODAS LA SEDES)</v>
      </c>
      <c r="C209" s="1203" t="str">
        <f>+C199</f>
        <v>CONSTRUCCIÒN DE 2 LABORATORIOS PARA INVESTIGACIÒN Y MANTENIMIENTO Y DOTACIÒN DE EQUIPOS DE 16 LABORATORIOS DE DOCENCIA E INVESTIGACIÒN</v>
      </c>
      <c r="D209" s="1203" t="str">
        <f>+D199</f>
        <v xml:space="preserve">NÙMERO DE LABORATORIOS CONSTRUIDOS, DOTADOS Y MANTENIDOS </v>
      </c>
      <c r="E209" s="1203"/>
      <c r="F209" s="1203" t="str">
        <f>+F199</f>
        <v>16 LABORATORIOS DOTADOS Y MANTENIDOS</v>
      </c>
      <c r="G209" s="2" t="s">
        <v>3963</v>
      </c>
      <c r="H209" s="171" t="s">
        <v>3981</v>
      </c>
      <c r="I209" s="171"/>
      <c r="J209" s="171"/>
      <c r="K209" s="171"/>
      <c r="L209" s="171"/>
      <c r="M209" s="172"/>
      <c r="N209" s="172"/>
      <c r="O209" s="561">
        <v>211</v>
      </c>
      <c r="P209" s="813" t="s">
        <v>4089</v>
      </c>
      <c r="Q209" s="149" t="e">
        <f t="shared" si="33"/>
        <v>#REF!</v>
      </c>
      <c r="R209" s="149" t="e">
        <f>+#REF!</f>
        <v>#REF!</v>
      </c>
      <c r="S209" s="149" t="e">
        <f>+#REF!</f>
        <v>#REF!</v>
      </c>
      <c r="T209" s="149" t="e">
        <f>+#REF!</f>
        <v>#REF!</v>
      </c>
      <c r="U209" s="149" t="e">
        <f>+#REF!</f>
        <v>#REF!</v>
      </c>
      <c r="V209" s="149" t="e">
        <f>+#REF!</f>
        <v>#REF!</v>
      </c>
      <c r="W209" s="149" t="e">
        <f>+#REF!</f>
        <v>#REF!</v>
      </c>
      <c r="X209" s="149" t="e">
        <f>+#REF!</f>
        <v>#REF!</v>
      </c>
      <c r="Y209" s="149" t="e">
        <f>+#REF!</f>
        <v>#REF!</v>
      </c>
      <c r="Z209" s="149" t="e">
        <f>+#REF!</f>
        <v>#REF!</v>
      </c>
      <c r="AA209" s="149" t="e">
        <f>+#REF!</f>
        <v>#REF!</v>
      </c>
      <c r="AB209" s="149" t="e">
        <f>+#REF!</f>
        <v>#REF!</v>
      </c>
      <c r="AC209" s="149" t="e">
        <f>+#REF!</f>
        <v>#REF!</v>
      </c>
      <c r="AD209" s="203"/>
    </row>
    <row r="210" spans="1:31" ht="84.6" customHeight="1" x14ac:dyDescent="0.25">
      <c r="A210" s="1204"/>
      <c r="B210" s="1204"/>
      <c r="C210" s="1204"/>
      <c r="D210" s="1204"/>
      <c r="E210" s="1204"/>
      <c r="F210" s="1204"/>
      <c r="G210" s="2" t="s">
        <v>3972</v>
      </c>
      <c r="H210" s="171" t="s">
        <v>3995</v>
      </c>
      <c r="I210" s="171"/>
      <c r="J210" s="171"/>
      <c r="K210" s="171"/>
      <c r="L210" s="171"/>
      <c r="M210" s="172"/>
      <c r="N210" s="172"/>
      <c r="O210" s="561">
        <v>211</v>
      </c>
      <c r="P210" s="813" t="s">
        <v>3875</v>
      </c>
      <c r="Q210" s="149" t="e">
        <f t="shared" si="33"/>
        <v>#REF!</v>
      </c>
      <c r="R210" s="149" t="e">
        <f>+#REF!</f>
        <v>#REF!</v>
      </c>
      <c r="S210" s="149" t="e">
        <f>+#REF!</f>
        <v>#REF!</v>
      </c>
      <c r="T210" s="149" t="e">
        <f>+#REF!</f>
        <v>#REF!</v>
      </c>
      <c r="U210" s="149" t="e">
        <f>+#REF!</f>
        <v>#REF!</v>
      </c>
      <c r="V210" s="149" t="e">
        <f>+#REF!</f>
        <v>#REF!</v>
      </c>
      <c r="W210" s="149" t="e">
        <f>+#REF!</f>
        <v>#REF!</v>
      </c>
      <c r="X210" s="149" t="e">
        <f>+#REF!</f>
        <v>#REF!</v>
      </c>
      <c r="Y210" s="149" t="e">
        <f>+#REF!</f>
        <v>#REF!</v>
      </c>
      <c r="Z210" s="149" t="e">
        <f>+#REF!</f>
        <v>#REF!</v>
      </c>
      <c r="AA210" s="149" t="e">
        <f>+#REF!</f>
        <v>#REF!</v>
      </c>
      <c r="AB210" s="149" t="e">
        <f>+#REF!</f>
        <v>#REF!</v>
      </c>
      <c r="AC210" s="149" t="e">
        <f>+#REF!</f>
        <v>#REF!</v>
      </c>
      <c r="AD210" s="203"/>
    </row>
    <row r="211" spans="1:31" ht="76.5" x14ac:dyDescent="0.25">
      <c r="A211" s="1204"/>
      <c r="B211" s="1204"/>
      <c r="C211" s="1204"/>
      <c r="D211" s="1204"/>
      <c r="E211" s="1204"/>
      <c r="F211" s="1204"/>
      <c r="G211" s="2" t="s">
        <v>3973</v>
      </c>
      <c r="H211" s="171" t="s">
        <v>3992</v>
      </c>
      <c r="I211" s="171"/>
      <c r="J211" s="171"/>
      <c r="K211" s="171"/>
      <c r="L211" s="171"/>
      <c r="M211" s="172"/>
      <c r="N211" s="172"/>
      <c r="O211" s="561">
        <v>211</v>
      </c>
      <c r="P211" s="813" t="s">
        <v>3878</v>
      </c>
      <c r="Q211" s="149" t="e">
        <f t="shared" si="33"/>
        <v>#REF!</v>
      </c>
      <c r="R211" s="149" t="e">
        <f>+#REF!</f>
        <v>#REF!</v>
      </c>
      <c r="S211" s="149" t="e">
        <f>+#REF!</f>
        <v>#REF!</v>
      </c>
      <c r="T211" s="149" t="e">
        <f>+#REF!</f>
        <v>#REF!</v>
      </c>
      <c r="U211" s="149" t="e">
        <f>+#REF!</f>
        <v>#REF!</v>
      </c>
      <c r="V211" s="149" t="e">
        <f>+#REF!</f>
        <v>#REF!</v>
      </c>
      <c r="W211" s="149" t="e">
        <f>+#REF!</f>
        <v>#REF!</v>
      </c>
      <c r="X211" s="149" t="e">
        <f>+#REF!</f>
        <v>#REF!</v>
      </c>
      <c r="Y211" s="149" t="e">
        <f>+#REF!</f>
        <v>#REF!</v>
      </c>
      <c r="Z211" s="149" t="e">
        <f>+#REF!</f>
        <v>#REF!</v>
      </c>
      <c r="AA211" s="149" t="e">
        <f>+#REF!</f>
        <v>#REF!</v>
      </c>
      <c r="AB211" s="149" t="e">
        <f>+#REF!</f>
        <v>#REF!</v>
      </c>
      <c r="AC211" s="149" t="e">
        <f>+#REF!</f>
        <v>#REF!</v>
      </c>
      <c r="AD211" s="203"/>
    </row>
    <row r="212" spans="1:31" ht="84" customHeight="1" x14ac:dyDescent="0.25">
      <c r="A212" s="1210"/>
      <c r="B212" s="1210"/>
      <c r="C212" s="1210"/>
      <c r="D212" s="1210"/>
      <c r="E212" s="1210"/>
      <c r="F212" s="1210"/>
      <c r="G212" s="2" t="s">
        <v>3974</v>
      </c>
      <c r="H212" s="171" t="s">
        <v>4163</v>
      </c>
      <c r="I212" s="171"/>
      <c r="J212" s="171"/>
      <c r="K212" s="171"/>
      <c r="L212" s="171"/>
      <c r="M212" s="172"/>
      <c r="N212" s="172"/>
      <c r="O212" s="561">
        <v>211</v>
      </c>
      <c r="P212" s="813" t="s">
        <v>3349</v>
      </c>
      <c r="Q212" s="149" t="e">
        <f t="shared" si="33"/>
        <v>#REF!</v>
      </c>
      <c r="R212" s="149" t="e">
        <f>+#REF!</f>
        <v>#REF!</v>
      </c>
      <c r="S212" s="149" t="e">
        <f>+#REF!</f>
        <v>#REF!</v>
      </c>
      <c r="T212" s="149" t="e">
        <f>+#REF!</f>
        <v>#REF!</v>
      </c>
      <c r="U212" s="149" t="e">
        <f>+#REF!</f>
        <v>#REF!</v>
      </c>
      <c r="V212" s="149" t="e">
        <f>+#REF!</f>
        <v>#REF!</v>
      </c>
      <c r="W212" s="149" t="e">
        <f>+#REF!</f>
        <v>#REF!</v>
      </c>
      <c r="X212" s="149" t="e">
        <f>+#REF!</f>
        <v>#REF!</v>
      </c>
      <c r="Y212" s="149" t="e">
        <f>+#REF!</f>
        <v>#REF!</v>
      </c>
      <c r="Z212" s="149" t="e">
        <f>+#REF!</f>
        <v>#REF!</v>
      </c>
      <c r="AA212" s="149" t="e">
        <f>+#REF!</f>
        <v>#REF!</v>
      </c>
      <c r="AB212" s="149" t="e">
        <f>+#REF!</f>
        <v>#REF!</v>
      </c>
      <c r="AC212" s="149" t="e">
        <f>+#REF!</f>
        <v>#REF!</v>
      </c>
      <c r="AD212" s="203"/>
    </row>
    <row r="213" spans="1:31" x14ac:dyDescent="0.25">
      <c r="A213" s="1209" t="s">
        <v>4257</v>
      </c>
      <c r="B213" s="1209"/>
      <c r="C213" s="1209"/>
      <c r="D213" s="1209"/>
      <c r="E213" s="1209"/>
      <c r="F213" s="1209"/>
      <c r="G213" s="1209"/>
      <c r="H213" s="1209"/>
      <c r="I213" s="1209"/>
      <c r="J213" s="1209"/>
      <c r="K213" s="1209"/>
      <c r="L213" s="1209"/>
      <c r="M213" s="1209"/>
      <c r="N213" s="1209"/>
      <c r="O213" s="1209"/>
      <c r="P213" s="1209"/>
      <c r="Q213" s="149" t="e">
        <f>SUM(Q169:Q212)</f>
        <v>#REF!</v>
      </c>
      <c r="R213" s="149" t="e">
        <f t="shared" ref="R213:AC213" si="34">SUM(R169:R212)</f>
        <v>#REF!</v>
      </c>
      <c r="S213" s="149" t="e">
        <f t="shared" si="34"/>
        <v>#REF!</v>
      </c>
      <c r="T213" s="149" t="e">
        <f t="shared" si="34"/>
        <v>#REF!</v>
      </c>
      <c r="U213" s="149" t="e">
        <f t="shared" si="34"/>
        <v>#REF!</v>
      </c>
      <c r="V213" s="149" t="e">
        <f t="shared" si="34"/>
        <v>#REF!</v>
      </c>
      <c r="W213" s="149" t="e">
        <f t="shared" si="34"/>
        <v>#REF!</v>
      </c>
      <c r="X213" s="149" t="e">
        <f t="shared" si="34"/>
        <v>#REF!</v>
      </c>
      <c r="Y213" s="149" t="e">
        <f t="shared" si="34"/>
        <v>#REF!</v>
      </c>
      <c r="Z213" s="149" t="e">
        <f t="shared" si="34"/>
        <v>#REF!</v>
      </c>
      <c r="AA213" s="149" t="e">
        <f t="shared" si="34"/>
        <v>#REF!</v>
      </c>
      <c r="AB213" s="149" t="e">
        <f t="shared" si="34"/>
        <v>#REF!</v>
      </c>
      <c r="AC213" s="149" t="e">
        <f t="shared" si="34"/>
        <v>#REF!</v>
      </c>
      <c r="AD213" s="203"/>
      <c r="AE213" s="1" t="e">
        <f>+Q213-'POAI 2011 AC.017 MAYO'!I40</f>
        <v>#REF!</v>
      </c>
    </row>
    <row r="214" spans="1:31" ht="43.15" customHeight="1" x14ac:dyDescent="0.25">
      <c r="A214" s="806" t="s">
        <v>3076</v>
      </c>
      <c r="B214" s="834" t="s">
        <v>237</v>
      </c>
      <c r="C214" s="834" t="str">
        <f>+'PLANINDICATIVO PD MAYO'!J45</f>
        <v>DISEÑO DE UN NUEVO CAMPUS</v>
      </c>
      <c r="D214" s="834" t="s">
        <v>3258</v>
      </c>
      <c r="E214" s="834"/>
      <c r="F214" s="834">
        <f>+'PLANINDICATIVO PD MAYO'!O45</f>
        <v>0</v>
      </c>
      <c r="G214" s="808" t="s">
        <v>3996</v>
      </c>
      <c r="H214" s="849" t="s">
        <v>237</v>
      </c>
      <c r="I214" s="331"/>
      <c r="J214" s="331"/>
      <c r="K214" s="331"/>
      <c r="L214" s="331"/>
      <c r="M214" s="794">
        <v>90000000</v>
      </c>
      <c r="N214" s="172">
        <v>1000000000</v>
      </c>
      <c r="O214" s="561">
        <v>111</v>
      </c>
      <c r="P214" s="815" t="s">
        <v>3348</v>
      </c>
      <c r="Q214" s="149" t="e">
        <f>SUM(R214:AC214)</f>
        <v>#REF!</v>
      </c>
      <c r="R214" s="149" t="e">
        <f>+#REF!</f>
        <v>#REF!</v>
      </c>
      <c r="S214" s="149" t="e">
        <f>+#REF!</f>
        <v>#REF!</v>
      </c>
      <c r="T214" s="149" t="e">
        <f>+#REF!</f>
        <v>#REF!</v>
      </c>
      <c r="U214" s="149" t="e">
        <f>+#REF!</f>
        <v>#REF!</v>
      </c>
      <c r="V214" s="149" t="e">
        <f>+#REF!</f>
        <v>#REF!</v>
      </c>
      <c r="W214" s="149" t="e">
        <f>+#REF!</f>
        <v>#REF!</v>
      </c>
      <c r="X214" s="149" t="e">
        <f>+#REF!</f>
        <v>#REF!</v>
      </c>
      <c r="Y214" s="149" t="e">
        <f>+#REF!</f>
        <v>#REF!</v>
      </c>
      <c r="Z214" s="149" t="e">
        <f>+#REF!</f>
        <v>#REF!</v>
      </c>
      <c r="AA214" s="149" t="e">
        <f>+#REF!</f>
        <v>#REF!</v>
      </c>
      <c r="AB214" s="149" t="e">
        <f>+#REF!</f>
        <v>#REF!</v>
      </c>
      <c r="AC214" s="149" t="e">
        <f>+#REF!</f>
        <v>#REF!</v>
      </c>
    </row>
    <row r="215" spans="1:31" ht="18.600000000000001" customHeight="1" x14ac:dyDescent="0.25">
      <c r="A215" s="1209" t="s">
        <v>4258</v>
      </c>
      <c r="B215" s="1209"/>
      <c r="C215" s="1209"/>
      <c r="D215" s="1209"/>
      <c r="E215" s="1209"/>
      <c r="F215" s="1209"/>
      <c r="G215" s="1209"/>
      <c r="H215" s="1209"/>
      <c r="I215" s="1209"/>
      <c r="J215" s="1209"/>
      <c r="K215" s="1209"/>
      <c r="L215" s="1209"/>
      <c r="M215" s="1209"/>
      <c r="N215" s="1209"/>
      <c r="O215" s="1209"/>
      <c r="P215" s="1209"/>
      <c r="Q215" s="149" t="e">
        <f t="shared" ref="Q215:AC215" si="35">SUM(Q214)</f>
        <v>#REF!</v>
      </c>
      <c r="R215" s="149" t="e">
        <f t="shared" si="35"/>
        <v>#REF!</v>
      </c>
      <c r="S215" s="149" t="e">
        <f t="shared" si="35"/>
        <v>#REF!</v>
      </c>
      <c r="T215" s="149" t="e">
        <f t="shared" si="35"/>
        <v>#REF!</v>
      </c>
      <c r="U215" s="149" t="e">
        <f t="shared" si="35"/>
        <v>#REF!</v>
      </c>
      <c r="V215" s="149" t="e">
        <f t="shared" si="35"/>
        <v>#REF!</v>
      </c>
      <c r="W215" s="149" t="e">
        <f t="shared" si="35"/>
        <v>#REF!</v>
      </c>
      <c r="X215" s="149" t="e">
        <f t="shared" si="35"/>
        <v>#REF!</v>
      </c>
      <c r="Y215" s="149" t="e">
        <f t="shared" si="35"/>
        <v>#REF!</v>
      </c>
      <c r="Z215" s="149" t="e">
        <f t="shared" si="35"/>
        <v>#REF!</v>
      </c>
      <c r="AA215" s="149" t="e">
        <f t="shared" si="35"/>
        <v>#REF!</v>
      </c>
      <c r="AB215" s="149" t="e">
        <f t="shared" si="35"/>
        <v>#REF!</v>
      </c>
      <c r="AC215" s="149" t="e">
        <f t="shared" si="35"/>
        <v>#REF!</v>
      </c>
      <c r="AE215" s="1" t="e">
        <f>+Q215-'POAI 2011 AC.017 MAYO'!I41</f>
        <v>#REF!</v>
      </c>
    </row>
    <row r="216" spans="1:31" ht="31.9" customHeight="1" x14ac:dyDescent="0.25">
      <c r="A216" s="834" t="s">
        <v>4183</v>
      </c>
      <c r="B216" s="834" t="str">
        <f>+'PLANINDICATIVO PD MAYO'!I46</f>
        <v>ADQUISICIÓN DE INMUEBLES</v>
      </c>
      <c r="C216" s="834" t="str">
        <f>+'PLANINDICATIVO PD MAYO'!J46</f>
        <v>COMPRA DE UN (1) INMUEBLE</v>
      </c>
      <c r="D216" s="834" t="str">
        <f>+'PLANINDICATIVO PD MAYO'!L46</f>
        <v>INMUEBLE EN SERVICIO</v>
      </c>
      <c r="E216" s="834">
        <f>+'PLANINDICATIVO PD MAYO'!K46</f>
        <v>0</v>
      </c>
      <c r="F216" s="834">
        <f>+'PLANINDICATIVO PD MAYO'!O46</f>
        <v>0</v>
      </c>
      <c r="G216" s="109" t="s">
        <v>4156</v>
      </c>
      <c r="H216" s="850" t="s">
        <v>4157</v>
      </c>
      <c r="I216" s="331"/>
      <c r="J216" s="331"/>
      <c r="K216" s="331"/>
      <c r="L216" s="331"/>
      <c r="M216" s="222"/>
      <c r="N216" s="222"/>
      <c r="O216" s="561">
        <v>111</v>
      </c>
      <c r="P216" s="843" t="s">
        <v>4089</v>
      </c>
      <c r="Q216" s="149" t="e">
        <f>SUM(R216:AC216)</f>
        <v>#REF!</v>
      </c>
      <c r="R216" s="149" t="e">
        <f>+#REF!</f>
        <v>#REF!</v>
      </c>
      <c r="S216" s="149" t="e">
        <f>+#REF!</f>
        <v>#REF!</v>
      </c>
      <c r="T216" s="149" t="e">
        <f>+#REF!</f>
        <v>#REF!</v>
      </c>
      <c r="U216" s="149" t="e">
        <f>+#REF!</f>
        <v>#REF!</v>
      </c>
      <c r="V216" s="149" t="e">
        <f>+#REF!</f>
        <v>#REF!</v>
      </c>
      <c r="W216" s="149" t="e">
        <f>+#REF!</f>
        <v>#REF!</v>
      </c>
      <c r="X216" s="149" t="e">
        <f>+#REF!</f>
        <v>#REF!</v>
      </c>
      <c r="Y216" s="149" t="e">
        <f>+#REF!</f>
        <v>#REF!</v>
      </c>
      <c r="Z216" s="149" t="e">
        <f>+#REF!</f>
        <v>#REF!</v>
      </c>
      <c r="AA216" s="149" t="e">
        <f>+#REF!</f>
        <v>#REF!</v>
      </c>
      <c r="AB216" s="149" t="e">
        <f>+#REF!</f>
        <v>#REF!</v>
      </c>
      <c r="AC216" s="149" t="e">
        <f>+#REF!</f>
        <v>#REF!</v>
      </c>
    </row>
    <row r="217" spans="1:31" ht="25.15" customHeight="1" x14ac:dyDescent="0.25">
      <c r="A217" s="1209" t="s">
        <v>4259</v>
      </c>
      <c r="B217" s="1209"/>
      <c r="C217" s="1209"/>
      <c r="D217" s="1209"/>
      <c r="E217" s="1209"/>
      <c r="F217" s="1209"/>
      <c r="G217" s="1209"/>
      <c r="H217" s="1209"/>
      <c r="I217" s="1209"/>
      <c r="J217" s="1209"/>
      <c r="K217" s="1209"/>
      <c r="L217" s="1209"/>
      <c r="M217" s="1209"/>
      <c r="N217" s="1209"/>
      <c r="O217" s="1209"/>
      <c r="P217" s="1209"/>
      <c r="Q217" s="149" t="e">
        <f t="shared" ref="Q217:AC217" si="36">SUM(Q216)</f>
        <v>#REF!</v>
      </c>
      <c r="R217" s="149" t="e">
        <f t="shared" si="36"/>
        <v>#REF!</v>
      </c>
      <c r="S217" s="149" t="e">
        <f t="shared" si="36"/>
        <v>#REF!</v>
      </c>
      <c r="T217" s="149" t="e">
        <f t="shared" si="36"/>
        <v>#REF!</v>
      </c>
      <c r="U217" s="149" t="e">
        <f t="shared" si="36"/>
        <v>#REF!</v>
      </c>
      <c r="V217" s="149" t="e">
        <f t="shared" si="36"/>
        <v>#REF!</v>
      </c>
      <c r="W217" s="149" t="e">
        <f t="shared" si="36"/>
        <v>#REF!</v>
      </c>
      <c r="X217" s="149" t="e">
        <f t="shared" si="36"/>
        <v>#REF!</v>
      </c>
      <c r="Y217" s="149" t="e">
        <f t="shared" si="36"/>
        <v>#REF!</v>
      </c>
      <c r="Z217" s="149" t="e">
        <f t="shared" si="36"/>
        <v>#REF!</v>
      </c>
      <c r="AA217" s="149" t="e">
        <f t="shared" si="36"/>
        <v>#REF!</v>
      </c>
      <c r="AB217" s="149" t="e">
        <f t="shared" si="36"/>
        <v>#REF!</v>
      </c>
      <c r="AC217" s="149" t="e">
        <f t="shared" si="36"/>
        <v>#REF!</v>
      </c>
    </row>
    <row r="218" spans="1:31" ht="22.9" customHeight="1" x14ac:dyDescent="0.25">
      <c r="A218" s="1209" t="s">
        <v>4260</v>
      </c>
      <c r="B218" s="1209"/>
      <c r="C218" s="1209"/>
      <c r="D218" s="1209"/>
      <c r="E218" s="1209"/>
      <c r="F218" s="1209"/>
      <c r="G218" s="1209"/>
      <c r="H218" s="1209"/>
      <c r="I218" s="1209"/>
      <c r="J218" s="1209"/>
      <c r="K218" s="1209"/>
      <c r="L218" s="1209"/>
      <c r="M218" s="1209"/>
      <c r="N218" s="1209"/>
      <c r="O218" s="1209"/>
      <c r="P218" s="1209"/>
      <c r="Q218" s="149" t="e">
        <f>+Q217+Q215+Q213+Q168+Q159</f>
        <v>#REF!</v>
      </c>
      <c r="R218" s="149" t="e">
        <f t="shared" ref="R218:AC218" si="37">+R217+R215+R213+R168+R159</f>
        <v>#REF!</v>
      </c>
      <c r="S218" s="149" t="e">
        <f t="shared" si="37"/>
        <v>#REF!</v>
      </c>
      <c r="T218" s="149" t="e">
        <f t="shared" si="37"/>
        <v>#REF!</v>
      </c>
      <c r="U218" s="149" t="e">
        <f t="shared" si="37"/>
        <v>#REF!</v>
      </c>
      <c r="V218" s="149" t="e">
        <f t="shared" si="37"/>
        <v>#REF!</v>
      </c>
      <c r="W218" s="149" t="e">
        <f t="shared" si="37"/>
        <v>#REF!</v>
      </c>
      <c r="X218" s="149" t="e">
        <f t="shared" si="37"/>
        <v>#REF!</v>
      </c>
      <c r="Y218" s="149" t="e">
        <f t="shared" si="37"/>
        <v>#REF!</v>
      </c>
      <c r="Z218" s="149" t="e">
        <f t="shared" si="37"/>
        <v>#REF!</v>
      </c>
      <c r="AA218" s="149" t="e">
        <f t="shared" si="37"/>
        <v>#REF!</v>
      </c>
      <c r="AB218" s="149" t="e">
        <f t="shared" si="37"/>
        <v>#REF!</v>
      </c>
      <c r="AC218" s="149" t="e">
        <f t="shared" si="37"/>
        <v>#REF!</v>
      </c>
      <c r="AE218" s="1" t="e">
        <f>+Q217-'POAI 2011 AC.017 MAYO'!I42</f>
        <v>#REF!</v>
      </c>
    </row>
    <row r="219" spans="1:31" ht="19.899999999999999" customHeight="1" x14ac:dyDescent="0.25">
      <c r="A219" s="1208" t="s">
        <v>3408</v>
      </c>
      <c r="B219" s="1208"/>
      <c r="C219" s="1208"/>
      <c r="D219" s="1208"/>
      <c r="E219" s="1208"/>
      <c r="F219" s="1208"/>
      <c r="G219" s="1208"/>
      <c r="H219" s="1208"/>
      <c r="I219" s="1208"/>
      <c r="J219" s="1208"/>
      <c r="K219" s="1208"/>
      <c r="L219" s="1208"/>
      <c r="M219" s="1208"/>
      <c r="N219" s="1208"/>
      <c r="O219" s="1208"/>
      <c r="P219" s="1217"/>
      <c r="Q219" s="149" t="e">
        <f>+Q218+Q149</f>
        <v>#REF!</v>
      </c>
      <c r="R219" s="149" t="e">
        <f t="shared" ref="R219:AB219" si="38">+R218+R149</f>
        <v>#REF!</v>
      </c>
      <c r="S219" s="149" t="e">
        <f t="shared" si="38"/>
        <v>#REF!</v>
      </c>
      <c r="T219" s="149" t="e">
        <f t="shared" si="38"/>
        <v>#REF!</v>
      </c>
      <c r="U219" s="149" t="e">
        <f t="shared" si="38"/>
        <v>#REF!</v>
      </c>
      <c r="V219" s="149" t="e">
        <f t="shared" si="38"/>
        <v>#REF!</v>
      </c>
      <c r="W219" s="149" t="e">
        <f t="shared" si="38"/>
        <v>#REF!</v>
      </c>
      <c r="X219" s="149" t="e">
        <f t="shared" si="38"/>
        <v>#REF!</v>
      </c>
      <c r="Y219" s="149" t="e">
        <f t="shared" si="38"/>
        <v>#REF!</v>
      </c>
      <c r="Z219" s="149" t="e">
        <f t="shared" si="38"/>
        <v>#REF!</v>
      </c>
      <c r="AA219" s="149" t="e">
        <f t="shared" si="38"/>
        <v>#REF!</v>
      </c>
      <c r="AB219" s="149" t="e">
        <f t="shared" si="38"/>
        <v>#REF!</v>
      </c>
      <c r="AC219" s="149" t="e">
        <f>+AC218+AC149</f>
        <v>#REF!</v>
      </c>
      <c r="AE219" s="1" t="e">
        <f>+Q219-'POAI 2011 AC.017 MAYO'!I33</f>
        <v>#REF!</v>
      </c>
    </row>
    <row r="220" spans="1:31" ht="19.5" customHeight="1" x14ac:dyDescent="0.3">
      <c r="A220" s="897" t="s">
        <v>4261</v>
      </c>
      <c r="B220" s="853"/>
      <c r="C220" s="853"/>
      <c r="D220" s="853"/>
      <c r="E220" s="853"/>
      <c r="F220" s="853"/>
      <c r="G220" s="853"/>
      <c r="H220" s="853"/>
      <c r="I220" s="853"/>
      <c r="J220" s="853"/>
      <c r="K220" s="853"/>
      <c r="L220" s="853"/>
      <c r="M220" s="853"/>
      <c r="N220" s="853"/>
      <c r="O220" s="853"/>
      <c r="P220" s="853"/>
      <c r="Q220" s="898"/>
      <c r="R220" s="898"/>
      <c r="S220" s="898"/>
      <c r="T220" s="898"/>
      <c r="U220" s="898"/>
      <c r="V220" s="898"/>
      <c r="W220" s="898"/>
      <c r="X220" s="898"/>
      <c r="Y220" s="898"/>
      <c r="Z220" s="898"/>
      <c r="AA220" s="898"/>
      <c r="AB220" s="898"/>
      <c r="AC220" s="898"/>
    </row>
    <row r="221" spans="1:31" ht="19.5" customHeight="1" x14ac:dyDescent="0.3">
      <c r="A221" s="882" t="s">
        <v>4262</v>
      </c>
      <c r="B221" s="233"/>
      <c r="C221" s="233"/>
      <c r="D221" s="233"/>
      <c r="E221" s="233"/>
      <c r="F221" s="233"/>
      <c r="G221" s="233"/>
      <c r="H221" s="233"/>
      <c r="I221" s="233"/>
      <c r="J221" s="233"/>
      <c r="K221" s="233"/>
      <c r="L221" s="233"/>
      <c r="M221" s="233"/>
      <c r="N221" s="233"/>
      <c r="O221" s="233"/>
      <c r="P221" s="233"/>
      <c r="Q221" s="686"/>
      <c r="R221" s="686"/>
      <c r="S221" s="686"/>
      <c r="T221" s="686"/>
      <c r="U221" s="686"/>
      <c r="V221" s="686"/>
      <c r="W221" s="686"/>
      <c r="X221" s="686"/>
      <c r="Y221" s="686"/>
      <c r="Z221" s="686"/>
      <c r="AA221" s="686"/>
      <c r="AB221" s="686"/>
      <c r="AC221" s="686"/>
    </row>
    <row r="222" spans="1:31" ht="66.599999999999994" customHeight="1" x14ac:dyDescent="0.25">
      <c r="A222" s="2" t="s">
        <v>3115</v>
      </c>
      <c r="B222" s="2" t="str">
        <f>+'PLANINDICATIVO PD MAYO'!I49</f>
        <v>PROMOCIÓN DE LA EDUCACIÓN AMBIENTAL Y FORMACIÓN ECOLÓGICA</v>
      </c>
      <c r="C222" s="2" t="str">
        <f>+'PLANINDICATIVO PD MAYO'!J49</f>
        <v>IMPLEMENTAR UN SISTEMA DE GESTIÒN AMBIENTAL</v>
      </c>
      <c r="D222" s="2" t="str">
        <f>+'PLANINDICATIVO PD MAYO'!L49</f>
        <v>UN SISTEMA DE GESTIÒN AMBIENTAL IMPLEMENTADO</v>
      </c>
      <c r="E222" s="2"/>
      <c r="F222" s="110">
        <f>+'PLANINDICATIVO PD MAYO'!O49</f>
        <v>0.3</v>
      </c>
      <c r="G222" s="2" t="s">
        <v>3997</v>
      </c>
      <c r="H222" s="171" t="s">
        <v>3207</v>
      </c>
      <c r="I222" s="171"/>
      <c r="J222" s="171"/>
      <c r="K222" s="171"/>
      <c r="L222" s="171"/>
      <c r="M222" s="155">
        <v>25000000</v>
      </c>
      <c r="N222" s="155">
        <v>25443075</v>
      </c>
      <c r="O222" s="151">
        <v>510</v>
      </c>
      <c r="P222" s="810" t="s">
        <v>3359</v>
      </c>
      <c r="Q222" s="149" t="e">
        <f>SUM(R222:AC222)</f>
        <v>#REF!</v>
      </c>
      <c r="R222" s="149" t="e">
        <f>+#REF!</f>
        <v>#REF!</v>
      </c>
      <c r="S222" s="149" t="e">
        <f>+#REF!</f>
        <v>#REF!</v>
      </c>
      <c r="T222" s="149" t="e">
        <f>+#REF!</f>
        <v>#REF!</v>
      </c>
      <c r="U222" s="149" t="e">
        <f>+#REF!</f>
        <v>#REF!</v>
      </c>
      <c r="V222" s="149" t="e">
        <f>+#REF!</f>
        <v>#REF!</v>
      </c>
      <c r="W222" s="149" t="e">
        <f>+#REF!</f>
        <v>#REF!</v>
      </c>
      <c r="X222" s="149" t="e">
        <f>+#REF!</f>
        <v>#REF!</v>
      </c>
      <c r="Y222" s="149" t="e">
        <f>+#REF!</f>
        <v>#REF!</v>
      </c>
      <c r="Z222" s="149" t="e">
        <f>+#REF!</f>
        <v>#REF!</v>
      </c>
      <c r="AA222" s="149" t="e">
        <f>+#REF!</f>
        <v>#REF!</v>
      </c>
      <c r="AB222" s="149" t="e">
        <f>+#REF!</f>
        <v>#REF!</v>
      </c>
      <c r="AC222" s="149" t="e">
        <f>+#REF!</f>
        <v>#REF!</v>
      </c>
    </row>
    <row r="223" spans="1:31" ht="18.600000000000001" customHeight="1" x14ac:dyDescent="0.25">
      <c r="A223" s="1209" t="s">
        <v>4264</v>
      </c>
      <c r="B223" s="1209"/>
      <c r="C223" s="1209"/>
      <c r="D223" s="1209"/>
      <c r="E223" s="1209"/>
      <c r="F223" s="1209"/>
      <c r="G223" s="1209"/>
      <c r="H223" s="1209"/>
      <c r="I223" s="1209"/>
      <c r="J223" s="1209"/>
      <c r="K223" s="1209"/>
      <c r="L223" s="1209"/>
      <c r="M223" s="1209"/>
      <c r="N223" s="1209"/>
      <c r="O223" s="1209"/>
      <c r="P223" s="1209"/>
      <c r="Q223" s="149" t="e">
        <f t="shared" ref="Q223:AC223" si="39">SUM(Q222)</f>
        <v>#REF!</v>
      </c>
      <c r="R223" s="149" t="e">
        <f t="shared" si="39"/>
        <v>#REF!</v>
      </c>
      <c r="S223" s="149" t="e">
        <f t="shared" si="39"/>
        <v>#REF!</v>
      </c>
      <c r="T223" s="149" t="e">
        <f t="shared" si="39"/>
        <v>#REF!</v>
      </c>
      <c r="U223" s="149" t="e">
        <f t="shared" si="39"/>
        <v>#REF!</v>
      </c>
      <c r="V223" s="149" t="e">
        <f t="shared" si="39"/>
        <v>#REF!</v>
      </c>
      <c r="W223" s="149" t="e">
        <f t="shared" si="39"/>
        <v>#REF!</v>
      </c>
      <c r="X223" s="149" t="e">
        <f t="shared" si="39"/>
        <v>#REF!</v>
      </c>
      <c r="Y223" s="149" t="e">
        <f t="shared" si="39"/>
        <v>#REF!</v>
      </c>
      <c r="Z223" s="149" t="e">
        <f t="shared" si="39"/>
        <v>#REF!</v>
      </c>
      <c r="AA223" s="149" t="e">
        <f t="shared" si="39"/>
        <v>#REF!</v>
      </c>
      <c r="AB223" s="149" t="e">
        <f t="shared" si="39"/>
        <v>#REF!</v>
      </c>
      <c r="AC223" s="149" t="e">
        <f t="shared" si="39"/>
        <v>#REF!</v>
      </c>
      <c r="AE223" s="1" t="e">
        <f>+Q223-'POAI 2011 AC.017 MAYO'!I45</f>
        <v>#REF!</v>
      </c>
    </row>
    <row r="224" spans="1:31" ht="79.900000000000006" customHeight="1" x14ac:dyDescent="0.25">
      <c r="A224" s="2" t="s">
        <v>3125</v>
      </c>
      <c r="B224" s="2" t="str">
        <f>+'PLANINDICATIVO PD MAYO'!I50</f>
        <v xml:space="preserve"> REVISIÓN DEL CUMPLIMIENTO DE NORMAS AMBIENTALES POR LA USCO</v>
      </c>
      <c r="C224" s="2" t="str">
        <f>+'PLANINDICATIVO PD MAYO'!J50</f>
        <v>100% DE LOS PROCESOS EJECUTADOS DENTRO DE LO LÌMITES AMBIENTALES</v>
      </c>
      <c r="D224" s="2" t="str">
        <f>+'PLANINDICATIVO PD MAYO'!L50</f>
        <v>NÙMERO DE PROCESOS EJECUTADOS DENTRO DE LOS LÌMITES AMBIENTALES</v>
      </c>
      <c r="E224" s="2"/>
      <c r="F224" s="847">
        <f>+'PLANINDICATIVO PD MAYO'!O50</f>
        <v>4</v>
      </c>
      <c r="G224" s="848" t="s">
        <v>4063</v>
      </c>
      <c r="H224" s="331" t="s">
        <v>195</v>
      </c>
      <c r="I224" s="331"/>
      <c r="J224" s="331"/>
      <c r="K224" s="331"/>
      <c r="L224" s="331"/>
      <c r="M224" s="222"/>
      <c r="N224" s="222"/>
      <c r="O224" s="151">
        <v>510</v>
      </c>
      <c r="P224" s="810" t="s">
        <v>3359</v>
      </c>
      <c r="Q224" s="149" t="e">
        <f>SUM(R224:AC224)</f>
        <v>#REF!</v>
      </c>
      <c r="R224" s="149" t="e">
        <f>+#REF!</f>
        <v>#REF!</v>
      </c>
      <c r="S224" s="149" t="e">
        <f>+#REF!</f>
        <v>#REF!</v>
      </c>
      <c r="T224" s="149" t="e">
        <f>+#REF!</f>
        <v>#REF!</v>
      </c>
      <c r="U224" s="149" t="e">
        <f>+#REF!</f>
        <v>#REF!</v>
      </c>
      <c r="V224" s="149" t="e">
        <f>+#REF!</f>
        <v>#REF!</v>
      </c>
      <c r="W224" s="149" t="e">
        <f>+#REF!</f>
        <v>#REF!</v>
      </c>
      <c r="X224" s="149" t="e">
        <f>+#REF!</f>
        <v>#REF!</v>
      </c>
      <c r="Y224" s="149" t="e">
        <f>+#REF!</f>
        <v>#REF!</v>
      </c>
      <c r="Z224" s="149" t="e">
        <f>+#REF!</f>
        <v>#REF!</v>
      </c>
      <c r="AA224" s="149" t="e">
        <f>+#REF!</f>
        <v>#REF!</v>
      </c>
      <c r="AB224" s="149" t="e">
        <f>+#REF!</f>
        <v>#REF!</v>
      </c>
      <c r="AC224" s="149" t="e">
        <f>+#REF!</f>
        <v>#REF!</v>
      </c>
    </row>
    <row r="225" spans="1:31" ht="20.45" customHeight="1" x14ac:dyDescent="0.25">
      <c r="A225" s="1209" t="s">
        <v>4265</v>
      </c>
      <c r="B225" s="1209"/>
      <c r="C225" s="1209"/>
      <c r="D225" s="1209"/>
      <c r="E225" s="1209"/>
      <c r="F225" s="1209"/>
      <c r="G225" s="1209"/>
      <c r="H225" s="1209"/>
      <c r="I225" s="1209"/>
      <c r="J225" s="1209"/>
      <c r="K225" s="1209"/>
      <c r="L225" s="1209"/>
      <c r="M225" s="1209"/>
      <c r="N225" s="1209"/>
      <c r="O225" s="1209"/>
      <c r="P225" s="1209"/>
      <c r="Q225" s="149" t="e">
        <f t="shared" ref="Q225:AC225" si="40">SUM(Q224)</f>
        <v>#REF!</v>
      </c>
      <c r="R225" s="149" t="e">
        <f t="shared" si="40"/>
        <v>#REF!</v>
      </c>
      <c r="S225" s="149" t="e">
        <f t="shared" si="40"/>
        <v>#REF!</v>
      </c>
      <c r="T225" s="149" t="e">
        <f t="shared" si="40"/>
        <v>#REF!</v>
      </c>
      <c r="U225" s="149" t="e">
        <f t="shared" si="40"/>
        <v>#REF!</v>
      </c>
      <c r="V225" s="149" t="e">
        <f t="shared" si="40"/>
        <v>#REF!</v>
      </c>
      <c r="W225" s="149" t="e">
        <f t="shared" si="40"/>
        <v>#REF!</v>
      </c>
      <c r="X225" s="149" t="e">
        <f t="shared" si="40"/>
        <v>#REF!</v>
      </c>
      <c r="Y225" s="149" t="e">
        <f t="shared" si="40"/>
        <v>#REF!</v>
      </c>
      <c r="Z225" s="149" t="e">
        <f t="shared" si="40"/>
        <v>#REF!</v>
      </c>
      <c r="AA225" s="149" t="e">
        <f t="shared" si="40"/>
        <v>#REF!</v>
      </c>
      <c r="AB225" s="149" t="e">
        <f t="shared" si="40"/>
        <v>#REF!</v>
      </c>
      <c r="AC225" s="149" t="e">
        <f t="shared" si="40"/>
        <v>#REF!</v>
      </c>
      <c r="AE225" s="1" t="e">
        <f>+Q225-'POAI 2011 AC.017 MAYO'!I46</f>
        <v>#REF!</v>
      </c>
    </row>
    <row r="226" spans="1:31" ht="20.45" customHeight="1" x14ac:dyDescent="0.25">
      <c r="A226" s="1209" t="s">
        <v>4263</v>
      </c>
      <c r="B226" s="1209"/>
      <c r="C226" s="1209"/>
      <c r="D226" s="1209"/>
      <c r="E226" s="1209"/>
      <c r="F226" s="1209"/>
      <c r="G226" s="1209"/>
      <c r="H226" s="1209"/>
      <c r="I226" s="1209"/>
      <c r="J226" s="1209"/>
      <c r="K226" s="1209"/>
      <c r="L226" s="1209"/>
      <c r="M226" s="1209"/>
      <c r="N226" s="1209"/>
      <c r="O226" s="1209"/>
      <c r="P226" s="1209"/>
      <c r="Q226" s="149" t="e">
        <f>+Q225+Q223</f>
        <v>#REF!</v>
      </c>
      <c r="R226" s="149" t="e">
        <f t="shared" ref="R226:AC226" si="41">+R225+R223</f>
        <v>#REF!</v>
      </c>
      <c r="S226" s="149" t="e">
        <f t="shared" si="41"/>
        <v>#REF!</v>
      </c>
      <c r="T226" s="149" t="e">
        <f t="shared" si="41"/>
        <v>#REF!</v>
      </c>
      <c r="U226" s="149" t="e">
        <f t="shared" si="41"/>
        <v>#REF!</v>
      </c>
      <c r="V226" s="149" t="e">
        <f t="shared" si="41"/>
        <v>#REF!</v>
      </c>
      <c r="W226" s="149" t="e">
        <f t="shared" si="41"/>
        <v>#REF!</v>
      </c>
      <c r="X226" s="149" t="e">
        <f t="shared" si="41"/>
        <v>#REF!</v>
      </c>
      <c r="Y226" s="149" t="e">
        <f t="shared" si="41"/>
        <v>#REF!</v>
      </c>
      <c r="Z226" s="149" t="e">
        <f t="shared" si="41"/>
        <v>#REF!</v>
      </c>
      <c r="AA226" s="149" t="e">
        <f t="shared" si="41"/>
        <v>#REF!</v>
      </c>
      <c r="AB226" s="149" t="e">
        <f t="shared" si="41"/>
        <v>#REF!</v>
      </c>
      <c r="AC226" s="149" t="e">
        <f t="shared" si="41"/>
        <v>#REF!</v>
      </c>
      <c r="AE226" s="1" t="e">
        <f>+Q226-'POAI 2011 AC.017 MAYO'!I44</f>
        <v>#REF!</v>
      </c>
    </row>
    <row r="227" spans="1:31" ht="21.6" customHeight="1" x14ac:dyDescent="0.25">
      <c r="A227" s="1207" t="s">
        <v>3409</v>
      </c>
      <c r="B227" s="1208"/>
      <c r="C227" s="1208"/>
      <c r="D227" s="1208"/>
      <c r="E227" s="1208"/>
      <c r="F227" s="1208"/>
      <c r="G227" s="1208"/>
      <c r="H227" s="1208"/>
      <c r="I227" s="1208"/>
      <c r="J227" s="1208"/>
      <c r="K227" s="1208"/>
      <c r="L227" s="1208"/>
      <c r="M227" s="1208"/>
      <c r="N227" s="1208"/>
      <c r="O227" s="1208"/>
      <c r="P227" s="1217"/>
      <c r="Q227" s="149" t="e">
        <f>+Q226</f>
        <v>#REF!</v>
      </c>
      <c r="R227" s="149" t="e">
        <f t="shared" ref="R227:AC227" si="42">+R226</f>
        <v>#REF!</v>
      </c>
      <c r="S227" s="149" t="e">
        <f t="shared" si="42"/>
        <v>#REF!</v>
      </c>
      <c r="T227" s="149" t="e">
        <f t="shared" si="42"/>
        <v>#REF!</v>
      </c>
      <c r="U227" s="149" t="e">
        <f t="shared" si="42"/>
        <v>#REF!</v>
      </c>
      <c r="V227" s="149" t="e">
        <f t="shared" si="42"/>
        <v>#REF!</v>
      </c>
      <c r="W227" s="149" t="e">
        <f t="shared" si="42"/>
        <v>#REF!</v>
      </c>
      <c r="X227" s="149" t="e">
        <f t="shared" si="42"/>
        <v>#REF!</v>
      </c>
      <c r="Y227" s="149" t="e">
        <f t="shared" si="42"/>
        <v>#REF!</v>
      </c>
      <c r="Z227" s="149" t="e">
        <f t="shared" si="42"/>
        <v>#REF!</v>
      </c>
      <c r="AA227" s="149" t="e">
        <f t="shared" si="42"/>
        <v>#REF!</v>
      </c>
      <c r="AB227" s="149" t="e">
        <f t="shared" si="42"/>
        <v>#REF!</v>
      </c>
      <c r="AC227" s="149" t="e">
        <f t="shared" si="42"/>
        <v>#REF!</v>
      </c>
      <c r="AE227" s="1" t="e">
        <f>+Q227-'POAI 2011 AC.017 MAYO'!I43</f>
        <v>#REF!</v>
      </c>
    </row>
    <row r="228" spans="1:31" ht="21.6" customHeight="1" x14ac:dyDescent="0.3">
      <c r="A228" s="897" t="s">
        <v>4266</v>
      </c>
      <c r="B228" s="853"/>
      <c r="C228" s="853"/>
      <c r="D228" s="853"/>
      <c r="E228" s="853"/>
      <c r="F228" s="853"/>
      <c r="G228" s="853"/>
      <c r="H228" s="853"/>
      <c r="I228" s="853"/>
      <c r="J228" s="853"/>
      <c r="K228" s="853"/>
      <c r="L228" s="853"/>
      <c r="M228" s="853"/>
      <c r="N228" s="853"/>
      <c r="O228" s="853"/>
      <c r="P228" s="853"/>
      <c r="Q228" s="898"/>
      <c r="R228" s="898"/>
      <c r="S228" s="898"/>
      <c r="T228" s="898"/>
      <c r="U228" s="898"/>
      <c r="V228" s="898"/>
      <c r="W228" s="898"/>
      <c r="X228" s="898"/>
      <c r="Y228" s="898"/>
      <c r="Z228" s="898"/>
      <c r="AA228" s="898"/>
      <c r="AB228" s="898"/>
      <c r="AC228" s="898"/>
    </row>
    <row r="229" spans="1:31" ht="21.6" customHeight="1" x14ac:dyDescent="0.3">
      <c r="A229" s="882" t="s">
        <v>4273</v>
      </c>
      <c r="B229" s="233"/>
      <c r="C229" s="233"/>
      <c r="D229" s="233"/>
      <c r="E229" s="233"/>
      <c r="F229" s="233"/>
      <c r="G229" s="233"/>
      <c r="H229" s="233"/>
      <c r="I229" s="233"/>
      <c r="J229" s="233"/>
      <c r="K229" s="233"/>
      <c r="L229" s="233"/>
      <c r="M229" s="233"/>
      <c r="N229" s="233"/>
      <c r="O229" s="233"/>
      <c r="P229" s="233"/>
      <c r="Q229" s="686"/>
      <c r="R229" s="686"/>
      <c r="S229" s="686"/>
      <c r="T229" s="686"/>
      <c r="U229" s="686"/>
      <c r="V229" s="686"/>
      <c r="W229" s="686"/>
      <c r="X229" s="686"/>
      <c r="Y229" s="686"/>
      <c r="Z229" s="686"/>
      <c r="AA229" s="686"/>
      <c r="AB229" s="686"/>
      <c r="AC229" s="686"/>
    </row>
    <row r="230" spans="1:31" ht="21.6" customHeight="1" x14ac:dyDescent="0.25">
      <c r="A230" s="1315" t="s">
        <v>3139</v>
      </c>
      <c r="B230" s="1315"/>
      <c r="C230" s="1315" t="s">
        <v>4179</v>
      </c>
      <c r="D230" s="1490" t="s">
        <v>4171</v>
      </c>
      <c r="E230" s="1491"/>
      <c r="F230" s="1492"/>
      <c r="G230" s="1232" t="s">
        <v>4174</v>
      </c>
      <c r="H230" s="1232"/>
      <c r="I230" s="1232" t="s">
        <v>4175</v>
      </c>
      <c r="J230" s="1232" t="s">
        <v>4176</v>
      </c>
      <c r="K230" s="1232"/>
      <c r="L230" s="1232"/>
      <c r="M230" s="893"/>
      <c r="N230" s="893"/>
      <c r="O230" s="1418" t="s">
        <v>447</v>
      </c>
      <c r="P230" s="1493" t="s">
        <v>3347</v>
      </c>
      <c r="Q230" s="1489" t="s">
        <v>3333</v>
      </c>
      <c r="R230" s="1489"/>
      <c r="S230" s="1489"/>
      <c r="T230" s="1489"/>
      <c r="U230" s="1489"/>
      <c r="V230" s="1489"/>
      <c r="W230" s="1489" t="s">
        <v>3333</v>
      </c>
      <c r="X230" s="1489"/>
      <c r="Y230" s="1489"/>
      <c r="Z230" s="1489"/>
      <c r="AA230" s="1489"/>
      <c r="AB230" s="1489"/>
      <c r="AC230" s="1489"/>
    </row>
    <row r="231" spans="1:31" ht="51.6" customHeight="1" x14ac:dyDescent="0.25">
      <c r="A231" s="1315"/>
      <c r="B231" s="1315"/>
      <c r="C231" s="1315"/>
      <c r="D231" s="899" t="s">
        <v>4178</v>
      </c>
      <c r="E231" s="899" t="s">
        <v>4173</v>
      </c>
      <c r="F231" s="899" t="s">
        <v>4172</v>
      </c>
      <c r="G231" s="900" t="s">
        <v>1</v>
      </c>
      <c r="H231" s="900" t="s">
        <v>4174</v>
      </c>
      <c r="I231" s="1232"/>
      <c r="J231" s="900" t="s">
        <v>4178</v>
      </c>
      <c r="K231" s="900" t="s">
        <v>4173</v>
      </c>
      <c r="L231" s="900" t="s">
        <v>4177</v>
      </c>
      <c r="M231" s="900" t="s">
        <v>460</v>
      </c>
      <c r="N231" s="900" t="s">
        <v>462</v>
      </c>
      <c r="O231" s="1418"/>
      <c r="P231" s="1493"/>
      <c r="Q231" s="901" t="s">
        <v>695</v>
      </c>
      <c r="R231" s="901" t="s">
        <v>3310</v>
      </c>
      <c r="S231" s="901" t="s">
        <v>3311</v>
      </c>
      <c r="T231" s="901" t="s">
        <v>3312</v>
      </c>
      <c r="U231" s="901" t="s">
        <v>3313</v>
      </c>
      <c r="V231" s="901" t="s">
        <v>3314</v>
      </c>
      <c r="W231" s="901" t="s">
        <v>3315</v>
      </c>
      <c r="X231" s="901" t="s">
        <v>3316</v>
      </c>
      <c r="Y231" s="901" t="s">
        <v>3317</v>
      </c>
      <c r="Z231" s="901" t="s">
        <v>3346</v>
      </c>
      <c r="AA231" s="901" t="s">
        <v>3756</v>
      </c>
      <c r="AB231" s="901" t="s">
        <v>3318</v>
      </c>
      <c r="AC231" s="901" t="s">
        <v>3319</v>
      </c>
    </row>
    <row r="232" spans="1:31" ht="32.450000000000003" customHeight="1" x14ac:dyDescent="0.25">
      <c r="A232" s="1259" t="s">
        <v>2830</v>
      </c>
      <c r="B232" s="1259" t="str">
        <f>+'PLANINDICATIVO PD MAYO'!I54</f>
        <v xml:space="preserve"> FORMACIÓN Y CAPACITACIÓN DEL PERSONAL ADMINISTRATIVO Y OPERATIVO</v>
      </c>
      <c r="C232" s="1259" t="str">
        <f>+'PLANINDICATIVO PD MAYO'!J54</f>
        <v xml:space="preserve">IMPLEMENTAR UN PLAN DE FORMACIÒN Y CAPACITACIÒN PARA 200 FUNCIONARIOS  ADMINISTRATIVO  </v>
      </c>
      <c r="D232" s="1259" t="str">
        <f>+'PLANINDICATIVO PD MAYO'!L54</f>
        <v>NÙMERO DE FUNCIONARIOS ADMINISTRATIVOS FORMADOS Y CAPACITADOS</v>
      </c>
      <c r="E232" s="1259"/>
      <c r="F232" s="1259">
        <f>+'PLANINDICATIVO PD MAYO'!O54</f>
        <v>200</v>
      </c>
      <c r="G232" s="2" t="s">
        <v>3998</v>
      </c>
      <c r="H232" s="154" t="s">
        <v>3999</v>
      </c>
      <c r="I232" s="154"/>
      <c r="J232" s="154"/>
      <c r="K232" s="154"/>
      <c r="L232" s="154"/>
      <c r="M232" s="155">
        <v>150000000</v>
      </c>
      <c r="N232" s="155">
        <v>610600800</v>
      </c>
      <c r="O232" s="151">
        <v>310</v>
      </c>
      <c r="P232" s="1428" t="s">
        <v>3361</v>
      </c>
      <c r="Q232" s="149" t="e">
        <f t="shared" ref="Q232:Q255" si="43">SUM(R232:AC232)</f>
        <v>#REF!</v>
      </c>
      <c r="R232" s="155" t="e">
        <f>+#REF!</f>
        <v>#REF!</v>
      </c>
      <c r="S232" s="155" t="e">
        <f>+#REF!</f>
        <v>#REF!</v>
      </c>
      <c r="T232" s="155" t="e">
        <f>+#REF!</f>
        <v>#REF!</v>
      </c>
      <c r="U232" s="155" t="e">
        <f>+#REF!</f>
        <v>#REF!</v>
      </c>
      <c r="V232" s="155" t="e">
        <f>+#REF!</f>
        <v>#REF!</v>
      </c>
      <c r="W232" s="155" t="e">
        <f>+#REF!</f>
        <v>#REF!</v>
      </c>
      <c r="X232" s="155" t="e">
        <f>+#REF!</f>
        <v>#REF!</v>
      </c>
      <c r="Y232" s="155" t="e">
        <f>+#REF!</f>
        <v>#REF!</v>
      </c>
      <c r="Z232" s="155" t="e">
        <f>+#REF!</f>
        <v>#REF!</v>
      </c>
      <c r="AA232" s="155" t="e">
        <f>+#REF!</f>
        <v>#REF!</v>
      </c>
      <c r="AB232" s="155" t="e">
        <f>+#REF!</f>
        <v>#REF!</v>
      </c>
      <c r="AC232" s="155" t="e">
        <f>+#REF!</f>
        <v>#REF!</v>
      </c>
    </row>
    <row r="233" spans="1:31" ht="28.9" customHeight="1" x14ac:dyDescent="0.25">
      <c r="A233" s="1244"/>
      <c r="B233" s="1244"/>
      <c r="C233" s="1244"/>
      <c r="D233" s="1244"/>
      <c r="E233" s="1244"/>
      <c r="F233" s="1244"/>
      <c r="G233" s="2" t="s">
        <v>4000</v>
      </c>
      <c r="H233" s="154" t="s">
        <v>4001</v>
      </c>
      <c r="I233" s="154"/>
      <c r="J233" s="154"/>
      <c r="K233" s="154"/>
      <c r="L233" s="154"/>
      <c r="M233" s="155"/>
      <c r="N233" s="155"/>
      <c r="O233" s="151">
        <v>310</v>
      </c>
      <c r="P233" s="1429"/>
      <c r="Q233" s="149" t="e">
        <f t="shared" si="43"/>
        <v>#REF!</v>
      </c>
      <c r="R233" s="155" t="e">
        <f>+#REF!</f>
        <v>#REF!</v>
      </c>
      <c r="S233" s="155" t="e">
        <f>+#REF!</f>
        <v>#REF!</v>
      </c>
      <c r="T233" s="155" t="e">
        <f>+#REF!</f>
        <v>#REF!</v>
      </c>
      <c r="U233" s="155" t="e">
        <f>+#REF!</f>
        <v>#REF!</v>
      </c>
      <c r="V233" s="155" t="e">
        <f>+#REF!</f>
        <v>#REF!</v>
      </c>
      <c r="W233" s="155" t="e">
        <f>+#REF!</f>
        <v>#REF!</v>
      </c>
      <c r="X233" s="155" t="e">
        <f>+#REF!</f>
        <v>#REF!</v>
      </c>
      <c r="Y233" s="155" t="e">
        <f>+#REF!</f>
        <v>#REF!</v>
      </c>
      <c r="Z233" s="155" t="e">
        <f>+#REF!</f>
        <v>#REF!</v>
      </c>
      <c r="AA233" s="155" t="e">
        <f>+#REF!</f>
        <v>#REF!</v>
      </c>
      <c r="AB233" s="155" t="e">
        <f>+#REF!</f>
        <v>#REF!</v>
      </c>
      <c r="AC233" s="155" t="e">
        <f>+#REF!</f>
        <v>#REF!</v>
      </c>
    </row>
    <row r="234" spans="1:31" ht="31.15" customHeight="1" x14ac:dyDescent="0.25">
      <c r="A234" s="1244"/>
      <c r="B234" s="1244"/>
      <c r="C234" s="1244"/>
      <c r="D234" s="1244"/>
      <c r="E234" s="1244"/>
      <c r="F234" s="1244"/>
      <c r="G234" s="2" t="s">
        <v>4002</v>
      </c>
      <c r="H234" s="154" t="s">
        <v>4003</v>
      </c>
      <c r="I234" s="154"/>
      <c r="J234" s="154"/>
      <c r="K234" s="154"/>
      <c r="L234" s="154"/>
      <c r="M234" s="155"/>
      <c r="N234" s="155"/>
      <c r="O234" s="151">
        <v>310</v>
      </c>
      <c r="P234" s="1429"/>
      <c r="Q234" s="149" t="e">
        <f t="shared" si="43"/>
        <v>#REF!</v>
      </c>
      <c r="R234" s="155" t="e">
        <f>+#REF!</f>
        <v>#REF!</v>
      </c>
      <c r="S234" s="155" t="e">
        <f>+#REF!</f>
        <v>#REF!</v>
      </c>
      <c r="T234" s="155" t="e">
        <f>+#REF!</f>
        <v>#REF!</v>
      </c>
      <c r="U234" s="155" t="e">
        <f>+#REF!</f>
        <v>#REF!</v>
      </c>
      <c r="V234" s="155" t="e">
        <f>+#REF!</f>
        <v>#REF!</v>
      </c>
      <c r="W234" s="155" t="e">
        <f>+#REF!</f>
        <v>#REF!</v>
      </c>
      <c r="X234" s="155" t="e">
        <f>+#REF!</f>
        <v>#REF!</v>
      </c>
      <c r="Y234" s="155" t="e">
        <f>+#REF!</f>
        <v>#REF!</v>
      </c>
      <c r="Z234" s="155" t="e">
        <f>+#REF!</f>
        <v>#REF!</v>
      </c>
      <c r="AA234" s="155" t="e">
        <f>+#REF!</f>
        <v>#REF!</v>
      </c>
      <c r="AB234" s="155" t="e">
        <f>+#REF!</f>
        <v>#REF!</v>
      </c>
      <c r="AC234" s="155" t="e">
        <f>+#REF!</f>
        <v>#REF!</v>
      </c>
    </row>
    <row r="235" spans="1:31" ht="70.150000000000006" customHeight="1" x14ac:dyDescent="0.25">
      <c r="A235" s="1260"/>
      <c r="B235" s="1260"/>
      <c r="C235" s="1260"/>
      <c r="D235" s="1260"/>
      <c r="E235" s="1260"/>
      <c r="F235" s="1260"/>
      <c r="G235" s="2" t="s">
        <v>4004</v>
      </c>
      <c r="H235" s="154" t="s">
        <v>4005</v>
      </c>
      <c r="I235" s="154"/>
      <c r="J235" s="154"/>
      <c r="K235" s="154"/>
      <c r="L235" s="154"/>
      <c r="M235" s="155"/>
      <c r="N235" s="155"/>
      <c r="O235" s="151">
        <v>310</v>
      </c>
      <c r="P235" s="1430"/>
      <c r="Q235" s="149" t="e">
        <f t="shared" si="43"/>
        <v>#REF!</v>
      </c>
      <c r="R235" s="155" t="e">
        <f>+#REF!</f>
        <v>#REF!</v>
      </c>
      <c r="S235" s="155" t="e">
        <f>+#REF!</f>
        <v>#REF!</v>
      </c>
      <c r="T235" s="155" t="e">
        <f>+#REF!</f>
        <v>#REF!</v>
      </c>
      <c r="U235" s="155" t="e">
        <f>+#REF!</f>
        <v>#REF!</v>
      </c>
      <c r="V235" s="155" t="e">
        <f>+#REF!</f>
        <v>#REF!</v>
      </c>
      <c r="W235" s="155" t="e">
        <f>+#REF!</f>
        <v>#REF!</v>
      </c>
      <c r="X235" s="155" t="e">
        <f>+#REF!</f>
        <v>#REF!</v>
      </c>
      <c r="Y235" s="155" t="e">
        <f>+#REF!</f>
        <v>#REF!</v>
      </c>
      <c r="Z235" s="155" t="e">
        <f>+#REF!</f>
        <v>#REF!</v>
      </c>
      <c r="AA235" s="155" t="e">
        <f>+#REF!</f>
        <v>#REF!</v>
      </c>
      <c r="AB235" s="155" t="e">
        <f>+#REF!</f>
        <v>#REF!</v>
      </c>
      <c r="AC235" s="155" t="e">
        <f>+#REF!</f>
        <v>#REF!</v>
      </c>
    </row>
    <row r="236" spans="1:31" ht="16.899999999999999" customHeight="1" x14ac:dyDescent="0.25">
      <c r="A236" s="1209" t="s">
        <v>4267</v>
      </c>
      <c r="B236" s="1209"/>
      <c r="C236" s="1209"/>
      <c r="D236" s="1209"/>
      <c r="E236" s="1209"/>
      <c r="F236" s="1209"/>
      <c r="G236" s="1209"/>
      <c r="H236" s="1209"/>
      <c r="I236" s="1209"/>
      <c r="J236" s="1209"/>
      <c r="K236" s="1209"/>
      <c r="L236" s="1209"/>
      <c r="M236" s="1209"/>
      <c r="N236" s="1209"/>
      <c r="O236" s="1209"/>
      <c r="P236" s="1209"/>
      <c r="Q236" s="149" t="e">
        <f>SUM(Q232:Q235)</f>
        <v>#REF!</v>
      </c>
      <c r="R236" s="149" t="e">
        <f t="shared" ref="R236:AC236" si="44">SUM(R232:R235)</f>
        <v>#REF!</v>
      </c>
      <c r="S236" s="149" t="e">
        <f t="shared" si="44"/>
        <v>#REF!</v>
      </c>
      <c r="T236" s="149" t="e">
        <f t="shared" si="44"/>
        <v>#REF!</v>
      </c>
      <c r="U236" s="149" t="e">
        <f t="shared" si="44"/>
        <v>#REF!</v>
      </c>
      <c r="V236" s="149" t="e">
        <f t="shared" si="44"/>
        <v>#REF!</v>
      </c>
      <c r="W236" s="149" t="e">
        <f t="shared" si="44"/>
        <v>#REF!</v>
      </c>
      <c r="X236" s="149" t="e">
        <f t="shared" si="44"/>
        <v>#REF!</v>
      </c>
      <c r="Y236" s="149" t="e">
        <f t="shared" si="44"/>
        <v>#REF!</v>
      </c>
      <c r="Z236" s="149" t="e">
        <f t="shared" si="44"/>
        <v>#REF!</v>
      </c>
      <c r="AA236" s="149" t="e">
        <f t="shared" si="44"/>
        <v>#REF!</v>
      </c>
      <c r="AB236" s="149" t="e">
        <f t="shared" si="44"/>
        <v>#REF!</v>
      </c>
      <c r="AC236" s="149" t="e">
        <f t="shared" si="44"/>
        <v>#REF!</v>
      </c>
      <c r="AE236" s="1" t="e">
        <f>+Q236-'POAI 2011 AC.017 MAYO'!I50</f>
        <v>#REF!</v>
      </c>
    </row>
    <row r="237" spans="1:31" ht="71.45" customHeight="1" x14ac:dyDescent="0.25">
      <c r="A237" s="2" t="s">
        <v>2835</v>
      </c>
      <c r="B237" s="2" t="str">
        <f>+'PLANINDICATIVO PD MAYO'!I55</f>
        <v>PREPARACIÓN DE ESTUDIANTES EN PRUEBAS SABER PRO</v>
      </c>
      <c r="C237" s="2" t="str">
        <f>+'PLANINDICATIVO PD MAYO'!J55</f>
        <v>CAPACITAR  2400 ESTUDIANTES EN PRUEBAS SABER PRO</v>
      </c>
      <c r="D237" s="839" t="str">
        <f>+'PLANINDICATIVO PD MAYO'!L55</f>
        <v>NÙMERO DE ESTUDIANTES CAPACITADOS EN PRUEBAS SABER PRO</v>
      </c>
      <c r="E237" s="839"/>
      <c r="F237" s="839">
        <f>+'PLANINDICATIVO PD MAYO'!O55</f>
        <v>800</v>
      </c>
      <c r="G237" s="2" t="s">
        <v>4061</v>
      </c>
      <c r="H237" s="154" t="s">
        <v>4092</v>
      </c>
      <c r="I237" s="154"/>
      <c r="J237" s="154"/>
      <c r="K237" s="154"/>
      <c r="L237" s="154"/>
      <c r="M237" s="155"/>
      <c r="N237" s="155"/>
      <c r="O237" s="151">
        <v>510</v>
      </c>
      <c r="P237" s="905" t="s">
        <v>3353</v>
      </c>
      <c r="Q237" s="149" t="e">
        <f t="shared" si="43"/>
        <v>#REF!</v>
      </c>
      <c r="R237" s="155" t="e">
        <f>+#REF!</f>
        <v>#REF!</v>
      </c>
      <c r="S237" s="155" t="e">
        <f>+#REF!</f>
        <v>#REF!</v>
      </c>
      <c r="T237" s="155" t="e">
        <f>+#REF!</f>
        <v>#REF!</v>
      </c>
      <c r="U237" s="155" t="e">
        <f>+#REF!</f>
        <v>#REF!</v>
      </c>
      <c r="V237" s="155" t="e">
        <f>+#REF!</f>
        <v>#REF!</v>
      </c>
      <c r="W237" s="155" t="e">
        <f>+#REF!</f>
        <v>#REF!</v>
      </c>
      <c r="X237" s="155" t="e">
        <f>+#REF!</f>
        <v>#REF!</v>
      </c>
      <c r="Y237" s="155" t="e">
        <f>+#REF!</f>
        <v>#REF!</v>
      </c>
      <c r="Z237" s="155" t="e">
        <f>+#REF!</f>
        <v>#REF!</v>
      </c>
      <c r="AA237" s="155" t="e">
        <f>+#REF!</f>
        <v>#REF!</v>
      </c>
      <c r="AB237" s="155" t="e">
        <f>+#REF!</f>
        <v>#REF!</v>
      </c>
      <c r="AC237" s="155" t="e">
        <f>+#REF!</f>
        <v>#REF!</v>
      </c>
    </row>
    <row r="238" spans="1:31" ht="18.600000000000001" customHeight="1" x14ac:dyDescent="0.25">
      <c r="A238" s="1209" t="s">
        <v>4268</v>
      </c>
      <c r="B238" s="1209"/>
      <c r="C238" s="1209"/>
      <c r="D238" s="1209"/>
      <c r="E238" s="1209"/>
      <c r="F238" s="1209"/>
      <c r="G238" s="1209"/>
      <c r="H238" s="1209"/>
      <c r="I238" s="1209"/>
      <c r="J238" s="1209"/>
      <c r="K238" s="1209"/>
      <c r="L238" s="1209"/>
      <c r="M238" s="1209"/>
      <c r="N238" s="1209"/>
      <c r="O238" s="1209"/>
      <c r="P238" s="1209"/>
      <c r="Q238" s="149" t="e">
        <f>SUM(Q237)</f>
        <v>#REF!</v>
      </c>
      <c r="R238" s="149" t="e">
        <f t="shared" ref="R238:AC238" si="45">SUM(R237)</f>
        <v>#REF!</v>
      </c>
      <c r="S238" s="149" t="e">
        <f t="shared" si="45"/>
        <v>#REF!</v>
      </c>
      <c r="T238" s="149" t="e">
        <f t="shared" si="45"/>
        <v>#REF!</v>
      </c>
      <c r="U238" s="149" t="e">
        <f t="shared" si="45"/>
        <v>#REF!</v>
      </c>
      <c r="V238" s="149" t="e">
        <f t="shared" si="45"/>
        <v>#REF!</v>
      </c>
      <c r="W238" s="149" t="e">
        <f t="shared" si="45"/>
        <v>#REF!</v>
      </c>
      <c r="X238" s="149" t="e">
        <f t="shared" si="45"/>
        <v>#REF!</v>
      </c>
      <c r="Y238" s="149" t="e">
        <f t="shared" si="45"/>
        <v>#REF!</v>
      </c>
      <c r="Z238" s="149" t="e">
        <f t="shared" si="45"/>
        <v>#REF!</v>
      </c>
      <c r="AA238" s="149" t="e">
        <f t="shared" si="45"/>
        <v>#REF!</v>
      </c>
      <c r="AB238" s="149" t="e">
        <f t="shared" si="45"/>
        <v>#REF!</v>
      </c>
      <c r="AC238" s="149" t="e">
        <f t="shared" si="45"/>
        <v>#REF!</v>
      </c>
      <c r="AE238" s="1" t="e">
        <f>+Q238-'POAI 2011 AC.017 MAYO'!I51</f>
        <v>#REF!</v>
      </c>
    </row>
    <row r="239" spans="1:31" ht="19.149999999999999" customHeight="1" x14ac:dyDescent="0.25">
      <c r="A239" s="1209" t="s">
        <v>4272</v>
      </c>
      <c r="B239" s="1209"/>
      <c r="C239" s="1209"/>
      <c r="D239" s="1209"/>
      <c r="E239" s="1209"/>
      <c r="F239" s="1209"/>
      <c r="G239" s="1209"/>
      <c r="H239" s="1209"/>
      <c r="I239" s="1209"/>
      <c r="J239" s="1209"/>
      <c r="K239" s="1209"/>
      <c r="L239" s="1209"/>
      <c r="M239" s="1209"/>
      <c r="N239" s="1209"/>
      <c r="O239" s="1209"/>
      <c r="P239" s="1209"/>
      <c r="Q239" s="149" t="e">
        <f>+Q238+Q236</f>
        <v>#REF!</v>
      </c>
      <c r="R239" s="149" t="e">
        <f t="shared" ref="R239:AC239" si="46">+R238+R236</f>
        <v>#REF!</v>
      </c>
      <c r="S239" s="149" t="e">
        <f t="shared" si="46"/>
        <v>#REF!</v>
      </c>
      <c r="T239" s="149" t="e">
        <f t="shared" si="46"/>
        <v>#REF!</v>
      </c>
      <c r="U239" s="149" t="e">
        <f t="shared" si="46"/>
        <v>#REF!</v>
      </c>
      <c r="V239" s="149" t="e">
        <f t="shared" si="46"/>
        <v>#REF!</v>
      </c>
      <c r="W239" s="149" t="e">
        <f t="shared" si="46"/>
        <v>#REF!</v>
      </c>
      <c r="X239" s="149" t="e">
        <f t="shared" si="46"/>
        <v>#REF!</v>
      </c>
      <c r="Y239" s="149" t="e">
        <f t="shared" si="46"/>
        <v>#REF!</v>
      </c>
      <c r="Z239" s="149" t="e">
        <f t="shared" si="46"/>
        <v>#REF!</v>
      </c>
      <c r="AA239" s="149" t="e">
        <f t="shared" si="46"/>
        <v>#REF!</v>
      </c>
      <c r="AB239" s="149" t="e">
        <f t="shared" si="46"/>
        <v>#REF!</v>
      </c>
      <c r="AC239" s="149" t="e">
        <f t="shared" si="46"/>
        <v>#REF!</v>
      </c>
      <c r="AE239" s="1" t="e">
        <f>+Q239-'POAI 2011 AC.017 MAYO'!I49</f>
        <v>#REF!</v>
      </c>
    </row>
    <row r="240" spans="1:31" ht="15.6" customHeight="1" x14ac:dyDescent="0.3">
      <c r="A240" s="897" t="s">
        <v>4266</v>
      </c>
      <c r="B240" s="853"/>
      <c r="C240" s="853"/>
      <c r="D240" s="853"/>
      <c r="E240" s="853"/>
      <c r="F240" s="853"/>
      <c r="G240" s="853"/>
      <c r="H240" s="853"/>
      <c r="I240" s="853"/>
      <c r="J240" s="853"/>
      <c r="K240" s="853"/>
      <c r="L240" s="853"/>
      <c r="M240" s="853"/>
      <c r="N240" s="853"/>
      <c r="O240" s="853"/>
      <c r="P240" s="853"/>
      <c r="Q240" s="898"/>
      <c r="R240" s="898"/>
      <c r="S240" s="898"/>
      <c r="T240" s="898"/>
      <c r="U240" s="898"/>
      <c r="V240" s="898"/>
      <c r="W240" s="898"/>
      <c r="X240" s="898"/>
      <c r="Y240" s="898"/>
      <c r="Z240" s="898"/>
      <c r="AA240" s="898"/>
      <c r="AB240" s="898"/>
      <c r="AC240" s="898"/>
    </row>
    <row r="241" spans="1:31" ht="15.6" customHeight="1" x14ac:dyDescent="0.3">
      <c r="A241" s="882" t="s">
        <v>4275</v>
      </c>
      <c r="B241" s="233"/>
      <c r="C241" s="233"/>
      <c r="D241" s="233"/>
      <c r="E241" s="233"/>
      <c r="F241" s="233"/>
      <c r="G241" s="233"/>
      <c r="H241" s="233"/>
      <c r="I241" s="233"/>
      <c r="J241" s="233"/>
      <c r="K241" s="233"/>
      <c r="L241" s="233"/>
      <c r="M241" s="233"/>
      <c r="N241" s="233"/>
      <c r="O241" s="233"/>
      <c r="P241" s="233"/>
      <c r="Q241" s="686"/>
      <c r="R241" s="686"/>
      <c r="S241" s="686"/>
      <c r="T241" s="686"/>
      <c r="U241" s="686"/>
      <c r="V241" s="686"/>
      <c r="W241" s="686"/>
      <c r="X241" s="686"/>
      <c r="Y241" s="686"/>
      <c r="Z241" s="686"/>
      <c r="AA241" s="686"/>
      <c r="AB241" s="686"/>
      <c r="AC241" s="686"/>
    </row>
    <row r="242" spans="1:31" ht="24.6" customHeight="1" x14ac:dyDescent="0.25">
      <c r="A242" s="1315" t="s">
        <v>3139</v>
      </c>
      <c r="B242" s="1315"/>
      <c r="C242" s="1315" t="s">
        <v>4179</v>
      </c>
      <c r="D242" s="1490" t="s">
        <v>4171</v>
      </c>
      <c r="E242" s="1491"/>
      <c r="F242" s="1492"/>
      <c r="G242" s="1232" t="s">
        <v>4174</v>
      </c>
      <c r="H242" s="1232"/>
      <c r="I242" s="1232" t="s">
        <v>4175</v>
      </c>
      <c r="J242" s="1232" t="s">
        <v>4176</v>
      </c>
      <c r="K242" s="1232"/>
      <c r="L242" s="1232"/>
      <c r="M242" s="893"/>
      <c r="N242" s="893"/>
      <c r="O242" s="1418" t="s">
        <v>447</v>
      </c>
      <c r="P242" s="1493" t="s">
        <v>3347</v>
      </c>
      <c r="Q242" s="1489" t="s">
        <v>3333</v>
      </c>
      <c r="R242" s="1489"/>
      <c r="S242" s="1489"/>
      <c r="T242" s="1489"/>
      <c r="U242" s="1489"/>
      <c r="V242" s="1489"/>
      <c r="W242" s="1489" t="s">
        <v>3333</v>
      </c>
      <c r="X242" s="1489"/>
      <c r="Y242" s="1489"/>
      <c r="Z242" s="1489"/>
      <c r="AA242" s="1489"/>
      <c r="AB242" s="1489"/>
      <c r="AC242" s="1489"/>
    </row>
    <row r="243" spans="1:31" ht="52.9" customHeight="1" x14ac:dyDescent="0.25">
      <c r="A243" s="1315"/>
      <c r="B243" s="1315"/>
      <c r="C243" s="1315"/>
      <c r="D243" s="906" t="s">
        <v>4178</v>
      </c>
      <c r="E243" s="906" t="s">
        <v>4173</v>
      </c>
      <c r="F243" s="906" t="s">
        <v>4172</v>
      </c>
      <c r="G243" s="904" t="s">
        <v>1</v>
      </c>
      <c r="H243" s="904" t="s">
        <v>4174</v>
      </c>
      <c r="I243" s="1232"/>
      <c r="J243" s="904" t="s">
        <v>4178</v>
      </c>
      <c r="K243" s="904" t="s">
        <v>4173</v>
      </c>
      <c r="L243" s="904" t="s">
        <v>4177</v>
      </c>
      <c r="M243" s="904" t="s">
        <v>460</v>
      </c>
      <c r="N243" s="904" t="s">
        <v>462</v>
      </c>
      <c r="O243" s="1418"/>
      <c r="P243" s="1493"/>
      <c r="Q243" s="907" t="s">
        <v>695</v>
      </c>
      <c r="R243" s="907" t="s">
        <v>3310</v>
      </c>
      <c r="S243" s="907" t="s">
        <v>3311</v>
      </c>
      <c r="T243" s="907" t="s">
        <v>3312</v>
      </c>
      <c r="U243" s="907" t="s">
        <v>3313</v>
      </c>
      <c r="V243" s="907" t="s">
        <v>3314</v>
      </c>
      <c r="W243" s="907" t="s">
        <v>3315</v>
      </c>
      <c r="X243" s="907" t="s">
        <v>3316</v>
      </c>
      <c r="Y243" s="907" t="s">
        <v>3317</v>
      </c>
      <c r="Z243" s="907" t="s">
        <v>3346</v>
      </c>
      <c r="AA243" s="907" t="s">
        <v>3756</v>
      </c>
      <c r="AB243" s="907" t="s">
        <v>3318</v>
      </c>
      <c r="AC243" s="907" t="s">
        <v>3319</v>
      </c>
    </row>
    <row r="244" spans="1:31" ht="66.599999999999994" customHeight="1" x14ac:dyDescent="0.25">
      <c r="A244" s="1209" t="s">
        <v>2841</v>
      </c>
      <c r="B244" s="1209" t="str">
        <f>+'PLANINDICATIVO PD MAYO'!I56</f>
        <v>BIENESTAR UNIVERSITARIO: TODOS SOMOS USCO</v>
      </c>
      <c r="C244" s="109" t="str">
        <f>+'PLANINDICATIVO PD MAYO'!J56</f>
        <v>APOYO SOCIOECONÒMICO AL 15% DEL ESTUDIANTADO POR PARTICIPACIÓN EN PROCESOS INSTITUCIONALES</v>
      </c>
      <c r="D244" s="839" t="str">
        <f>+'PLANINDICATIVO PD MAYO'!L56</f>
        <v>PORCENTAJE DE ESTUDIANTES VINCULADOS A PROCESOS INSTITUCIONALES</v>
      </c>
      <c r="E244" s="809"/>
      <c r="F244" s="844">
        <f>+'PLANINDICATIVO PD MAYO'!O56</f>
        <v>0.14000000000000001</v>
      </c>
      <c r="G244" s="2" t="s">
        <v>4006</v>
      </c>
      <c r="H244" s="154" t="s">
        <v>4007</v>
      </c>
      <c r="I244" s="154"/>
      <c r="J244" s="154"/>
      <c r="K244" s="154"/>
      <c r="L244" s="154"/>
      <c r="M244" s="155">
        <v>60000000</v>
      </c>
      <c r="N244" s="155">
        <v>159999852</v>
      </c>
      <c r="O244" s="151">
        <v>301</v>
      </c>
      <c r="P244" s="1257" t="s">
        <v>3373</v>
      </c>
      <c r="Q244" s="149" t="e">
        <f t="shared" si="43"/>
        <v>#REF!</v>
      </c>
      <c r="R244" s="155" t="e">
        <f>+#REF!</f>
        <v>#REF!</v>
      </c>
      <c r="S244" s="155" t="e">
        <f>+#REF!</f>
        <v>#REF!</v>
      </c>
      <c r="T244" s="155" t="e">
        <f>+#REF!</f>
        <v>#REF!</v>
      </c>
      <c r="U244" s="155" t="e">
        <f>+#REF!</f>
        <v>#REF!</v>
      </c>
      <c r="V244" s="155" t="e">
        <f>+#REF!</f>
        <v>#REF!</v>
      </c>
      <c r="W244" s="155" t="e">
        <f>+#REF!</f>
        <v>#REF!</v>
      </c>
      <c r="X244" s="155" t="e">
        <f>+#REF!</f>
        <v>#REF!</v>
      </c>
      <c r="Y244" s="155" t="e">
        <f>+#REF!</f>
        <v>#REF!</v>
      </c>
      <c r="Z244" s="155" t="e">
        <f>+#REF!</f>
        <v>#REF!</v>
      </c>
      <c r="AA244" s="155" t="e">
        <f>+#REF!</f>
        <v>#REF!</v>
      </c>
      <c r="AB244" s="155" t="e">
        <f>+#REF!</f>
        <v>#REF!</v>
      </c>
      <c r="AC244" s="155" t="e">
        <f>+#REF!</f>
        <v>#REF!</v>
      </c>
    </row>
    <row r="245" spans="1:31" ht="42" customHeight="1" x14ac:dyDescent="0.25">
      <c r="A245" s="1209"/>
      <c r="B245" s="1209"/>
      <c r="C245" s="109" t="str">
        <f>+'PLANINDICATIVO PD MAYO'!J57</f>
        <v xml:space="preserve">ELEVAR AL 60% LA TASA DE RETENCION </v>
      </c>
      <c r="D245" s="839" t="str">
        <f>+'PLANINDICATIVO PD MAYO'!L57</f>
        <v>TASA DE RETENCIÒN ESCOLAR SEMESTRAL</v>
      </c>
      <c r="E245" s="809"/>
      <c r="F245" s="844">
        <f>+'PLANINDICATIVO PD MAYO'!O57</f>
        <v>0.6</v>
      </c>
      <c r="G245" s="2" t="s">
        <v>4008</v>
      </c>
      <c r="H245" s="154" t="s">
        <v>3326</v>
      </c>
      <c r="I245" s="154"/>
      <c r="J245" s="154"/>
      <c r="K245" s="154"/>
      <c r="L245" s="154"/>
      <c r="M245" s="155">
        <v>50000000</v>
      </c>
      <c r="N245" s="155">
        <v>1275000000</v>
      </c>
      <c r="O245" s="151">
        <v>301</v>
      </c>
      <c r="P245" s="1258"/>
      <c r="Q245" s="149" t="e">
        <f t="shared" si="43"/>
        <v>#REF!</v>
      </c>
      <c r="R245" s="155" t="e">
        <f>+#REF!</f>
        <v>#REF!</v>
      </c>
      <c r="S245" s="155" t="e">
        <f>+#REF!</f>
        <v>#REF!</v>
      </c>
      <c r="T245" s="155" t="e">
        <f>+#REF!</f>
        <v>#REF!</v>
      </c>
      <c r="U245" s="155" t="e">
        <f>+#REF!</f>
        <v>#REF!</v>
      </c>
      <c r="V245" s="155" t="e">
        <f>+#REF!</f>
        <v>#REF!</v>
      </c>
      <c r="W245" s="155" t="e">
        <f>+#REF!</f>
        <v>#REF!</v>
      </c>
      <c r="X245" s="155" t="e">
        <f>+#REF!</f>
        <v>#REF!</v>
      </c>
      <c r="Y245" s="155" t="e">
        <f>+#REF!</f>
        <v>#REF!</v>
      </c>
      <c r="Z245" s="155" t="e">
        <f>+#REF!</f>
        <v>#REF!</v>
      </c>
      <c r="AA245" s="155" t="e">
        <f>+#REF!</f>
        <v>#REF!</v>
      </c>
      <c r="AB245" s="155" t="e">
        <f>+#REF!</f>
        <v>#REF!</v>
      </c>
      <c r="AC245" s="155" t="e">
        <f>+#REF!</f>
        <v>#REF!</v>
      </c>
    </row>
    <row r="246" spans="1:31" ht="70.150000000000006" customHeight="1" x14ac:dyDescent="0.25">
      <c r="A246" s="1209"/>
      <c r="B246" s="1209"/>
      <c r="C246" s="109" t="str">
        <f>+'PLANINDICATIVO PD MAYO'!J58</f>
        <v>AUMENTAR LA ATENCION MEDICA AL 85% DE ESTUDIANTES  PYP</v>
      </c>
      <c r="D246" s="839" t="str">
        <f>+'PLANINDICATIVO PD MAYO'!L58</f>
        <v>TASA DE COBERTURA DE ATENCION MÈDICA</v>
      </c>
      <c r="E246" s="809"/>
      <c r="F246" s="844">
        <f>+'PLANINDICATIVO PD MAYO'!O58</f>
        <v>0.8</v>
      </c>
      <c r="G246" s="2" t="s">
        <v>4009</v>
      </c>
      <c r="H246" s="154" t="s">
        <v>3328</v>
      </c>
      <c r="I246" s="154"/>
      <c r="J246" s="154"/>
      <c r="K246" s="154"/>
      <c r="L246" s="154"/>
      <c r="M246" s="155">
        <v>35000000</v>
      </c>
      <c r="N246" s="155">
        <v>31563700</v>
      </c>
      <c r="O246" s="151">
        <v>301</v>
      </c>
      <c r="P246" s="1198" t="s">
        <v>3373</v>
      </c>
      <c r="Q246" s="149" t="e">
        <f t="shared" si="43"/>
        <v>#REF!</v>
      </c>
      <c r="R246" s="155" t="e">
        <f>+#REF!</f>
        <v>#REF!</v>
      </c>
      <c r="S246" s="155" t="e">
        <f>+#REF!</f>
        <v>#REF!</v>
      </c>
      <c r="T246" s="155" t="e">
        <f>+#REF!</f>
        <v>#REF!</v>
      </c>
      <c r="U246" s="155" t="e">
        <f>+#REF!</f>
        <v>#REF!</v>
      </c>
      <c r="V246" s="155" t="e">
        <f>+#REF!</f>
        <v>#REF!</v>
      </c>
      <c r="W246" s="155" t="e">
        <f>+#REF!</f>
        <v>#REF!</v>
      </c>
      <c r="X246" s="155" t="e">
        <f>+#REF!</f>
        <v>#REF!</v>
      </c>
      <c r="Y246" s="155" t="e">
        <f>+#REF!</f>
        <v>#REF!</v>
      </c>
      <c r="Z246" s="155" t="e">
        <f>+#REF!</f>
        <v>#REF!</v>
      </c>
      <c r="AA246" s="155" t="e">
        <f>+#REF!</f>
        <v>#REF!</v>
      </c>
      <c r="AB246" s="155" t="e">
        <f>+#REF!</f>
        <v>#REF!</v>
      </c>
      <c r="AC246" s="155" t="e">
        <f>+#REF!</f>
        <v>#REF!</v>
      </c>
    </row>
    <row r="247" spans="1:31" ht="70.150000000000006" customHeight="1" x14ac:dyDescent="0.25">
      <c r="A247" s="1209"/>
      <c r="B247" s="1209"/>
      <c r="C247" s="109" t="str">
        <f>+'PLANINDICATIVO PD MAYO'!J59</f>
        <v xml:space="preserve">AUMENTAR SERVICIO ODONTOLÒGICO AL 60% DE ESTUDIANTES </v>
      </c>
      <c r="D247" s="839" t="str">
        <f>+'PLANINDICATIVO PD MAYO'!L59</f>
        <v>TASA DE COBERTURA DE ATENCION ODONTOLÒGICA</v>
      </c>
      <c r="E247" s="809"/>
      <c r="F247" s="844">
        <f>+'PLANINDICATIVO PD MAYO'!O59</f>
        <v>0.55000000000000004</v>
      </c>
      <c r="G247" s="2" t="s">
        <v>4010</v>
      </c>
      <c r="H247" s="154" t="s">
        <v>3329</v>
      </c>
      <c r="I247" s="154"/>
      <c r="J247" s="154"/>
      <c r="K247" s="154"/>
      <c r="L247" s="154"/>
      <c r="M247" s="155">
        <v>30000000</v>
      </c>
      <c r="N247" s="155">
        <v>6000000</v>
      </c>
      <c r="O247" s="151">
        <v>301</v>
      </c>
      <c r="P247" s="1198"/>
      <c r="Q247" s="149" t="e">
        <f t="shared" si="43"/>
        <v>#REF!</v>
      </c>
      <c r="R247" s="155" t="e">
        <f>+#REF!</f>
        <v>#REF!</v>
      </c>
      <c r="S247" s="155" t="e">
        <f>+#REF!</f>
        <v>#REF!</v>
      </c>
      <c r="T247" s="155" t="e">
        <f>+#REF!</f>
        <v>#REF!</v>
      </c>
      <c r="U247" s="155" t="e">
        <f>+#REF!</f>
        <v>#REF!</v>
      </c>
      <c r="V247" s="155" t="e">
        <f>+#REF!</f>
        <v>#REF!</v>
      </c>
      <c r="W247" s="155" t="e">
        <f>+#REF!</f>
        <v>#REF!</v>
      </c>
      <c r="X247" s="155" t="e">
        <f>+#REF!</f>
        <v>#REF!</v>
      </c>
      <c r="Y247" s="155" t="e">
        <f>+#REF!</f>
        <v>#REF!</v>
      </c>
      <c r="Z247" s="155" t="e">
        <f>+#REF!</f>
        <v>#REF!</v>
      </c>
      <c r="AA247" s="155" t="e">
        <f>+#REF!</f>
        <v>#REF!</v>
      </c>
      <c r="AB247" s="155" t="e">
        <f>+#REF!</f>
        <v>#REF!</v>
      </c>
      <c r="AC247" s="155" t="e">
        <f>+#REF!</f>
        <v>#REF!</v>
      </c>
    </row>
    <row r="248" spans="1:31" ht="85.15" customHeight="1" x14ac:dyDescent="0.25">
      <c r="A248" s="1209"/>
      <c r="B248" s="1209"/>
      <c r="C248" s="109" t="str">
        <f>+'PLANINDICATIVO PD MAYO'!J60</f>
        <v>AUMENTAR EL SERVICIO DE ATENCIÓN SICOLÒGICA AL 50% DEL PERSONAL</v>
      </c>
      <c r="D248" s="839" t="str">
        <f>+'PLANINDICATIVO PD MAYO'!L60</f>
        <v xml:space="preserve">TASA DE COBERTURA DE ATENCIÒN SICOLOGICA </v>
      </c>
      <c r="E248" s="809"/>
      <c r="F248" s="844">
        <f>+'PLANINDICATIVO PD MAYO'!O60</f>
        <v>0.45</v>
      </c>
      <c r="G248" s="2" t="s">
        <v>4011</v>
      </c>
      <c r="H248" s="154" t="s">
        <v>3330</v>
      </c>
      <c r="I248" s="154"/>
      <c r="J248" s="154"/>
      <c r="K248" s="154"/>
      <c r="L248" s="154"/>
      <c r="M248" s="155">
        <v>50</v>
      </c>
      <c r="N248" s="155">
        <v>0</v>
      </c>
      <c r="O248" s="151">
        <v>301</v>
      </c>
      <c r="P248" s="1198"/>
      <c r="Q248" s="149" t="e">
        <f t="shared" si="43"/>
        <v>#REF!</v>
      </c>
      <c r="R248" s="155" t="e">
        <f>+#REF!</f>
        <v>#REF!</v>
      </c>
      <c r="S248" s="155" t="e">
        <f>+#REF!</f>
        <v>#REF!</v>
      </c>
      <c r="T248" s="155" t="e">
        <f>+#REF!</f>
        <v>#REF!</v>
      </c>
      <c r="U248" s="155" t="e">
        <f>+#REF!</f>
        <v>#REF!</v>
      </c>
      <c r="V248" s="155" t="e">
        <f>+#REF!</f>
        <v>#REF!</v>
      </c>
      <c r="W248" s="155" t="e">
        <f>+#REF!</f>
        <v>#REF!</v>
      </c>
      <c r="X248" s="155" t="e">
        <f>+#REF!</f>
        <v>#REF!</v>
      </c>
      <c r="Y248" s="155" t="e">
        <f>+#REF!</f>
        <v>#REF!</v>
      </c>
      <c r="Z248" s="155" t="e">
        <f>+#REF!</f>
        <v>#REF!</v>
      </c>
      <c r="AA248" s="155" t="e">
        <f>+#REF!</f>
        <v>#REF!</v>
      </c>
      <c r="AB248" s="155" t="e">
        <f>+#REF!</f>
        <v>#REF!</v>
      </c>
      <c r="AC248" s="155" t="e">
        <f>+#REF!</f>
        <v>#REF!</v>
      </c>
    </row>
    <row r="249" spans="1:31" ht="70.150000000000006" customHeight="1" x14ac:dyDescent="0.25">
      <c r="A249" s="841" t="str">
        <f>+A244</f>
        <v>PY.6.2.1</v>
      </c>
      <c r="B249" s="838" t="str">
        <f>+B244</f>
        <v>BIENESTAR UNIVERSITARIO: TODOS SOMOS USCO</v>
      </c>
      <c r="C249" s="2" t="str">
        <f>+'PLANINDICATIVO PD MAYO'!J61</f>
        <v>APOYAR A 1000 ESTUDIANTES CON SERVICIO DE ALIMENTACIÒN</v>
      </c>
      <c r="D249" s="839" t="str">
        <f>+'PLANINDICATIVO PD MAYO'!L61</f>
        <v>NÚMERO DE ESTUDIANTES BENEFICIADOS CON ATENCIÒN ALIMENTARIA</v>
      </c>
      <c r="E249" s="809"/>
      <c r="F249" s="851">
        <f>+'PLANINDICATIVO PD MAYO'!O61</f>
        <v>850</v>
      </c>
      <c r="G249" s="2" t="s">
        <v>4012</v>
      </c>
      <c r="H249" s="154" t="s">
        <v>3331</v>
      </c>
      <c r="I249" s="154"/>
      <c r="J249" s="154"/>
      <c r="K249" s="154"/>
      <c r="L249" s="154"/>
      <c r="M249" s="155">
        <v>550000000</v>
      </c>
      <c r="N249" s="155">
        <v>670160000</v>
      </c>
      <c r="O249" s="151">
        <v>301</v>
      </c>
      <c r="P249" s="911" t="s">
        <v>3373</v>
      </c>
      <c r="Q249" s="149" t="e">
        <f t="shared" si="43"/>
        <v>#REF!</v>
      </c>
      <c r="R249" s="155" t="e">
        <f>+#REF!</f>
        <v>#REF!</v>
      </c>
      <c r="S249" s="155" t="e">
        <f>+#REF!</f>
        <v>#REF!</v>
      </c>
      <c r="T249" s="155" t="e">
        <f>+#REF!</f>
        <v>#REF!</v>
      </c>
      <c r="U249" s="155" t="e">
        <f>+#REF!</f>
        <v>#REF!</v>
      </c>
      <c r="V249" s="155" t="e">
        <f>+#REF!</f>
        <v>#REF!</v>
      </c>
      <c r="W249" s="155" t="e">
        <f>+#REF!</f>
        <v>#REF!</v>
      </c>
      <c r="X249" s="155" t="e">
        <f>+#REF!</f>
        <v>#REF!</v>
      </c>
      <c r="Y249" s="155" t="e">
        <f>+#REF!</f>
        <v>#REF!</v>
      </c>
      <c r="Z249" s="155" t="e">
        <f>+#REF!</f>
        <v>#REF!</v>
      </c>
      <c r="AA249" s="155" t="e">
        <f>+#REF!</f>
        <v>#REF!</v>
      </c>
      <c r="AB249" s="155" t="e">
        <f>+#REF!</f>
        <v>#REF!</v>
      </c>
      <c r="AC249" s="155" t="e">
        <f>+#REF!</f>
        <v>#REF!</v>
      </c>
    </row>
    <row r="250" spans="1:31" ht="25.9" customHeight="1" x14ac:dyDescent="0.25">
      <c r="A250" s="1209" t="s">
        <v>4269</v>
      </c>
      <c r="B250" s="1209"/>
      <c r="C250" s="1209"/>
      <c r="D250" s="1209"/>
      <c r="E250" s="1209"/>
      <c r="F250" s="1209"/>
      <c r="G250" s="1209"/>
      <c r="H250" s="1209"/>
      <c r="I250" s="1209"/>
      <c r="J250" s="1209"/>
      <c r="K250" s="1209"/>
      <c r="L250" s="1209"/>
      <c r="M250" s="1209"/>
      <c r="N250" s="1209"/>
      <c r="O250" s="1209"/>
      <c r="P250" s="1209"/>
      <c r="Q250" s="149" t="e">
        <f>SUM(Q244:Q249)</f>
        <v>#REF!</v>
      </c>
      <c r="R250" s="149" t="e">
        <f t="shared" ref="R250:AC250" si="47">SUM(R244:R249)</f>
        <v>#REF!</v>
      </c>
      <c r="S250" s="149" t="e">
        <f t="shared" si="47"/>
        <v>#REF!</v>
      </c>
      <c r="T250" s="149" t="e">
        <f t="shared" si="47"/>
        <v>#REF!</v>
      </c>
      <c r="U250" s="149" t="e">
        <f t="shared" si="47"/>
        <v>#REF!</v>
      </c>
      <c r="V250" s="149" t="e">
        <f t="shared" si="47"/>
        <v>#REF!</v>
      </c>
      <c r="W250" s="149" t="e">
        <f t="shared" si="47"/>
        <v>#REF!</v>
      </c>
      <c r="X250" s="149" t="e">
        <f t="shared" si="47"/>
        <v>#REF!</v>
      </c>
      <c r="Y250" s="149" t="e">
        <f t="shared" si="47"/>
        <v>#REF!</v>
      </c>
      <c r="Z250" s="149" t="e">
        <f t="shared" si="47"/>
        <v>#REF!</v>
      </c>
      <c r="AA250" s="149" t="e">
        <f t="shared" si="47"/>
        <v>#REF!</v>
      </c>
      <c r="AB250" s="149" t="e">
        <f t="shared" si="47"/>
        <v>#REF!</v>
      </c>
      <c r="AC250" s="149" t="e">
        <f t="shared" si="47"/>
        <v>#REF!</v>
      </c>
      <c r="AE250" s="1" t="e">
        <f>+Q250-'POAI 2011 AC.017 MAYO'!I53</f>
        <v>#REF!</v>
      </c>
    </row>
    <row r="251" spans="1:31" ht="93.6" customHeight="1" x14ac:dyDescent="0.25">
      <c r="A251" s="2" t="s">
        <v>2865</v>
      </c>
      <c r="B251" s="2" t="str">
        <f>+'PLANINDICATIVO PD MAYO'!I62</f>
        <v>PREVENCIÓN, NEGOCIACIÓN Y RESOLUCIÓN DE CONFLICTOS: CULTURA PARA LA INCLUSIÓN SOCIAL Y LA PAZ</v>
      </c>
      <c r="C251" s="2" t="str">
        <f>+'PLANINDICATIVO PD MAYO'!J62</f>
        <v xml:space="preserve">IMPLEMENTAR UN PLAN DE PREVENCIÒN Y RESOLUCIÒN DE CONFLICTOS EN UN 90% </v>
      </c>
      <c r="D251" s="839" t="str">
        <f>+'PLANINDICATIVO PD MAYO'!L62</f>
        <v xml:space="preserve">TASA DE RESOLUCIÓN DE CONFLICTOS. </v>
      </c>
      <c r="E251" s="839"/>
      <c r="F251" s="844">
        <f>+'PLANINDICATIVO PD MAYO'!O62</f>
        <v>0.9</v>
      </c>
      <c r="G251" s="2" t="s">
        <v>4013</v>
      </c>
      <c r="H251" s="154" t="s">
        <v>3332</v>
      </c>
      <c r="I251" s="154"/>
      <c r="J251" s="154"/>
      <c r="K251" s="154"/>
      <c r="L251" s="154"/>
      <c r="M251" s="155">
        <v>35000000</v>
      </c>
      <c r="N251" s="155">
        <v>185000000</v>
      </c>
      <c r="O251" s="151">
        <v>301</v>
      </c>
      <c r="P251" s="911" t="s">
        <v>3373</v>
      </c>
      <c r="Q251" s="149" t="e">
        <f t="shared" si="43"/>
        <v>#REF!</v>
      </c>
      <c r="R251" s="155" t="e">
        <f>+#REF!</f>
        <v>#REF!</v>
      </c>
      <c r="S251" s="155" t="e">
        <f>+#REF!</f>
        <v>#REF!</v>
      </c>
      <c r="T251" s="155" t="e">
        <f>+#REF!</f>
        <v>#REF!</v>
      </c>
      <c r="U251" s="155" t="e">
        <f>+#REF!</f>
        <v>#REF!</v>
      </c>
      <c r="V251" s="155" t="e">
        <f>+#REF!</f>
        <v>#REF!</v>
      </c>
      <c r="W251" s="155" t="e">
        <f>+#REF!</f>
        <v>#REF!</v>
      </c>
      <c r="X251" s="155" t="e">
        <f>+#REF!</f>
        <v>#REF!</v>
      </c>
      <c r="Y251" s="155" t="e">
        <f>+#REF!</f>
        <v>#REF!</v>
      </c>
      <c r="Z251" s="155" t="e">
        <f>+#REF!</f>
        <v>#REF!</v>
      </c>
      <c r="AA251" s="155" t="e">
        <f>+#REF!</f>
        <v>#REF!</v>
      </c>
      <c r="AB251" s="155" t="e">
        <f>+#REF!</f>
        <v>#REF!</v>
      </c>
      <c r="AC251" s="155" t="e">
        <f>+#REF!</f>
        <v>#REF!</v>
      </c>
    </row>
    <row r="252" spans="1:31" ht="20.45" customHeight="1" x14ac:dyDescent="0.25">
      <c r="A252" s="1209" t="s">
        <v>4270</v>
      </c>
      <c r="B252" s="1209"/>
      <c r="C252" s="1209"/>
      <c r="D252" s="1209"/>
      <c r="E252" s="1209"/>
      <c r="F252" s="1209"/>
      <c r="G252" s="1209"/>
      <c r="H252" s="1209"/>
      <c r="I252" s="1209"/>
      <c r="J252" s="1209"/>
      <c r="K252" s="1209"/>
      <c r="L252" s="1209"/>
      <c r="M252" s="1209"/>
      <c r="N252" s="1209"/>
      <c r="O252" s="1209"/>
      <c r="P252" s="1209"/>
      <c r="Q252" s="149" t="e">
        <f>SUM(Q251)</f>
        <v>#REF!</v>
      </c>
      <c r="R252" s="149" t="e">
        <f t="shared" ref="R252:AC252" si="48">SUM(R251)</f>
        <v>#REF!</v>
      </c>
      <c r="S252" s="149" t="e">
        <f t="shared" si="48"/>
        <v>#REF!</v>
      </c>
      <c r="T252" s="149" t="e">
        <f t="shared" si="48"/>
        <v>#REF!</v>
      </c>
      <c r="U252" s="149" t="e">
        <f t="shared" si="48"/>
        <v>#REF!</v>
      </c>
      <c r="V252" s="149" t="e">
        <f t="shared" si="48"/>
        <v>#REF!</v>
      </c>
      <c r="W252" s="149" t="e">
        <f t="shared" si="48"/>
        <v>#REF!</v>
      </c>
      <c r="X252" s="149" t="e">
        <f t="shared" si="48"/>
        <v>#REF!</v>
      </c>
      <c r="Y252" s="149" t="e">
        <f t="shared" si="48"/>
        <v>#REF!</v>
      </c>
      <c r="Z252" s="149" t="e">
        <f t="shared" si="48"/>
        <v>#REF!</v>
      </c>
      <c r="AA252" s="149" t="e">
        <f t="shared" si="48"/>
        <v>#REF!</v>
      </c>
      <c r="AB252" s="149" t="e">
        <f t="shared" si="48"/>
        <v>#REF!</v>
      </c>
      <c r="AC252" s="149" t="e">
        <f t="shared" si="48"/>
        <v>#REF!</v>
      </c>
      <c r="AE252" s="1" t="e">
        <f>+Q252-'POAI 2011 AC.017 MAYO'!I54</f>
        <v>#REF!</v>
      </c>
    </row>
    <row r="253" spans="1:31" ht="109.9" customHeight="1" x14ac:dyDescent="0.25">
      <c r="A253" s="1243" t="s">
        <v>2870</v>
      </c>
      <c r="B253" s="1243" t="str">
        <f>+'PLANINDICATIVO PD MAYO'!I63</f>
        <v>USCO: NO A LOS VICIOS Y ETV POR UN AMBIENTE SANO</v>
      </c>
      <c r="C253" s="2" t="str">
        <f>+'PLANINDICATIVO PD MAYO'!J63</f>
        <v>ATENCION INTEGRAL AL 50% DE PERSONAS ENVUELTAS EN PROBLEMAS DE DROGADICCION, PROSTITUCIÒN Y ETV.</v>
      </c>
      <c r="D253" s="839" t="str">
        <f>+'PLANINDICATIVO PD MAYO'!L63</f>
        <v xml:space="preserve">TASA DE COBERTURA EN ATENCION A PERSONAS EN SITUACIONES CRÌTICAS </v>
      </c>
      <c r="E253" s="809"/>
      <c r="F253" s="844">
        <f>+'PLANINDICATIVO PD MAYO'!O63</f>
        <v>0.4</v>
      </c>
      <c r="G253" s="2" t="s">
        <v>4014</v>
      </c>
      <c r="H253" s="154" t="s">
        <v>4015</v>
      </c>
      <c r="I253" s="154"/>
      <c r="J253" s="154"/>
      <c r="K253" s="154"/>
      <c r="L253" s="154"/>
      <c r="M253" s="155">
        <v>60000000</v>
      </c>
      <c r="N253" s="155">
        <v>913000000</v>
      </c>
      <c r="O253" s="151">
        <v>301</v>
      </c>
      <c r="P253" s="1494" t="s">
        <v>3373</v>
      </c>
      <c r="Q253" s="149" t="e">
        <f t="shared" si="43"/>
        <v>#REF!</v>
      </c>
      <c r="R253" s="155" t="e">
        <f>+#REF!</f>
        <v>#REF!</v>
      </c>
      <c r="S253" s="155" t="e">
        <f>+#REF!</f>
        <v>#REF!</v>
      </c>
      <c r="T253" s="155" t="e">
        <f>+#REF!</f>
        <v>#REF!</v>
      </c>
      <c r="U253" s="155" t="e">
        <f>+#REF!</f>
        <v>#REF!</v>
      </c>
      <c r="V253" s="155" t="e">
        <f>+#REF!</f>
        <v>#REF!</v>
      </c>
      <c r="W253" s="155" t="e">
        <f>+#REF!</f>
        <v>#REF!</v>
      </c>
      <c r="X253" s="155" t="e">
        <f>+#REF!</f>
        <v>#REF!</v>
      </c>
      <c r="Y253" s="155" t="e">
        <f>+#REF!</f>
        <v>#REF!</v>
      </c>
      <c r="Z253" s="155" t="e">
        <f>+#REF!</f>
        <v>#REF!</v>
      </c>
      <c r="AA253" s="155" t="e">
        <f>+#REF!</f>
        <v>#REF!</v>
      </c>
      <c r="AB253" s="155" t="e">
        <f>+#REF!</f>
        <v>#REF!</v>
      </c>
      <c r="AC253" s="155" t="e">
        <f>+#REF!</f>
        <v>#REF!</v>
      </c>
    </row>
    <row r="254" spans="1:31" ht="28.5" customHeight="1" x14ac:dyDescent="0.25">
      <c r="A254" s="1244"/>
      <c r="B254" s="1244"/>
      <c r="C254" s="1292" t="str">
        <f>+'PLANINDICATIVO PD MAYO'!J64</f>
        <v>REALIZAR 50 ACTIVIDADES AÑO DE BIENESTAR (RECREACIÒN, CULTURA DEPORTE FORMATIVAS Y ARTÌSTICAS</v>
      </c>
      <c r="D254" s="1209" t="str">
        <f>+'PLANINDICATIVO PD MAYO'!L64</f>
        <v>NÙMERO DE ACTIVIDADES/AÑO DE BIENESTAR UNIVERSITARIO</v>
      </c>
      <c r="E254" s="1203"/>
      <c r="F254" s="1203">
        <f>+'PLANINDICATIVO PD MAYO'!O64</f>
        <v>50</v>
      </c>
      <c r="G254" s="2" t="s">
        <v>4016</v>
      </c>
      <c r="H254" s="171" t="s">
        <v>672</v>
      </c>
      <c r="I254" s="154"/>
      <c r="J254" s="154"/>
      <c r="K254" s="154"/>
      <c r="L254" s="154"/>
      <c r="M254" s="155">
        <v>120000000</v>
      </c>
      <c r="N254" s="155">
        <v>365975023</v>
      </c>
      <c r="O254" s="151">
        <v>301</v>
      </c>
      <c r="P254" s="1494"/>
      <c r="Q254" s="149" t="e">
        <f t="shared" si="43"/>
        <v>#REF!</v>
      </c>
      <c r="R254" s="155" t="e">
        <f>+#REF!</f>
        <v>#REF!</v>
      </c>
      <c r="S254" s="155" t="e">
        <f>+#REF!</f>
        <v>#REF!</v>
      </c>
      <c r="T254" s="155" t="e">
        <f>+#REF!</f>
        <v>#REF!</v>
      </c>
      <c r="U254" s="155" t="e">
        <f>+#REF!</f>
        <v>#REF!</v>
      </c>
      <c r="V254" s="155" t="e">
        <f>+#REF!</f>
        <v>#REF!</v>
      </c>
      <c r="W254" s="155" t="e">
        <f>+#REF!</f>
        <v>#REF!</v>
      </c>
      <c r="X254" s="155" t="e">
        <f>+#REF!</f>
        <v>#REF!</v>
      </c>
      <c r="Y254" s="155" t="e">
        <f>+#REF!</f>
        <v>#REF!</v>
      </c>
      <c r="Z254" s="155" t="e">
        <f>+#REF!</f>
        <v>#REF!</v>
      </c>
      <c r="AA254" s="155" t="e">
        <f>+#REF!</f>
        <v>#REF!</v>
      </c>
      <c r="AB254" s="155" t="e">
        <f>+#REF!</f>
        <v>#REF!</v>
      </c>
      <c r="AC254" s="155" t="e">
        <f>+#REF!</f>
        <v>#REF!</v>
      </c>
    </row>
    <row r="255" spans="1:31" ht="29.25" customHeight="1" x14ac:dyDescent="0.25">
      <c r="A255" s="1425"/>
      <c r="B255" s="1425"/>
      <c r="C255" s="1512"/>
      <c r="D255" s="1209"/>
      <c r="E255" s="1210"/>
      <c r="F255" s="1210"/>
      <c r="G255" s="848" t="s">
        <v>4017</v>
      </c>
      <c r="H255" s="331" t="s">
        <v>128</v>
      </c>
      <c r="I255" s="697"/>
      <c r="J255" s="171"/>
      <c r="K255" s="171"/>
      <c r="L255" s="171"/>
      <c r="M255" s="172">
        <v>80000000</v>
      </c>
      <c r="N255" s="172">
        <v>117299875</v>
      </c>
      <c r="O255" s="561">
        <v>301</v>
      </c>
      <c r="P255" s="1494"/>
      <c r="Q255" s="241" t="e">
        <f t="shared" si="43"/>
        <v>#REF!</v>
      </c>
      <c r="R255" s="155" t="e">
        <f>+#REF!</f>
        <v>#REF!</v>
      </c>
      <c r="S255" s="155" t="e">
        <f>+#REF!</f>
        <v>#REF!</v>
      </c>
      <c r="T255" s="155" t="e">
        <f>+#REF!</f>
        <v>#REF!</v>
      </c>
      <c r="U255" s="155" t="e">
        <f>+#REF!</f>
        <v>#REF!</v>
      </c>
      <c r="V255" s="155" t="e">
        <f>+#REF!</f>
        <v>#REF!</v>
      </c>
      <c r="W255" s="155" t="e">
        <f>+#REF!</f>
        <v>#REF!</v>
      </c>
      <c r="X255" s="155" t="e">
        <f>+#REF!</f>
        <v>#REF!</v>
      </c>
      <c r="Y255" s="155" t="e">
        <f>+#REF!</f>
        <v>#REF!</v>
      </c>
      <c r="Z255" s="155" t="e">
        <f>+#REF!</f>
        <v>#REF!</v>
      </c>
      <c r="AA255" s="155" t="e">
        <f>+#REF!</f>
        <v>#REF!</v>
      </c>
      <c r="AB255" s="155" t="e">
        <f>+#REF!</f>
        <v>#REF!</v>
      </c>
      <c r="AC255" s="155" t="e">
        <f>+#REF!</f>
        <v>#REF!</v>
      </c>
    </row>
    <row r="256" spans="1:31" ht="16.149999999999999" customHeight="1" x14ac:dyDescent="0.25">
      <c r="A256" s="1209" t="s">
        <v>4271</v>
      </c>
      <c r="B256" s="1209"/>
      <c r="C256" s="1209"/>
      <c r="D256" s="1209"/>
      <c r="E256" s="1209"/>
      <c r="F256" s="1209"/>
      <c r="G256" s="1209"/>
      <c r="H256" s="1209"/>
      <c r="I256" s="1209"/>
      <c r="J256" s="1209"/>
      <c r="K256" s="1209"/>
      <c r="L256" s="1209"/>
      <c r="M256" s="1209"/>
      <c r="N256" s="1209"/>
      <c r="O256" s="1209"/>
      <c r="P256" s="1209"/>
      <c r="Q256" s="149" t="e">
        <f>SUM(Q253:Q255)</f>
        <v>#REF!</v>
      </c>
      <c r="R256" s="149" t="e">
        <f t="shared" ref="R256:AC256" si="49">SUM(R253:R255)</f>
        <v>#REF!</v>
      </c>
      <c r="S256" s="149" t="e">
        <f t="shared" si="49"/>
        <v>#REF!</v>
      </c>
      <c r="T256" s="149" t="e">
        <f t="shared" si="49"/>
        <v>#REF!</v>
      </c>
      <c r="U256" s="149" t="e">
        <f t="shared" si="49"/>
        <v>#REF!</v>
      </c>
      <c r="V256" s="149" t="e">
        <f t="shared" si="49"/>
        <v>#REF!</v>
      </c>
      <c r="W256" s="149" t="e">
        <f t="shared" si="49"/>
        <v>#REF!</v>
      </c>
      <c r="X256" s="149" t="e">
        <f t="shared" si="49"/>
        <v>#REF!</v>
      </c>
      <c r="Y256" s="149" t="e">
        <f t="shared" si="49"/>
        <v>#REF!</v>
      </c>
      <c r="Z256" s="149" t="e">
        <f t="shared" si="49"/>
        <v>#REF!</v>
      </c>
      <c r="AA256" s="149" t="e">
        <f t="shared" si="49"/>
        <v>#REF!</v>
      </c>
      <c r="AB256" s="149" t="e">
        <f t="shared" si="49"/>
        <v>#REF!</v>
      </c>
      <c r="AC256" s="149" t="e">
        <f t="shared" si="49"/>
        <v>#REF!</v>
      </c>
      <c r="AE256" s="1" t="e">
        <f>+Q256-'POAI 2011 AC.017 MAYO'!I55</f>
        <v>#REF!</v>
      </c>
    </row>
    <row r="257" spans="1:31" ht="16.149999999999999" customHeight="1" x14ac:dyDescent="0.25">
      <c r="A257" s="1209" t="s">
        <v>4274</v>
      </c>
      <c r="B257" s="1209"/>
      <c r="C257" s="1209"/>
      <c r="D257" s="1209"/>
      <c r="E257" s="1209"/>
      <c r="F257" s="1209"/>
      <c r="G257" s="1209"/>
      <c r="H257" s="1209"/>
      <c r="I257" s="1209"/>
      <c r="J257" s="1209"/>
      <c r="K257" s="1209"/>
      <c r="L257" s="1209"/>
      <c r="M257" s="1209"/>
      <c r="N257" s="1209"/>
      <c r="O257" s="1209"/>
      <c r="P257" s="1209"/>
      <c r="Q257" s="149" t="e">
        <f>+Q256+Q250+Q252</f>
        <v>#REF!</v>
      </c>
      <c r="R257" s="149" t="e">
        <f t="shared" ref="R257:AC257" si="50">+R256+R250+R252</f>
        <v>#REF!</v>
      </c>
      <c r="S257" s="149" t="e">
        <f t="shared" si="50"/>
        <v>#REF!</v>
      </c>
      <c r="T257" s="149" t="e">
        <f t="shared" si="50"/>
        <v>#REF!</v>
      </c>
      <c r="U257" s="149" t="e">
        <f t="shared" si="50"/>
        <v>#REF!</v>
      </c>
      <c r="V257" s="149" t="e">
        <f t="shared" si="50"/>
        <v>#REF!</v>
      </c>
      <c r="W257" s="149" t="e">
        <f t="shared" si="50"/>
        <v>#REF!</v>
      </c>
      <c r="X257" s="149" t="e">
        <f t="shared" si="50"/>
        <v>#REF!</v>
      </c>
      <c r="Y257" s="149" t="e">
        <f t="shared" si="50"/>
        <v>#REF!</v>
      </c>
      <c r="Z257" s="149" t="e">
        <f t="shared" si="50"/>
        <v>#REF!</v>
      </c>
      <c r="AA257" s="149" t="e">
        <f t="shared" si="50"/>
        <v>#REF!</v>
      </c>
      <c r="AB257" s="149" t="e">
        <f t="shared" si="50"/>
        <v>#REF!</v>
      </c>
      <c r="AC257" s="149" t="e">
        <f t="shared" si="50"/>
        <v>#REF!</v>
      </c>
      <c r="AE257" s="1" t="e">
        <f>+Q257-'POAI 2011 AC.017 MAYO'!I52</f>
        <v>#REF!</v>
      </c>
    </row>
    <row r="258" spans="1:31" ht="22.9" customHeight="1" x14ac:dyDescent="0.25">
      <c r="A258" s="1207" t="s">
        <v>3410</v>
      </c>
      <c r="B258" s="1208"/>
      <c r="C258" s="1208"/>
      <c r="D258" s="1208"/>
      <c r="E258" s="1208"/>
      <c r="F258" s="1208"/>
      <c r="G258" s="1208"/>
      <c r="H258" s="1208"/>
      <c r="I258" s="1208"/>
      <c r="J258" s="1208"/>
      <c r="K258" s="1208"/>
      <c r="L258" s="1208"/>
      <c r="M258" s="1208"/>
      <c r="N258" s="1208"/>
      <c r="O258" s="1208"/>
      <c r="P258" s="1217"/>
      <c r="Q258" s="149" t="e">
        <f>+Q257+Q239</f>
        <v>#REF!</v>
      </c>
      <c r="R258" s="149" t="e">
        <f t="shared" ref="R258:AC258" si="51">+R257+R239</f>
        <v>#REF!</v>
      </c>
      <c r="S258" s="149" t="e">
        <f t="shared" si="51"/>
        <v>#REF!</v>
      </c>
      <c r="T258" s="149" t="e">
        <f t="shared" si="51"/>
        <v>#REF!</v>
      </c>
      <c r="U258" s="149" t="e">
        <f t="shared" si="51"/>
        <v>#REF!</v>
      </c>
      <c r="V258" s="149" t="e">
        <f t="shared" si="51"/>
        <v>#REF!</v>
      </c>
      <c r="W258" s="149" t="e">
        <f t="shared" si="51"/>
        <v>#REF!</v>
      </c>
      <c r="X258" s="149" t="e">
        <f t="shared" si="51"/>
        <v>#REF!</v>
      </c>
      <c r="Y258" s="149" t="e">
        <f t="shared" si="51"/>
        <v>#REF!</v>
      </c>
      <c r="Z258" s="149" t="e">
        <f t="shared" si="51"/>
        <v>#REF!</v>
      </c>
      <c r="AA258" s="149" t="e">
        <f t="shared" si="51"/>
        <v>#REF!</v>
      </c>
      <c r="AB258" s="149" t="e">
        <f t="shared" si="51"/>
        <v>#REF!</v>
      </c>
      <c r="AC258" s="149" t="e">
        <f t="shared" si="51"/>
        <v>#REF!</v>
      </c>
      <c r="AE258" s="1" t="e">
        <f>+Q258-'POAI 2011 AC.017 MAYO'!I48</f>
        <v>#REF!</v>
      </c>
    </row>
    <row r="259" spans="1:31" ht="22.9" customHeight="1" x14ac:dyDescent="0.3">
      <c r="A259" s="897" t="s">
        <v>4276</v>
      </c>
      <c r="B259" s="853"/>
      <c r="C259" s="853"/>
      <c r="D259" s="853"/>
      <c r="E259" s="853"/>
      <c r="F259" s="853"/>
      <c r="G259" s="853"/>
      <c r="H259" s="853"/>
      <c r="I259" s="853"/>
      <c r="J259" s="853"/>
      <c r="K259" s="853"/>
      <c r="L259" s="853"/>
      <c r="M259" s="853"/>
      <c r="N259" s="853"/>
      <c r="O259" s="853"/>
      <c r="P259" s="853"/>
      <c r="Q259" s="898"/>
      <c r="R259" s="898"/>
      <c r="S259" s="898"/>
      <c r="T259" s="898"/>
      <c r="U259" s="898"/>
      <c r="V259" s="898"/>
      <c r="W259" s="898"/>
      <c r="X259" s="898"/>
      <c r="Y259" s="898"/>
      <c r="Z259" s="898"/>
      <c r="AA259" s="898"/>
      <c r="AB259" s="898"/>
      <c r="AC259" s="898"/>
    </row>
    <row r="260" spans="1:31" ht="22.9" customHeight="1" x14ac:dyDescent="0.3">
      <c r="A260" s="882" t="s">
        <v>4277</v>
      </c>
      <c r="B260" s="233"/>
      <c r="C260" s="233"/>
      <c r="D260" s="233"/>
      <c r="E260" s="233"/>
      <c r="F260" s="233"/>
      <c r="G260" s="233"/>
      <c r="H260" s="233"/>
      <c r="I260" s="233"/>
      <c r="J260" s="233"/>
      <c r="K260" s="233"/>
      <c r="L260" s="233"/>
      <c r="M260" s="233"/>
      <c r="N260" s="233"/>
      <c r="O260" s="233"/>
      <c r="P260" s="233"/>
      <c r="Q260" s="686"/>
      <c r="R260" s="686"/>
      <c r="S260" s="686"/>
      <c r="T260" s="686"/>
      <c r="U260" s="686"/>
      <c r="V260" s="686"/>
      <c r="W260" s="686"/>
      <c r="X260" s="686"/>
      <c r="Y260" s="686"/>
      <c r="Z260" s="686"/>
      <c r="AA260" s="686"/>
      <c r="AB260" s="686"/>
      <c r="AC260" s="686"/>
    </row>
    <row r="261" spans="1:31" ht="22.9" customHeight="1" x14ac:dyDescent="0.25">
      <c r="A261" s="1315" t="s">
        <v>3139</v>
      </c>
      <c r="B261" s="1315"/>
      <c r="C261" s="1315" t="s">
        <v>4179</v>
      </c>
      <c r="D261" s="1490" t="s">
        <v>4171</v>
      </c>
      <c r="E261" s="1491"/>
      <c r="F261" s="1492"/>
      <c r="G261" s="1232" t="s">
        <v>4174</v>
      </c>
      <c r="H261" s="1232"/>
      <c r="I261" s="1232" t="s">
        <v>4175</v>
      </c>
      <c r="J261" s="1232" t="s">
        <v>4176</v>
      </c>
      <c r="K261" s="1232"/>
      <c r="L261" s="1232"/>
      <c r="M261" s="893"/>
      <c r="N261" s="893"/>
      <c r="O261" s="1418" t="s">
        <v>447</v>
      </c>
      <c r="P261" s="1493" t="s">
        <v>3347</v>
      </c>
      <c r="Q261" s="1489" t="s">
        <v>3333</v>
      </c>
      <c r="R261" s="1489"/>
      <c r="S261" s="1489"/>
      <c r="T261" s="1489"/>
      <c r="U261" s="1489"/>
      <c r="V261" s="1489"/>
      <c r="W261" s="1489" t="s">
        <v>3333</v>
      </c>
      <c r="X261" s="1489"/>
      <c r="Y261" s="1489"/>
      <c r="Z261" s="1489"/>
      <c r="AA261" s="1489"/>
      <c r="AB261" s="1489"/>
      <c r="AC261" s="1489"/>
    </row>
    <row r="262" spans="1:31" ht="57.6" customHeight="1" x14ac:dyDescent="0.25">
      <c r="A262" s="1315"/>
      <c r="B262" s="1315"/>
      <c r="C262" s="1315"/>
      <c r="D262" s="908" t="s">
        <v>4178</v>
      </c>
      <c r="E262" s="908" t="s">
        <v>4173</v>
      </c>
      <c r="F262" s="908" t="s">
        <v>4172</v>
      </c>
      <c r="G262" s="909" t="s">
        <v>1</v>
      </c>
      <c r="H262" s="909" t="s">
        <v>4174</v>
      </c>
      <c r="I262" s="1232"/>
      <c r="J262" s="909" t="s">
        <v>4178</v>
      </c>
      <c r="K262" s="909" t="s">
        <v>4173</v>
      </c>
      <c r="L262" s="909" t="s">
        <v>4177</v>
      </c>
      <c r="M262" s="909" t="s">
        <v>460</v>
      </c>
      <c r="N262" s="909" t="s">
        <v>462</v>
      </c>
      <c r="O262" s="1418"/>
      <c r="P262" s="1493"/>
      <c r="Q262" s="910" t="s">
        <v>695</v>
      </c>
      <c r="R262" s="910" t="s">
        <v>3310</v>
      </c>
      <c r="S262" s="910" t="s">
        <v>3311</v>
      </c>
      <c r="T262" s="910" t="s">
        <v>3312</v>
      </c>
      <c r="U262" s="910" t="s">
        <v>3313</v>
      </c>
      <c r="V262" s="910" t="s">
        <v>3314</v>
      </c>
      <c r="W262" s="910" t="s">
        <v>3315</v>
      </c>
      <c r="X262" s="910" t="s">
        <v>3316</v>
      </c>
      <c r="Y262" s="910" t="s">
        <v>3317</v>
      </c>
      <c r="Z262" s="910" t="s">
        <v>3346</v>
      </c>
      <c r="AA262" s="910" t="s">
        <v>3756</v>
      </c>
      <c r="AB262" s="910" t="s">
        <v>3318</v>
      </c>
      <c r="AC262" s="910" t="s">
        <v>3319</v>
      </c>
    </row>
    <row r="263" spans="1:31" ht="80.45" customHeight="1" x14ac:dyDescent="0.25">
      <c r="A263" s="848" t="s">
        <v>2884</v>
      </c>
      <c r="B263" s="852" t="str">
        <f>+'PLANINDICATIVO PD MAYO'!I67</f>
        <v>SISTEUSCO: PARA LA INCORPORACIÓN DEFINITIVA DE LAS TIC A LA OPERATIVIDAD DE LA USCO</v>
      </c>
      <c r="C263" s="852" t="str">
        <f>+'PLANINDICATIVO PD MAYO'!J67</f>
        <v xml:space="preserve"> DISEÑO DE UN SISTEMA DE INFORMACIÓN INTEGRAL</v>
      </c>
      <c r="D263" s="852" t="str">
        <f>+'PLANINDICATIVO PD MAYO'!L67</f>
        <v>ESTUDIO REALIZADO</v>
      </c>
      <c r="E263" s="852"/>
      <c r="F263" s="852" t="str">
        <f>+'PLANINDICATIVO PD MAYO'!O67</f>
        <v>ESTUDIO IMPLEMENTADO</v>
      </c>
      <c r="G263" s="331" t="s">
        <v>4051</v>
      </c>
      <c r="H263" s="705" t="s">
        <v>4052</v>
      </c>
      <c r="I263" s="705"/>
      <c r="J263" s="705"/>
      <c r="K263" s="705"/>
      <c r="L263" s="705"/>
      <c r="M263" s="700"/>
      <c r="N263" s="701"/>
      <c r="O263" s="701">
        <v>510</v>
      </c>
      <c r="P263" s="818" t="s">
        <v>3352</v>
      </c>
      <c r="Q263" s="149" t="e">
        <f t="shared" ref="Q263:Q279" si="52">SUM(R263:AC263)</f>
        <v>#REF!</v>
      </c>
      <c r="R263" s="166" t="e">
        <f>+#REF!</f>
        <v>#REF!</v>
      </c>
      <c r="S263" s="166" t="e">
        <f>+#REF!</f>
        <v>#REF!</v>
      </c>
      <c r="T263" s="166" t="e">
        <f>+#REF!</f>
        <v>#REF!</v>
      </c>
      <c r="U263" s="166" t="e">
        <f>+#REF!</f>
        <v>#REF!</v>
      </c>
      <c r="V263" s="166" t="e">
        <f>+#REF!</f>
        <v>#REF!</v>
      </c>
      <c r="W263" s="166" t="e">
        <f>+#REF!</f>
        <v>#REF!</v>
      </c>
      <c r="X263" s="166" t="e">
        <f>+#REF!</f>
        <v>#REF!</v>
      </c>
      <c r="Y263" s="166" t="e">
        <f>+#REF!</f>
        <v>#REF!</v>
      </c>
      <c r="Z263" s="166" t="e">
        <f>+#REF!</f>
        <v>#REF!</v>
      </c>
      <c r="AA263" s="166" t="e">
        <f>+#REF!</f>
        <v>#REF!</v>
      </c>
      <c r="AB263" s="166" t="e">
        <f>+#REF!</f>
        <v>#REF!</v>
      </c>
      <c r="AC263" s="166" t="e">
        <f>+#REF!</f>
        <v>#REF!</v>
      </c>
      <c r="AD263" s="819"/>
    </row>
    <row r="264" spans="1:31" ht="22.9" customHeight="1" x14ac:dyDescent="0.25">
      <c r="A264" s="1209" t="s">
        <v>4278</v>
      </c>
      <c r="B264" s="1209"/>
      <c r="C264" s="1209"/>
      <c r="D264" s="1209"/>
      <c r="E264" s="1209"/>
      <c r="F264" s="1209"/>
      <c r="G264" s="1209"/>
      <c r="H264" s="1209"/>
      <c r="I264" s="1209"/>
      <c r="J264" s="1209"/>
      <c r="K264" s="1209"/>
      <c r="L264" s="1209"/>
      <c r="M264" s="1209"/>
      <c r="N264" s="1209"/>
      <c r="O264" s="1209"/>
      <c r="P264" s="1209"/>
      <c r="Q264" s="149" t="e">
        <f>SUM(Q263)</f>
        <v>#REF!</v>
      </c>
      <c r="R264" s="149" t="e">
        <f t="shared" ref="R264:AC264" si="53">SUM(R263)</f>
        <v>#REF!</v>
      </c>
      <c r="S264" s="149" t="e">
        <f t="shared" si="53"/>
        <v>#REF!</v>
      </c>
      <c r="T264" s="149" t="e">
        <f t="shared" si="53"/>
        <v>#REF!</v>
      </c>
      <c r="U264" s="149" t="e">
        <f t="shared" si="53"/>
        <v>#REF!</v>
      </c>
      <c r="V264" s="149" t="e">
        <f t="shared" si="53"/>
        <v>#REF!</v>
      </c>
      <c r="W264" s="149" t="e">
        <f t="shared" si="53"/>
        <v>#REF!</v>
      </c>
      <c r="X264" s="149" t="e">
        <f t="shared" si="53"/>
        <v>#REF!</v>
      </c>
      <c r="Y264" s="149" t="e">
        <f t="shared" si="53"/>
        <v>#REF!</v>
      </c>
      <c r="Z264" s="149" t="e">
        <f t="shared" si="53"/>
        <v>#REF!</v>
      </c>
      <c r="AA264" s="149" t="e">
        <f t="shared" si="53"/>
        <v>#REF!</v>
      </c>
      <c r="AB264" s="149" t="e">
        <f t="shared" si="53"/>
        <v>#REF!</v>
      </c>
      <c r="AC264" s="149" t="e">
        <f t="shared" si="53"/>
        <v>#REF!</v>
      </c>
      <c r="AD264" s="236"/>
      <c r="AE264" s="1" t="e">
        <f>+Q264-'POAI 2011 AC.017 MAYO'!I58</f>
        <v>#REF!</v>
      </c>
    </row>
    <row r="265" spans="1:31" ht="22.9" customHeight="1" x14ac:dyDescent="0.25">
      <c r="A265" s="1209" t="s">
        <v>4279</v>
      </c>
      <c r="B265" s="1209"/>
      <c r="C265" s="1209"/>
      <c r="D265" s="1209"/>
      <c r="E265" s="1209"/>
      <c r="F265" s="1209"/>
      <c r="G265" s="1209"/>
      <c r="H265" s="1209"/>
      <c r="I265" s="1209"/>
      <c r="J265" s="1209"/>
      <c r="K265" s="1209"/>
      <c r="L265" s="1209"/>
      <c r="M265" s="1209"/>
      <c r="N265" s="1209"/>
      <c r="O265" s="1209"/>
      <c r="P265" s="1209"/>
      <c r="Q265" s="149" t="e">
        <f>+Q264</f>
        <v>#REF!</v>
      </c>
      <c r="R265" s="149" t="e">
        <f t="shared" ref="R265:AC265" si="54">+R264</f>
        <v>#REF!</v>
      </c>
      <c r="S265" s="149" t="e">
        <f t="shared" si="54"/>
        <v>#REF!</v>
      </c>
      <c r="T265" s="149" t="e">
        <f t="shared" si="54"/>
        <v>#REF!</v>
      </c>
      <c r="U265" s="149" t="e">
        <f t="shared" si="54"/>
        <v>#REF!</v>
      </c>
      <c r="V265" s="149" t="e">
        <f t="shared" si="54"/>
        <v>#REF!</v>
      </c>
      <c r="W265" s="149" t="e">
        <f t="shared" si="54"/>
        <v>#REF!</v>
      </c>
      <c r="X265" s="149" t="e">
        <f t="shared" si="54"/>
        <v>#REF!</v>
      </c>
      <c r="Y265" s="149" t="e">
        <f t="shared" si="54"/>
        <v>#REF!</v>
      </c>
      <c r="Z265" s="149" t="e">
        <f t="shared" si="54"/>
        <v>#REF!</v>
      </c>
      <c r="AA265" s="149" t="e">
        <f t="shared" si="54"/>
        <v>#REF!</v>
      </c>
      <c r="AB265" s="149" t="e">
        <f t="shared" si="54"/>
        <v>#REF!</v>
      </c>
      <c r="AC265" s="149" t="e">
        <f t="shared" si="54"/>
        <v>#REF!</v>
      </c>
      <c r="AD265" s="236"/>
      <c r="AE265" s="1" t="e">
        <f>+Q265-'POAI 2011 AC.017 MAYO'!I57</f>
        <v>#REF!</v>
      </c>
    </row>
    <row r="266" spans="1:31" ht="22.9" customHeight="1" x14ac:dyDescent="0.3">
      <c r="A266" s="897" t="s">
        <v>4276</v>
      </c>
      <c r="B266" s="853"/>
      <c r="C266" s="853"/>
      <c r="D266" s="853"/>
      <c r="E266" s="853"/>
      <c r="F266" s="853"/>
      <c r="G266" s="853"/>
      <c r="H266" s="853"/>
      <c r="I266" s="853"/>
      <c r="J266" s="853"/>
      <c r="K266" s="853"/>
      <c r="L266" s="853"/>
      <c r="M266" s="853"/>
      <c r="N266" s="853"/>
      <c r="O266" s="853"/>
      <c r="P266" s="853"/>
      <c r="Q266" s="898"/>
      <c r="R266" s="898"/>
      <c r="S266" s="898"/>
      <c r="T266" s="898"/>
      <c r="U266" s="898"/>
      <c r="V266" s="898"/>
      <c r="W266" s="898"/>
      <c r="X266" s="898"/>
      <c r="Y266" s="898"/>
      <c r="Z266" s="898"/>
      <c r="AA266" s="898"/>
      <c r="AB266" s="898"/>
      <c r="AC266" s="898"/>
      <c r="AD266" s="236"/>
    </row>
    <row r="267" spans="1:31" ht="22.9" customHeight="1" x14ac:dyDescent="0.3">
      <c r="A267" s="882" t="s">
        <v>4280</v>
      </c>
      <c r="B267" s="233"/>
      <c r="C267" s="233"/>
      <c r="D267" s="233"/>
      <c r="E267" s="233"/>
      <c r="F267" s="233"/>
      <c r="G267" s="233"/>
      <c r="H267" s="233"/>
      <c r="I267" s="233"/>
      <c r="J267" s="233"/>
      <c r="K267" s="233"/>
      <c r="L267" s="233"/>
      <c r="M267" s="233"/>
      <c r="N267" s="233"/>
      <c r="O267" s="233"/>
      <c r="P267" s="233"/>
      <c r="Q267" s="686"/>
      <c r="R267" s="686"/>
      <c r="S267" s="686"/>
      <c r="T267" s="686"/>
      <c r="U267" s="686"/>
      <c r="V267" s="686"/>
      <c r="W267" s="686"/>
      <c r="X267" s="686"/>
      <c r="Y267" s="686"/>
      <c r="Z267" s="686"/>
      <c r="AA267" s="686"/>
      <c r="AB267" s="686"/>
      <c r="AC267" s="686"/>
      <c r="AD267" s="236"/>
    </row>
    <row r="268" spans="1:31" ht="22.9" customHeight="1" x14ac:dyDescent="0.25">
      <c r="A268" s="1315" t="s">
        <v>3139</v>
      </c>
      <c r="B268" s="1315"/>
      <c r="C268" s="1315" t="s">
        <v>4179</v>
      </c>
      <c r="D268" s="1490" t="s">
        <v>4171</v>
      </c>
      <c r="E268" s="1491"/>
      <c r="F268" s="1492"/>
      <c r="G268" s="1232" t="s">
        <v>4174</v>
      </c>
      <c r="H268" s="1232"/>
      <c r="I268" s="1232" t="s">
        <v>4175</v>
      </c>
      <c r="J268" s="1232" t="s">
        <v>4176</v>
      </c>
      <c r="K268" s="1232"/>
      <c r="L268" s="1232"/>
      <c r="M268" s="893"/>
      <c r="N268" s="893"/>
      <c r="O268" s="1418" t="s">
        <v>447</v>
      </c>
      <c r="P268" s="1493" t="s">
        <v>3347</v>
      </c>
      <c r="Q268" s="1489" t="s">
        <v>3333</v>
      </c>
      <c r="R268" s="1489"/>
      <c r="S268" s="1489"/>
      <c r="T268" s="1489"/>
      <c r="U268" s="1489"/>
      <c r="V268" s="1489"/>
      <c r="W268" s="1489" t="s">
        <v>3333</v>
      </c>
      <c r="X268" s="1489"/>
      <c r="Y268" s="1489"/>
      <c r="Z268" s="1489"/>
      <c r="AA268" s="1489"/>
      <c r="AB268" s="1489"/>
      <c r="AC268" s="1489"/>
      <c r="AD268" s="236"/>
    </row>
    <row r="269" spans="1:31" ht="52.15" customHeight="1" x14ac:dyDescent="0.25">
      <c r="A269" s="1315"/>
      <c r="B269" s="1315"/>
      <c r="C269" s="1315"/>
      <c r="D269" s="908" t="s">
        <v>4178</v>
      </c>
      <c r="E269" s="908" t="s">
        <v>4173</v>
      </c>
      <c r="F269" s="908" t="s">
        <v>4172</v>
      </c>
      <c r="G269" s="909" t="s">
        <v>1</v>
      </c>
      <c r="H269" s="909" t="s">
        <v>4174</v>
      </c>
      <c r="I269" s="1232"/>
      <c r="J269" s="909" t="s">
        <v>4178</v>
      </c>
      <c r="K269" s="909" t="s">
        <v>4173</v>
      </c>
      <c r="L269" s="909" t="s">
        <v>4177</v>
      </c>
      <c r="M269" s="909" t="s">
        <v>460</v>
      </c>
      <c r="N269" s="909" t="s">
        <v>462</v>
      </c>
      <c r="O269" s="1418"/>
      <c r="P269" s="1493"/>
      <c r="Q269" s="910" t="s">
        <v>695</v>
      </c>
      <c r="R269" s="910" t="s">
        <v>3310</v>
      </c>
      <c r="S269" s="910" t="s">
        <v>3311</v>
      </c>
      <c r="T269" s="910" t="s">
        <v>3312</v>
      </c>
      <c r="U269" s="910" t="s">
        <v>3313</v>
      </c>
      <c r="V269" s="910" t="s">
        <v>3314</v>
      </c>
      <c r="W269" s="910" t="s">
        <v>3315</v>
      </c>
      <c r="X269" s="910" t="s">
        <v>3316</v>
      </c>
      <c r="Y269" s="910" t="s">
        <v>3317</v>
      </c>
      <c r="Z269" s="910" t="s">
        <v>3346</v>
      </c>
      <c r="AA269" s="910" t="s">
        <v>3756</v>
      </c>
      <c r="AB269" s="910" t="s">
        <v>3318</v>
      </c>
      <c r="AC269" s="910" t="s">
        <v>3319</v>
      </c>
      <c r="AD269" s="236"/>
    </row>
    <row r="270" spans="1:31" ht="73.150000000000006" customHeight="1" x14ac:dyDescent="0.25">
      <c r="A270" s="1209" t="s">
        <v>2901</v>
      </c>
      <c r="B270" s="1209" t="str">
        <f>+'PLANINDICATIVO PD MAYO'!I69</f>
        <v xml:space="preserve"> EDUCACIÓN VIRTUAL </v>
      </c>
      <c r="C270" s="1209" t="str">
        <f>+'PLANINDICATIVO PD MAYO'!J69</f>
        <v>ADECUAR Y DOTAR 10 AULAS MULTIMEDIA</v>
      </c>
      <c r="D270" s="1209" t="str">
        <f>+'PLANINDICATIVO PD MAYO'!L69</f>
        <v>NÙMERO DE AULAS ADECUADAS Y DOTADAS</v>
      </c>
      <c r="E270" s="1209"/>
      <c r="F270" s="1209">
        <f>+'PLANINDICATIVO PD MAYO'!O69</f>
        <v>5</v>
      </c>
      <c r="G270" s="806" t="s">
        <v>4018</v>
      </c>
      <c r="H270" s="174" t="s">
        <v>4067</v>
      </c>
      <c r="I270" s="174"/>
      <c r="J270" s="174"/>
      <c r="K270" s="174"/>
      <c r="L270" s="174"/>
      <c r="M270" s="155">
        <v>100000000</v>
      </c>
      <c r="N270" s="170">
        <v>0</v>
      </c>
      <c r="O270" s="151">
        <v>211</v>
      </c>
      <c r="P270" s="813" t="s">
        <v>3875</v>
      </c>
      <c r="Q270" s="149" t="e">
        <f t="shared" si="52"/>
        <v>#REF!</v>
      </c>
      <c r="R270" s="166" t="e">
        <f>+#REF!</f>
        <v>#REF!</v>
      </c>
      <c r="S270" s="166" t="e">
        <f>+#REF!</f>
        <v>#REF!</v>
      </c>
      <c r="T270" s="166" t="e">
        <f>+#REF!</f>
        <v>#REF!</v>
      </c>
      <c r="U270" s="166" t="e">
        <f>+#REF!</f>
        <v>#REF!</v>
      </c>
      <c r="V270" s="166" t="e">
        <f>+#REF!</f>
        <v>#REF!</v>
      </c>
      <c r="W270" s="166" t="e">
        <f>+#REF!</f>
        <v>#REF!</v>
      </c>
      <c r="X270" s="166" t="e">
        <f>+#REF!</f>
        <v>#REF!</v>
      </c>
      <c r="Y270" s="166" t="e">
        <f>+#REF!</f>
        <v>#REF!</v>
      </c>
      <c r="Z270" s="166" t="e">
        <f>+#REF!</f>
        <v>#REF!</v>
      </c>
      <c r="AA270" s="166" t="e">
        <f>+#REF!</f>
        <v>#REF!</v>
      </c>
      <c r="AB270" s="166" t="e">
        <f>+#REF!</f>
        <v>#REF!</v>
      </c>
      <c r="AC270" s="166" t="e">
        <f>+#REF!</f>
        <v>#REF!</v>
      </c>
    </row>
    <row r="271" spans="1:31" ht="85.15" customHeight="1" x14ac:dyDescent="0.25">
      <c r="A271" s="1209"/>
      <c r="B271" s="1209"/>
      <c r="C271" s="1209"/>
      <c r="D271" s="1209"/>
      <c r="E271" s="1209"/>
      <c r="F271" s="1209"/>
      <c r="G271" s="806" t="s">
        <v>4068</v>
      </c>
      <c r="H271" s="174" t="s">
        <v>4071</v>
      </c>
      <c r="I271" s="174"/>
      <c r="J271" s="174"/>
      <c r="K271" s="174"/>
      <c r="L271" s="174"/>
      <c r="M271" s="155"/>
      <c r="N271" s="170"/>
      <c r="O271" s="151">
        <v>211</v>
      </c>
      <c r="P271" s="813" t="s">
        <v>4136</v>
      </c>
      <c r="Q271" s="149" t="e">
        <f t="shared" si="52"/>
        <v>#REF!</v>
      </c>
      <c r="R271" s="166" t="e">
        <f>+#REF!</f>
        <v>#REF!</v>
      </c>
      <c r="S271" s="166" t="e">
        <f>+#REF!</f>
        <v>#REF!</v>
      </c>
      <c r="T271" s="166" t="e">
        <f>+#REF!</f>
        <v>#REF!</v>
      </c>
      <c r="U271" s="166" t="e">
        <f>+#REF!</f>
        <v>#REF!</v>
      </c>
      <c r="V271" s="166" t="e">
        <f>+#REF!</f>
        <v>#REF!</v>
      </c>
      <c r="W271" s="166" t="e">
        <f>+#REF!</f>
        <v>#REF!</v>
      </c>
      <c r="X271" s="166" t="e">
        <f>+#REF!</f>
        <v>#REF!</v>
      </c>
      <c r="Y271" s="166" t="e">
        <f>+#REF!</f>
        <v>#REF!</v>
      </c>
      <c r="Z271" s="166" t="e">
        <f>+#REF!</f>
        <v>#REF!</v>
      </c>
      <c r="AA271" s="166" t="e">
        <f>+#REF!</f>
        <v>#REF!</v>
      </c>
      <c r="AB271" s="166" t="e">
        <f>+#REF!</f>
        <v>#REF!</v>
      </c>
      <c r="AC271" s="166" t="e">
        <f>+#REF!</f>
        <v>#REF!</v>
      </c>
    </row>
    <row r="272" spans="1:31" ht="72" customHeight="1" x14ac:dyDescent="0.25">
      <c r="A272" s="1209"/>
      <c r="B272" s="1209"/>
      <c r="C272" s="1209"/>
      <c r="D272" s="1209"/>
      <c r="E272" s="1209"/>
      <c r="F272" s="1209"/>
      <c r="G272" s="806" t="s">
        <v>4069</v>
      </c>
      <c r="H272" s="174" t="s">
        <v>4072</v>
      </c>
      <c r="I272" s="174"/>
      <c r="J272" s="174"/>
      <c r="K272" s="174"/>
      <c r="L272" s="174"/>
      <c r="M272" s="155"/>
      <c r="N272" s="170"/>
      <c r="O272" s="151">
        <v>211</v>
      </c>
      <c r="P272" s="813" t="s">
        <v>4090</v>
      </c>
      <c r="Q272" s="149" t="e">
        <f t="shared" si="52"/>
        <v>#REF!</v>
      </c>
      <c r="R272" s="166" t="e">
        <f>+#REF!</f>
        <v>#REF!</v>
      </c>
      <c r="S272" s="166" t="e">
        <f>+#REF!</f>
        <v>#REF!</v>
      </c>
      <c r="T272" s="166" t="e">
        <f>+#REF!</f>
        <v>#REF!</v>
      </c>
      <c r="U272" s="166" t="e">
        <f>+#REF!</f>
        <v>#REF!</v>
      </c>
      <c r="V272" s="166" t="e">
        <f>+#REF!</f>
        <v>#REF!</v>
      </c>
      <c r="W272" s="166" t="e">
        <f>+#REF!</f>
        <v>#REF!</v>
      </c>
      <c r="X272" s="166" t="e">
        <f>+#REF!</f>
        <v>#REF!</v>
      </c>
      <c r="Y272" s="166" t="e">
        <f>+#REF!</f>
        <v>#REF!</v>
      </c>
      <c r="Z272" s="166" t="e">
        <f>+#REF!</f>
        <v>#REF!</v>
      </c>
      <c r="AA272" s="166" t="e">
        <f>+#REF!</f>
        <v>#REF!</v>
      </c>
      <c r="AB272" s="166" t="e">
        <f>+#REF!</f>
        <v>#REF!</v>
      </c>
      <c r="AC272" s="166" t="e">
        <f>+#REF!</f>
        <v>#REF!</v>
      </c>
    </row>
    <row r="273" spans="1:31" ht="95.45" customHeight="1" x14ac:dyDescent="0.25">
      <c r="A273" s="914" t="str">
        <f>+A270</f>
        <v>PY.7.2.1</v>
      </c>
      <c r="B273" s="914" t="str">
        <f>+B270</f>
        <v xml:space="preserve"> EDUCACIÓN VIRTUAL </v>
      </c>
      <c r="C273" s="914" t="str">
        <f>+C270</f>
        <v>ADECUAR Y DOTAR 10 AULAS MULTIMEDIA</v>
      </c>
      <c r="D273" s="914" t="str">
        <f>+D270</f>
        <v>NÙMERO DE AULAS ADECUADAS Y DOTADAS</v>
      </c>
      <c r="E273" s="914"/>
      <c r="F273" s="914">
        <f>+F270</f>
        <v>5</v>
      </c>
      <c r="G273" s="806" t="s">
        <v>4070</v>
      </c>
      <c r="H273" s="174" t="s">
        <v>4073</v>
      </c>
      <c r="I273" s="174"/>
      <c r="J273" s="174"/>
      <c r="K273" s="174"/>
      <c r="L273" s="174"/>
      <c r="M273" s="155"/>
      <c r="N273" s="170"/>
      <c r="O273" s="151">
        <v>211</v>
      </c>
      <c r="P273" s="813" t="s">
        <v>3349</v>
      </c>
      <c r="Q273" s="149" t="e">
        <f t="shared" si="52"/>
        <v>#REF!</v>
      </c>
      <c r="R273" s="166" t="e">
        <f>+#REF!</f>
        <v>#REF!</v>
      </c>
      <c r="S273" s="166" t="e">
        <f>+#REF!</f>
        <v>#REF!</v>
      </c>
      <c r="T273" s="166" t="e">
        <f>+#REF!</f>
        <v>#REF!</v>
      </c>
      <c r="U273" s="166" t="e">
        <f>+#REF!</f>
        <v>#REF!</v>
      </c>
      <c r="V273" s="166" t="e">
        <f>+#REF!</f>
        <v>#REF!</v>
      </c>
      <c r="W273" s="166" t="e">
        <f>+#REF!</f>
        <v>#REF!</v>
      </c>
      <c r="X273" s="166" t="e">
        <f>+#REF!</f>
        <v>#REF!</v>
      </c>
      <c r="Y273" s="166" t="e">
        <f>+#REF!</f>
        <v>#REF!</v>
      </c>
      <c r="Z273" s="166" t="e">
        <f>+#REF!</f>
        <v>#REF!</v>
      </c>
      <c r="AA273" s="166" t="e">
        <f>+#REF!</f>
        <v>#REF!</v>
      </c>
      <c r="AB273" s="166" t="e">
        <f>+#REF!</f>
        <v>#REF!</v>
      </c>
      <c r="AC273" s="166" t="e">
        <f>+#REF!</f>
        <v>#REF!</v>
      </c>
    </row>
    <row r="274" spans="1:31" ht="114" customHeight="1" x14ac:dyDescent="0.25">
      <c r="A274" s="1243" t="str">
        <f>+A273</f>
        <v>PY.7.2.1</v>
      </c>
      <c r="B274" s="1243" t="str">
        <f>+B273</f>
        <v xml:space="preserve"> EDUCACIÓN VIRTUAL </v>
      </c>
      <c r="C274" s="1243" t="str">
        <f>+C273</f>
        <v>ADECUAR Y DOTAR 10 AULAS MULTIMEDIA</v>
      </c>
      <c r="D274" s="1243" t="str">
        <f>+D273</f>
        <v>NÙMERO DE AULAS ADECUADAS Y DOTADAS</v>
      </c>
      <c r="E274" s="1243"/>
      <c r="F274" s="1243">
        <f>+F273</f>
        <v>5</v>
      </c>
      <c r="G274" s="806" t="s">
        <v>4053</v>
      </c>
      <c r="H274" s="174" t="s">
        <v>4057</v>
      </c>
      <c r="I274" s="174"/>
      <c r="J274" s="174"/>
      <c r="K274" s="174"/>
      <c r="L274" s="174"/>
      <c r="M274" s="155"/>
      <c r="N274" s="170"/>
      <c r="O274" s="151">
        <v>510</v>
      </c>
      <c r="P274" s="815" t="s">
        <v>3353</v>
      </c>
      <c r="Q274" s="149" t="e">
        <f t="shared" si="52"/>
        <v>#REF!</v>
      </c>
      <c r="R274" s="166" t="e">
        <f>+#REF!</f>
        <v>#REF!</v>
      </c>
      <c r="S274" s="166" t="e">
        <f>+#REF!</f>
        <v>#REF!</v>
      </c>
      <c r="T274" s="166" t="e">
        <f>+#REF!</f>
        <v>#REF!</v>
      </c>
      <c r="U274" s="166" t="e">
        <f>+#REF!</f>
        <v>#REF!</v>
      </c>
      <c r="V274" s="166" t="e">
        <f>+#REF!</f>
        <v>#REF!</v>
      </c>
      <c r="W274" s="166" t="e">
        <f>+#REF!</f>
        <v>#REF!</v>
      </c>
      <c r="X274" s="166" t="e">
        <f>+#REF!</f>
        <v>#REF!</v>
      </c>
      <c r="Y274" s="166" t="e">
        <f>+#REF!</f>
        <v>#REF!</v>
      </c>
      <c r="Z274" s="166" t="e">
        <f>+#REF!</f>
        <v>#REF!</v>
      </c>
      <c r="AA274" s="166" t="e">
        <f>+#REF!</f>
        <v>#REF!</v>
      </c>
      <c r="AB274" s="166" t="e">
        <f>+#REF!</f>
        <v>#REF!</v>
      </c>
      <c r="AC274" s="166" t="e">
        <f>+#REF!</f>
        <v>#REF!</v>
      </c>
    </row>
    <row r="275" spans="1:31" ht="97.9" customHeight="1" x14ac:dyDescent="0.25">
      <c r="A275" s="1244"/>
      <c r="B275" s="1244"/>
      <c r="C275" s="1244"/>
      <c r="D275" s="1244"/>
      <c r="E275" s="1244"/>
      <c r="F275" s="1244"/>
      <c r="G275" s="806" t="s">
        <v>4054</v>
      </c>
      <c r="H275" s="174" t="s">
        <v>4058</v>
      </c>
      <c r="I275" s="174"/>
      <c r="J275" s="174"/>
      <c r="K275" s="174"/>
      <c r="L275" s="174"/>
      <c r="M275" s="155"/>
      <c r="N275" s="170"/>
      <c r="O275" s="151">
        <v>510</v>
      </c>
      <c r="P275" s="815" t="s">
        <v>3353</v>
      </c>
      <c r="Q275" s="149" t="e">
        <f t="shared" si="52"/>
        <v>#REF!</v>
      </c>
      <c r="R275" s="166" t="e">
        <f>+#REF!</f>
        <v>#REF!</v>
      </c>
      <c r="S275" s="166" t="e">
        <f>+#REF!</f>
        <v>#REF!</v>
      </c>
      <c r="T275" s="166" t="e">
        <f>+#REF!</f>
        <v>#REF!</v>
      </c>
      <c r="U275" s="166" t="e">
        <f>+#REF!</f>
        <v>#REF!</v>
      </c>
      <c r="V275" s="166" t="e">
        <f>+#REF!</f>
        <v>#REF!</v>
      </c>
      <c r="W275" s="166" t="e">
        <f>+#REF!</f>
        <v>#REF!</v>
      </c>
      <c r="X275" s="166" t="e">
        <f>+#REF!</f>
        <v>#REF!</v>
      </c>
      <c r="Y275" s="166" t="e">
        <f>+#REF!</f>
        <v>#REF!</v>
      </c>
      <c r="Z275" s="166" t="e">
        <f>+#REF!</f>
        <v>#REF!</v>
      </c>
      <c r="AA275" s="166" t="e">
        <f>+#REF!</f>
        <v>#REF!</v>
      </c>
      <c r="AB275" s="166" t="e">
        <f>+#REF!</f>
        <v>#REF!</v>
      </c>
      <c r="AC275" s="166" t="e">
        <f>+#REF!</f>
        <v>#REF!</v>
      </c>
    </row>
    <row r="276" spans="1:31" ht="113.45" customHeight="1" x14ac:dyDescent="0.25">
      <c r="A276" s="1244"/>
      <c r="B276" s="1244"/>
      <c r="C276" s="1244"/>
      <c r="D276" s="1244"/>
      <c r="E276" s="1244"/>
      <c r="F276" s="1244"/>
      <c r="G276" s="806" t="s">
        <v>4055</v>
      </c>
      <c r="H276" s="174" t="s">
        <v>4059</v>
      </c>
      <c r="I276" s="174"/>
      <c r="J276" s="174"/>
      <c r="K276" s="174"/>
      <c r="L276" s="174"/>
      <c r="M276" s="155"/>
      <c r="N276" s="170"/>
      <c r="O276" s="151">
        <v>510</v>
      </c>
      <c r="P276" s="815" t="s">
        <v>3353</v>
      </c>
      <c r="Q276" s="149" t="e">
        <f t="shared" si="52"/>
        <v>#REF!</v>
      </c>
      <c r="R276" s="166" t="e">
        <f>+#REF!</f>
        <v>#REF!</v>
      </c>
      <c r="S276" s="166" t="e">
        <f>+#REF!</f>
        <v>#REF!</v>
      </c>
      <c r="T276" s="166" t="e">
        <f>+#REF!</f>
        <v>#REF!</v>
      </c>
      <c r="U276" s="166" t="e">
        <f>+#REF!</f>
        <v>#REF!</v>
      </c>
      <c r="V276" s="166" t="e">
        <f>+#REF!</f>
        <v>#REF!</v>
      </c>
      <c r="W276" s="166" t="e">
        <f>+#REF!</f>
        <v>#REF!</v>
      </c>
      <c r="X276" s="166" t="e">
        <f>+#REF!</f>
        <v>#REF!</v>
      </c>
      <c r="Y276" s="166" t="e">
        <f>+#REF!</f>
        <v>#REF!</v>
      </c>
      <c r="Z276" s="166" t="e">
        <f>+#REF!</f>
        <v>#REF!</v>
      </c>
      <c r="AA276" s="166" t="e">
        <f>+#REF!</f>
        <v>#REF!</v>
      </c>
      <c r="AB276" s="166" t="e">
        <f>+#REF!</f>
        <v>#REF!</v>
      </c>
      <c r="AC276" s="166" t="e">
        <f>+#REF!</f>
        <v>#REF!</v>
      </c>
    </row>
    <row r="277" spans="1:31" ht="71.45" customHeight="1" x14ac:dyDescent="0.25">
      <c r="A277" s="1244"/>
      <c r="B277" s="1244"/>
      <c r="C277" s="1244"/>
      <c r="D277" s="1244"/>
      <c r="E277" s="1244"/>
      <c r="F277" s="1244"/>
      <c r="G277" s="806" t="s">
        <v>4056</v>
      </c>
      <c r="H277" s="174" t="s">
        <v>4060</v>
      </c>
      <c r="I277" s="174"/>
      <c r="J277" s="174"/>
      <c r="K277" s="174"/>
      <c r="L277" s="174"/>
      <c r="M277" s="155"/>
      <c r="N277" s="170"/>
      <c r="O277" s="151">
        <v>510</v>
      </c>
      <c r="P277" s="815" t="s">
        <v>3353</v>
      </c>
      <c r="Q277" s="149" t="e">
        <f t="shared" si="52"/>
        <v>#REF!</v>
      </c>
      <c r="R277" s="166" t="e">
        <f>+#REF!</f>
        <v>#REF!</v>
      </c>
      <c r="S277" s="166" t="e">
        <f>+#REF!</f>
        <v>#REF!</v>
      </c>
      <c r="T277" s="166" t="e">
        <f>+#REF!</f>
        <v>#REF!</v>
      </c>
      <c r="U277" s="166" t="e">
        <f>+#REF!</f>
        <v>#REF!</v>
      </c>
      <c r="V277" s="166" t="e">
        <f>+#REF!</f>
        <v>#REF!</v>
      </c>
      <c r="W277" s="166" t="e">
        <f>+#REF!</f>
        <v>#REF!</v>
      </c>
      <c r="X277" s="166" t="e">
        <f>+#REF!</f>
        <v>#REF!</v>
      </c>
      <c r="Y277" s="166" t="e">
        <f>+#REF!</f>
        <v>#REF!</v>
      </c>
      <c r="Z277" s="166" t="e">
        <f>+#REF!</f>
        <v>#REF!</v>
      </c>
      <c r="AA277" s="166" t="e">
        <f>+#REF!</f>
        <v>#REF!</v>
      </c>
      <c r="AB277" s="166" t="e">
        <f>+#REF!</f>
        <v>#REF!</v>
      </c>
      <c r="AC277" s="166" t="e">
        <f>+#REF!</f>
        <v>#REF!</v>
      </c>
    </row>
    <row r="278" spans="1:31" ht="28.15" customHeight="1" x14ac:dyDescent="0.25">
      <c r="A278" s="1209" t="s">
        <v>4281</v>
      </c>
      <c r="B278" s="1209"/>
      <c r="C278" s="1209"/>
      <c r="D278" s="1209"/>
      <c r="E278" s="1209"/>
      <c r="F278" s="1209"/>
      <c r="G278" s="1209"/>
      <c r="H278" s="1209"/>
      <c r="I278" s="1209"/>
      <c r="J278" s="1209"/>
      <c r="K278" s="1209"/>
      <c r="L278" s="1209"/>
      <c r="M278" s="1209"/>
      <c r="N278" s="1209"/>
      <c r="O278" s="1209"/>
      <c r="P278" s="1209"/>
      <c r="Q278" s="149" t="e">
        <f>SUM(Q270:Q277)</f>
        <v>#REF!</v>
      </c>
      <c r="R278" s="149" t="e">
        <f t="shared" ref="R278:AC278" si="55">SUM(R270:R277)</f>
        <v>#REF!</v>
      </c>
      <c r="S278" s="149" t="e">
        <f t="shared" si="55"/>
        <v>#REF!</v>
      </c>
      <c r="T278" s="149" t="e">
        <f t="shared" si="55"/>
        <v>#REF!</v>
      </c>
      <c r="U278" s="149" t="e">
        <f t="shared" si="55"/>
        <v>#REF!</v>
      </c>
      <c r="V278" s="149" t="e">
        <f t="shared" si="55"/>
        <v>#REF!</v>
      </c>
      <c r="W278" s="149" t="e">
        <f t="shared" si="55"/>
        <v>#REF!</v>
      </c>
      <c r="X278" s="149" t="e">
        <f t="shared" si="55"/>
        <v>#REF!</v>
      </c>
      <c r="Y278" s="149" t="e">
        <f t="shared" si="55"/>
        <v>#REF!</v>
      </c>
      <c r="Z278" s="149" t="e">
        <f t="shared" si="55"/>
        <v>#REF!</v>
      </c>
      <c r="AA278" s="149" t="e">
        <f t="shared" si="55"/>
        <v>#REF!</v>
      </c>
      <c r="AB278" s="149" t="e">
        <f t="shared" si="55"/>
        <v>#REF!</v>
      </c>
      <c r="AC278" s="149" t="e">
        <f t="shared" si="55"/>
        <v>#REF!</v>
      </c>
      <c r="AE278" s="1" t="e">
        <f>+Q278-'POAI 2011 AC.017 MAYO'!I61-'POAI 2011 AC.017 MAYO'!I62</f>
        <v>#REF!</v>
      </c>
    </row>
    <row r="279" spans="1:31" ht="41.45" customHeight="1" x14ac:dyDescent="0.25">
      <c r="A279" s="1209" t="s">
        <v>2894</v>
      </c>
      <c r="B279" s="1209" t="str">
        <f>+'PLANINDICATIVO PD MAYO'!I72</f>
        <v>COMPRA, DESARROLLO, DOTACIÓN Y MANTENIMIENTO DE SOFTWARE Y HARDWARE PARA LA GESTIÓN TECNOLOGICA EN LA USCO</v>
      </c>
      <c r="C279" s="1209" t="str">
        <f>+'PLANINDICATIVO PD MAYO'!J72</f>
        <v>AUMENTAR DE 300 A 500 LOS EQUIPOS DE SISTEMAS Y REDES DISPONIBLES EN AL USCO</v>
      </c>
      <c r="D279" s="1209" t="str">
        <f>+'PLANINDICATIVO PD MAYO'!L72</f>
        <v>NÙMERO DE EQUIPOS DE SISTEMAS Y REDES ADQUIRIDOS Y MANTENIDOS</v>
      </c>
      <c r="E279" s="1209"/>
      <c r="F279" s="1209">
        <f>+'PLANINDICATIVO PD MAYO'!O72</f>
        <v>500</v>
      </c>
      <c r="G279" s="2" t="s">
        <v>4019</v>
      </c>
      <c r="H279" s="154" t="s">
        <v>40</v>
      </c>
      <c r="I279" s="154"/>
      <c r="J279" s="154"/>
      <c r="K279" s="154"/>
      <c r="L279" s="154"/>
      <c r="M279" s="155">
        <v>200000000</v>
      </c>
      <c r="N279" s="155">
        <v>379200000</v>
      </c>
      <c r="O279" s="151">
        <v>211</v>
      </c>
      <c r="P279" s="810" t="s">
        <v>3375</v>
      </c>
      <c r="Q279" s="149" t="e">
        <f t="shared" si="52"/>
        <v>#REF!</v>
      </c>
      <c r="R279" s="166" t="e">
        <f>+#REF!</f>
        <v>#REF!</v>
      </c>
      <c r="S279" s="166" t="e">
        <f>+#REF!</f>
        <v>#REF!</v>
      </c>
      <c r="T279" s="166" t="e">
        <f>+#REF!</f>
        <v>#REF!</v>
      </c>
      <c r="U279" s="166" t="e">
        <f>+#REF!</f>
        <v>#REF!</v>
      </c>
      <c r="V279" s="166" t="e">
        <f>+#REF!</f>
        <v>#REF!</v>
      </c>
      <c r="W279" s="166" t="e">
        <f>+#REF!</f>
        <v>#REF!</v>
      </c>
      <c r="X279" s="166" t="e">
        <f>+#REF!</f>
        <v>#REF!</v>
      </c>
      <c r="Y279" s="166" t="e">
        <f>+#REF!</f>
        <v>#REF!</v>
      </c>
      <c r="Z279" s="166" t="e">
        <f>+#REF!</f>
        <v>#REF!</v>
      </c>
      <c r="AA279" s="166" t="e">
        <f>+#REF!</f>
        <v>#REF!</v>
      </c>
      <c r="AB279" s="166" t="e">
        <f>+#REF!</f>
        <v>#REF!</v>
      </c>
      <c r="AC279" s="166" t="e">
        <f>+#REF!</f>
        <v>#REF!</v>
      </c>
    </row>
    <row r="280" spans="1:31" ht="33" customHeight="1" x14ac:dyDescent="0.25">
      <c r="A280" s="1209"/>
      <c r="B280" s="1209"/>
      <c r="C280" s="1209"/>
      <c r="D280" s="1209"/>
      <c r="E280" s="1209"/>
      <c r="F280" s="1209"/>
      <c r="G280" s="2" t="s">
        <v>4064</v>
      </c>
      <c r="H280" s="154" t="s">
        <v>3152</v>
      </c>
      <c r="I280" s="154"/>
      <c r="J280" s="154"/>
      <c r="K280" s="154"/>
      <c r="L280" s="154"/>
      <c r="M280" s="155">
        <v>200000000</v>
      </c>
      <c r="N280" s="155">
        <v>379200000</v>
      </c>
      <c r="O280" s="151">
        <v>211</v>
      </c>
      <c r="P280" s="810" t="s">
        <v>3375</v>
      </c>
      <c r="Q280" s="149" t="e">
        <f>SUM(R280:AC280)</f>
        <v>#REF!</v>
      </c>
      <c r="R280" s="166" t="e">
        <f>+#REF!</f>
        <v>#REF!</v>
      </c>
      <c r="S280" s="166" t="e">
        <f>+#REF!</f>
        <v>#REF!</v>
      </c>
      <c r="T280" s="166" t="e">
        <f>+#REF!</f>
        <v>#REF!</v>
      </c>
      <c r="U280" s="166" t="e">
        <f>+#REF!</f>
        <v>#REF!</v>
      </c>
      <c r="V280" s="166" t="e">
        <f>+#REF!</f>
        <v>#REF!</v>
      </c>
      <c r="W280" s="166" t="e">
        <f>+#REF!</f>
        <v>#REF!</v>
      </c>
      <c r="X280" s="166" t="e">
        <f>+#REF!</f>
        <v>#REF!</v>
      </c>
      <c r="Y280" s="166" t="e">
        <f>+#REF!</f>
        <v>#REF!</v>
      </c>
      <c r="Z280" s="166" t="e">
        <f>+#REF!</f>
        <v>#REF!</v>
      </c>
      <c r="AA280" s="166" t="e">
        <f>+#REF!</f>
        <v>#REF!</v>
      </c>
      <c r="AB280" s="166" t="e">
        <f>+#REF!</f>
        <v>#REF!</v>
      </c>
      <c r="AC280" s="166" t="e">
        <f>+#REF!</f>
        <v>#REF!</v>
      </c>
    </row>
    <row r="281" spans="1:31" ht="58.15" customHeight="1" x14ac:dyDescent="0.25">
      <c r="A281" s="1209"/>
      <c r="B281" s="1209"/>
      <c r="C281" s="1209"/>
      <c r="D281" s="1209"/>
      <c r="E281" s="1209"/>
      <c r="F281" s="1209"/>
      <c r="G281" s="2" t="s">
        <v>4065</v>
      </c>
      <c r="H281" s="154" t="s">
        <v>4066</v>
      </c>
      <c r="I281" s="154"/>
      <c r="J281" s="154"/>
      <c r="K281" s="154"/>
      <c r="L281" s="154"/>
      <c r="M281" s="155">
        <v>200000000</v>
      </c>
      <c r="N281" s="155">
        <v>379200000</v>
      </c>
      <c r="O281" s="151">
        <v>211</v>
      </c>
      <c r="P281" s="810" t="s">
        <v>3375</v>
      </c>
      <c r="Q281" s="149" t="e">
        <f>SUM(R281:AC281)</f>
        <v>#REF!</v>
      </c>
      <c r="R281" s="166" t="e">
        <f>+#REF!</f>
        <v>#REF!</v>
      </c>
      <c r="S281" s="166" t="e">
        <f>+#REF!</f>
        <v>#REF!</v>
      </c>
      <c r="T281" s="166" t="e">
        <f>+#REF!</f>
        <v>#REF!</v>
      </c>
      <c r="U281" s="166" t="e">
        <f>+#REF!</f>
        <v>#REF!</v>
      </c>
      <c r="V281" s="166" t="e">
        <f>+#REF!</f>
        <v>#REF!</v>
      </c>
      <c r="W281" s="166" t="e">
        <f>+#REF!</f>
        <v>#REF!</v>
      </c>
      <c r="X281" s="166" t="e">
        <f>+#REF!</f>
        <v>#REF!</v>
      </c>
      <c r="Y281" s="166" t="e">
        <f>+#REF!</f>
        <v>#REF!</v>
      </c>
      <c r="Z281" s="166" t="e">
        <f>+#REF!</f>
        <v>#REF!</v>
      </c>
      <c r="AA281" s="166" t="e">
        <f>+#REF!</f>
        <v>#REF!</v>
      </c>
      <c r="AB281" s="166" t="e">
        <f>+#REF!</f>
        <v>#REF!</v>
      </c>
      <c r="AC281" s="166" t="e">
        <f>+#REF!</f>
        <v>#REF!</v>
      </c>
    </row>
    <row r="282" spans="1:31" ht="29.45" customHeight="1" x14ac:dyDescent="0.25">
      <c r="A282" s="1209" t="s">
        <v>4282</v>
      </c>
      <c r="B282" s="1209"/>
      <c r="C282" s="1209"/>
      <c r="D282" s="1209"/>
      <c r="E282" s="1209"/>
      <c r="F282" s="1209"/>
      <c r="G282" s="1209"/>
      <c r="H282" s="1209"/>
      <c r="I282" s="1209"/>
      <c r="J282" s="1209"/>
      <c r="K282" s="1209"/>
      <c r="L282" s="1209"/>
      <c r="M282" s="1209"/>
      <c r="N282" s="1209"/>
      <c r="O282" s="1209"/>
      <c r="P282" s="1209"/>
      <c r="Q282" s="149" t="e">
        <f>SUM(Q279:Q281)</f>
        <v>#REF!</v>
      </c>
      <c r="R282" s="149" t="e">
        <f t="shared" ref="R282:AC282" si="56">SUM(R274:R281)</f>
        <v>#REF!</v>
      </c>
      <c r="S282" s="149" t="e">
        <f t="shared" si="56"/>
        <v>#REF!</v>
      </c>
      <c r="T282" s="149" t="e">
        <f t="shared" si="56"/>
        <v>#REF!</v>
      </c>
      <c r="U282" s="149" t="e">
        <f t="shared" si="56"/>
        <v>#REF!</v>
      </c>
      <c r="V282" s="149" t="e">
        <f t="shared" si="56"/>
        <v>#REF!</v>
      </c>
      <c r="W282" s="149" t="e">
        <f t="shared" si="56"/>
        <v>#REF!</v>
      </c>
      <c r="X282" s="149" t="e">
        <f t="shared" si="56"/>
        <v>#REF!</v>
      </c>
      <c r="Y282" s="149" t="e">
        <f t="shared" si="56"/>
        <v>#REF!</v>
      </c>
      <c r="Z282" s="149" t="e">
        <f t="shared" si="56"/>
        <v>#REF!</v>
      </c>
      <c r="AA282" s="149" t="e">
        <f t="shared" si="56"/>
        <v>#REF!</v>
      </c>
      <c r="AB282" s="149" t="e">
        <f t="shared" si="56"/>
        <v>#REF!</v>
      </c>
      <c r="AC282" s="149" t="e">
        <f t="shared" si="56"/>
        <v>#REF!</v>
      </c>
      <c r="AE282" s="1" t="e">
        <f>+Q282-'POAI 2011 AC.017 MAYO'!I65</f>
        <v>#REF!</v>
      </c>
    </row>
    <row r="283" spans="1:31" ht="34.9" customHeight="1" x14ac:dyDescent="0.25">
      <c r="A283" s="1207" t="s">
        <v>4283</v>
      </c>
      <c r="B283" s="1208"/>
      <c r="C283" s="1208"/>
      <c r="D283" s="1208"/>
      <c r="E283" s="1208"/>
      <c r="F283" s="1208"/>
      <c r="G283" s="1208"/>
      <c r="H283" s="1208"/>
      <c r="I283" s="1208"/>
      <c r="J283" s="1208"/>
      <c r="K283" s="1208"/>
      <c r="L283" s="1208"/>
      <c r="M283" s="1208"/>
      <c r="N283" s="1208"/>
      <c r="O283" s="1208"/>
      <c r="P283" s="1217"/>
      <c r="Q283" s="149" t="e">
        <f>+Q282+Q278</f>
        <v>#REF!</v>
      </c>
      <c r="R283" s="149" t="e">
        <f t="shared" ref="R283:AC283" si="57">+R282</f>
        <v>#REF!</v>
      </c>
      <c r="S283" s="149" t="e">
        <f t="shared" si="57"/>
        <v>#REF!</v>
      </c>
      <c r="T283" s="149" t="e">
        <f t="shared" si="57"/>
        <v>#REF!</v>
      </c>
      <c r="U283" s="149" t="e">
        <f t="shared" si="57"/>
        <v>#REF!</v>
      </c>
      <c r="V283" s="149" t="e">
        <f t="shared" si="57"/>
        <v>#REF!</v>
      </c>
      <c r="W283" s="149" t="e">
        <f t="shared" si="57"/>
        <v>#REF!</v>
      </c>
      <c r="X283" s="149" t="e">
        <f t="shared" si="57"/>
        <v>#REF!</v>
      </c>
      <c r="Y283" s="149" t="e">
        <f t="shared" si="57"/>
        <v>#REF!</v>
      </c>
      <c r="Z283" s="149" t="e">
        <f t="shared" si="57"/>
        <v>#REF!</v>
      </c>
      <c r="AA283" s="149" t="e">
        <f t="shared" si="57"/>
        <v>#REF!</v>
      </c>
      <c r="AB283" s="149" t="e">
        <f t="shared" si="57"/>
        <v>#REF!</v>
      </c>
      <c r="AC283" s="149" t="e">
        <f t="shared" si="57"/>
        <v>#REF!</v>
      </c>
      <c r="AE283" s="1" t="e">
        <f>+Q283-'POAI 2011 AC.017 MAYO'!I59</f>
        <v>#REF!</v>
      </c>
    </row>
    <row r="284" spans="1:31" ht="18.600000000000001" customHeight="1" x14ac:dyDescent="0.25">
      <c r="A284" s="1502" t="s">
        <v>3411</v>
      </c>
      <c r="B284" s="1305"/>
      <c r="C284" s="1305"/>
      <c r="D284" s="1305"/>
      <c r="E284" s="1305"/>
      <c r="F284" s="1305"/>
      <c r="G284" s="1305"/>
      <c r="H284" s="1305"/>
      <c r="I284" s="1305"/>
      <c r="J284" s="1305"/>
      <c r="K284" s="1305"/>
      <c r="L284" s="1305"/>
      <c r="M284" s="1305"/>
      <c r="N284" s="1305"/>
      <c r="O284" s="1305"/>
      <c r="P284" s="1306"/>
      <c r="Q284" s="241" t="e">
        <f>+Q283+Q265</f>
        <v>#REF!</v>
      </c>
      <c r="R284" s="241" t="e">
        <f t="shared" ref="R284:AC284" si="58">SUM(R263:R281)</f>
        <v>#REF!</v>
      </c>
      <c r="S284" s="241" t="e">
        <f t="shared" si="58"/>
        <v>#REF!</v>
      </c>
      <c r="T284" s="241" t="e">
        <f t="shared" si="58"/>
        <v>#REF!</v>
      </c>
      <c r="U284" s="241" t="e">
        <f t="shared" si="58"/>
        <v>#REF!</v>
      </c>
      <c r="V284" s="241" t="e">
        <f t="shared" si="58"/>
        <v>#REF!</v>
      </c>
      <c r="W284" s="241" t="e">
        <f t="shared" si="58"/>
        <v>#REF!</v>
      </c>
      <c r="X284" s="241" t="e">
        <f t="shared" si="58"/>
        <v>#REF!</v>
      </c>
      <c r="Y284" s="241" t="e">
        <f t="shared" si="58"/>
        <v>#REF!</v>
      </c>
      <c r="Z284" s="241" t="e">
        <f t="shared" si="58"/>
        <v>#REF!</v>
      </c>
      <c r="AA284" s="241" t="e">
        <f t="shared" si="58"/>
        <v>#REF!</v>
      </c>
      <c r="AB284" s="241" t="e">
        <f t="shared" si="58"/>
        <v>#REF!</v>
      </c>
      <c r="AC284" s="241" t="e">
        <f t="shared" si="58"/>
        <v>#REF!</v>
      </c>
      <c r="AE284" s="1" t="e">
        <f>+Q284-'POAI 2011 AC.017 MAYO'!I56</f>
        <v>#REF!</v>
      </c>
    </row>
    <row r="285" spans="1:31" ht="12.6" customHeight="1" x14ac:dyDescent="0.25">
      <c r="A285" s="1513"/>
      <c r="B285" s="1513"/>
      <c r="C285" s="1513"/>
      <c r="D285" s="1513"/>
      <c r="E285" s="1513"/>
      <c r="F285" s="1513"/>
      <c r="G285" s="1513"/>
      <c r="H285" s="1513"/>
      <c r="I285" s="1513"/>
      <c r="J285" s="1513"/>
      <c r="K285" s="1513"/>
      <c r="L285" s="1513"/>
      <c r="M285" s="1513"/>
      <c r="N285" s="1513"/>
      <c r="O285" s="1513"/>
      <c r="P285" s="853"/>
      <c r="Q285" s="796"/>
      <c r="R285" s="694"/>
      <c r="S285" s="694"/>
      <c r="T285" s="694"/>
      <c r="U285" s="694"/>
      <c r="V285" s="694"/>
      <c r="W285" s="694"/>
      <c r="X285" s="694"/>
      <c r="Y285" s="694"/>
      <c r="Z285" s="694"/>
      <c r="AA285" s="694"/>
      <c r="AB285" s="694"/>
      <c r="AC285" s="694"/>
    </row>
    <row r="286" spans="1:31" ht="21" customHeight="1" x14ac:dyDescent="0.25">
      <c r="A286" s="1209" t="s">
        <v>622</v>
      </c>
      <c r="B286" s="1209"/>
      <c r="C286" s="1209"/>
      <c r="D286" s="1209"/>
      <c r="E286" s="1209"/>
      <c r="F286" s="1209"/>
      <c r="G286" s="1209"/>
      <c r="H286" s="1209"/>
      <c r="I286" s="1209"/>
      <c r="J286" s="1209"/>
      <c r="K286" s="1209"/>
      <c r="L286" s="1209"/>
      <c r="M286" s="1209"/>
      <c r="N286" s="1209"/>
      <c r="O286" s="1209"/>
      <c r="P286" s="1209"/>
      <c r="Q286" s="204" t="e">
        <f t="shared" ref="Q286:AC286" si="59">+Q284+Q258+Q227+Q219+Q139+Q31+Q15</f>
        <v>#REF!</v>
      </c>
      <c r="R286" s="204" t="e">
        <f t="shared" si="59"/>
        <v>#REF!</v>
      </c>
      <c r="S286" s="204" t="e">
        <f t="shared" si="59"/>
        <v>#REF!</v>
      </c>
      <c r="T286" s="204" t="e">
        <f t="shared" si="59"/>
        <v>#REF!</v>
      </c>
      <c r="U286" s="204" t="e">
        <f t="shared" si="59"/>
        <v>#REF!</v>
      </c>
      <c r="V286" s="204" t="e">
        <f t="shared" si="59"/>
        <v>#REF!</v>
      </c>
      <c r="W286" s="204" t="e">
        <f t="shared" si="59"/>
        <v>#REF!</v>
      </c>
      <c r="X286" s="204" t="e">
        <f t="shared" si="59"/>
        <v>#REF!</v>
      </c>
      <c r="Y286" s="204" t="e">
        <f t="shared" si="59"/>
        <v>#REF!</v>
      </c>
      <c r="Z286" s="204" t="e">
        <f t="shared" si="59"/>
        <v>#REF!</v>
      </c>
      <c r="AA286" s="204" t="e">
        <f t="shared" si="59"/>
        <v>#REF!</v>
      </c>
      <c r="AB286" s="204" t="e">
        <f t="shared" si="59"/>
        <v>#REF!</v>
      </c>
      <c r="AC286" s="204" t="e">
        <f t="shared" si="59"/>
        <v>#REF!</v>
      </c>
      <c r="AE286" s="1" t="e">
        <f>+Q286-'POAI 2011 AC.017 MAYO'!I66</f>
        <v>#REF!</v>
      </c>
    </row>
    <row r="287" spans="1:31" ht="15" customHeight="1" x14ac:dyDescent="0.25">
      <c r="A287" s="181"/>
      <c r="B287" s="181"/>
      <c r="C287" s="181"/>
      <c r="D287" s="831"/>
      <c r="E287" s="831"/>
      <c r="F287" s="831"/>
      <c r="G287" s="181"/>
      <c r="H287" s="181"/>
      <c r="I287" s="181"/>
      <c r="J287" s="181"/>
      <c r="K287" s="181"/>
      <c r="L287" s="181"/>
      <c r="M287" s="830"/>
      <c r="N287" s="830"/>
      <c r="O287" s="871"/>
      <c r="P287" s="871"/>
      <c r="Q287" s="270" t="e">
        <f>+Q285+Q262+#REF!+Q220+Q140+#REF!+#REF!</f>
        <v>#VALUE!</v>
      </c>
      <c r="R287" s="122"/>
      <c r="S287" s="122"/>
      <c r="T287" s="122"/>
      <c r="U287" s="122"/>
      <c r="V287" s="122"/>
      <c r="W287" s="122"/>
      <c r="X287" s="122"/>
      <c r="Y287" s="122"/>
      <c r="Z287" s="122"/>
      <c r="AA287" s="122"/>
      <c r="AB287" s="122"/>
      <c r="AC287" s="122"/>
    </row>
    <row r="288" spans="1:31" ht="18.600000000000001" customHeight="1" x14ac:dyDescent="0.25">
      <c r="A288" s="1209" t="s">
        <v>3302</v>
      </c>
      <c r="B288" s="1209"/>
      <c r="C288" s="1209"/>
      <c r="D288" s="1209"/>
      <c r="E288" s="1209"/>
      <c r="F288" s="1209"/>
      <c r="G288" s="1209"/>
      <c r="H288" s="1209"/>
      <c r="I288" s="1209"/>
      <c r="J288" s="1209"/>
      <c r="K288" s="1209"/>
      <c r="L288" s="1209"/>
      <c r="M288" s="1209"/>
      <c r="N288" s="1209"/>
      <c r="O288" s="1209"/>
      <c r="P288" s="1209"/>
      <c r="Q288" s="133" t="e">
        <f>SUMIF($O$5:$O$281,"111",$Q$5:$Q$284)</f>
        <v>#REF!</v>
      </c>
      <c r="R288" s="133" t="e">
        <f>SUMIF($O$5:$O$281,"111",$R$5:$R$281)</f>
        <v>#REF!</v>
      </c>
      <c r="S288" s="133" t="e">
        <f>SUMIF($O$5:$O$281,"111",$S$5:$S$281)</f>
        <v>#REF!</v>
      </c>
      <c r="T288" s="133" t="e">
        <f>SUMIF($O$5:$O$281,"111",$T$5:$T$281)</f>
        <v>#REF!</v>
      </c>
      <c r="U288" s="133" t="e">
        <f>SUMIF($O$5:$O$281,"111",$U$5:$U$281)</f>
        <v>#REF!</v>
      </c>
      <c r="V288" s="133" t="e">
        <f>SUMIF($O$5:$O$281,"111",$V$5:$V$281)</f>
        <v>#REF!</v>
      </c>
      <c r="W288" s="133" t="e">
        <f>SUMIF($O$5:$O$281,"111",$W$5:$W$281)</f>
        <v>#REF!</v>
      </c>
      <c r="X288" s="133" t="e">
        <f>SUMIF($O$5:$O$281,"111",$X$5:$X$281)</f>
        <v>#REF!</v>
      </c>
      <c r="Y288" s="133" t="e">
        <f>SUMIF($O$5:$O$281,"111",$Y$5:$Y$281)</f>
        <v>#REF!</v>
      </c>
      <c r="Z288" s="133" t="e">
        <f>SUMIF($O$5:$O$281,"111",$Z$5:$Z$281)</f>
        <v>#REF!</v>
      </c>
      <c r="AA288" s="133" t="e">
        <f>SUMIF($O$5:$O$281,"111",$AA$5:$AA$281)</f>
        <v>#REF!</v>
      </c>
      <c r="AB288" s="133" t="e">
        <f>SUMIF($O$5:$O$281,"111",$AB$5:$AB$281)</f>
        <v>#REF!</v>
      </c>
      <c r="AC288" s="133" t="e">
        <f>SUMIF($O$5:$O$281,"111",$AC$5:$AC$281)</f>
        <v>#REF!</v>
      </c>
    </row>
    <row r="289" spans="1:29" ht="18.600000000000001" customHeight="1" x14ac:dyDescent="0.25">
      <c r="A289" s="1209" t="s">
        <v>3303</v>
      </c>
      <c r="B289" s="1209"/>
      <c r="C289" s="1209"/>
      <c r="D289" s="1209"/>
      <c r="E289" s="1209"/>
      <c r="F289" s="1209"/>
      <c r="G289" s="1209"/>
      <c r="H289" s="1209"/>
      <c r="I289" s="1209"/>
      <c r="J289" s="1209"/>
      <c r="K289" s="1209"/>
      <c r="L289" s="1209"/>
      <c r="M289" s="1209"/>
      <c r="N289" s="1209"/>
      <c r="O289" s="1209"/>
      <c r="P289" s="1209"/>
      <c r="Q289" s="133" t="e">
        <f>SUMIF($O$5:$O$281,"211",$Q$5:$Q$284)</f>
        <v>#REF!</v>
      </c>
      <c r="R289" s="133" t="e">
        <f>SUMIF($O$5:$O$281,"211",$R$5:$R$281)</f>
        <v>#REF!</v>
      </c>
      <c r="S289" s="133" t="e">
        <f>SUMIF($O$5:$O$281,"211",$S$5:$S$281)</f>
        <v>#REF!</v>
      </c>
      <c r="T289" s="133" t="e">
        <f>SUMIF($O$5:$O$281,"211",$T$5:$T$281)</f>
        <v>#REF!</v>
      </c>
      <c r="U289" s="133" t="e">
        <f>SUMIF($O$5:$O$281,"211",$U$5:$U$281)</f>
        <v>#REF!</v>
      </c>
      <c r="V289" s="133" t="e">
        <f>SUMIF($O$5:$O$281,"211",$V$5:$V$281)</f>
        <v>#REF!</v>
      </c>
      <c r="W289" s="133" t="e">
        <f>SUMIF($O$5:$O$281,"211",$W$5:$W$281)</f>
        <v>#REF!</v>
      </c>
      <c r="X289" s="133" t="e">
        <f>SUMIF($O$5:$O$281,"211",$X$5:$X$281)</f>
        <v>#REF!</v>
      </c>
      <c r="Y289" s="133" t="e">
        <f>SUMIF($O$5:$O$281,"211",$Y$5:$Y$281)</f>
        <v>#REF!</v>
      </c>
      <c r="Z289" s="133" t="e">
        <f>SUMIF($O$5:$O$281,"211",$Z$5:$Z$281)</f>
        <v>#REF!</v>
      </c>
      <c r="AA289" s="133" t="e">
        <f>SUMIF($O$5:$O$281,"211",$AA$5:$AA$281)</f>
        <v>#REF!</v>
      </c>
      <c r="AB289" s="133" t="e">
        <f>SUMIF($O$5:$O$281,"211",$AB$5:$AB$281)</f>
        <v>#REF!</v>
      </c>
      <c r="AC289" s="133" t="e">
        <f>SUMIF($O$5:$O$281,"211",$AC$5:$AC$281)</f>
        <v>#REF!</v>
      </c>
    </row>
    <row r="290" spans="1:29" ht="18.600000000000001" customHeight="1" x14ac:dyDescent="0.25">
      <c r="A290" s="1209" t="s">
        <v>3304</v>
      </c>
      <c r="B290" s="1209"/>
      <c r="C290" s="1209"/>
      <c r="D290" s="1209"/>
      <c r="E290" s="1209"/>
      <c r="F290" s="1209"/>
      <c r="G290" s="1209"/>
      <c r="H290" s="1209"/>
      <c r="I290" s="1209"/>
      <c r="J290" s="1209"/>
      <c r="K290" s="1209"/>
      <c r="L290" s="1209"/>
      <c r="M290" s="1209"/>
      <c r="N290" s="1209"/>
      <c r="O290" s="1209"/>
      <c r="P290" s="1209"/>
      <c r="Q290" s="133" t="e">
        <f>SUMIF($O$5:$O$281,"310",$Q$5:$Q$284)</f>
        <v>#REF!</v>
      </c>
      <c r="R290" s="133" t="e">
        <f>SUMIF($O$5:$O$281,"310",$R$5:$R$281)</f>
        <v>#REF!</v>
      </c>
      <c r="S290" s="133" t="e">
        <f>SUMIF($O$5:$O$281,"310",$S$5:$S$281)</f>
        <v>#REF!</v>
      </c>
      <c r="T290" s="133" t="e">
        <f>SUMIF($O$5:$O$281,"310",$T$5:$T$281)</f>
        <v>#REF!</v>
      </c>
      <c r="U290" s="133" t="e">
        <f>SUMIF($O$5:$O$281,"310",$U$5:$U$281)</f>
        <v>#REF!</v>
      </c>
      <c r="V290" s="133" t="e">
        <f>SUMIF($O$5:$O$281,"310",$V$5:$V$281)</f>
        <v>#REF!</v>
      </c>
      <c r="W290" s="133" t="e">
        <f>SUMIF($O$5:$O$281,"310",$W$5:$W$281)</f>
        <v>#REF!</v>
      </c>
      <c r="X290" s="133" t="e">
        <f>SUMIF($O$5:$O$281,"310",$X$5:$X$281)</f>
        <v>#REF!</v>
      </c>
      <c r="Y290" s="133" t="e">
        <f>SUMIF($O$5:$O$281,"310",$Y$5:$Y$281)</f>
        <v>#REF!</v>
      </c>
      <c r="Z290" s="133" t="e">
        <f>SUMIF($O$5:$O$281,"310",$Z$5:$Z$281)</f>
        <v>#REF!</v>
      </c>
      <c r="AA290" s="133" t="e">
        <f>SUMIF($O$5:$O$281,"310",$AA$5:$AA$281)</f>
        <v>#REF!</v>
      </c>
      <c r="AB290" s="133" t="e">
        <f>SUMIF($O$5:$O$281,"310",$AB$5:$AB$281)</f>
        <v>#REF!</v>
      </c>
      <c r="AC290" s="133" t="e">
        <f>SUMIF($O$5:$O$281,"310",$AC$5:$AC$281)</f>
        <v>#REF!</v>
      </c>
    </row>
    <row r="291" spans="1:29" ht="18.600000000000001" customHeight="1" x14ac:dyDescent="0.25">
      <c r="A291" s="1209" t="s">
        <v>443</v>
      </c>
      <c r="B291" s="1209"/>
      <c r="C291" s="1209"/>
      <c r="D291" s="1209"/>
      <c r="E291" s="1209"/>
      <c r="F291" s="1209"/>
      <c r="G291" s="1209"/>
      <c r="H291" s="1209"/>
      <c r="I291" s="1209"/>
      <c r="J291" s="1209"/>
      <c r="K291" s="1209"/>
      <c r="L291" s="1209"/>
      <c r="M291" s="1209"/>
      <c r="N291" s="1209"/>
      <c r="O291" s="1209"/>
      <c r="P291" s="1209"/>
      <c r="Q291" s="133" t="e">
        <f>SUMIF($O$5:$O$281,"410",$Q$5:$Q$284)</f>
        <v>#REF!</v>
      </c>
      <c r="R291" s="133" t="e">
        <f>SUMIF($O$5:$O$281,"410",$R$5:$R$281)</f>
        <v>#REF!</v>
      </c>
      <c r="S291" s="133" t="e">
        <f>SUMIF($O$5:$O$281,"410",$S$5:$S$281)</f>
        <v>#REF!</v>
      </c>
      <c r="T291" s="133" t="e">
        <f>SUMIF($O$5:$O$281,"410",$T$5:$T$281)</f>
        <v>#REF!</v>
      </c>
      <c r="U291" s="133" t="e">
        <f>SUMIF($O$5:$O$281,"410",$U$5:$U$281)</f>
        <v>#REF!</v>
      </c>
      <c r="V291" s="133" t="e">
        <f>SUMIF($O$5:$O$281,"410",$V$5:$V$281)</f>
        <v>#REF!</v>
      </c>
      <c r="W291" s="133" t="e">
        <f>SUMIF($O$5:$O$281,"410",$W$5:$W$281)</f>
        <v>#REF!</v>
      </c>
      <c r="X291" s="133" t="e">
        <f>SUMIF($O$5:$O$281,"410",$X$5:$X$281)</f>
        <v>#REF!</v>
      </c>
      <c r="Y291" s="133" t="e">
        <f>SUMIF($O$5:$O$281,"410",$Y$5:$Y$281)</f>
        <v>#REF!</v>
      </c>
      <c r="Z291" s="133" t="e">
        <f>SUMIF($O$5:$O$281,"410",$Z$5:$Z$281)</f>
        <v>#REF!</v>
      </c>
      <c r="AA291" s="133" t="e">
        <f>SUMIF($O$5:$O$281,"410",$AA$5:$AA$281)</f>
        <v>#REF!</v>
      </c>
      <c r="AB291" s="133" t="e">
        <f>SUMIF($O$5:$O$281,"410",$AB$5:$AB$281)</f>
        <v>#REF!</v>
      </c>
      <c r="AC291" s="133" t="e">
        <f>SUMIF($O$5:$O$281,"410",$AC$5:$AC$281)</f>
        <v>#REF!</v>
      </c>
    </row>
    <row r="292" spans="1:29" ht="18.600000000000001" customHeight="1" x14ac:dyDescent="0.25">
      <c r="A292" s="1209" t="s">
        <v>3305</v>
      </c>
      <c r="B292" s="1209"/>
      <c r="C292" s="1209"/>
      <c r="D292" s="1209"/>
      <c r="E292" s="1209"/>
      <c r="F292" s="1209"/>
      <c r="G292" s="1209"/>
      <c r="H292" s="1209"/>
      <c r="I292" s="1209"/>
      <c r="J292" s="1209"/>
      <c r="K292" s="1209"/>
      <c r="L292" s="1209"/>
      <c r="M292" s="1209"/>
      <c r="N292" s="1209"/>
      <c r="O292" s="1209"/>
      <c r="P292" s="1209"/>
      <c r="Q292" s="133" t="e">
        <f>SUMIF($O$5:$O$281,"510",$Q$5:$Q$284)</f>
        <v>#REF!</v>
      </c>
      <c r="R292" s="133" t="e">
        <f>SUMIF($O$5:$O$281,"510",$R$5:$R$281)</f>
        <v>#REF!</v>
      </c>
      <c r="S292" s="133" t="e">
        <f>SUMIF($O$5:$O$281,"510",$S$5:$S$281)</f>
        <v>#REF!</v>
      </c>
      <c r="T292" s="133" t="e">
        <f>SUMIF($O$5:$O$281,"510",$T$5:$T$281)</f>
        <v>#REF!</v>
      </c>
      <c r="U292" s="133" t="e">
        <f>SUMIF($O$5:$O$281,"510",$U$5:$U$281)</f>
        <v>#REF!</v>
      </c>
      <c r="V292" s="133" t="e">
        <f>SUMIF($O$5:$O$281,"510",$V$5:$V$281)</f>
        <v>#REF!</v>
      </c>
      <c r="W292" s="133" t="e">
        <f>SUMIF($O$5:$O$281,"510",$W$5:$W$281)</f>
        <v>#REF!</v>
      </c>
      <c r="X292" s="133" t="e">
        <f>SUMIF($O$5:$O$281,"510",$X$5:$X$281)</f>
        <v>#REF!</v>
      </c>
      <c r="Y292" s="133" t="e">
        <f>SUMIF($O$5:$O$281,"510",$Y$5:$Y$281)</f>
        <v>#REF!</v>
      </c>
      <c r="Z292" s="133" t="e">
        <f>SUMIF($O$5:$O$281,"510",$Z$5:$Z$281)</f>
        <v>#REF!</v>
      </c>
      <c r="AA292" s="133" t="e">
        <f>SUMIF($O$5:$O$281,"510",$AA$5:$AA$281)</f>
        <v>#REF!</v>
      </c>
      <c r="AB292" s="133" t="e">
        <f>SUMIF($O$5:$O$281,"510",$AB$5:$AB$281)</f>
        <v>#REF!</v>
      </c>
      <c r="AC292" s="133" t="e">
        <f>SUMIF($O$5:$O$281,"510",$AC$5:$AC$281)</f>
        <v>#REF!</v>
      </c>
    </row>
    <row r="293" spans="1:29" ht="18.600000000000001" customHeight="1" x14ac:dyDescent="0.25">
      <c r="A293" s="1209" t="s">
        <v>3306</v>
      </c>
      <c r="B293" s="1209"/>
      <c r="C293" s="1209"/>
      <c r="D293" s="1209"/>
      <c r="E293" s="1209"/>
      <c r="F293" s="1209"/>
      <c r="G293" s="1209"/>
      <c r="H293" s="1209"/>
      <c r="I293" s="1209"/>
      <c r="J293" s="1209"/>
      <c r="K293" s="1209"/>
      <c r="L293" s="1209"/>
      <c r="M293" s="1209"/>
      <c r="N293" s="1209"/>
      <c r="O293" s="1209"/>
      <c r="P293" s="1209"/>
      <c r="Q293" s="133" t="e">
        <f>SUMIF($O$5:$O$281,"520",$Q$5:$Q$284)</f>
        <v>#REF!</v>
      </c>
      <c r="R293" s="133" t="e">
        <f>SUMIF($O$5:$O$281,"520",$R$5:$R$281)</f>
        <v>#REF!</v>
      </c>
      <c r="S293" s="133" t="e">
        <f>SUMIF($O$5:$O$281,"520",$S$5:$S$281)</f>
        <v>#REF!</v>
      </c>
      <c r="T293" s="133" t="e">
        <f>SUMIF($O$5:$O$281,"520",$T$5:$T$281)</f>
        <v>#REF!</v>
      </c>
      <c r="U293" s="133" t="e">
        <f ca="1">SUMIF($O$5:$O$281,"520",$U$5:$U$17)</f>
        <v>#REF!</v>
      </c>
      <c r="V293" s="133" t="e">
        <f>SUMIF($O$5:$O$281,"520",$V$5:$V$281)</f>
        <v>#REF!</v>
      </c>
      <c r="W293" s="133" t="e">
        <f>SUMIF($O$5:$O$281,"520",$W$5:$W$281)</f>
        <v>#REF!</v>
      </c>
      <c r="X293" s="133" t="e">
        <f>SUMIF($O$5:$O$281,"520",$X$5:$X$281)</f>
        <v>#REF!</v>
      </c>
      <c r="Y293" s="133" t="e">
        <f>SUMIF($O$5:$O$281,"520",$Y$5:$Y$281)</f>
        <v>#REF!</v>
      </c>
      <c r="Z293" s="133" t="e">
        <f>SUMIF($O$5:$O$281,"520",$Z$5:$Z$281)</f>
        <v>#REF!</v>
      </c>
      <c r="AA293" s="133" t="e">
        <f>SUMIF($O$5:$O$281,"520",$AA$5:$AA$281)</f>
        <v>#REF!</v>
      </c>
      <c r="AB293" s="133" t="e">
        <f>SUMIF($O$5:$O$281,"520",$AB$5:$AB$281)</f>
        <v>#REF!</v>
      </c>
      <c r="AC293" s="133" t="e">
        <f>SUMIF($O$5:$O$281,"520",$AC$5:$AC$281)</f>
        <v>#REF!</v>
      </c>
    </row>
    <row r="294" spans="1:29" ht="18.600000000000001" customHeight="1" x14ac:dyDescent="0.25">
      <c r="A294" s="1209" t="s">
        <v>3308</v>
      </c>
      <c r="B294" s="1209"/>
      <c r="C294" s="1209"/>
      <c r="D294" s="1209"/>
      <c r="E294" s="1209"/>
      <c r="F294" s="1209"/>
      <c r="G294" s="1209"/>
      <c r="H294" s="1209"/>
      <c r="I294" s="1209"/>
      <c r="J294" s="1209"/>
      <c r="K294" s="1209"/>
      <c r="L294" s="1209"/>
      <c r="M294" s="1209"/>
      <c r="N294" s="1209"/>
      <c r="O294" s="1209"/>
      <c r="P294" s="1209"/>
      <c r="Q294" s="146" t="e">
        <f t="shared" ref="Q294:AC294" si="60">SUM(Q288:Q293)</f>
        <v>#REF!</v>
      </c>
      <c r="R294" s="146" t="e">
        <f t="shared" si="60"/>
        <v>#REF!</v>
      </c>
      <c r="S294" s="146" t="e">
        <f t="shared" si="60"/>
        <v>#REF!</v>
      </c>
      <c r="T294" s="146" t="e">
        <f t="shared" si="60"/>
        <v>#REF!</v>
      </c>
      <c r="U294" s="146" t="e">
        <f t="shared" si="60"/>
        <v>#REF!</v>
      </c>
      <c r="V294" s="146" t="e">
        <f t="shared" si="60"/>
        <v>#REF!</v>
      </c>
      <c r="W294" s="146" t="e">
        <f t="shared" si="60"/>
        <v>#REF!</v>
      </c>
      <c r="X294" s="146" t="e">
        <f t="shared" si="60"/>
        <v>#REF!</v>
      </c>
      <c r="Y294" s="146" t="e">
        <f t="shared" si="60"/>
        <v>#REF!</v>
      </c>
      <c r="Z294" s="146" t="e">
        <f t="shared" si="60"/>
        <v>#REF!</v>
      </c>
      <c r="AA294" s="146" t="e">
        <f t="shared" si="60"/>
        <v>#REF!</v>
      </c>
      <c r="AB294" s="146" t="e">
        <f t="shared" si="60"/>
        <v>#REF!</v>
      </c>
      <c r="AC294" s="146" t="e">
        <f t="shared" si="60"/>
        <v>#REF!</v>
      </c>
    </row>
    <row r="295" spans="1:29" ht="18.600000000000001" customHeight="1" x14ac:dyDescent="0.25">
      <c r="A295" s="1209" t="s">
        <v>3307</v>
      </c>
      <c r="B295" s="1209"/>
      <c r="C295" s="1209"/>
      <c r="D295" s="1209"/>
      <c r="E295" s="1209"/>
      <c r="F295" s="1209"/>
      <c r="G295" s="1209"/>
      <c r="H295" s="1209"/>
      <c r="I295" s="1209"/>
      <c r="J295" s="1209"/>
      <c r="K295" s="1209"/>
      <c r="L295" s="1209"/>
      <c r="M295" s="1209"/>
      <c r="N295" s="1209"/>
      <c r="O295" s="1209"/>
      <c r="P295" s="1209"/>
      <c r="Q295" s="133" t="e">
        <f>SUMIF($O$5:$O$279,"301",$Q$5:$Q$284)</f>
        <v>#REF!</v>
      </c>
      <c r="R295" s="133" t="e">
        <f>SUMIF($O$5:$O$281,"301",$R$5:$R$281)</f>
        <v>#REF!</v>
      </c>
      <c r="S295" s="133" t="e">
        <f>SUMIF($O$5:$O$281,"301",$S$5:$S$281)</f>
        <v>#REF!</v>
      </c>
      <c r="T295" s="133" t="e">
        <f>SUMIF($O$5:$O$281,"301",$T$5:$T$281)</f>
        <v>#REF!</v>
      </c>
      <c r="U295" s="133" t="e">
        <f>SUMIF($O$5:$O$281,"301",$U$5:$U$281)</f>
        <v>#REF!</v>
      </c>
      <c r="V295" s="133" t="e">
        <f>SUMIF($O$5:$O$281,"301",$V$5:$V$281)</f>
        <v>#REF!</v>
      </c>
      <c r="W295" s="133" t="e">
        <f>SUMIF($O$5:$O$281,"301",$W$5:$W$281)</f>
        <v>#REF!</v>
      </c>
      <c r="X295" s="133" t="e">
        <f>SUMIF($O$5:$O$281,"301",$X$5:$X$281)</f>
        <v>#REF!</v>
      </c>
      <c r="Y295" s="133" t="e">
        <f>SUMIF($O$5:$O$281,"301",$Y$5:$Y$281)</f>
        <v>#REF!</v>
      </c>
      <c r="Z295" s="133" t="e">
        <f>SUMIF($O$5:$O$281,"301",$Z$5:$Z$281)</f>
        <v>#REF!</v>
      </c>
      <c r="AA295" s="133" t="e">
        <f>SUMIF($O$5:$O$281,"301",$AA$5:$AA$281)</f>
        <v>#REF!</v>
      </c>
      <c r="AB295" s="133" t="e">
        <f>SUMIF($O$5:$O$281,"301",$AB$5:$AB$281)</f>
        <v>#REF!</v>
      </c>
      <c r="AC295" s="133" t="e">
        <f>SUMIF($O$5:$O$281,"301",$AC$5:$AC$281)</f>
        <v>#REF!</v>
      </c>
    </row>
    <row r="296" spans="1:29" ht="18.600000000000001" customHeight="1" thickBot="1" x14ac:dyDescent="0.3">
      <c r="A296" s="1498" t="s">
        <v>4222</v>
      </c>
      <c r="B296" s="1498"/>
      <c r="C296" s="1498"/>
      <c r="D296" s="1498"/>
      <c r="E296" s="1498"/>
      <c r="F296" s="1498"/>
      <c r="G296" s="1498"/>
      <c r="H296" s="1498"/>
      <c r="I296" s="1498"/>
      <c r="J296" s="1498"/>
      <c r="K296" s="1498"/>
      <c r="L296" s="1498"/>
      <c r="M296" s="1498"/>
      <c r="N296" s="1498"/>
      <c r="O296" s="1498"/>
      <c r="P296" s="1498"/>
      <c r="Q296" s="145" t="e">
        <f t="shared" ref="Q296:AC296" si="61">SUM(Q294:Q295)</f>
        <v>#REF!</v>
      </c>
      <c r="R296" s="145" t="e">
        <f t="shared" si="61"/>
        <v>#REF!</v>
      </c>
      <c r="S296" s="145" t="e">
        <f t="shared" si="61"/>
        <v>#REF!</v>
      </c>
      <c r="T296" s="145" t="e">
        <f t="shared" si="61"/>
        <v>#REF!</v>
      </c>
      <c r="U296" s="145" t="e">
        <f t="shared" si="61"/>
        <v>#REF!</v>
      </c>
      <c r="V296" s="145" t="e">
        <f t="shared" si="61"/>
        <v>#REF!</v>
      </c>
      <c r="W296" s="145" t="e">
        <f t="shared" si="61"/>
        <v>#REF!</v>
      </c>
      <c r="X296" s="145" t="e">
        <f t="shared" si="61"/>
        <v>#REF!</v>
      </c>
      <c r="Y296" s="145" t="e">
        <f t="shared" si="61"/>
        <v>#REF!</v>
      </c>
      <c r="Z296" s="145" t="e">
        <f t="shared" si="61"/>
        <v>#REF!</v>
      </c>
      <c r="AA296" s="145" t="e">
        <f t="shared" si="61"/>
        <v>#REF!</v>
      </c>
      <c r="AB296" s="145" t="e">
        <f t="shared" si="61"/>
        <v>#REF!</v>
      </c>
      <c r="AC296" s="145" t="e">
        <f t="shared" si="61"/>
        <v>#REF!</v>
      </c>
    </row>
    <row r="297" spans="1:29" ht="15.75" thickTop="1" x14ac:dyDescent="0.25">
      <c r="G297" s="144"/>
      <c r="H297" s="1"/>
      <c r="I297" s="1"/>
      <c r="J297" s="1"/>
      <c r="K297" s="1"/>
      <c r="L297" s="1"/>
      <c r="Q297" s="1" t="e">
        <f>+Q286-Q296</f>
        <v>#REF!</v>
      </c>
      <c r="R297" s="1" t="e">
        <f t="shared" ref="R297:AC297" si="62">+R286-R296</f>
        <v>#REF!</v>
      </c>
      <c r="S297" s="1" t="e">
        <f t="shared" si="62"/>
        <v>#REF!</v>
      </c>
      <c r="T297" s="1" t="e">
        <f t="shared" si="62"/>
        <v>#REF!</v>
      </c>
      <c r="U297" s="1" t="e">
        <f t="shared" si="62"/>
        <v>#REF!</v>
      </c>
      <c r="V297" s="1" t="e">
        <f t="shared" si="62"/>
        <v>#REF!</v>
      </c>
      <c r="W297" s="1" t="e">
        <f t="shared" si="62"/>
        <v>#REF!</v>
      </c>
      <c r="X297" s="1" t="e">
        <f t="shared" si="62"/>
        <v>#REF!</v>
      </c>
      <c r="Y297" s="1" t="e">
        <f t="shared" si="62"/>
        <v>#REF!</v>
      </c>
      <c r="Z297" s="1" t="e">
        <f t="shared" si="62"/>
        <v>#REF!</v>
      </c>
      <c r="AA297" s="1" t="e">
        <f t="shared" si="62"/>
        <v>#REF!</v>
      </c>
      <c r="AB297" s="1" t="e">
        <f t="shared" si="62"/>
        <v>#REF!</v>
      </c>
      <c r="AC297" s="1" t="e">
        <f t="shared" si="62"/>
        <v>#REF!</v>
      </c>
    </row>
    <row r="298" spans="1:29" x14ac:dyDescent="0.25">
      <c r="H298" s="1515" t="s">
        <v>4118</v>
      </c>
      <c r="I298" s="1515"/>
      <c r="J298" s="1515"/>
      <c r="K298" s="1515"/>
      <c r="L298" s="1515"/>
      <c r="M298" s="1515"/>
      <c r="N298" s="1515"/>
      <c r="O298" s="1515"/>
      <c r="P298" s="1515"/>
      <c r="Q298" s="1" t="e">
        <f>+#REF!</f>
        <v>#REF!</v>
      </c>
    </row>
    <row r="299" spans="1:29" x14ac:dyDescent="0.25">
      <c r="H299" s="1515" t="s">
        <v>4214</v>
      </c>
      <c r="I299" s="1515"/>
      <c r="J299" s="1515"/>
      <c r="K299" s="1515"/>
      <c r="L299" s="1515"/>
      <c r="M299" s="1515"/>
      <c r="N299" s="1515"/>
      <c r="O299" s="1515"/>
      <c r="P299" s="1515"/>
      <c r="Q299" s="1" t="e">
        <f>+Q296-Q298</f>
        <v>#REF!</v>
      </c>
    </row>
  </sheetData>
  <mergeCells count="414">
    <mergeCell ref="A285:O285"/>
    <mergeCell ref="B274:B277"/>
    <mergeCell ref="C274:C277"/>
    <mergeCell ref="P36:P43"/>
    <mergeCell ref="P80:P85"/>
    <mergeCell ref="P87:P89"/>
    <mergeCell ref="A72:A73"/>
    <mergeCell ref="H298:P298"/>
    <mergeCell ref="H299:P299"/>
    <mergeCell ref="A286:P286"/>
    <mergeCell ref="A288:P288"/>
    <mergeCell ref="A278:P278"/>
    <mergeCell ref="A282:P282"/>
    <mergeCell ref="A91:A99"/>
    <mergeCell ref="F53:F61"/>
    <mergeCell ref="A66:P66"/>
    <mergeCell ref="A67:P67"/>
    <mergeCell ref="C154:C157"/>
    <mergeCell ref="D154:D157"/>
    <mergeCell ref="P110:P112"/>
    <mergeCell ref="P115:P117"/>
    <mergeCell ref="P120:P121"/>
    <mergeCell ref="D115:D117"/>
    <mergeCell ref="F115:F117"/>
    <mergeCell ref="A14:P14"/>
    <mergeCell ref="A261:B262"/>
    <mergeCell ref="C261:C262"/>
    <mergeCell ref="D261:F261"/>
    <mergeCell ref="G261:H261"/>
    <mergeCell ref="I261:I262"/>
    <mergeCell ref="J261:L261"/>
    <mergeCell ref="O261:O262"/>
    <mergeCell ref="P261:P262"/>
    <mergeCell ref="A74:P74"/>
    <mergeCell ref="P50:P52"/>
    <mergeCell ref="B253:B255"/>
    <mergeCell ref="C254:C255"/>
    <mergeCell ref="E254:E255"/>
    <mergeCell ref="A253:A255"/>
    <mergeCell ref="I230:I231"/>
    <mergeCell ref="J230:L230"/>
    <mergeCell ref="O230:O231"/>
    <mergeCell ref="P230:P231"/>
    <mergeCell ref="C20:C25"/>
    <mergeCell ref="P142:P143"/>
    <mergeCell ref="O104:O105"/>
    <mergeCell ref="P104:P105"/>
    <mergeCell ref="B154:B157"/>
    <mergeCell ref="D8:D12"/>
    <mergeCell ref="A5:A6"/>
    <mergeCell ref="A7:P7"/>
    <mergeCell ref="P56:P61"/>
    <mergeCell ref="P3:P4"/>
    <mergeCell ref="A18:B19"/>
    <mergeCell ref="W34:AC34"/>
    <mergeCell ref="D36:D46"/>
    <mergeCell ref="Q230:V230"/>
    <mergeCell ref="W230:AC230"/>
    <mergeCell ref="F36:F46"/>
    <mergeCell ref="E36:E46"/>
    <mergeCell ref="F185:F188"/>
    <mergeCell ref="F195:F198"/>
    <mergeCell ref="A219:P219"/>
    <mergeCell ref="A218:P218"/>
    <mergeCell ref="E189:E191"/>
    <mergeCell ref="F189:F191"/>
    <mergeCell ref="A192:A194"/>
    <mergeCell ref="B192:B194"/>
    <mergeCell ref="C192:C194"/>
    <mergeCell ref="D192:D194"/>
    <mergeCell ref="E163:E167"/>
    <mergeCell ref="D163:D167"/>
    <mergeCell ref="Q34:V34"/>
    <mergeCell ref="P53:P55"/>
    <mergeCell ref="A34:B35"/>
    <mergeCell ref="C34:C35"/>
    <mergeCell ref="D34:F34"/>
    <mergeCell ref="G34:H34"/>
    <mergeCell ref="I34:I35"/>
    <mergeCell ref="J34:L34"/>
    <mergeCell ref="P246:P248"/>
    <mergeCell ref="A244:A248"/>
    <mergeCell ref="B244:B248"/>
    <mergeCell ref="A53:A61"/>
    <mergeCell ref="B53:B61"/>
    <mergeCell ref="C36:C46"/>
    <mergeCell ref="B36:B46"/>
    <mergeCell ref="A36:A46"/>
    <mergeCell ref="P44:P46"/>
    <mergeCell ref="C47:C52"/>
    <mergeCell ref="D47:D52"/>
    <mergeCell ref="E47:E52"/>
    <mergeCell ref="F47:F52"/>
    <mergeCell ref="A47:A52"/>
    <mergeCell ref="B47:B52"/>
    <mergeCell ref="G230:H230"/>
    <mergeCell ref="X1:AC1"/>
    <mergeCell ref="B5:B6"/>
    <mergeCell ref="E8:E12"/>
    <mergeCell ref="F8:F12"/>
    <mergeCell ref="C8:C12"/>
    <mergeCell ref="D20:D25"/>
    <mergeCell ref="E20:E25"/>
    <mergeCell ref="F20:F25"/>
    <mergeCell ref="G1:O1"/>
    <mergeCell ref="I3:I4"/>
    <mergeCell ref="J3:L3"/>
    <mergeCell ref="O3:O4"/>
    <mergeCell ref="A3:B4"/>
    <mergeCell ref="G3:H3"/>
    <mergeCell ref="C3:C4"/>
    <mergeCell ref="D3:F3"/>
    <mergeCell ref="C5:C6"/>
    <mergeCell ref="Q3:V3"/>
    <mergeCell ref="W3:AC3"/>
    <mergeCell ref="Q18:V18"/>
    <mergeCell ref="W18:AC18"/>
    <mergeCell ref="E5:E6"/>
    <mergeCell ref="F5:F6"/>
    <mergeCell ref="A8:A12"/>
    <mergeCell ref="D5:D6"/>
    <mergeCell ref="C18:C19"/>
    <mergeCell ref="D18:F18"/>
    <mergeCell ref="G18:H18"/>
    <mergeCell ref="I18:I19"/>
    <mergeCell ref="J18:L18"/>
    <mergeCell ref="O18:O19"/>
    <mergeCell ref="G142:H142"/>
    <mergeCell ref="I142:I143"/>
    <mergeCell ref="J142:L142"/>
    <mergeCell ref="O142:O143"/>
    <mergeCell ref="C72:C73"/>
    <mergeCell ref="D72:D73"/>
    <mergeCell ref="E72:E73"/>
    <mergeCell ref="F72:F73"/>
    <mergeCell ref="A30:P30"/>
    <mergeCell ref="A31:P31"/>
    <mergeCell ref="A62:P62"/>
    <mergeCell ref="C53:C61"/>
    <mergeCell ref="D53:D61"/>
    <mergeCell ref="E53:E61"/>
    <mergeCell ref="O34:O35"/>
    <mergeCell ref="P34:P35"/>
    <mergeCell ref="B8:B12"/>
    <mergeCell ref="P144:P145"/>
    <mergeCell ref="D104:F104"/>
    <mergeCell ref="G104:H104"/>
    <mergeCell ref="I104:I105"/>
    <mergeCell ref="J104:L104"/>
    <mergeCell ref="E154:E157"/>
    <mergeCell ref="F106:F108"/>
    <mergeCell ref="O132:O133"/>
    <mergeCell ref="P132:P133"/>
    <mergeCell ref="P106:P108"/>
    <mergeCell ref="P182:P184"/>
    <mergeCell ref="F163:F167"/>
    <mergeCell ref="F177:F184"/>
    <mergeCell ref="A185:A188"/>
    <mergeCell ref="B185:B188"/>
    <mergeCell ref="C185:C188"/>
    <mergeCell ref="D185:D188"/>
    <mergeCell ref="A169:A173"/>
    <mergeCell ref="B169:B173"/>
    <mergeCell ref="C169:C173"/>
    <mergeCell ref="D169:D173"/>
    <mergeCell ref="P163:P167"/>
    <mergeCell ref="E177:E184"/>
    <mergeCell ref="E169:E173"/>
    <mergeCell ref="C163:C167"/>
    <mergeCell ref="B163:B167"/>
    <mergeCell ref="A163:A167"/>
    <mergeCell ref="B205:B208"/>
    <mergeCell ref="C205:C208"/>
    <mergeCell ref="D205:D208"/>
    <mergeCell ref="A115:A118"/>
    <mergeCell ref="B115:B118"/>
    <mergeCell ref="C115:C117"/>
    <mergeCell ref="F154:F157"/>
    <mergeCell ref="E115:E117"/>
    <mergeCell ref="A120:A121"/>
    <mergeCell ref="B120:B121"/>
    <mergeCell ref="D160:D162"/>
    <mergeCell ref="E160:E162"/>
    <mergeCell ref="E192:E194"/>
    <mergeCell ref="F192:F194"/>
    <mergeCell ref="E195:E198"/>
    <mergeCell ref="B199:B204"/>
    <mergeCell ref="C199:C204"/>
    <mergeCell ref="F160:F162"/>
    <mergeCell ref="A142:B143"/>
    <mergeCell ref="A284:P284"/>
    <mergeCell ref="B279:B281"/>
    <mergeCell ref="C279:C281"/>
    <mergeCell ref="B209:B212"/>
    <mergeCell ref="C209:C212"/>
    <mergeCell ref="D209:D212"/>
    <mergeCell ref="E209:E212"/>
    <mergeCell ref="F209:F212"/>
    <mergeCell ref="C230:C231"/>
    <mergeCell ref="D230:F230"/>
    <mergeCell ref="A227:P227"/>
    <mergeCell ref="A223:P223"/>
    <mergeCell ref="F279:F281"/>
    <mergeCell ref="D254:D255"/>
    <mergeCell ref="F254:F255"/>
    <mergeCell ref="P232:P235"/>
    <mergeCell ref="P244:P245"/>
    <mergeCell ref="A232:A235"/>
    <mergeCell ref="B232:B235"/>
    <mergeCell ref="F232:F235"/>
    <mergeCell ref="A274:A277"/>
    <mergeCell ref="A283:P283"/>
    <mergeCell ref="D274:D277"/>
    <mergeCell ref="E274:E277"/>
    <mergeCell ref="F274:F277"/>
    <mergeCell ref="A279:A281"/>
    <mergeCell ref="C232:C235"/>
    <mergeCell ref="E174:E176"/>
    <mergeCell ref="F174:F176"/>
    <mergeCell ref="A144:A145"/>
    <mergeCell ref="B144:B145"/>
    <mergeCell ref="D144:D145"/>
    <mergeCell ref="F144:F145"/>
    <mergeCell ref="D279:D281"/>
    <mergeCell ref="A177:A184"/>
    <mergeCell ref="B177:B184"/>
    <mergeCell ref="C177:C184"/>
    <mergeCell ref="D177:D184"/>
    <mergeCell ref="E185:E188"/>
    <mergeCell ref="C195:C198"/>
    <mergeCell ref="D195:D198"/>
    <mergeCell ref="D232:D235"/>
    <mergeCell ref="E232:E235"/>
    <mergeCell ref="A199:A204"/>
    <mergeCell ref="D199:D204"/>
    <mergeCell ref="E199:E204"/>
    <mergeCell ref="E279:E281"/>
    <mergeCell ref="A230:B231"/>
    <mergeCell ref="A296:P296"/>
    <mergeCell ref="A27:A28"/>
    <mergeCell ref="B27:B28"/>
    <mergeCell ref="A70:B71"/>
    <mergeCell ref="C70:C71"/>
    <mergeCell ref="D70:F70"/>
    <mergeCell ref="G70:H70"/>
    <mergeCell ref="I70:I71"/>
    <mergeCell ref="J70:L70"/>
    <mergeCell ref="O70:O71"/>
    <mergeCell ref="P70:P71"/>
    <mergeCell ref="A100:P100"/>
    <mergeCell ref="A101:P101"/>
    <mergeCell ref="A90:P90"/>
    <mergeCell ref="A104:B105"/>
    <mergeCell ref="C104:C105"/>
    <mergeCell ref="P160:P162"/>
    <mergeCell ref="A110:A113"/>
    <mergeCell ref="B110:B113"/>
    <mergeCell ref="A160:A162"/>
    <mergeCell ref="B160:B162"/>
    <mergeCell ref="C160:C162"/>
    <mergeCell ref="A289:P289"/>
    <mergeCell ref="A290:P290"/>
    <mergeCell ref="A291:P291"/>
    <mergeCell ref="A292:P292"/>
    <mergeCell ref="A293:P293"/>
    <mergeCell ref="A294:P294"/>
    <mergeCell ref="A295:P295"/>
    <mergeCell ref="C142:C143"/>
    <mergeCell ref="D142:F142"/>
    <mergeCell ref="C144:C145"/>
    <mergeCell ref="E144:E145"/>
    <mergeCell ref="A154:A157"/>
    <mergeCell ref="A209:A212"/>
    <mergeCell ref="A195:A198"/>
    <mergeCell ref="B195:B198"/>
    <mergeCell ref="E205:E208"/>
    <mergeCell ref="F205:F208"/>
    <mergeCell ref="F169:F173"/>
    <mergeCell ref="A174:A176"/>
    <mergeCell ref="B174:B176"/>
    <mergeCell ref="C174:C176"/>
    <mergeCell ref="D174:D176"/>
    <mergeCell ref="C189:C191"/>
    <mergeCell ref="D189:D191"/>
    <mergeCell ref="A225:P225"/>
    <mergeCell ref="A226:P226"/>
    <mergeCell ref="P98:P99"/>
    <mergeCell ref="A106:A108"/>
    <mergeCell ref="B106:B108"/>
    <mergeCell ref="D106:D108"/>
    <mergeCell ref="P18:P19"/>
    <mergeCell ref="P27:P29"/>
    <mergeCell ref="A13:P13"/>
    <mergeCell ref="A15:P15"/>
    <mergeCell ref="A26:P26"/>
    <mergeCell ref="F63:F65"/>
    <mergeCell ref="A63:A65"/>
    <mergeCell ref="B63:B65"/>
    <mergeCell ref="C63:C65"/>
    <mergeCell ref="D63:D65"/>
    <mergeCell ref="E63:E65"/>
    <mergeCell ref="B91:B99"/>
    <mergeCell ref="C91:C99"/>
    <mergeCell ref="D91:D99"/>
    <mergeCell ref="E91:E99"/>
    <mergeCell ref="F91:F99"/>
    <mergeCell ref="P63:P65"/>
    <mergeCell ref="P20:P25"/>
    <mergeCell ref="A20:A25"/>
    <mergeCell ref="B20:B25"/>
    <mergeCell ref="Q70:V70"/>
    <mergeCell ref="W70:AC70"/>
    <mergeCell ref="A75:A79"/>
    <mergeCell ref="B75:B79"/>
    <mergeCell ref="C76:C79"/>
    <mergeCell ref="D76:D79"/>
    <mergeCell ref="E76:E79"/>
    <mergeCell ref="F76:F79"/>
    <mergeCell ref="A80:A89"/>
    <mergeCell ref="B80:B89"/>
    <mergeCell ref="C80:C89"/>
    <mergeCell ref="D80:D89"/>
    <mergeCell ref="E80:E89"/>
    <mergeCell ref="F80:F89"/>
    <mergeCell ref="B72:B73"/>
    <mergeCell ref="P72:P73"/>
    <mergeCell ref="P75:P79"/>
    <mergeCell ref="Q104:V104"/>
    <mergeCell ref="W104:AC104"/>
    <mergeCell ref="A109:P109"/>
    <mergeCell ref="A114:P114"/>
    <mergeCell ref="A119:P119"/>
    <mergeCell ref="A139:P139"/>
    <mergeCell ref="A122:P122"/>
    <mergeCell ref="A124:P124"/>
    <mergeCell ref="A126:P126"/>
    <mergeCell ref="A128:P128"/>
    <mergeCell ref="A137:P137"/>
    <mergeCell ref="A138:P138"/>
    <mergeCell ref="A135:P135"/>
    <mergeCell ref="A129:P129"/>
    <mergeCell ref="A132:B133"/>
    <mergeCell ref="C132:C133"/>
    <mergeCell ref="D132:F132"/>
    <mergeCell ref="G132:H132"/>
    <mergeCell ref="Q132:V132"/>
    <mergeCell ref="W132:AC132"/>
    <mergeCell ref="I132:I133"/>
    <mergeCell ref="J132:L132"/>
    <mergeCell ref="C106:C108"/>
    <mergeCell ref="E106:E108"/>
    <mergeCell ref="Q142:V142"/>
    <mergeCell ref="W142:AC142"/>
    <mergeCell ref="A146:P146"/>
    <mergeCell ref="A148:P148"/>
    <mergeCell ref="A159:P159"/>
    <mergeCell ref="A168:P168"/>
    <mergeCell ref="A215:P215"/>
    <mergeCell ref="A217:P217"/>
    <mergeCell ref="A213:P213"/>
    <mergeCell ref="A149:P149"/>
    <mergeCell ref="A152:B153"/>
    <mergeCell ref="C152:C153"/>
    <mergeCell ref="D152:F152"/>
    <mergeCell ref="G152:H152"/>
    <mergeCell ref="I152:I153"/>
    <mergeCell ref="J152:L152"/>
    <mergeCell ref="O152:O153"/>
    <mergeCell ref="P152:P153"/>
    <mergeCell ref="Q152:V152"/>
    <mergeCell ref="W152:AC152"/>
    <mergeCell ref="A189:A191"/>
    <mergeCell ref="B189:B191"/>
    <mergeCell ref="F199:F204"/>
    <mergeCell ref="A205:A208"/>
    <mergeCell ref="A236:P236"/>
    <mergeCell ref="A238:P238"/>
    <mergeCell ref="P253:P255"/>
    <mergeCell ref="A250:P250"/>
    <mergeCell ref="A252:P252"/>
    <mergeCell ref="A256:P256"/>
    <mergeCell ref="A257:P257"/>
    <mergeCell ref="A239:P239"/>
    <mergeCell ref="A242:B243"/>
    <mergeCell ref="C242:C243"/>
    <mergeCell ref="D242:F242"/>
    <mergeCell ref="G242:H242"/>
    <mergeCell ref="I242:I243"/>
    <mergeCell ref="J242:L242"/>
    <mergeCell ref="O242:O243"/>
    <mergeCell ref="P242:P243"/>
    <mergeCell ref="A270:A272"/>
    <mergeCell ref="B270:B272"/>
    <mergeCell ref="C270:C272"/>
    <mergeCell ref="D270:D272"/>
    <mergeCell ref="E270:E272"/>
    <mergeCell ref="F270:F272"/>
    <mergeCell ref="Q242:V242"/>
    <mergeCell ref="W242:AC242"/>
    <mergeCell ref="A258:P258"/>
    <mergeCell ref="Q261:V261"/>
    <mergeCell ref="W261:AC261"/>
    <mergeCell ref="A264:P264"/>
    <mergeCell ref="A265:P265"/>
    <mergeCell ref="A268:B269"/>
    <mergeCell ref="C268:C269"/>
    <mergeCell ref="D268:F268"/>
    <mergeCell ref="G268:H268"/>
    <mergeCell ref="I268:I269"/>
    <mergeCell ref="J268:L268"/>
    <mergeCell ref="O268:O269"/>
    <mergeCell ref="P268:P269"/>
    <mergeCell ref="Q268:V268"/>
    <mergeCell ref="W268:AC268"/>
  </mergeCells>
  <printOptions horizontalCentered="1" verticalCentered="1"/>
  <pageMargins left="0.11811023622047245" right="0.16" top="0.9055118110236221" bottom="0.47244094488188981" header="0.59055118110236227" footer="0.27559055118110237"/>
  <pageSetup scale="51" orientation="landscape" r:id="rId1"/>
  <headerFooter>
    <oddHeader>&amp;C&amp;"-,Negrita"&amp;14UNIVERSIDAD SURCOLOMBIANAPLAN DE ACCIÓN 2011 - RESOLUCIONES, 0201 DE 2010, 050 y 096 DE 2011</oddHeader>
    <oddFooter>&amp;LUNIDAD DE PLANEAMIENTO ECONÓMICO Y ADMINISTRATIVO&amp;COFICINA DE PLANEACIÓN&amp;RPágina &amp;P de &amp;N</oddFooter>
  </headerFooter>
  <rowBreaks count="5" manualBreakCount="5">
    <brk id="15" max="16383" man="1"/>
    <brk id="31" max="16383" man="1"/>
    <brk id="62" max="16383" man="1"/>
    <brk id="68" max="16383" man="1"/>
    <brk id="109" max="16383"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4"/>
  <dimension ref="A1:AN78"/>
  <sheetViews>
    <sheetView topLeftCell="J1" zoomScale="80" zoomScaleNormal="80" zoomScaleSheetLayoutView="80" workbookViewId="0">
      <pane ySplit="2" topLeftCell="A73" activePane="bottomLeft" state="frozen"/>
      <selection activeCell="G1" sqref="G1"/>
      <selection pane="bottomLeft" activeCell="U75" sqref="U75"/>
    </sheetView>
  </sheetViews>
  <sheetFormatPr baseColWidth="10" defaultColWidth="11.42578125" defaultRowHeight="12.75" x14ac:dyDescent="0.2"/>
  <cols>
    <col min="1" max="1" width="4" style="8" customWidth="1"/>
    <col min="2" max="2" width="6.85546875" style="8" customWidth="1"/>
    <col min="3" max="3" width="18" style="8" customWidth="1"/>
    <col min="4" max="4" width="12" style="8" customWidth="1"/>
    <col min="5" max="5" width="8.140625" style="8" customWidth="1"/>
    <col min="6" max="6" width="17.42578125" style="8" customWidth="1"/>
    <col min="7" max="7" width="16.7109375" style="8" customWidth="1"/>
    <col min="8" max="8" width="16.85546875" style="8" customWidth="1"/>
    <col min="9" max="9" width="18.85546875" style="8" customWidth="1"/>
    <col min="10" max="10" width="24.28515625" style="8" customWidth="1"/>
    <col min="11" max="11" width="15.28515625" style="8" customWidth="1"/>
    <col min="12" max="12" width="19.140625" style="8" customWidth="1"/>
    <col min="13" max="13" width="6.7109375" style="8" customWidth="1"/>
    <col min="14" max="15" width="6" style="8" customWidth="1"/>
    <col min="16" max="16" width="8.7109375" style="8" customWidth="1"/>
    <col min="17" max="17" width="6.7109375" style="8" customWidth="1"/>
    <col min="18" max="18" width="6.28515625" style="8" customWidth="1"/>
    <col min="19" max="19" width="6.5703125" style="8" customWidth="1"/>
    <col min="20" max="20" width="7.28515625" style="8" customWidth="1"/>
    <col min="21" max="21" width="9.140625" style="393" customWidth="1"/>
    <col min="22" max="22" width="8" style="393" customWidth="1"/>
    <col min="23" max="23" width="13.28515625" style="8" customWidth="1"/>
    <col min="24" max="24" width="15" style="8" customWidth="1"/>
    <col min="25" max="25" width="13.5703125" style="8" customWidth="1"/>
    <col min="26" max="26" width="12" style="8" customWidth="1"/>
    <col min="27" max="29" width="11.42578125" style="8" customWidth="1"/>
    <col min="30" max="30" width="15.140625" style="8" customWidth="1"/>
    <col min="31" max="33" width="12" style="8" customWidth="1"/>
    <col min="34" max="36" width="13.5703125" style="8" customWidth="1"/>
    <col min="37" max="37" width="13.28515625" style="8" customWidth="1"/>
    <col min="38" max="38" width="15.42578125" style="8" customWidth="1"/>
    <col min="39" max="39" width="13.7109375" style="8" customWidth="1"/>
    <col min="40" max="40" width="15.28515625" style="8" customWidth="1"/>
    <col min="41" max="54" width="11.5703125" style="8" customWidth="1"/>
    <col min="55" max="236" width="11.5703125" style="8"/>
    <col min="237" max="237" width="5.28515625" style="8" customWidth="1"/>
    <col min="238" max="238" width="6.85546875" style="8" customWidth="1"/>
    <col min="239" max="239" width="18" style="8" customWidth="1"/>
    <col min="240" max="240" width="12" style="8" customWidth="1"/>
    <col min="241" max="241" width="11.28515625" style="8" customWidth="1"/>
    <col min="242" max="242" width="22.140625" style="8" customWidth="1"/>
    <col min="243" max="243" width="20.5703125" style="8" customWidth="1"/>
    <col min="244" max="244" width="20" style="8" customWidth="1"/>
    <col min="245" max="245" width="11.85546875" style="8" customWidth="1"/>
    <col min="246" max="246" width="11.42578125" style="8" customWidth="1"/>
    <col min="247" max="247" width="24.28515625" style="8" customWidth="1"/>
    <col min="248" max="248" width="15.28515625" style="8" customWidth="1"/>
    <col min="249" max="249" width="23.42578125" style="8" customWidth="1"/>
    <col min="250" max="250" width="8.42578125" style="8" customWidth="1"/>
    <col min="251" max="251" width="8.140625" style="8" customWidth="1"/>
    <col min="252" max="253" width="8.7109375" style="8" customWidth="1"/>
    <col min="254" max="257" width="7.28515625" style="8" bestFit="1" customWidth="1"/>
    <col min="258" max="258" width="11.5703125" style="8" customWidth="1"/>
    <col min="259" max="259" width="9.140625" style="8" bestFit="1" customWidth="1"/>
    <col min="260" max="492" width="11.5703125" style="8"/>
    <col min="493" max="493" width="5.28515625" style="8" customWidth="1"/>
    <col min="494" max="494" width="6.85546875" style="8" customWidth="1"/>
    <col min="495" max="495" width="18" style="8" customWidth="1"/>
    <col min="496" max="496" width="12" style="8" customWidth="1"/>
    <col min="497" max="497" width="11.28515625" style="8" customWidth="1"/>
    <col min="498" max="498" width="22.140625" style="8" customWidth="1"/>
    <col min="499" max="499" width="20.5703125" style="8" customWidth="1"/>
    <col min="500" max="500" width="20" style="8" customWidth="1"/>
    <col min="501" max="501" width="11.85546875" style="8" customWidth="1"/>
    <col min="502" max="502" width="11.42578125" style="8" customWidth="1"/>
    <col min="503" max="503" width="24.28515625" style="8" customWidth="1"/>
    <col min="504" max="504" width="15.28515625" style="8" customWidth="1"/>
    <col min="505" max="505" width="23.42578125" style="8" customWidth="1"/>
    <col min="506" max="506" width="8.42578125" style="8" customWidth="1"/>
    <col min="507" max="507" width="8.140625" style="8" customWidth="1"/>
    <col min="508" max="509" width="8.7109375" style="8" customWidth="1"/>
    <col min="510" max="513" width="7.28515625" style="8" bestFit="1" customWidth="1"/>
    <col min="514" max="514" width="11.5703125" style="8" customWidth="1"/>
    <col min="515" max="515" width="9.140625" style="8" bestFit="1" customWidth="1"/>
    <col min="516" max="748" width="11.5703125" style="8"/>
    <col min="749" max="749" width="5.28515625" style="8" customWidth="1"/>
    <col min="750" max="750" width="6.85546875" style="8" customWidth="1"/>
    <col min="751" max="751" width="18" style="8" customWidth="1"/>
    <col min="752" max="752" width="12" style="8" customWidth="1"/>
    <col min="753" max="753" width="11.28515625" style="8" customWidth="1"/>
    <col min="754" max="754" width="22.140625" style="8" customWidth="1"/>
    <col min="755" max="755" width="20.5703125" style="8" customWidth="1"/>
    <col min="756" max="756" width="20" style="8" customWidth="1"/>
    <col min="757" max="757" width="11.85546875" style="8" customWidth="1"/>
    <col min="758" max="758" width="11.42578125" style="8" customWidth="1"/>
    <col min="759" max="759" width="24.28515625" style="8" customWidth="1"/>
    <col min="760" max="760" width="15.28515625" style="8" customWidth="1"/>
    <col min="761" max="761" width="23.42578125" style="8" customWidth="1"/>
    <col min="762" max="762" width="8.42578125" style="8" customWidth="1"/>
    <col min="763" max="763" width="8.140625" style="8" customWidth="1"/>
    <col min="764" max="765" width="8.7109375" style="8" customWidth="1"/>
    <col min="766" max="769" width="7.28515625" style="8" bestFit="1" customWidth="1"/>
    <col min="770" max="770" width="11.5703125" style="8" customWidth="1"/>
    <col min="771" max="771" width="9.140625" style="8" bestFit="1" customWidth="1"/>
    <col min="772" max="1004" width="11.5703125" style="8"/>
    <col min="1005" max="1005" width="5.28515625" style="8" customWidth="1"/>
    <col min="1006" max="1006" width="6.85546875" style="8" customWidth="1"/>
    <col min="1007" max="1007" width="18" style="8" customWidth="1"/>
    <col min="1008" max="1008" width="12" style="8" customWidth="1"/>
    <col min="1009" max="1009" width="11.28515625" style="8" customWidth="1"/>
    <col min="1010" max="1010" width="22.140625" style="8" customWidth="1"/>
    <col min="1011" max="1011" width="20.5703125" style="8" customWidth="1"/>
    <col min="1012" max="1012" width="20" style="8" customWidth="1"/>
    <col min="1013" max="1013" width="11.85546875" style="8" customWidth="1"/>
    <col min="1014" max="1014" width="11.42578125" style="8" customWidth="1"/>
    <col min="1015" max="1015" width="24.28515625" style="8" customWidth="1"/>
    <col min="1016" max="1016" width="15.28515625" style="8" customWidth="1"/>
    <col min="1017" max="1017" width="23.42578125" style="8" customWidth="1"/>
    <col min="1018" max="1018" width="8.42578125" style="8" customWidth="1"/>
    <col min="1019" max="1019" width="8.140625" style="8" customWidth="1"/>
    <col min="1020" max="1021" width="8.7109375" style="8" customWidth="1"/>
    <col min="1022" max="1025" width="7.28515625" style="8" bestFit="1" customWidth="1"/>
    <col min="1026" max="1026" width="11.5703125" style="8" customWidth="1"/>
    <col min="1027" max="1027" width="9.140625" style="8" bestFit="1" customWidth="1"/>
    <col min="1028" max="1260" width="11.5703125" style="8"/>
    <col min="1261" max="1261" width="5.28515625" style="8" customWidth="1"/>
    <col min="1262" max="1262" width="6.85546875" style="8" customWidth="1"/>
    <col min="1263" max="1263" width="18" style="8" customWidth="1"/>
    <col min="1264" max="1264" width="12" style="8" customWidth="1"/>
    <col min="1265" max="1265" width="11.28515625" style="8" customWidth="1"/>
    <col min="1266" max="1266" width="22.140625" style="8" customWidth="1"/>
    <col min="1267" max="1267" width="20.5703125" style="8" customWidth="1"/>
    <col min="1268" max="1268" width="20" style="8" customWidth="1"/>
    <col min="1269" max="1269" width="11.85546875" style="8" customWidth="1"/>
    <col min="1270" max="1270" width="11.42578125" style="8" customWidth="1"/>
    <col min="1271" max="1271" width="24.28515625" style="8" customWidth="1"/>
    <col min="1272" max="1272" width="15.28515625" style="8" customWidth="1"/>
    <col min="1273" max="1273" width="23.42578125" style="8" customWidth="1"/>
    <col min="1274" max="1274" width="8.42578125" style="8" customWidth="1"/>
    <col min="1275" max="1275" width="8.140625" style="8" customWidth="1"/>
    <col min="1276" max="1277" width="8.7109375" style="8" customWidth="1"/>
    <col min="1278" max="1281" width="7.28515625" style="8" bestFit="1" customWidth="1"/>
    <col min="1282" max="1282" width="11.5703125" style="8" customWidth="1"/>
    <col min="1283" max="1283" width="9.140625" style="8" bestFit="1" customWidth="1"/>
    <col min="1284" max="1516" width="11.5703125" style="8"/>
    <col min="1517" max="1517" width="5.28515625" style="8" customWidth="1"/>
    <col min="1518" max="1518" width="6.85546875" style="8" customWidth="1"/>
    <col min="1519" max="1519" width="18" style="8" customWidth="1"/>
    <col min="1520" max="1520" width="12" style="8" customWidth="1"/>
    <col min="1521" max="1521" width="11.28515625" style="8" customWidth="1"/>
    <col min="1522" max="1522" width="22.140625" style="8" customWidth="1"/>
    <col min="1523" max="1523" width="20.5703125" style="8" customWidth="1"/>
    <col min="1524" max="1524" width="20" style="8" customWidth="1"/>
    <col min="1525" max="1525" width="11.85546875" style="8" customWidth="1"/>
    <col min="1526" max="1526" width="11.42578125" style="8" customWidth="1"/>
    <col min="1527" max="1527" width="24.28515625" style="8" customWidth="1"/>
    <col min="1528" max="1528" width="15.28515625" style="8" customWidth="1"/>
    <col min="1529" max="1529" width="23.42578125" style="8" customWidth="1"/>
    <col min="1530" max="1530" width="8.42578125" style="8" customWidth="1"/>
    <col min="1531" max="1531" width="8.140625" style="8" customWidth="1"/>
    <col min="1532" max="1533" width="8.7109375" style="8" customWidth="1"/>
    <col min="1534" max="1537" width="7.28515625" style="8" bestFit="1" customWidth="1"/>
    <col min="1538" max="1538" width="11.5703125" style="8" customWidth="1"/>
    <col min="1539" max="1539" width="9.140625" style="8" bestFit="1" customWidth="1"/>
    <col min="1540" max="1772" width="11.5703125" style="8"/>
    <col min="1773" max="1773" width="5.28515625" style="8" customWidth="1"/>
    <col min="1774" max="1774" width="6.85546875" style="8" customWidth="1"/>
    <col min="1775" max="1775" width="18" style="8" customWidth="1"/>
    <col min="1776" max="1776" width="12" style="8" customWidth="1"/>
    <col min="1777" max="1777" width="11.28515625" style="8" customWidth="1"/>
    <col min="1778" max="1778" width="22.140625" style="8" customWidth="1"/>
    <col min="1779" max="1779" width="20.5703125" style="8" customWidth="1"/>
    <col min="1780" max="1780" width="20" style="8" customWidth="1"/>
    <col min="1781" max="1781" width="11.85546875" style="8" customWidth="1"/>
    <col min="1782" max="1782" width="11.42578125" style="8" customWidth="1"/>
    <col min="1783" max="1783" width="24.28515625" style="8" customWidth="1"/>
    <col min="1784" max="1784" width="15.28515625" style="8" customWidth="1"/>
    <col min="1785" max="1785" width="23.42578125" style="8" customWidth="1"/>
    <col min="1786" max="1786" width="8.42578125" style="8" customWidth="1"/>
    <col min="1787" max="1787" width="8.140625" style="8" customWidth="1"/>
    <col min="1788" max="1789" width="8.7109375" style="8" customWidth="1"/>
    <col min="1790" max="1793" width="7.28515625" style="8" bestFit="1" customWidth="1"/>
    <col min="1794" max="1794" width="11.5703125" style="8" customWidth="1"/>
    <col min="1795" max="1795" width="9.140625" style="8" bestFit="1" customWidth="1"/>
    <col min="1796" max="2028" width="11.5703125" style="8"/>
    <col min="2029" max="2029" width="5.28515625" style="8" customWidth="1"/>
    <col min="2030" max="2030" width="6.85546875" style="8" customWidth="1"/>
    <col min="2031" max="2031" width="18" style="8" customWidth="1"/>
    <col min="2032" max="2032" width="12" style="8" customWidth="1"/>
    <col min="2033" max="2033" width="11.28515625" style="8" customWidth="1"/>
    <col min="2034" max="2034" width="22.140625" style="8" customWidth="1"/>
    <col min="2035" max="2035" width="20.5703125" style="8" customWidth="1"/>
    <col min="2036" max="2036" width="20" style="8" customWidth="1"/>
    <col min="2037" max="2037" width="11.85546875" style="8" customWidth="1"/>
    <col min="2038" max="2038" width="11.42578125" style="8" customWidth="1"/>
    <col min="2039" max="2039" width="24.28515625" style="8" customWidth="1"/>
    <col min="2040" max="2040" width="15.28515625" style="8" customWidth="1"/>
    <col min="2041" max="2041" width="23.42578125" style="8" customWidth="1"/>
    <col min="2042" max="2042" width="8.42578125" style="8" customWidth="1"/>
    <col min="2043" max="2043" width="8.140625" style="8" customWidth="1"/>
    <col min="2044" max="2045" width="8.7109375" style="8" customWidth="1"/>
    <col min="2046" max="2049" width="7.28515625" style="8" bestFit="1" customWidth="1"/>
    <col min="2050" max="2050" width="11.5703125" style="8" customWidth="1"/>
    <col min="2051" max="2051" width="9.140625" style="8" bestFit="1" customWidth="1"/>
    <col min="2052" max="2284" width="11.5703125" style="8"/>
    <col min="2285" max="2285" width="5.28515625" style="8" customWidth="1"/>
    <col min="2286" max="2286" width="6.85546875" style="8" customWidth="1"/>
    <col min="2287" max="2287" width="18" style="8" customWidth="1"/>
    <col min="2288" max="2288" width="12" style="8" customWidth="1"/>
    <col min="2289" max="2289" width="11.28515625" style="8" customWidth="1"/>
    <col min="2290" max="2290" width="22.140625" style="8" customWidth="1"/>
    <col min="2291" max="2291" width="20.5703125" style="8" customWidth="1"/>
    <col min="2292" max="2292" width="20" style="8" customWidth="1"/>
    <col min="2293" max="2293" width="11.85546875" style="8" customWidth="1"/>
    <col min="2294" max="2294" width="11.42578125" style="8" customWidth="1"/>
    <col min="2295" max="2295" width="24.28515625" style="8" customWidth="1"/>
    <col min="2296" max="2296" width="15.28515625" style="8" customWidth="1"/>
    <col min="2297" max="2297" width="23.42578125" style="8" customWidth="1"/>
    <col min="2298" max="2298" width="8.42578125" style="8" customWidth="1"/>
    <col min="2299" max="2299" width="8.140625" style="8" customWidth="1"/>
    <col min="2300" max="2301" width="8.7109375" style="8" customWidth="1"/>
    <col min="2302" max="2305" width="7.28515625" style="8" bestFit="1" customWidth="1"/>
    <col min="2306" max="2306" width="11.5703125" style="8" customWidth="1"/>
    <col min="2307" max="2307" width="9.140625" style="8" bestFit="1" customWidth="1"/>
    <col min="2308" max="2540" width="11.5703125" style="8"/>
    <col min="2541" max="2541" width="5.28515625" style="8" customWidth="1"/>
    <col min="2542" max="2542" width="6.85546875" style="8" customWidth="1"/>
    <col min="2543" max="2543" width="18" style="8" customWidth="1"/>
    <col min="2544" max="2544" width="12" style="8" customWidth="1"/>
    <col min="2545" max="2545" width="11.28515625" style="8" customWidth="1"/>
    <col min="2546" max="2546" width="22.140625" style="8" customWidth="1"/>
    <col min="2547" max="2547" width="20.5703125" style="8" customWidth="1"/>
    <col min="2548" max="2548" width="20" style="8" customWidth="1"/>
    <col min="2549" max="2549" width="11.85546875" style="8" customWidth="1"/>
    <col min="2550" max="2550" width="11.42578125" style="8" customWidth="1"/>
    <col min="2551" max="2551" width="24.28515625" style="8" customWidth="1"/>
    <col min="2552" max="2552" width="15.28515625" style="8" customWidth="1"/>
    <col min="2553" max="2553" width="23.42578125" style="8" customWidth="1"/>
    <col min="2554" max="2554" width="8.42578125" style="8" customWidth="1"/>
    <col min="2555" max="2555" width="8.140625" style="8" customWidth="1"/>
    <col min="2556" max="2557" width="8.7109375" style="8" customWidth="1"/>
    <col min="2558" max="2561" width="7.28515625" style="8" bestFit="1" customWidth="1"/>
    <col min="2562" max="2562" width="11.5703125" style="8" customWidth="1"/>
    <col min="2563" max="2563" width="9.140625" style="8" bestFit="1" customWidth="1"/>
    <col min="2564" max="2796" width="11.5703125" style="8"/>
    <col min="2797" max="2797" width="5.28515625" style="8" customWidth="1"/>
    <col min="2798" max="2798" width="6.85546875" style="8" customWidth="1"/>
    <col min="2799" max="2799" width="18" style="8" customWidth="1"/>
    <col min="2800" max="2800" width="12" style="8" customWidth="1"/>
    <col min="2801" max="2801" width="11.28515625" style="8" customWidth="1"/>
    <col min="2802" max="2802" width="22.140625" style="8" customWidth="1"/>
    <col min="2803" max="2803" width="20.5703125" style="8" customWidth="1"/>
    <col min="2804" max="2804" width="20" style="8" customWidth="1"/>
    <col min="2805" max="2805" width="11.85546875" style="8" customWidth="1"/>
    <col min="2806" max="2806" width="11.42578125" style="8" customWidth="1"/>
    <col min="2807" max="2807" width="24.28515625" style="8" customWidth="1"/>
    <col min="2808" max="2808" width="15.28515625" style="8" customWidth="1"/>
    <col min="2809" max="2809" width="23.42578125" style="8" customWidth="1"/>
    <col min="2810" max="2810" width="8.42578125" style="8" customWidth="1"/>
    <col min="2811" max="2811" width="8.140625" style="8" customWidth="1"/>
    <col min="2812" max="2813" width="8.7109375" style="8" customWidth="1"/>
    <col min="2814" max="2817" width="7.28515625" style="8" bestFit="1" customWidth="1"/>
    <col min="2818" max="2818" width="11.5703125" style="8" customWidth="1"/>
    <col min="2819" max="2819" width="9.140625" style="8" bestFit="1" customWidth="1"/>
    <col min="2820" max="3052" width="11.5703125" style="8"/>
    <col min="3053" max="3053" width="5.28515625" style="8" customWidth="1"/>
    <col min="3054" max="3054" width="6.85546875" style="8" customWidth="1"/>
    <col min="3055" max="3055" width="18" style="8" customWidth="1"/>
    <col min="3056" max="3056" width="12" style="8" customWidth="1"/>
    <col min="3057" max="3057" width="11.28515625" style="8" customWidth="1"/>
    <col min="3058" max="3058" width="22.140625" style="8" customWidth="1"/>
    <col min="3059" max="3059" width="20.5703125" style="8" customWidth="1"/>
    <col min="3060" max="3060" width="20" style="8" customWidth="1"/>
    <col min="3061" max="3061" width="11.85546875" style="8" customWidth="1"/>
    <col min="3062" max="3062" width="11.42578125" style="8" customWidth="1"/>
    <col min="3063" max="3063" width="24.28515625" style="8" customWidth="1"/>
    <col min="3064" max="3064" width="15.28515625" style="8" customWidth="1"/>
    <col min="3065" max="3065" width="23.42578125" style="8" customWidth="1"/>
    <col min="3066" max="3066" width="8.42578125" style="8" customWidth="1"/>
    <col min="3067" max="3067" width="8.140625" style="8" customWidth="1"/>
    <col min="3068" max="3069" width="8.7109375" style="8" customWidth="1"/>
    <col min="3070" max="3073" width="7.28515625" style="8" bestFit="1" customWidth="1"/>
    <col min="3074" max="3074" width="11.5703125" style="8" customWidth="1"/>
    <col min="3075" max="3075" width="9.140625" style="8" bestFit="1" customWidth="1"/>
    <col min="3076" max="3308" width="11.5703125" style="8"/>
    <col min="3309" max="3309" width="5.28515625" style="8" customWidth="1"/>
    <col min="3310" max="3310" width="6.85546875" style="8" customWidth="1"/>
    <col min="3311" max="3311" width="18" style="8" customWidth="1"/>
    <col min="3312" max="3312" width="12" style="8" customWidth="1"/>
    <col min="3313" max="3313" width="11.28515625" style="8" customWidth="1"/>
    <col min="3314" max="3314" width="22.140625" style="8" customWidth="1"/>
    <col min="3315" max="3315" width="20.5703125" style="8" customWidth="1"/>
    <col min="3316" max="3316" width="20" style="8" customWidth="1"/>
    <col min="3317" max="3317" width="11.85546875" style="8" customWidth="1"/>
    <col min="3318" max="3318" width="11.42578125" style="8" customWidth="1"/>
    <col min="3319" max="3319" width="24.28515625" style="8" customWidth="1"/>
    <col min="3320" max="3320" width="15.28515625" style="8" customWidth="1"/>
    <col min="3321" max="3321" width="23.42578125" style="8" customWidth="1"/>
    <col min="3322" max="3322" width="8.42578125" style="8" customWidth="1"/>
    <col min="3323" max="3323" width="8.140625" style="8" customWidth="1"/>
    <col min="3324" max="3325" width="8.7109375" style="8" customWidth="1"/>
    <col min="3326" max="3329" width="7.28515625" style="8" bestFit="1" customWidth="1"/>
    <col min="3330" max="3330" width="11.5703125" style="8" customWidth="1"/>
    <col min="3331" max="3331" width="9.140625" style="8" bestFit="1" customWidth="1"/>
    <col min="3332" max="3564" width="11.5703125" style="8"/>
    <col min="3565" max="3565" width="5.28515625" style="8" customWidth="1"/>
    <col min="3566" max="3566" width="6.85546875" style="8" customWidth="1"/>
    <col min="3567" max="3567" width="18" style="8" customWidth="1"/>
    <col min="3568" max="3568" width="12" style="8" customWidth="1"/>
    <col min="3569" max="3569" width="11.28515625" style="8" customWidth="1"/>
    <col min="3570" max="3570" width="22.140625" style="8" customWidth="1"/>
    <col min="3571" max="3571" width="20.5703125" style="8" customWidth="1"/>
    <col min="3572" max="3572" width="20" style="8" customWidth="1"/>
    <col min="3573" max="3573" width="11.85546875" style="8" customWidth="1"/>
    <col min="3574" max="3574" width="11.42578125" style="8" customWidth="1"/>
    <col min="3575" max="3575" width="24.28515625" style="8" customWidth="1"/>
    <col min="3576" max="3576" width="15.28515625" style="8" customWidth="1"/>
    <col min="3577" max="3577" width="23.42578125" style="8" customWidth="1"/>
    <col min="3578" max="3578" width="8.42578125" style="8" customWidth="1"/>
    <col min="3579" max="3579" width="8.140625" style="8" customWidth="1"/>
    <col min="3580" max="3581" width="8.7109375" style="8" customWidth="1"/>
    <col min="3582" max="3585" width="7.28515625" style="8" bestFit="1" customWidth="1"/>
    <col min="3586" max="3586" width="11.5703125" style="8" customWidth="1"/>
    <col min="3587" max="3587" width="9.140625" style="8" bestFit="1" customWidth="1"/>
    <col min="3588" max="3820" width="11.5703125" style="8"/>
    <col min="3821" max="3821" width="5.28515625" style="8" customWidth="1"/>
    <col min="3822" max="3822" width="6.85546875" style="8" customWidth="1"/>
    <col min="3823" max="3823" width="18" style="8" customWidth="1"/>
    <col min="3824" max="3824" width="12" style="8" customWidth="1"/>
    <col min="3825" max="3825" width="11.28515625" style="8" customWidth="1"/>
    <col min="3826" max="3826" width="22.140625" style="8" customWidth="1"/>
    <col min="3827" max="3827" width="20.5703125" style="8" customWidth="1"/>
    <col min="3828" max="3828" width="20" style="8" customWidth="1"/>
    <col min="3829" max="3829" width="11.85546875" style="8" customWidth="1"/>
    <col min="3830" max="3830" width="11.42578125" style="8" customWidth="1"/>
    <col min="3831" max="3831" width="24.28515625" style="8" customWidth="1"/>
    <col min="3832" max="3832" width="15.28515625" style="8" customWidth="1"/>
    <col min="3833" max="3833" width="23.42578125" style="8" customWidth="1"/>
    <col min="3834" max="3834" width="8.42578125" style="8" customWidth="1"/>
    <col min="3835" max="3835" width="8.140625" style="8" customWidth="1"/>
    <col min="3836" max="3837" width="8.7109375" style="8" customWidth="1"/>
    <col min="3838" max="3841" width="7.28515625" style="8" bestFit="1" customWidth="1"/>
    <col min="3842" max="3842" width="11.5703125" style="8" customWidth="1"/>
    <col min="3843" max="3843" width="9.140625" style="8" bestFit="1" customWidth="1"/>
    <col min="3844" max="4076" width="11.5703125" style="8"/>
    <col min="4077" max="4077" width="5.28515625" style="8" customWidth="1"/>
    <col min="4078" max="4078" width="6.85546875" style="8" customWidth="1"/>
    <col min="4079" max="4079" width="18" style="8" customWidth="1"/>
    <col min="4080" max="4080" width="12" style="8" customWidth="1"/>
    <col min="4081" max="4081" width="11.28515625" style="8" customWidth="1"/>
    <col min="4082" max="4082" width="22.140625" style="8" customWidth="1"/>
    <col min="4083" max="4083" width="20.5703125" style="8" customWidth="1"/>
    <col min="4084" max="4084" width="20" style="8" customWidth="1"/>
    <col min="4085" max="4085" width="11.85546875" style="8" customWidth="1"/>
    <col min="4086" max="4086" width="11.42578125" style="8" customWidth="1"/>
    <col min="4087" max="4087" width="24.28515625" style="8" customWidth="1"/>
    <col min="4088" max="4088" width="15.28515625" style="8" customWidth="1"/>
    <col min="4089" max="4089" width="23.42578125" style="8" customWidth="1"/>
    <col min="4090" max="4090" width="8.42578125" style="8" customWidth="1"/>
    <col min="4091" max="4091" width="8.140625" style="8" customWidth="1"/>
    <col min="4092" max="4093" width="8.7109375" style="8" customWidth="1"/>
    <col min="4094" max="4097" width="7.28515625" style="8" bestFit="1" customWidth="1"/>
    <col min="4098" max="4098" width="11.5703125" style="8" customWidth="1"/>
    <col min="4099" max="4099" width="9.140625" style="8" bestFit="1" customWidth="1"/>
    <col min="4100" max="4332" width="11.5703125" style="8"/>
    <col min="4333" max="4333" width="5.28515625" style="8" customWidth="1"/>
    <col min="4334" max="4334" width="6.85546875" style="8" customWidth="1"/>
    <col min="4335" max="4335" width="18" style="8" customWidth="1"/>
    <col min="4336" max="4336" width="12" style="8" customWidth="1"/>
    <col min="4337" max="4337" width="11.28515625" style="8" customWidth="1"/>
    <col min="4338" max="4338" width="22.140625" style="8" customWidth="1"/>
    <col min="4339" max="4339" width="20.5703125" style="8" customWidth="1"/>
    <col min="4340" max="4340" width="20" style="8" customWidth="1"/>
    <col min="4341" max="4341" width="11.85546875" style="8" customWidth="1"/>
    <col min="4342" max="4342" width="11.42578125" style="8" customWidth="1"/>
    <col min="4343" max="4343" width="24.28515625" style="8" customWidth="1"/>
    <col min="4344" max="4344" width="15.28515625" style="8" customWidth="1"/>
    <col min="4345" max="4345" width="23.42578125" style="8" customWidth="1"/>
    <col min="4346" max="4346" width="8.42578125" style="8" customWidth="1"/>
    <col min="4347" max="4347" width="8.140625" style="8" customWidth="1"/>
    <col min="4348" max="4349" width="8.7109375" style="8" customWidth="1"/>
    <col min="4350" max="4353" width="7.28515625" style="8" bestFit="1" customWidth="1"/>
    <col min="4354" max="4354" width="11.5703125" style="8" customWidth="1"/>
    <col min="4355" max="4355" width="9.140625" style="8" bestFit="1" customWidth="1"/>
    <col min="4356" max="4588" width="11.5703125" style="8"/>
    <col min="4589" max="4589" width="5.28515625" style="8" customWidth="1"/>
    <col min="4590" max="4590" width="6.85546875" style="8" customWidth="1"/>
    <col min="4591" max="4591" width="18" style="8" customWidth="1"/>
    <col min="4592" max="4592" width="12" style="8" customWidth="1"/>
    <col min="4593" max="4593" width="11.28515625" style="8" customWidth="1"/>
    <col min="4594" max="4594" width="22.140625" style="8" customWidth="1"/>
    <col min="4595" max="4595" width="20.5703125" style="8" customWidth="1"/>
    <col min="4596" max="4596" width="20" style="8" customWidth="1"/>
    <col min="4597" max="4597" width="11.85546875" style="8" customWidth="1"/>
    <col min="4598" max="4598" width="11.42578125" style="8" customWidth="1"/>
    <col min="4599" max="4599" width="24.28515625" style="8" customWidth="1"/>
    <col min="4600" max="4600" width="15.28515625" style="8" customWidth="1"/>
    <col min="4601" max="4601" width="23.42578125" style="8" customWidth="1"/>
    <col min="4602" max="4602" width="8.42578125" style="8" customWidth="1"/>
    <col min="4603" max="4603" width="8.140625" style="8" customWidth="1"/>
    <col min="4604" max="4605" width="8.7109375" style="8" customWidth="1"/>
    <col min="4606" max="4609" width="7.28515625" style="8" bestFit="1" customWidth="1"/>
    <col min="4610" max="4610" width="11.5703125" style="8" customWidth="1"/>
    <col min="4611" max="4611" width="9.140625" style="8" bestFit="1" customWidth="1"/>
    <col min="4612" max="4844" width="11.5703125" style="8"/>
    <col min="4845" max="4845" width="5.28515625" style="8" customWidth="1"/>
    <col min="4846" max="4846" width="6.85546875" style="8" customWidth="1"/>
    <col min="4847" max="4847" width="18" style="8" customWidth="1"/>
    <col min="4848" max="4848" width="12" style="8" customWidth="1"/>
    <col min="4849" max="4849" width="11.28515625" style="8" customWidth="1"/>
    <col min="4850" max="4850" width="22.140625" style="8" customWidth="1"/>
    <col min="4851" max="4851" width="20.5703125" style="8" customWidth="1"/>
    <col min="4852" max="4852" width="20" style="8" customWidth="1"/>
    <col min="4853" max="4853" width="11.85546875" style="8" customWidth="1"/>
    <col min="4854" max="4854" width="11.42578125" style="8" customWidth="1"/>
    <col min="4855" max="4855" width="24.28515625" style="8" customWidth="1"/>
    <col min="4856" max="4856" width="15.28515625" style="8" customWidth="1"/>
    <col min="4857" max="4857" width="23.42578125" style="8" customWidth="1"/>
    <col min="4858" max="4858" width="8.42578125" style="8" customWidth="1"/>
    <col min="4859" max="4859" width="8.140625" style="8" customWidth="1"/>
    <col min="4860" max="4861" width="8.7109375" style="8" customWidth="1"/>
    <col min="4862" max="4865" width="7.28515625" style="8" bestFit="1" customWidth="1"/>
    <col min="4866" max="4866" width="11.5703125" style="8" customWidth="1"/>
    <col min="4867" max="4867" width="9.140625" style="8" bestFit="1" customWidth="1"/>
    <col min="4868" max="5100" width="11.5703125" style="8"/>
    <col min="5101" max="5101" width="5.28515625" style="8" customWidth="1"/>
    <col min="5102" max="5102" width="6.85546875" style="8" customWidth="1"/>
    <col min="5103" max="5103" width="18" style="8" customWidth="1"/>
    <col min="5104" max="5104" width="12" style="8" customWidth="1"/>
    <col min="5105" max="5105" width="11.28515625" style="8" customWidth="1"/>
    <col min="5106" max="5106" width="22.140625" style="8" customWidth="1"/>
    <col min="5107" max="5107" width="20.5703125" style="8" customWidth="1"/>
    <col min="5108" max="5108" width="20" style="8" customWidth="1"/>
    <col min="5109" max="5109" width="11.85546875" style="8" customWidth="1"/>
    <col min="5110" max="5110" width="11.42578125" style="8" customWidth="1"/>
    <col min="5111" max="5111" width="24.28515625" style="8" customWidth="1"/>
    <col min="5112" max="5112" width="15.28515625" style="8" customWidth="1"/>
    <col min="5113" max="5113" width="23.42578125" style="8" customWidth="1"/>
    <col min="5114" max="5114" width="8.42578125" style="8" customWidth="1"/>
    <col min="5115" max="5115" width="8.140625" style="8" customWidth="1"/>
    <col min="5116" max="5117" width="8.7109375" style="8" customWidth="1"/>
    <col min="5118" max="5121" width="7.28515625" style="8" bestFit="1" customWidth="1"/>
    <col min="5122" max="5122" width="11.5703125" style="8" customWidth="1"/>
    <col min="5123" max="5123" width="9.140625" style="8" bestFit="1" customWidth="1"/>
    <col min="5124" max="5356" width="11.5703125" style="8"/>
    <col min="5357" max="5357" width="5.28515625" style="8" customWidth="1"/>
    <col min="5358" max="5358" width="6.85546875" style="8" customWidth="1"/>
    <col min="5359" max="5359" width="18" style="8" customWidth="1"/>
    <col min="5360" max="5360" width="12" style="8" customWidth="1"/>
    <col min="5361" max="5361" width="11.28515625" style="8" customWidth="1"/>
    <col min="5362" max="5362" width="22.140625" style="8" customWidth="1"/>
    <col min="5363" max="5363" width="20.5703125" style="8" customWidth="1"/>
    <col min="5364" max="5364" width="20" style="8" customWidth="1"/>
    <col min="5365" max="5365" width="11.85546875" style="8" customWidth="1"/>
    <col min="5366" max="5366" width="11.42578125" style="8" customWidth="1"/>
    <col min="5367" max="5367" width="24.28515625" style="8" customWidth="1"/>
    <col min="5368" max="5368" width="15.28515625" style="8" customWidth="1"/>
    <col min="5369" max="5369" width="23.42578125" style="8" customWidth="1"/>
    <col min="5370" max="5370" width="8.42578125" style="8" customWidth="1"/>
    <col min="5371" max="5371" width="8.140625" style="8" customWidth="1"/>
    <col min="5372" max="5373" width="8.7109375" style="8" customWidth="1"/>
    <col min="5374" max="5377" width="7.28515625" style="8" bestFit="1" customWidth="1"/>
    <col min="5378" max="5378" width="11.5703125" style="8" customWidth="1"/>
    <col min="5379" max="5379" width="9.140625" style="8" bestFit="1" customWidth="1"/>
    <col min="5380" max="5612" width="11.5703125" style="8"/>
    <col min="5613" max="5613" width="5.28515625" style="8" customWidth="1"/>
    <col min="5614" max="5614" width="6.85546875" style="8" customWidth="1"/>
    <col min="5615" max="5615" width="18" style="8" customWidth="1"/>
    <col min="5616" max="5616" width="12" style="8" customWidth="1"/>
    <col min="5617" max="5617" width="11.28515625" style="8" customWidth="1"/>
    <col min="5618" max="5618" width="22.140625" style="8" customWidth="1"/>
    <col min="5619" max="5619" width="20.5703125" style="8" customWidth="1"/>
    <col min="5620" max="5620" width="20" style="8" customWidth="1"/>
    <col min="5621" max="5621" width="11.85546875" style="8" customWidth="1"/>
    <col min="5622" max="5622" width="11.42578125" style="8" customWidth="1"/>
    <col min="5623" max="5623" width="24.28515625" style="8" customWidth="1"/>
    <col min="5624" max="5624" width="15.28515625" style="8" customWidth="1"/>
    <col min="5625" max="5625" width="23.42578125" style="8" customWidth="1"/>
    <col min="5626" max="5626" width="8.42578125" style="8" customWidth="1"/>
    <col min="5627" max="5627" width="8.140625" style="8" customWidth="1"/>
    <col min="5628" max="5629" width="8.7109375" style="8" customWidth="1"/>
    <col min="5630" max="5633" width="7.28515625" style="8" bestFit="1" customWidth="1"/>
    <col min="5634" max="5634" width="11.5703125" style="8" customWidth="1"/>
    <col min="5635" max="5635" width="9.140625" style="8" bestFit="1" customWidth="1"/>
    <col min="5636" max="5868" width="11.5703125" style="8"/>
    <col min="5869" max="5869" width="5.28515625" style="8" customWidth="1"/>
    <col min="5870" max="5870" width="6.85546875" style="8" customWidth="1"/>
    <col min="5871" max="5871" width="18" style="8" customWidth="1"/>
    <col min="5872" max="5872" width="12" style="8" customWidth="1"/>
    <col min="5873" max="5873" width="11.28515625" style="8" customWidth="1"/>
    <col min="5874" max="5874" width="22.140625" style="8" customWidth="1"/>
    <col min="5875" max="5875" width="20.5703125" style="8" customWidth="1"/>
    <col min="5876" max="5876" width="20" style="8" customWidth="1"/>
    <col min="5877" max="5877" width="11.85546875" style="8" customWidth="1"/>
    <col min="5878" max="5878" width="11.42578125" style="8" customWidth="1"/>
    <col min="5879" max="5879" width="24.28515625" style="8" customWidth="1"/>
    <col min="5880" max="5880" width="15.28515625" style="8" customWidth="1"/>
    <col min="5881" max="5881" width="23.42578125" style="8" customWidth="1"/>
    <col min="5882" max="5882" width="8.42578125" style="8" customWidth="1"/>
    <col min="5883" max="5883" width="8.140625" style="8" customWidth="1"/>
    <col min="5884" max="5885" width="8.7109375" style="8" customWidth="1"/>
    <col min="5886" max="5889" width="7.28515625" style="8" bestFit="1" customWidth="1"/>
    <col min="5890" max="5890" width="11.5703125" style="8" customWidth="1"/>
    <col min="5891" max="5891" width="9.140625" style="8" bestFit="1" customWidth="1"/>
    <col min="5892" max="6124" width="11.5703125" style="8"/>
    <col min="6125" max="6125" width="5.28515625" style="8" customWidth="1"/>
    <col min="6126" max="6126" width="6.85546875" style="8" customWidth="1"/>
    <col min="6127" max="6127" width="18" style="8" customWidth="1"/>
    <col min="6128" max="6128" width="12" style="8" customWidth="1"/>
    <col min="6129" max="6129" width="11.28515625" style="8" customWidth="1"/>
    <col min="6130" max="6130" width="22.140625" style="8" customWidth="1"/>
    <col min="6131" max="6131" width="20.5703125" style="8" customWidth="1"/>
    <col min="6132" max="6132" width="20" style="8" customWidth="1"/>
    <col min="6133" max="6133" width="11.85546875" style="8" customWidth="1"/>
    <col min="6134" max="6134" width="11.42578125" style="8" customWidth="1"/>
    <col min="6135" max="6135" width="24.28515625" style="8" customWidth="1"/>
    <col min="6136" max="6136" width="15.28515625" style="8" customWidth="1"/>
    <col min="6137" max="6137" width="23.42578125" style="8" customWidth="1"/>
    <col min="6138" max="6138" width="8.42578125" style="8" customWidth="1"/>
    <col min="6139" max="6139" width="8.140625" style="8" customWidth="1"/>
    <col min="6140" max="6141" width="8.7109375" style="8" customWidth="1"/>
    <col min="6142" max="6145" width="7.28515625" style="8" bestFit="1" customWidth="1"/>
    <col min="6146" max="6146" width="11.5703125" style="8" customWidth="1"/>
    <col min="6147" max="6147" width="9.140625" style="8" bestFit="1" customWidth="1"/>
    <col min="6148" max="6380" width="11.5703125" style="8"/>
    <col min="6381" max="6381" width="5.28515625" style="8" customWidth="1"/>
    <col min="6382" max="6382" width="6.85546875" style="8" customWidth="1"/>
    <col min="6383" max="6383" width="18" style="8" customWidth="1"/>
    <col min="6384" max="6384" width="12" style="8" customWidth="1"/>
    <col min="6385" max="6385" width="11.28515625" style="8" customWidth="1"/>
    <col min="6386" max="6386" width="22.140625" style="8" customWidth="1"/>
    <col min="6387" max="6387" width="20.5703125" style="8" customWidth="1"/>
    <col min="6388" max="6388" width="20" style="8" customWidth="1"/>
    <col min="6389" max="6389" width="11.85546875" style="8" customWidth="1"/>
    <col min="6390" max="6390" width="11.42578125" style="8" customWidth="1"/>
    <col min="6391" max="6391" width="24.28515625" style="8" customWidth="1"/>
    <col min="6392" max="6392" width="15.28515625" style="8" customWidth="1"/>
    <col min="6393" max="6393" width="23.42578125" style="8" customWidth="1"/>
    <col min="6394" max="6394" width="8.42578125" style="8" customWidth="1"/>
    <col min="6395" max="6395" width="8.140625" style="8" customWidth="1"/>
    <col min="6396" max="6397" width="8.7109375" style="8" customWidth="1"/>
    <col min="6398" max="6401" width="7.28515625" style="8" bestFit="1" customWidth="1"/>
    <col min="6402" max="6402" width="11.5703125" style="8" customWidth="1"/>
    <col min="6403" max="6403" width="9.140625" style="8" bestFit="1" customWidth="1"/>
    <col min="6404" max="6636" width="11.5703125" style="8"/>
    <col min="6637" max="6637" width="5.28515625" style="8" customWidth="1"/>
    <col min="6638" max="6638" width="6.85546875" style="8" customWidth="1"/>
    <col min="6639" max="6639" width="18" style="8" customWidth="1"/>
    <col min="6640" max="6640" width="12" style="8" customWidth="1"/>
    <col min="6641" max="6641" width="11.28515625" style="8" customWidth="1"/>
    <col min="6642" max="6642" width="22.140625" style="8" customWidth="1"/>
    <col min="6643" max="6643" width="20.5703125" style="8" customWidth="1"/>
    <col min="6644" max="6644" width="20" style="8" customWidth="1"/>
    <col min="6645" max="6645" width="11.85546875" style="8" customWidth="1"/>
    <col min="6646" max="6646" width="11.42578125" style="8" customWidth="1"/>
    <col min="6647" max="6647" width="24.28515625" style="8" customWidth="1"/>
    <col min="6648" max="6648" width="15.28515625" style="8" customWidth="1"/>
    <col min="6649" max="6649" width="23.42578125" style="8" customWidth="1"/>
    <col min="6650" max="6650" width="8.42578125" style="8" customWidth="1"/>
    <col min="6651" max="6651" width="8.140625" style="8" customWidth="1"/>
    <col min="6652" max="6653" width="8.7109375" style="8" customWidth="1"/>
    <col min="6654" max="6657" width="7.28515625" style="8" bestFit="1" customWidth="1"/>
    <col min="6658" max="6658" width="11.5703125" style="8" customWidth="1"/>
    <col min="6659" max="6659" width="9.140625" style="8" bestFit="1" customWidth="1"/>
    <col min="6660" max="6892" width="11.5703125" style="8"/>
    <col min="6893" max="6893" width="5.28515625" style="8" customWidth="1"/>
    <col min="6894" max="6894" width="6.85546875" style="8" customWidth="1"/>
    <col min="6895" max="6895" width="18" style="8" customWidth="1"/>
    <col min="6896" max="6896" width="12" style="8" customWidth="1"/>
    <col min="6897" max="6897" width="11.28515625" style="8" customWidth="1"/>
    <col min="6898" max="6898" width="22.140625" style="8" customWidth="1"/>
    <col min="6899" max="6899" width="20.5703125" style="8" customWidth="1"/>
    <col min="6900" max="6900" width="20" style="8" customWidth="1"/>
    <col min="6901" max="6901" width="11.85546875" style="8" customWidth="1"/>
    <col min="6902" max="6902" width="11.42578125" style="8" customWidth="1"/>
    <col min="6903" max="6903" width="24.28515625" style="8" customWidth="1"/>
    <col min="6904" max="6904" width="15.28515625" style="8" customWidth="1"/>
    <col min="6905" max="6905" width="23.42578125" style="8" customWidth="1"/>
    <col min="6906" max="6906" width="8.42578125" style="8" customWidth="1"/>
    <col min="6907" max="6907" width="8.140625" style="8" customWidth="1"/>
    <col min="6908" max="6909" width="8.7109375" style="8" customWidth="1"/>
    <col min="6910" max="6913" width="7.28515625" style="8" bestFit="1" customWidth="1"/>
    <col min="6914" max="6914" width="11.5703125" style="8" customWidth="1"/>
    <col min="6915" max="6915" width="9.140625" style="8" bestFit="1" customWidth="1"/>
    <col min="6916" max="7148" width="11.5703125" style="8"/>
    <col min="7149" max="7149" width="5.28515625" style="8" customWidth="1"/>
    <col min="7150" max="7150" width="6.85546875" style="8" customWidth="1"/>
    <col min="7151" max="7151" width="18" style="8" customWidth="1"/>
    <col min="7152" max="7152" width="12" style="8" customWidth="1"/>
    <col min="7153" max="7153" width="11.28515625" style="8" customWidth="1"/>
    <col min="7154" max="7154" width="22.140625" style="8" customWidth="1"/>
    <col min="7155" max="7155" width="20.5703125" style="8" customWidth="1"/>
    <col min="7156" max="7156" width="20" style="8" customWidth="1"/>
    <col min="7157" max="7157" width="11.85546875" style="8" customWidth="1"/>
    <col min="7158" max="7158" width="11.42578125" style="8" customWidth="1"/>
    <col min="7159" max="7159" width="24.28515625" style="8" customWidth="1"/>
    <col min="7160" max="7160" width="15.28515625" style="8" customWidth="1"/>
    <col min="7161" max="7161" width="23.42578125" style="8" customWidth="1"/>
    <col min="7162" max="7162" width="8.42578125" style="8" customWidth="1"/>
    <col min="7163" max="7163" width="8.140625" style="8" customWidth="1"/>
    <col min="7164" max="7165" width="8.7109375" style="8" customWidth="1"/>
    <col min="7166" max="7169" width="7.28515625" style="8" bestFit="1" customWidth="1"/>
    <col min="7170" max="7170" width="11.5703125" style="8" customWidth="1"/>
    <col min="7171" max="7171" width="9.140625" style="8" bestFit="1" customWidth="1"/>
    <col min="7172" max="7404" width="11.5703125" style="8"/>
    <col min="7405" max="7405" width="5.28515625" style="8" customWidth="1"/>
    <col min="7406" max="7406" width="6.85546875" style="8" customWidth="1"/>
    <col min="7407" max="7407" width="18" style="8" customWidth="1"/>
    <col min="7408" max="7408" width="12" style="8" customWidth="1"/>
    <col min="7409" max="7409" width="11.28515625" style="8" customWidth="1"/>
    <col min="7410" max="7410" width="22.140625" style="8" customWidth="1"/>
    <col min="7411" max="7411" width="20.5703125" style="8" customWidth="1"/>
    <col min="7412" max="7412" width="20" style="8" customWidth="1"/>
    <col min="7413" max="7413" width="11.85546875" style="8" customWidth="1"/>
    <col min="7414" max="7414" width="11.42578125" style="8" customWidth="1"/>
    <col min="7415" max="7415" width="24.28515625" style="8" customWidth="1"/>
    <col min="7416" max="7416" width="15.28515625" style="8" customWidth="1"/>
    <col min="7417" max="7417" width="23.42578125" style="8" customWidth="1"/>
    <col min="7418" max="7418" width="8.42578125" style="8" customWidth="1"/>
    <col min="7419" max="7419" width="8.140625" style="8" customWidth="1"/>
    <col min="7420" max="7421" width="8.7109375" style="8" customWidth="1"/>
    <col min="7422" max="7425" width="7.28515625" style="8" bestFit="1" customWidth="1"/>
    <col min="7426" max="7426" width="11.5703125" style="8" customWidth="1"/>
    <col min="7427" max="7427" width="9.140625" style="8" bestFit="1" customWidth="1"/>
    <col min="7428" max="7660" width="11.5703125" style="8"/>
    <col min="7661" max="7661" width="5.28515625" style="8" customWidth="1"/>
    <col min="7662" max="7662" width="6.85546875" style="8" customWidth="1"/>
    <col min="7663" max="7663" width="18" style="8" customWidth="1"/>
    <col min="7664" max="7664" width="12" style="8" customWidth="1"/>
    <col min="7665" max="7665" width="11.28515625" style="8" customWidth="1"/>
    <col min="7666" max="7666" width="22.140625" style="8" customWidth="1"/>
    <col min="7667" max="7667" width="20.5703125" style="8" customWidth="1"/>
    <col min="7668" max="7668" width="20" style="8" customWidth="1"/>
    <col min="7669" max="7669" width="11.85546875" style="8" customWidth="1"/>
    <col min="7670" max="7670" width="11.42578125" style="8" customWidth="1"/>
    <col min="7671" max="7671" width="24.28515625" style="8" customWidth="1"/>
    <col min="7672" max="7672" width="15.28515625" style="8" customWidth="1"/>
    <col min="7673" max="7673" width="23.42578125" style="8" customWidth="1"/>
    <col min="7674" max="7674" width="8.42578125" style="8" customWidth="1"/>
    <col min="7675" max="7675" width="8.140625" style="8" customWidth="1"/>
    <col min="7676" max="7677" width="8.7109375" style="8" customWidth="1"/>
    <col min="7678" max="7681" width="7.28515625" style="8" bestFit="1" customWidth="1"/>
    <col min="7682" max="7682" width="11.5703125" style="8" customWidth="1"/>
    <col min="7683" max="7683" width="9.140625" style="8" bestFit="1" customWidth="1"/>
    <col min="7684" max="7916" width="11.5703125" style="8"/>
    <col min="7917" max="7917" width="5.28515625" style="8" customWidth="1"/>
    <col min="7918" max="7918" width="6.85546875" style="8" customWidth="1"/>
    <col min="7919" max="7919" width="18" style="8" customWidth="1"/>
    <col min="7920" max="7920" width="12" style="8" customWidth="1"/>
    <col min="7921" max="7921" width="11.28515625" style="8" customWidth="1"/>
    <col min="7922" max="7922" width="22.140625" style="8" customWidth="1"/>
    <col min="7923" max="7923" width="20.5703125" style="8" customWidth="1"/>
    <col min="7924" max="7924" width="20" style="8" customWidth="1"/>
    <col min="7925" max="7925" width="11.85546875" style="8" customWidth="1"/>
    <col min="7926" max="7926" width="11.42578125" style="8" customWidth="1"/>
    <col min="7927" max="7927" width="24.28515625" style="8" customWidth="1"/>
    <col min="7928" max="7928" width="15.28515625" style="8" customWidth="1"/>
    <col min="7929" max="7929" width="23.42578125" style="8" customWidth="1"/>
    <col min="7930" max="7930" width="8.42578125" style="8" customWidth="1"/>
    <col min="7931" max="7931" width="8.140625" style="8" customWidth="1"/>
    <col min="7932" max="7933" width="8.7109375" style="8" customWidth="1"/>
    <col min="7934" max="7937" width="7.28515625" style="8" bestFit="1" customWidth="1"/>
    <col min="7938" max="7938" width="11.5703125" style="8" customWidth="1"/>
    <col min="7939" max="7939" width="9.140625" style="8" bestFit="1" customWidth="1"/>
    <col min="7940" max="8172" width="11.5703125" style="8"/>
    <col min="8173" max="8173" width="5.28515625" style="8" customWidth="1"/>
    <col min="8174" max="8174" width="6.85546875" style="8" customWidth="1"/>
    <col min="8175" max="8175" width="18" style="8" customWidth="1"/>
    <col min="8176" max="8176" width="12" style="8" customWidth="1"/>
    <col min="8177" max="8177" width="11.28515625" style="8" customWidth="1"/>
    <col min="8178" max="8178" width="22.140625" style="8" customWidth="1"/>
    <col min="8179" max="8179" width="20.5703125" style="8" customWidth="1"/>
    <col min="8180" max="8180" width="20" style="8" customWidth="1"/>
    <col min="8181" max="8181" width="11.85546875" style="8" customWidth="1"/>
    <col min="8182" max="8182" width="11.42578125" style="8" customWidth="1"/>
    <col min="8183" max="8183" width="24.28515625" style="8" customWidth="1"/>
    <col min="8184" max="8184" width="15.28515625" style="8" customWidth="1"/>
    <col min="8185" max="8185" width="23.42578125" style="8" customWidth="1"/>
    <col min="8186" max="8186" width="8.42578125" style="8" customWidth="1"/>
    <col min="8187" max="8187" width="8.140625" style="8" customWidth="1"/>
    <col min="8188" max="8189" width="8.7109375" style="8" customWidth="1"/>
    <col min="8190" max="8193" width="7.28515625" style="8" bestFit="1" customWidth="1"/>
    <col min="8194" max="8194" width="11.5703125" style="8" customWidth="1"/>
    <col min="8195" max="8195" width="9.140625" style="8" bestFit="1" customWidth="1"/>
    <col min="8196" max="8428" width="11.5703125" style="8"/>
    <col min="8429" max="8429" width="5.28515625" style="8" customWidth="1"/>
    <col min="8430" max="8430" width="6.85546875" style="8" customWidth="1"/>
    <col min="8431" max="8431" width="18" style="8" customWidth="1"/>
    <col min="8432" max="8432" width="12" style="8" customWidth="1"/>
    <col min="8433" max="8433" width="11.28515625" style="8" customWidth="1"/>
    <col min="8434" max="8434" width="22.140625" style="8" customWidth="1"/>
    <col min="8435" max="8435" width="20.5703125" style="8" customWidth="1"/>
    <col min="8436" max="8436" width="20" style="8" customWidth="1"/>
    <col min="8437" max="8437" width="11.85546875" style="8" customWidth="1"/>
    <col min="8438" max="8438" width="11.42578125" style="8" customWidth="1"/>
    <col min="8439" max="8439" width="24.28515625" style="8" customWidth="1"/>
    <col min="8440" max="8440" width="15.28515625" style="8" customWidth="1"/>
    <col min="8441" max="8441" width="23.42578125" style="8" customWidth="1"/>
    <col min="8442" max="8442" width="8.42578125" style="8" customWidth="1"/>
    <col min="8443" max="8443" width="8.140625" style="8" customWidth="1"/>
    <col min="8444" max="8445" width="8.7109375" style="8" customWidth="1"/>
    <col min="8446" max="8449" width="7.28515625" style="8" bestFit="1" customWidth="1"/>
    <col min="8450" max="8450" width="11.5703125" style="8" customWidth="1"/>
    <col min="8451" max="8451" width="9.140625" style="8" bestFit="1" customWidth="1"/>
    <col min="8452" max="8684" width="11.5703125" style="8"/>
    <col min="8685" max="8685" width="5.28515625" style="8" customWidth="1"/>
    <col min="8686" max="8686" width="6.85546875" style="8" customWidth="1"/>
    <col min="8687" max="8687" width="18" style="8" customWidth="1"/>
    <col min="8688" max="8688" width="12" style="8" customWidth="1"/>
    <col min="8689" max="8689" width="11.28515625" style="8" customWidth="1"/>
    <col min="8690" max="8690" width="22.140625" style="8" customWidth="1"/>
    <col min="8691" max="8691" width="20.5703125" style="8" customWidth="1"/>
    <col min="8692" max="8692" width="20" style="8" customWidth="1"/>
    <col min="8693" max="8693" width="11.85546875" style="8" customWidth="1"/>
    <col min="8694" max="8694" width="11.42578125" style="8" customWidth="1"/>
    <col min="8695" max="8695" width="24.28515625" style="8" customWidth="1"/>
    <col min="8696" max="8696" width="15.28515625" style="8" customWidth="1"/>
    <col min="8697" max="8697" width="23.42578125" style="8" customWidth="1"/>
    <col min="8698" max="8698" width="8.42578125" style="8" customWidth="1"/>
    <col min="8699" max="8699" width="8.140625" style="8" customWidth="1"/>
    <col min="8700" max="8701" width="8.7109375" style="8" customWidth="1"/>
    <col min="8702" max="8705" width="7.28515625" style="8" bestFit="1" customWidth="1"/>
    <col min="8706" max="8706" width="11.5703125" style="8" customWidth="1"/>
    <col min="8707" max="8707" width="9.140625" style="8" bestFit="1" customWidth="1"/>
    <col min="8708" max="8940" width="11.5703125" style="8"/>
    <col min="8941" max="8941" width="5.28515625" style="8" customWidth="1"/>
    <col min="8942" max="8942" width="6.85546875" style="8" customWidth="1"/>
    <col min="8943" max="8943" width="18" style="8" customWidth="1"/>
    <col min="8944" max="8944" width="12" style="8" customWidth="1"/>
    <col min="8945" max="8945" width="11.28515625" style="8" customWidth="1"/>
    <col min="8946" max="8946" width="22.140625" style="8" customWidth="1"/>
    <col min="8947" max="8947" width="20.5703125" style="8" customWidth="1"/>
    <col min="8948" max="8948" width="20" style="8" customWidth="1"/>
    <col min="8949" max="8949" width="11.85546875" style="8" customWidth="1"/>
    <col min="8950" max="8950" width="11.42578125" style="8" customWidth="1"/>
    <col min="8951" max="8951" width="24.28515625" style="8" customWidth="1"/>
    <col min="8952" max="8952" width="15.28515625" style="8" customWidth="1"/>
    <col min="8953" max="8953" width="23.42578125" style="8" customWidth="1"/>
    <col min="8954" max="8954" width="8.42578125" style="8" customWidth="1"/>
    <col min="8955" max="8955" width="8.140625" style="8" customWidth="1"/>
    <col min="8956" max="8957" width="8.7109375" style="8" customWidth="1"/>
    <col min="8958" max="8961" width="7.28515625" style="8" bestFit="1" customWidth="1"/>
    <col min="8962" max="8962" width="11.5703125" style="8" customWidth="1"/>
    <col min="8963" max="8963" width="9.140625" style="8" bestFit="1" customWidth="1"/>
    <col min="8964" max="9196" width="11.5703125" style="8"/>
    <col min="9197" max="9197" width="5.28515625" style="8" customWidth="1"/>
    <col min="9198" max="9198" width="6.85546875" style="8" customWidth="1"/>
    <col min="9199" max="9199" width="18" style="8" customWidth="1"/>
    <col min="9200" max="9200" width="12" style="8" customWidth="1"/>
    <col min="9201" max="9201" width="11.28515625" style="8" customWidth="1"/>
    <col min="9202" max="9202" width="22.140625" style="8" customWidth="1"/>
    <col min="9203" max="9203" width="20.5703125" style="8" customWidth="1"/>
    <col min="9204" max="9204" width="20" style="8" customWidth="1"/>
    <col min="9205" max="9205" width="11.85546875" style="8" customWidth="1"/>
    <col min="9206" max="9206" width="11.42578125" style="8" customWidth="1"/>
    <col min="9207" max="9207" width="24.28515625" style="8" customWidth="1"/>
    <col min="9208" max="9208" width="15.28515625" style="8" customWidth="1"/>
    <col min="9209" max="9209" width="23.42578125" style="8" customWidth="1"/>
    <col min="9210" max="9210" width="8.42578125" style="8" customWidth="1"/>
    <col min="9211" max="9211" width="8.140625" style="8" customWidth="1"/>
    <col min="9212" max="9213" width="8.7109375" style="8" customWidth="1"/>
    <col min="9214" max="9217" width="7.28515625" style="8" bestFit="1" customWidth="1"/>
    <col min="9218" max="9218" width="11.5703125" style="8" customWidth="1"/>
    <col min="9219" max="9219" width="9.140625" style="8" bestFit="1" customWidth="1"/>
    <col min="9220" max="9452" width="11.5703125" style="8"/>
    <col min="9453" max="9453" width="5.28515625" style="8" customWidth="1"/>
    <col min="9454" max="9454" width="6.85546875" style="8" customWidth="1"/>
    <col min="9455" max="9455" width="18" style="8" customWidth="1"/>
    <col min="9456" max="9456" width="12" style="8" customWidth="1"/>
    <col min="9457" max="9457" width="11.28515625" style="8" customWidth="1"/>
    <col min="9458" max="9458" width="22.140625" style="8" customWidth="1"/>
    <col min="9459" max="9459" width="20.5703125" style="8" customWidth="1"/>
    <col min="9460" max="9460" width="20" style="8" customWidth="1"/>
    <col min="9461" max="9461" width="11.85546875" style="8" customWidth="1"/>
    <col min="9462" max="9462" width="11.42578125" style="8" customWidth="1"/>
    <col min="9463" max="9463" width="24.28515625" style="8" customWidth="1"/>
    <col min="9464" max="9464" width="15.28515625" style="8" customWidth="1"/>
    <col min="9465" max="9465" width="23.42578125" style="8" customWidth="1"/>
    <col min="9466" max="9466" width="8.42578125" style="8" customWidth="1"/>
    <col min="9467" max="9467" width="8.140625" style="8" customWidth="1"/>
    <col min="9468" max="9469" width="8.7109375" style="8" customWidth="1"/>
    <col min="9470" max="9473" width="7.28515625" style="8" bestFit="1" customWidth="1"/>
    <col min="9474" max="9474" width="11.5703125" style="8" customWidth="1"/>
    <col min="9475" max="9475" width="9.140625" style="8" bestFit="1" customWidth="1"/>
    <col min="9476" max="9708" width="11.5703125" style="8"/>
    <col min="9709" max="9709" width="5.28515625" style="8" customWidth="1"/>
    <col min="9710" max="9710" width="6.85546875" style="8" customWidth="1"/>
    <col min="9711" max="9711" width="18" style="8" customWidth="1"/>
    <col min="9712" max="9712" width="12" style="8" customWidth="1"/>
    <col min="9713" max="9713" width="11.28515625" style="8" customWidth="1"/>
    <col min="9714" max="9714" width="22.140625" style="8" customWidth="1"/>
    <col min="9715" max="9715" width="20.5703125" style="8" customWidth="1"/>
    <col min="9716" max="9716" width="20" style="8" customWidth="1"/>
    <col min="9717" max="9717" width="11.85546875" style="8" customWidth="1"/>
    <col min="9718" max="9718" width="11.42578125" style="8" customWidth="1"/>
    <col min="9719" max="9719" width="24.28515625" style="8" customWidth="1"/>
    <col min="9720" max="9720" width="15.28515625" style="8" customWidth="1"/>
    <col min="9721" max="9721" width="23.42578125" style="8" customWidth="1"/>
    <col min="9722" max="9722" width="8.42578125" style="8" customWidth="1"/>
    <col min="9723" max="9723" width="8.140625" style="8" customWidth="1"/>
    <col min="9724" max="9725" width="8.7109375" style="8" customWidth="1"/>
    <col min="9726" max="9729" width="7.28515625" style="8" bestFit="1" customWidth="1"/>
    <col min="9730" max="9730" width="11.5703125" style="8" customWidth="1"/>
    <col min="9731" max="9731" width="9.140625" style="8" bestFit="1" customWidth="1"/>
    <col min="9732" max="9964" width="11.5703125" style="8"/>
    <col min="9965" max="9965" width="5.28515625" style="8" customWidth="1"/>
    <col min="9966" max="9966" width="6.85546875" style="8" customWidth="1"/>
    <col min="9967" max="9967" width="18" style="8" customWidth="1"/>
    <col min="9968" max="9968" width="12" style="8" customWidth="1"/>
    <col min="9969" max="9969" width="11.28515625" style="8" customWidth="1"/>
    <col min="9970" max="9970" width="22.140625" style="8" customWidth="1"/>
    <col min="9971" max="9971" width="20.5703125" style="8" customWidth="1"/>
    <col min="9972" max="9972" width="20" style="8" customWidth="1"/>
    <col min="9973" max="9973" width="11.85546875" style="8" customWidth="1"/>
    <col min="9974" max="9974" width="11.42578125" style="8" customWidth="1"/>
    <col min="9975" max="9975" width="24.28515625" style="8" customWidth="1"/>
    <col min="9976" max="9976" width="15.28515625" style="8" customWidth="1"/>
    <col min="9977" max="9977" width="23.42578125" style="8" customWidth="1"/>
    <col min="9978" max="9978" width="8.42578125" style="8" customWidth="1"/>
    <col min="9979" max="9979" width="8.140625" style="8" customWidth="1"/>
    <col min="9980" max="9981" width="8.7109375" style="8" customWidth="1"/>
    <col min="9982" max="9985" width="7.28515625" style="8" bestFit="1" customWidth="1"/>
    <col min="9986" max="9986" width="11.5703125" style="8" customWidth="1"/>
    <col min="9987" max="9987" width="9.140625" style="8" bestFit="1" customWidth="1"/>
    <col min="9988" max="10220" width="11.5703125" style="8"/>
    <col min="10221" max="10221" width="5.28515625" style="8" customWidth="1"/>
    <col min="10222" max="10222" width="6.85546875" style="8" customWidth="1"/>
    <col min="10223" max="10223" width="18" style="8" customWidth="1"/>
    <col min="10224" max="10224" width="12" style="8" customWidth="1"/>
    <col min="10225" max="10225" width="11.28515625" style="8" customWidth="1"/>
    <col min="10226" max="10226" width="22.140625" style="8" customWidth="1"/>
    <col min="10227" max="10227" width="20.5703125" style="8" customWidth="1"/>
    <col min="10228" max="10228" width="20" style="8" customWidth="1"/>
    <col min="10229" max="10229" width="11.85546875" style="8" customWidth="1"/>
    <col min="10230" max="10230" width="11.42578125" style="8" customWidth="1"/>
    <col min="10231" max="10231" width="24.28515625" style="8" customWidth="1"/>
    <col min="10232" max="10232" width="15.28515625" style="8" customWidth="1"/>
    <col min="10233" max="10233" width="23.42578125" style="8" customWidth="1"/>
    <col min="10234" max="10234" width="8.42578125" style="8" customWidth="1"/>
    <col min="10235" max="10235" width="8.140625" style="8" customWidth="1"/>
    <col min="10236" max="10237" width="8.7109375" style="8" customWidth="1"/>
    <col min="10238" max="10241" width="7.28515625" style="8" bestFit="1" customWidth="1"/>
    <col min="10242" max="10242" width="11.5703125" style="8" customWidth="1"/>
    <col min="10243" max="10243" width="9.140625" style="8" bestFit="1" customWidth="1"/>
    <col min="10244" max="10476" width="11.5703125" style="8"/>
    <col min="10477" max="10477" width="5.28515625" style="8" customWidth="1"/>
    <col min="10478" max="10478" width="6.85546875" style="8" customWidth="1"/>
    <col min="10479" max="10479" width="18" style="8" customWidth="1"/>
    <col min="10480" max="10480" width="12" style="8" customWidth="1"/>
    <col min="10481" max="10481" width="11.28515625" style="8" customWidth="1"/>
    <col min="10482" max="10482" width="22.140625" style="8" customWidth="1"/>
    <col min="10483" max="10483" width="20.5703125" style="8" customWidth="1"/>
    <col min="10484" max="10484" width="20" style="8" customWidth="1"/>
    <col min="10485" max="10485" width="11.85546875" style="8" customWidth="1"/>
    <col min="10486" max="10486" width="11.42578125" style="8" customWidth="1"/>
    <col min="10487" max="10487" width="24.28515625" style="8" customWidth="1"/>
    <col min="10488" max="10488" width="15.28515625" style="8" customWidth="1"/>
    <col min="10489" max="10489" width="23.42578125" style="8" customWidth="1"/>
    <col min="10490" max="10490" width="8.42578125" style="8" customWidth="1"/>
    <col min="10491" max="10491" width="8.140625" style="8" customWidth="1"/>
    <col min="10492" max="10493" width="8.7109375" style="8" customWidth="1"/>
    <col min="10494" max="10497" width="7.28515625" style="8" bestFit="1" customWidth="1"/>
    <col min="10498" max="10498" width="11.5703125" style="8" customWidth="1"/>
    <col min="10499" max="10499" width="9.140625" style="8" bestFit="1" customWidth="1"/>
    <col min="10500" max="10732" width="11.5703125" style="8"/>
    <col min="10733" max="10733" width="5.28515625" style="8" customWidth="1"/>
    <col min="10734" max="10734" width="6.85546875" style="8" customWidth="1"/>
    <col min="10735" max="10735" width="18" style="8" customWidth="1"/>
    <col min="10736" max="10736" width="12" style="8" customWidth="1"/>
    <col min="10737" max="10737" width="11.28515625" style="8" customWidth="1"/>
    <col min="10738" max="10738" width="22.140625" style="8" customWidth="1"/>
    <col min="10739" max="10739" width="20.5703125" style="8" customWidth="1"/>
    <col min="10740" max="10740" width="20" style="8" customWidth="1"/>
    <col min="10741" max="10741" width="11.85546875" style="8" customWidth="1"/>
    <col min="10742" max="10742" width="11.42578125" style="8" customWidth="1"/>
    <col min="10743" max="10743" width="24.28515625" style="8" customWidth="1"/>
    <col min="10744" max="10744" width="15.28515625" style="8" customWidth="1"/>
    <col min="10745" max="10745" width="23.42578125" style="8" customWidth="1"/>
    <col min="10746" max="10746" width="8.42578125" style="8" customWidth="1"/>
    <col min="10747" max="10747" width="8.140625" style="8" customWidth="1"/>
    <col min="10748" max="10749" width="8.7109375" style="8" customWidth="1"/>
    <col min="10750" max="10753" width="7.28515625" style="8" bestFit="1" customWidth="1"/>
    <col min="10754" max="10754" width="11.5703125" style="8" customWidth="1"/>
    <col min="10755" max="10755" width="9.140625" style="8" bestFit="1" customWidth="1"/>
    <col min="10756" max="10988" width="11.5703125" style="8"/>
    <col min="10989" max="10989" width="5.28515625" style="8" customWidth="1"/>
    <col min="10990" max="10990" width="6.85546875" style="8" customWidth="1"/>
    <col min="10991" max="10991" width="18" style="8" customWidth="1"/>
    <col min="10992" max="10992" width="12" style="8" customWidth="1"/>
    <col min="10993" max="10993" width="11.28515625" style="8" customWidth="1"/>
    <col min="10994" max="10994" width="22.140625" style="8" customWidth="1"/>
    <col min="10995" max="10995" width="20.5703125" style="8" customWidth="1"/>
    <col min="10996" max="10996" width="20" style="8" customWidth="1"/>
    <col min="10997" max="10997" width="11.85546875" style="8" customWidth="1"/>
    <col min="10998" max="10998" width="11.42578125" style="8" customWidth="1"/>
    <col min="10999" max="10999" width="24.28515625" style="8" customWidth="1"/>
    <col min="11000" max="11000" width="15.28515625" style="8" customWidth="1"/>
    <col min="11001" max="11001" width="23.42578125" style="8" customWidth="1"/>
    <col min="11002" max="11002" width="8.42578125" style="8" customWidth="1"/>
    <col min="11003" max="11003" width="8.140625" style="8" customWidth="1"/>
    <col min="11004" max="11005" width="8.7109375" style="8" customWidth="1"/>
    <col min="11006" max="11009" width="7.28515625" style="8" bestFit="1" customWidth="1"/>
    <col min="11010" max="11010" width="11.5703125" style="8" customWidth="1"/>
    <col min="11011" max="11011" width="9.140625" style="8" bestFit="1" customWidth="1"/>
    <col min="11012" max="11244" width="11.5703125" style="8"/>
    <col min="11245" max="11245" width="5.28515625" style="8" customWidth="1"/>
    <col min="11246" max="11246" width="6.85546875" style="8" customWidth="1"/>
    <col min="11247" max="11247" width="18" style="8" customWidth="1"/>
    <col min="11248" max="11248" width="12" style="8" customWidth="1"/>
    <col min="11249" max="11249" width="11.28515625" style="8" customWidth="1"/>
    <col min="11250" max="11250" width="22.140625" style="8" customWidth="1"/>
    <col min="11251" max="11251" width="20.5703125" style="8" customWidth="1"/>
    <col min="11252" max="11252" width="20" style="8" customWidth="1"/>
    <col min="11253" max="11253" width="11.85546875" style="8" customWidth="1"/>
    <col min="11254" max="11254" width="11.42578125" style="8" customWidth="1"/>
    <col min="11255" max="11255" width="24.28515625" style="8" customWidth="1"/>
    <col min="11256" max="11256" width="15.28515625" style="8" customWidth="1"/>
    <col min="11257" max="11257" width="23.42578125" style="8" customWidth="1"/>
    <col min="11258" max="11258" width="8.42578125" style="8" customWidth="1"/>
    <col min="11259" max="11259" width="8.140625" style="8" customWidth="1"/>
    <col min="11260" max="11261" width="8.7109375" style="8" customWidth="1"/>
    <col min="11262" max="11265" width="7.28515625" style="8" bestFit="1" customWidth="1"/>
    <col min="11266" max="11266" width="11.5703125" style="8" customWidth="1"/>
    <col min="11267" max="11267" width="9.140625" style="8" bestFit="1" customWidth="1"/>
    <col min="11268" max="11500" width="11.5703125" style="8"/>
    <col min="11501" max="11501" width="5.28515625" style="8" customWidth="1"/>
    <col min="11502" max="11502" width="6.85546875" style="8" customWidth="1"/>
    <col min="11503" max="11503" width="18" style="8" customWidth="1"/>
    <col min="11504" max="11504" width="12" style="8" customWidth="1"/>
    <col min="11505" max="11505" width="11.28515625" style="8" customWidth="1"/>
    <col min="11506" max="11506" width="22.140625" style="8" customWidth="1"/>
    <col min="11507" max="11507" width="20.5703125" style="8" customWidth="1"/>
    <col min="11508" max="11508" width="20" style="8" customWidth="1"/>
    <col min="11509" max="11509" width="11.85546875" style="8" customWidth="1"/>
    <col min="11510" max="11510" width="11.42578125" style="8" customWidth="1"/>
    <col min="11511" max="11511" width="24.28515625" style="8" customWidth="1"/>
    <col min="11512" max="11512" width="15.28515625" style="8" customWidth="1"/>
    <col min="11513" max="11513" width="23.42578125" style="8" customWidth="1"/>
    <col min="11514" max="11514" width="8.42578125" style="8" customWidth="1"/>
    <col min="11515" max="11515" width="8.140625" style="8" customWidth="1"/>
    <col min="11516" max="11517" width="8.7109375" style="8" customWidth="1"/>
    <col min="11518" max="11521" width="7.28515625" style="8" bestFit="1" customWidth="1"/>
    <col min="11522" max="11522" width="11.5703125" style="8" customWidth="1"/>
    <col min="11523" max="11523" width="9.140625" style="8" bestFit="1" customWidth="1"/>
    <col min="11524" max="11756" width="11.5703125" style="8"/>
    <col min="11757" max="11757" width="5.28515625" style="8" customWidth="1"/>
    <col min="11758" max="11758" width="6.85546875" style="8" customWidth="1"/>
    <col min="11759" max="11759" width="18" style="8" customWidth="1"/>
    <col min="11760" max="11760" width="12" style="8" customWidth="1"/>
    <col min="11761" max="11761" width="11.28515625" style="8" customWidth="1"/>
    <col min="11762" max="11762" width="22.140625" style="8" customWidth="1"/>
    <col min="11763" max="11763" width="20.5703125" style="8" customWidth="1"/>
    <col min="11764" max="11764" width="20" style="8" customWidth="1"/>
    <col min="11765" max="11765" width="11.85546875" style="8" customWidth="1"/>
    <col min="11766" max="11766" width="11.42578125" style="8" customWidth="1"/>
    <col min="11767" max="11767" width="24.28515625" style="8" customWidth="1"/>
    <col min="11768" max="11768" width="15.28515625" style="8" customWidth="1"/>
    <col min="11769" max="11769" width="23.42578125" style="8" customWidth="1"/>
    <col min="11770" max="11770" width="8.42578125" style="8" customWidth="1"/>
    <col min="11771" max="11771" width="8.140625" style="8" customWidth="1"/>
    <col min="11772" max="11773" width="8.7109375" style="8" customWidth="1"/>
    <col min="11774" max="11777" width="7.28515625" style="8" bestFit="1" customWidth="1"/>
    <col min="11778" max="11778" width="11.5703125" style="8" customWidth="1"/>
    <col min="11779" max="11779" width="9.140625" style="8" bestFit="1" customWidth="1"/>
    <col min="11780" max="12012" width="11.5703125" style="8"/>
    <col min="12013" max="12013" width="5.28515625" style="8" customWidth="1"/>
    <col min="12014" max="12014" width="6.85546875" style="8" customWidth="1"/>
    <col min="12015" max="12015" width="18" style="8" customWidth="1"/>
    <col min="12016" max="12016" width="12" style="8" customWidth="1"/>
    <col min="12017" max="12017" width="11.28515625" style="8" customWidth="1"/>
    <col min="12018" max="12018" width="22.140625" style="8" customWidth="1"/>
    <col min="12019" max="12019" width="20.5703125" style="8" customWidth="1"/>
    <col min="12020" max="12020" width="20" style="8" customWidth="1"/>
    <col min="12021" max="12021" width="11.85546875" style="8" customWidth="1"/>
    <col min="12022" max="12022" width="11.42578125" style="8" customWidth="1"/>
    <col min="12023" max="12023" width="24.28515625" style="8" customWidth="1"/>
    <col min="12024" max="12024" width="15.28515625" style="8" customWidth="1"/>
    <col min="12025" max="12025" width="23.42578125" style="8" customWidth="1"/>
    <col min="12026" max="12026" width="8.42578125" style="8" customWidth="1"/>
    <col min="12027" max="12027" width="8.140625" style="8" customWidth="1"/>
    <col min="12028" max="12029" width="8.7109375" style="8" customWidth="1"/>
    <col min="12030" max="12033" width="7.28515625" style="8" bestFit="1" customWidth="1"/>
    <col min="12034" max="12034" width="11.5703125" style="8" customWidth="1"/>
    <col min="12035" max="12035" width="9.140625" style="8" bestFit="1" customWidth="1"/>
    <col min="12036" max="12268" width="11.5703125" style="8"/>
    <col min="12269" max="12269" width="5.28515625" style="8" customWidth="1"/>
    <col min="12270" max="12270" width="6.85546875" style="8" customWidth="1"/>
    <col min="12271" max="12271" width="18" style="8" customWidth="1"/>
    <col min="12272" max="12272" width="12" style="8" customWidth="1"/>
    <col min="12273" max="12273" width="11.28515625" style="8" customWidth="1"/>
    <col min="12274" max="12274" width="22.140625" style="8" customWidth="1"/>
    <col min="12275" max="12275" width="20.5703125" style="8" customWidth="1"/>
    <col min="12276" max="12276" width="20" style="8" customWidth="1"/>
    <col min="12277" max="12277" width="11.85546875" style="8" customWidth="1"/>
    <col min="12278" max="12278" width="11.42578125" style="8" customWidth="1"/>
    <col min="12279" max="12279" width="24.28515625" style="8" customWidth="1"/>
    <col min="12280" max="12280" width="15.28515625" style="8" customWidth="1"/>
    <col min="12281" max="12281" width="23.42578125" style="8" customWidth="1"/>
    <col min="12282" max="12282" width="8.42578125" style="8" customWidth="1"/>
    <col min="12283" max="12283" width="8.140625" style="8" customWidth="1"/>
    <col min="12284" max="12285" width="8.7109375" style="8" customWidth="1"/>
    <col min="12286" max="12289" width="7.28515625" style="8" bestFit="1" customWidth="1"/>
    <col min="12290" max="12290" width="11.5703125" style="8" customWidth="1"/>
    <col min="12291" max="12291" width="9.140625" style="8" bestFit="1" customWidth="1"/>
    <col min="12292" max="12524" width="11.5703125" style="8"/>
    <col min="12525" max="12525" width="5.28515625" style="8" customWidth="1"/>
    <col min="12526" max="12526" width="6.85546875" style="8" customWidth="1"/>
    <col min="12527" max="12527" width="18" style="8" customWidth="1"/>
    <col min="12528" max="12528" width="12" style="8" customWidth="1"/>
    <col min="12529" max="12529" width="11.28515625" style="8" customWidth="1"/>
    <col min="12530" max="12530" width="22.140625" style="8" customWidth="1"/>
    <col min="12531" max="12531" width="20.5703125" style="8" customWidth="1"/>
    <col min="12532" max="12532" width="20" style="8" customWidth="1"/>
    <col min="12533" max="12533" width="11.85546875" style="8" customWidth="1"/>
    <col min="12534" max="12534" width="11.42578125" style="8" customWidth="1"/>
    <col min="12535" max="12535" width="24.28515625" style="8" customWidth="1"/>
    <col min="12536" max="12536" width="15.28515625" style="8" customWidth="1"/>
    <col min="12537" max="12537" width="23.42578125" style="8" customWidth="1"/>
    <col min="12538" max="12538" width="8.42578125" style="8" customWidth="1"/>
    <col min="12539" max="12539" width="8.140625" style="8" customWidth="1"/>
    <col min="12540" max="12541" width="8.7109375" style="8" customWidth="1"/>
    <col min="12542" max="12545" width="7.28515625" style="8" bestFit="1" customWidth="1"/>
    <col min="12546" max="12546" width="11.5703125" style="8" customWidth="1"/>
    <col min="12547" max="12547" width="9.140625" style="8" bestFit="1" customWidth="1"/>
    <col min="12548" max="12780" width="11.5703125" style="8"/>
    <col min="12781" max="12781" width="5.28515625" style="8" customWidth="1"/>
    <col min="12782" max="12782" width="6.85546875" style="8" customWidth="1"/>
    <col min="12783" max="12783" width="18" style="8" customWidth="1"/>
    <col min="12784" max="12784" width="12" style="8" customWidth="1"/>
    <col min="12785" max="12785" width="11.28515625" style="8" customWidth="1"/>
    <col min="12786" max="12786" width="22.140625" style="8" customWidth="1"/>
    <col min="12787" max="12787" width="20.5703125" style="8" customWidth="1"/>
    <col min="12788" max="12788" width="20" style="8" customWidth="1"/>
    <col min="12789" max="12789" width="11.85546875" style="8" customWidth="1"/>
    <col min="12790" max="12790" width="11.42578125" style="8" customWidth="1"/>
    <col min="12791" max="12791" width="24.28515625" style="8" customWidth="1"/>
    <col min="12792" max="12792" width="15.28515625" style="8" customWidth="1"/>
    <col min="12793" max="12793" width="23.42578125" style="8" customWidth="1"/>
    <col min="12794" max="12794" width="8.42578125" style="8" customWidth="1"/>
    <col min="12795" max="12795" width="8.140625" style="8" customWidth="1"/>
    <col min="12796" max="12797" width="8.7109375" style="8" customWidth="1"/>
    <col min="12798" max="12801" width="7.28515625" style="8" bestFit="1" customWidth="1"/>
    <col min="12802" max="12802" width="11.5703125" style="8" customWidth="1"/>
    <col min="12803" max="12803" width="9.140625" style="8" bestFit="1" customWidth="1"/>
    <col min="12804" max="13036" width="11.5703125" style="8"/>
    <col min="13037" max="13037" width="5.28515625" style="8" customWidth="1"/>
    <col min="13038" max="13038" width="6.85546875" style="8" customWidth="1"/>
    <col min="13039" max="13039" width="18" style="8" customWidth="1"/>
    <col min="13040" max="13040" width="12" style="8" customWidth="1"/>
    <col min="13041" max="13041" width="11.28515625" style="8" customWidth="1"/>
    <col min="13042" max="13042" width="22.140625" style="8" customWidth="1"/>
    <col min="13043" max="13043" width="20.5703125" style="8" customWidth="1"/>
    <col min="13044" max="13044" width="20" style="8" customWidth="1"/>
    <col min="13045" max="13045" width="11.85546875" style="8" customWidth="1"/>
    <col min="13046" max="13046" width="11.42578125" style="8" customWidth="1"/>
    <col min="13047" max="13047" width="24.28515625" style="8" customWidth="1"/>
    <col min="13048" max="13048" width="15.28515625" style="8" customWidth="1"/>
    <col min="13049" max="13049" width="23.42578125" style="8" customWidth="1"/>
    <col min="13050" max="13050" width="8.42578125" style="8" customWidth="1"/>
    <col min="13051" max="13051" width="8.140625" style="8" customWidth="1"/>
    <col min="13052" max="13053" width="8.7109375" style="8" customWidth="1"/>
    <col min="13054" max="13057" width="7.28515625" style="8" bestFit="1" customWidth="1"/>
    <col min="13058" max="13058" width="11.5703125" style="8" customWidth="1"/>
    <col min="13059" max="13059" width="9.140625" style="8" bestFit="1" customWidth="1"/>
    <col min="13060" max="13292" width="11.5703125" style="8"/>
    <col min="13293" max="13293" width="5.28515625" style="8" customWidth="1"/>
    <col min="13294" max="13294" width="6.85546875" style="8" customWidth="1"/>
    <col min="13295" max="13295" width="18" style="8" customWidth="1"/>
    <col min="13296" max="13296" width="12" style="8" customWidth="1"/>
    <col min="13297" max="13297" width="11.28515625" style="8" customWidth="1"/>
    <col min="13298" max="13298" width="22.140625" style="8" customWidth="1"/>
    <col min="13299" max="13299" width="20.5703125" style="8" customWidth="1"/>
    <col min="13300" max="13300" width="20" style="8" customWidth="1"/>
    <col min="13301" max="13301" width="11.85546875" style="8" customWidth="1"/>
    <col min="13302" max="13302" width="11.42578125" style="8" customWidth="1"/>
    <col min="13303" max="13303" width="24.28515625" style="8" customWidth="1"/>
    <col min="13304" max="13304" width="15.28515625" style="8" customWidth="1"/>
    <col min="13305" max="13305" width="23.42578125" style="8" customWidth="1"/>
    <col min="13306" max="13306" width="8.42578125" style="8" customWidth="1"/>
    <col min="13307" max="13307" width="8.140625" style="8" customWidth="1"/>
    <col min="13308" max="13309" width="8.7109375" style="8" customWidth="1"/>
    <col min="13310" max="13313" width="7.28515625" style="8" bestFit="1" customWidth="1"/>
    <col min="13314" max="13314" width="11.5703125" style="8" customWidth="1"/>
    <col min="13315" max="13315" width="9.140625" style="8" bestFit="1" customWidth="1"/>
    <col min="13316" max="13548" width="11.5703125" style="8"/>
    <col min="13549" max="13549" width="5.28515625" style="8" customWidth="1"/>
    <col min="13550" max="13550" width="6.85546875" style="8" customWidth="1"/>
    <col min="13551" max="13551" width="18" style="8" customWidth="1"/>
    <col min="13552" max="13552" width="12" style="8" customWidth="1"/>
    <col min="13553" max="13553" width="11.28515625" style="8" customWidth="1"/>
    <col min="13554" max="13554" width="22.140625" style="8" customWidth="1"/>
    <col min="13555" max="13555" width="20.5703125" style="8" customWidth="1"/>
    <col min="13556" max="13556" width="20" style="8" customWidth="1"/>
    <col min="13557" max="13557" width="11.85546875" style="8" customWidth="1"/>
    <col min="13558" max="13558" width="11.42578125" style="8" customWidth="1"/>
    <col min="13559" max="13559" width="24.28515625" style="8" customWidth="1"/>
    <col min="13560" max="13560" width="15.28515625" style="8" customWidth="1"/>
    <col min="13561" max="13561" width="23.42578125" style="8" customWidth="1"/>
    <col min="13562" max="13562" width="8.42578125" style="8" customWidth="1"/>
    <col min="13563" max="13563" width="8.140625" style="8" customWidth="1"/>
    <col min="13564" max="13565" width="8.7109375" style="8" customWidth="1"/>
    <col min="13566" max="13569" width="7.28515625" style="8" bestFit="1" customWidth="1"/>
    <col min="13570" max="13570" width="11.5703125" style="8" customWidth="1"/>
    <col min="13571" max="13571" width="9.140625" style="8" bestFit="1" customWidth="1"/>
    <col min="13572" max="13804" width="11.5703125" style="8"/>
    <col min="13805" max="13805" width="5.28515625" style="8" customWidth="1"/>
    <col min="13806" max="13806" width="6.85546875" style="8" customWidth="1"/>
    <col min="13807" max="13807" width="18" style="8" customWidth="1"/>
    <col min="13808" max="13808" width="12" style="8" customWidth="1"/>
    <col min="13809" max="13809" width="11.28515625" style="8" customWidth="1"/>
    <col min="13810" max="13810" width="22.140625" style="8" customWidth="1"/>
    <col min="13811" max="13811" width="20.5703125" style="8" customWidth="1"/>
    <col min="13812" max="13812" width="20" style="8" customWidth="1"/>
    <col min="13813" max="13813" width="11.85546875" style="8" customWidth="1"/>
    <col min="13814" max="13814" width="11.42578125" style="8" customWidth="1"/>
    <col min="13815" max="13815" width="24.28515625" style="8" customWidth="1"/>
    <col min="13816" max="13816" width="15.28515625" style="8" customWidth="1"/>
    <col min="13817" max="13817" width="23.42578125" style="8" customWidth="1"/>
    <col min="13818" max="13818" width="8.42578125" style="8" customWidth="1"/>
    <col min="13819" max="13819" width="8.140625" style="8" customWidth="1"/>
    <col min="13820" max="13821" width="8.7109375" style="8" customWidth="1"/>
    <col min="13822" max="13825" width="7.28515625" style="8" bestFit="1" customWidth="1"/>
    <col min="13826" max="13826" width="11.5703125" style="8" customWidth="1"/>
    <col min="13827" max="13827" width="9.140625" style="8" bestFit="1" customWidth="1"/>
    <col min="13828" max="14060" width="11.5703125" style="8"/>
    <col min="14061" max="14061" width="5.28515625" style="8" customWidth="1"/>
    <col min="14062" max="14062" width="6.85546875" style="8" customWidth="1"/>
    <col min="14063" max="14063" width="18" style="8" customWidth="1"/>
    <col min="14064" max="14064" width="12" style="8" customWidth="1"/>
    <col min="14065" max="14065" width="11.28515625" style="8" customWidth="1"/>
    <col min="14066" max="14066" width="22.140625" style="8" customWidth="1"/>
    <col min="14067" max="14067" width="20.5703125" style="8" customWidth="1"/>
    <col min="14068" max="14068" width="20" style="8" customWidth="1"/>
    <col min="14069" max="14069" width="11.85546875" style="8" customWidth="1"/>
    <col min="14070" max="14070" width="11.42578125" style="8" customWidth="1"/>
    <col min="14071" max="14071" width="24.28515625" style="8" customWidth="1"/>
    <col min="14072" max="14072" width="15.28515625" style="8" customWidth="1"/>
    <col min="14073" max="14073" width="23.42578125" style="8" customWidth="1"/>
    <col min="14074" max="14074" width="8.42578125" style="8" customWidth="1"/>
    <col min="14075" max="14075" width="8.140625" style="8" customWidth="1"/>
    <col min="14076" max="14077" width="8.7109375" style="8" customWidth="1"/>
    <col min="14078" max="14081" width="7.28515625" style="8" bestFit="1" customWidth="1"/>
    <col min="14082" max="14082" width="11.5703125" style="8" customWidth="1"/>
    <col min="14083" max="14083" width="9.140625" style="8" bestFit="1" customWidth="1"/>
    <col min="14084" max="14316" width="11.5703125" style="8"/>
    <col min="14317" max="14317" width="5.28515625" style="8" customWidth="1"/>
    <col min="14318" max="14318" width="6.85546875" style="8" customWidth="1"/>
    <col min="14319" max="14319" width="18" style="8" customWidth="1"/>
    <col min="14320" max="14320" width="12" style="8" customWidth="1"/>
    <col min="14321" max="14321" width="11.28515625" style="8" customWidth="1"/>
    <col min="14322" max="14322" width="22.140625" style="8" customWidth="1"/>
    <col min="14323" max="14323" width="20.5703125" style="8" customWidth="1"/>
    <col min="14324" max="14324" width="20" style="8" customWidth="1"/>
    <col min="14325" max="14325" width="11.85546875" style="8" customWidth="1"/>
    <col min="14326" max="14326" width="11.42578125" style="8" customWidth="1"/>
    <col min="14327" max="14327" width="24.28515625" style="8" customWidth="1"/>
    <col min="14328" max="14328" width="15.28515625" style="8" customWidth="1"/>
    <col min="14329" max="14329" width="23.42578125" style="8" customWidth="1"/>
    <col min="14330" max="14330" width="8.42578125" style="8" customWidth="1"/>
    <col min="14331" max="14331" width="8.140625" style="8" customWidth="1"/>
    <col min="14332" max="14333" width="8.7109375" style="8" customWidth="1"/>
    <col min="14334" max="14337" width="7.28515625" style="8" bestFit="1" customWidth="1"/>
    <col min="14338" max="14338" width="11.5703125" style="8" customWidth="1"/>
    <col min="14339" max="14339" width="9.140625" style="8" bestFit="1" customWidth="1"/>
    <col min="14340" max="14572" width="11.5703125" style="8"/>
    <col min="14573" max="14573" width="5.28515625" style="8" customWidth="1"/>
    <col min="14574" max="14574" width="6.85546875" style="8" customWidth="1"/>
    <col min="14575" max="14575" width="18" style="8" customWidth="1"/>
    <col min="14576" max="14576" width="12" style="8" customWidth="1"/>
    <col min="14577" max="14577" width="11.28515625" style="8" customWidth="1"/>
    <col min="14578" max="14578" width="22.140625" style="8" customWidth="1"/>
    <col min="14579" max="14579" width="20.5703125" style="8" customWidth="1"/>
    <col min="14580" max="14580" width="20" style="8" customWidth="1"/>
    <col min="14581" max="14581" width="11.85546875" style="8" customWidth="1"/>
    <col min="14582" max="14582" width="11.42578125" style="8" customWidth="1"/>
    <col min="14583" max="14583" width="24.28515625" style="8" customWidth="1"/>
    <col min="14584" max="14584" width="15.28515625" style="8" customWidth="1"/>
    <col min="14585" max="14585" width="23.42578125" style="8" customWidth="1"/>
    <col min="14586" max="14586" width="8.42578125" style="8" customWidth="1"/>
    <col min="14587" max="14587" width="8.140625" style="8" customWidth="1"/>
    <col min="14588" max="14589" width="8.7109375" style="8" customWidth="1"/>
    <col min="14590" max="14593" width="7.28515625" style="8" bestFit="1" customWidth="1"/>
    <col min="14594" max="14594" width="11.5703125" style="8" customWidth="1"/>
    <col min="14595" max="14595" width="9.140625" style="8" bestFit="1" customWidth="1"/>
    <col min="14596" max="14828" width="11.5703125" style="8"/>
    <col min="14829" max="14829" width="5.28515625" style="8" customWidth="1"/>
    <col min="14830" max="14830" width="6.85546875" style="8" customWidth="1"/>
    <col min="14831" max="14831" width="18" style="8" customWidth="1"/>
    <col min="14832" max="14832" width="12" style="8" customWidth="1"/>
    <col min="14833" max="14833" width="11.28515625" style="8" customWidth="1"/>
    <col min="14834" max="14834" width="22.140625" style="8" customWidth="1"/>
    <col min="14835" max="14835" width="20.5703125" style="8" customWidth="1"/>
    <col min="14836" max="14836" width="20" style="8" customWidth="1"/>
    <col min="14837" max="14837" width="11.85546875" style="8" customWidth="1"/>
    <col min="14838" max="14838" width="11.42578125" style="8" customWidth="1"/>
    <col min="14839" max="14839" width="24.28515625" style="8" customWidth="1"/>
    <col min="14840" max="14840" width="15.28515625" style="8" customWidth="1"/>
    <col min="14841" max="14841" width="23.42578125" style="8" customWidth="1"/>
    <col min="14842" max="14842" width="8.42578125" style="8" customWidth="1"/>
    <col min="14843" max="14843" width="8.140625" style="8" customWidth="1"/>
    <col min="14844" max="14845" width="8.7109375" style="8" customWidth="1"/>
    <col min="14846" max="14849" width="7.28515625" style="8" bestFit="1" customWidth="1"/>
    <col min="14850" max="14850" width="11.5703125" style="8" customWidth="1"/>
    <col min="14851" max="14851" width="9.140625" style="8" bestFit="1" customWidth="1"/>
    <col min="14852" max="15084" width="11.5703125" style="8"/>
    <col min="15085" max="15085" width="5.28515625" style="8" customWidth="1"/>
    <col min="15086" max="15086" width="6.85546875" style="8" customWidth="1"/>
    <col min="15087" max="15087" width="18" style="8" customWidth="1"/>
    <col min="15088" max="15088" width="12" style="8" customWidth="1"/>
    <col min="15089" max="15089" width="11.28515625" style="8" customWidth="1"/>
    <col min="15090" max="15090" width="22.140625" style="8" customWidth="1"/>
    <col min="15091" max="15091" width="20.5703125" style="8" customWidth="1"/>
    <col min="15092" max="15092" width="20" style="8" customWidth="1"/>
    <col min="15093" max="15093" width="11.85546875" style="8" customWidth="1"/>
    <col min="15094" max="15094" width="11.42578125" style="8" customWidth="1"/>
    <col min="15095" max="15095" width="24.28515625" style="8" customWidth="1"/>
    <col min="15096" max="15096" width="15.28515625" style="8" customWidth="1"/>
    <col min="15097" max="15097" width="23.42578125" style="8" customWidth="1"/>
    <col min="15098" max="15098" width="8.42578125" style="8" customWidth="1"/>
    <col min="15099" max="15099" width="8.140625" style="8" customWidth="1"/>
    <col min="15100" max="15101" width="8.7109375" style="8" customWidth="1"/>
    <col min="15102" max="15105" width="7.28515625" style="8" bestFit="1" customWidth="1"/>
    <col min="15106" max="15106" width="11.5703125" style="8" customWidth="1"/>
    <col min="15107" max="15107" width="9.140625" style="8" bestFit="1" customWidth="1"/>
    <col min="15108" max="15340" width="11.5703125" style="8"/>
    <col min="15341" max="15341" width="5.28515625" style="8" customWidth="1"/>
    <col min="15342" max="15342" width="6.85546875" style="8" customWidth="1"/>
    <col min="15343" max="15343" width="18" style="8" customWidth="1"/>
    <col min="15344" max="15344" width="12" style="8" customWidth="1"/>
    <col min="15345" max="15345" width="11.28515625" style="8" customWidth="1"/>
    <col min="15346" max="15346" width="22.140625" style="8" customWidth="1"/>
    <col min="15347" max="15347" width="20.5703125" style="8" customWidth="1"/>
    <col min="15348" max="15348" width="20" style="8" customWidth="1"/>
    <col min="15349" max="15349" width="11.85546875" style="8" customWidth="1"/>
    <col min="15350" max="15350" width="11.42578125" style="8" customWidth="1"/>
    <col min="15351" max="15351" width="24.28515625" style="8" customWidth="1"/>
    <col min="15352" max="15352" width="15.28515625" style="8" customWidth="1"/>
    <col min="15353" max="15353" width="23.42578125" style="8" customWidth="1"/>
    <col min="15354" max="15354" width="8.42578125" style="8" customWidth="1"/>
    <col min="15355" max="15355" width="8.140625" style="8" customWidth="1"/>
    <col min="15356" max="15357" width="8.7109375" style="8" customWidth="1"/>
    <col min="15358" max="15361" width="7.28515625" style="8" bestFit="1" customWidth="1"/>
    <col min="15362" max="15362" width="11.5703125" style="8" customWidth="1"/>
    <col min="15363" max="15363" width="9.140625" style="8" bestFit="1" customWidth="1"/>
    <col min="15364" max="15596" width="11.5703125" style="8"/>
    <col min="15597" max="15597" width="5.28515625" style="8" customWidth="1"/>
    <col min="15598" max="15598" width="6.85546875" style="8" customWidth="1"/>
    <col min="15599" max="15599" width="18" style="8" customWidth="1"/>
    <col min="15600" max="15600" width="12" style="8" customWidth="1"/>
    <col min="15601" max="15601" width="11.28515625" style="8" customWidth="1"/>
    <col min="15602" max="15602" width="22.140625" style="8" customWidth="1"/>
    <col min="15603" max="15603" width="20.5703125" style="8" customWidth="1"/>
    <col min="15604" max="15604" width="20" style="8" customWidth="1"/>
    <col min="15605" max="15605" width="11.85546875" style="8" customWidth="1"/>
    <col min="15606" max="15606" width="11.42578125" style="8" customWidth="1"/>
    <col min="15607" max="15607" width="24.28515625" style="8" customWidth="1"/>
    <col min="15608" max="15608" width="15.28515625" style="8" customWidth="1"/>
    <col min="15609" max="15609" width="23.42578125" style="8" customWidth="1"/>
    <col min="15610" max="15610" width="8.42578125" style="8" customWidth="1"/>
    <col min="15611" max="15611" width="8.140625" style="8" customWidth="1"/>
    <col min="15612" max="15613" width="8.7109375" style="8" customWidth="1"/>
    <col min="15614" max="15617" width="7.28515625" style="8" bestFit="1" customWidth="1"/>
    <col min="15618" max="15618" width="11.5703125" style="8" customWidth="1"/>
    <col min="15619" max="15619" width="9.140625" style="8" bestFit="1" customWidth="1"/>
    <col min="15620" max="15852" width="11.5703125" style="8"/>
    <col min="15853" max="15853" width="5.28515625" style="8" customWidth="1"/>
    <col min="15854" max="15854" width="6.85546875" style="8" customWidth="1"/>
    <col min="15855" max="15855" width="18" style="8" customWidth="1"/>
    <col min="15856" max="15856" width="12" style="8" customWidth="1"/>
    <col min="15857" max="15857" width="11.28515625" style="8" customWidth="1"/>
    <col min="15858" max="15858" width="22.140625" style="8" customWidth="1"/>
    <col min="15859" max="15859" width="20.5703125" style="8" customWidth="1"/>
    <col min="15860" max="15860" width="20" style="8" customWidth="1"/>
    <col min="15861" max="15861" width="11.85546875" style="8" customWidth="1"/>
    <col min="15862" max="15862" width="11.42578125" style="8" customWidth="1"/>
    <col min="15863" max="15863" width="24.28515625" style="8" customWidth="1"/>
    <col min="15864" max="15864" width="15.28515625" style="8" customWidth="1"/>
    <col min="15865" max="15865" width="23.42578125" style="8" customWidth="1"/>
    <col min="15866" max="15866" width="8.42578125" style="8" customWidth="1"/>
    <col min="15867" max="15867" width="8.140625" style="8" customWidth="1"/>
    <col min="15868" max="15869" width="8.7109375" style="8" customWidth="1"/>
    <col min="15870" max="15873" width="7.28515625" style="8" bestFit="1" customWidth="1"/>
    <col min="15874" max="15874" width="11.5703125" style="8" customWidth="1"/>
    <col min="15875" max="15875" width="9.140625" style="8" bestFit="1" customWidth="1"/>
    <col min="15876" max="16108" width="11.5703125" style="8"/>
    <col min="16109" max="16109" width="5.28515625" style="8" customWidth="1"/>
    <col min="16110" max="16110" width="6.85546875" style="8" customWidth="1"/>
    <col min="16111" max="16111" width="18" style="8" customWidth="1"/>
    <col min="16112" max="16112" width="12" style="8" customWidth="1"/>
    <col min="16113" max="16113" width="11.28515625" style="8" customWidth="1"/>
    <col min="16114" max="16114" width="22.140625" style="8" customWidth="1"/>
    <col min="16115" max="16115" width="20.5703125" style="8" customWidth="1"/>
    <col min="16116" max="16116" width="20" style="8" customWidth="1"/>
    <col min="16117" max="16117" width="11.85546875" style="8" customWidth="1"/>
    <col min="16118" max="16118" width="11.42578125" style="8" customWidth="1"/>
    <col min="16119" max="16119" width="24.28515625" style="8" customWidth="1"/>
    <col min="16120" max="16120" width="15.28515625" style="8" customWidth="1"/>
    <col min="16121" max="16121" width="23.42578125" style="8" customWidth="1"/>
    <col min="16122" max="16122" width="8.42578125" style="8" customWidth="1"/>
    <col min="16123" max="16123" width="8.140625" style="8" customWidth="1"/>
    <col min="16124" max="16125" width="8.7109375" style="8" customWidth="1"/>
    <col min="16126" max="16129" width="7.28515625" style="8" bestFit="1" customWidth="1"/>
    <col min="16130" max="16130" width="11.5703125" style="8" customWidth="1"/>
    <col min="16131" max="16131" width="9.140625" style="8" bestFit="1" customWidth="1"/>
    <col min="16132" max="16384" width="11.5703125" style="8"/>
  </cols>
  <sheetData>
    <row r="1" spans="1:40" ht="42" customHeight="1" x14ac:dyDescent="0.2">
      <c r="A1" s="1352" t="s">
        <v>3471</v>
      </c>
      <c r="B1" s="1354" t="s">
        <v>3472</v>
      </c>
      <c r="C1" s="1193" t="s">
        <v>3473</v>
      </c>
      <c r="D1" s="1356" t="s">
        <v>3283</v>
      </c>
      <c r="E1" s="1358" t="s">
        <v>3347</v>
      </c>
      <c r="F1" s="1193" t="s">
        <v>3474</v>
      </c>
      <c r="G1" s="1193" t="s">
        <v>3475</v>
      </c>
      <c r="H1" s="1193" t="s">
        <v>3476</v>
      </c>
      <c r="I1" s="1193" t="s">
        <v>3139</v>
      </c>
      <c r="J1" s="1193" t="s">
        <v>3477</v>
      </c>
      <c r="K1" s="1193" t="s">
        <v>3478</v>
      </c>
      <c r="L1" s="1193" t="s">
        <v>3479</v>
      </c>
      <c r="M1" s="1389" t="s">
        <v>3480</v>
      </c>
      <c r="N1" s="1389"/>
      <c r="O1" s="1389"/>
      <c r="P1" s="1389"/>
      <c r="Q1" s="1389" t="s">
        <v>3481</v>
      </c>
      <c r="R1" s="1389"/>
      <c r="S1" s="1389"/>
      <c r="T1" s="1389"/>
      <c r="U1" s="1390"/>
      <c r="V1" s="1343" t="s">
        <v>3637</v>
      </c>
      <c r="W1" s="1385" t="s">
        <v>4284</v>
      </c>
      <c r="X1" s="1348" t="s">
        <v>3425</v>
      </c>
      <c r="Y1" s="1348"/>
      <c r="Z1" s="1348"/>
      <c r="AA1" s="1348"/>
      <c r="AB1" s="1348"/>
      <c r="AC1" s="1348"/>
      <c r="AD1" s="1348"/>
      <c r="AE1" s="1348"/>
      <c r="AF1" s="1348"/>
      <c r="AG1" s="1348"/>
      <c r="AH1" s="1348"/>
      <c r="AI1" s="1348"/>
      <c r="AJ1" s="1348"/>
      <c r="AK1" s="1343" t="s">
        <v>4289</v>
      </c>
      <c r="AL1" s="1343" t="s">
        <v>4290</v>
      </c>
      <c r="AM1" s="1343" t="s">
        <v>4291</v>
      </c>
      <c r="AN1" s="1343" t="s">
        <v>4292</v>
      </c>
    </row>
    <row r="2" spans="1:40" ht="64.150000000000006" customHeight="1" x14ac:dyDescent="0.2">
      <c r="A2" s="1353"/>
      <c r="B2" s="1355"/>
      <c r="C2" s="1194"/>
      <c r="D2" s="1357"/>
      <c r="E2" s="1359"/>
      <c r="F2" s="1194"/>
      <c r="G2" s="1195"/>
      <c r="H2" s="1194"/>
      <c r="I2" s="1194"/>
      <c r="J2" s="1194"/>
      <c r="K2" s="1195"/>
      <c r="L2" s="1195"/>
      <c r="M2" s="923">
        <v>2009</v>
      </c>
      <c r="N2" s="923">
        <v>2010</v>
      </c>
      <c r="O2" s="923">
        <v>2011</v>
      </c>
      <c r="P2" s="923">
        <v>2012</v>
      </c>
      <c r="Q2" s="923">
        <v>2009</v>
      </c>
      <c r="R2" s="923">
        <v>2010</v>
      </c>
      <c r="S2" s="923">
        <v>2011</v>
      </c>
      <c r="T2" s="923">
        <v>2012</v>
      </c>
      <c r="U2" s="436" t="s">
        <v>695</v>
      </c>
      <c r="V2" s="1343"/>
      <c r="W2" s="1385"/>
      <c r="X2" s="482" t="s">
        <v>3310</v>
      </c>
      <c r="Y2" s="482" t="s">
        <v>3731</v>
      </c>
      <c r="Z2" s="482" t="s">
        <v>3732</v>
      </c>
      <c r="AA2" s="482" t="s">
        <v>3313</v>
      </c>
      <c r="AB2" s="482" t="s">
        <v>3314</v>
      </c>
      <c r="AC2" s="482" t="s">
        <v>3315</v>
      </c>
      <c r="AD2" s="482" t="s">
        <v>3316</v>
      </c>
      <c r="AE2" s="482" t="s">
        <v>3317</v>
      </c>
      <c r="AF2" s="482" t="s">
        <v>3346</v>
      </c>
      <c r="AG2" s="482" t="s">
        <v>3756</v>
      </c>
      <c r="AH2" s="482" t="s">
        <v>3733</v>
      </c>
      <c r="AI2" s="482" t="s">
        <v>3319</v>
      </c>
      <c r="AJ2" s="482" t="s">
        <v>695</v>
      </c>
      <c r="AK2" s="1343"/>
      <c r="AL2" s="1343"/>
      <c r="AM2" s="1343"/>
      <c r="AN2" s="1343"/>
    </row>
    <row r="3" spans="1:40" ht="90" x14ac:dyDescent="0.2">
      <c r="A3" s="1185">
        <v>1</v>
      </c>
      <c r="B3" s="1363" t="s">
        <v>3080</v>
      </c>
      <c r="C3" s="1189" t="s">
        <v>3482</v>
      </c>
      <c r="D3" s="1363" t="s">
        <v>3704</v>
      </c>
      <c r="E3" s="1362" t="s">
        <v>3483</v>
      </c>
      <c r="F3" s="1188" t="s">
        <v>3484</v>
      </c>
      <c r="G3" s="1188" t="s">
        <v>3485</v>
      </c>
      <c r="H3" s="1188" t="s">
        <v>3486</v>
      </c>
      <c r="I3" s="401" t="s">
        <v>3699</v>
      </c>
      <c r="J3" s="938" t="s">
        <v>3487</v>
      </c>
      <c r="K3" s="403">
        <v>0</v>
      </c>
      <c r="L3" s="919" t="s">
        <v>3488</v>
      </c>
      <c r="M3" s="413">
        <v>0.5</v>
      </c>
      <c r="N3" s="413">
        <v>0.1</v>
      </c>
      <c r="O3" s="413">
        <v>0.4</v>
      </c>
      <c r="P3" s="413">
        <v>0</v>
      </c>
      <c r="Q3" s="414">
        <v>200</v>
      </c>
      <c r="R3" s="414">
        <v>5</v>
      </c>
      <c r="S3" s="414">
        <v>5</v>
      </c>
      <c r="T3" s="414">
        <v>0</v>
      </c>
      <c r="U3" s="437">
        <f>Q3+R3+S3+T3</f>
        <v>210</v>
      </c>
      <c r="V3" s="925">
        <v>111</v>
      </c>
      <c r="W3" s="444" t="e">
        <f>+'RES.096 DE 2011'!Q7</f>
        <v>#REF!</v>
      </c>
      <c r="X3" s="444" t="e">
        <f>+'RES.096 DE 2011'!R7</f>
        <v>#REF!</v>
      </c>
      <c r="Y3" s="444" t="e">
        <f>+'RES.096 DE 2011'!S7</f>
        <v>#REF!</v>
      </c>
      <c r="Z3" s="444" t="e">
        <f>+'RES.096 DE 2011'!T7</f>
        <v>#REF!</v>
      </c>
      <c r="AA3" s="444" t="e">
        <f>+'RES.096 DE 2011'!U7</f>
        <v>#REF!</v>
      </c>
      <c r="AB3" s="444" t="e">
        <f>+'RES.096 DE 2011'!V7</f>
        <v>#REF!</v>
      </c>
      <c r="AC3" s="444" t="e">
        <f>+'RES.096 DE 2011'!W7</f>
        <v>#REF!</v>
      </c>
      <c r="AD3" s="444" t="e">
        <f>+'RES.096 DE 2011'!X7</f>
        <v>#REF!</v>
      </c>
      <c r="AE3" s="444" t="e">
        <f>+'RES.096 DE 2011'!Y7</f>
        <v>#REF!</v>
      </c>
      <c r="AF3" s="444" t="e">
        <f>+'RES.096 DE 2011'!Z7</f>
        <v>#REF!</v>
      </c>
      <c r="AG3" s="444" t="e">
        <f>+'RES.096 DE 2011'!AA7</f>
        <v>#REF!</v>
      </c>
      <c r="AH3" s="444" t="e">
        <f>+'RES.096 DE 2011'!AB7</f>
        <v>#REF!</v>
      </c>
      <c r="AI3" s="444" t="e">
        <f>+'RES.096 DE 2011'!AC7</f>
        <v>#REF!</v>
      </c>
      <c r="AJ3" s="449" t="e">
        <f>SUM(X3:AI3)</f>
        <v>#REF!</v>
      </c>
      <c r="AK3" s="444" t="e">
        <f>+S3*1000000-W3</f>
        <v>#REF!</v>
      </c>
      <c r="AL3" s="444"/>
      <c r="AM3" s="444"/>
      <c r="AN3" s="444" t="e">
        <f>+W3+AL3+AM3</f>
        <v>#REF!</v>
      </c>
    </row>
    <row r="4" spans="1:40" ht="120" x14ac:dyDescent="0.2">
      <c r="A4" s="1186"/>
      <c r="B4" s="1364"/>
      <c r="C4" s="1191"/>
      <c r="D4" s="1364"/>
      <c r="E4" s="1360"/>
      <c r="F4" s="1188"/>
      <c r="G4" s="1188"/>
      <c r="H4" s="1188"/>
      <c r="I4" s="401" t="s">
        <v>3265</v>
      </c>
      <c r="J4" s="919" t="s">
        <v>3489</v>
      </c>
      <c r="K4" s="403">
        <v>0</v>
      </c>
      <c r="L4" s="919" t="s">
        <v>3279</v>
      </c>
      <c r="M4" s="409">
        <v>1</v>
      </c>
      <c r="N4" s="413">
        <v>0</v>
      </c>
      <c r="O4" s="413">
        <v>0</v>
      </c>
      <c r="P4" s="413">
        <v>0</v>
      </c>
      <c r="Q4" s="414">
        <v>50</v>
      </c>
      <c r="R4" s="414">
        <v>0</v>
      </c>
      <c r="S4" s="414">
        <v>0</v>
      </c>
      <c r="T4" s="414">
        <v>0</v>
      </c>
      <c r="U4" s="437">
        <f>Q4+R4+S4+T4</f>
        <v>50</v>
      </c>
      <c r="V4" s="926">
        <v>112</v>
      </c>
      <c r="W4" s="444">
        <v>0</v>
      </c>
      <c r="X4" s="930"/>
      <c r="Y4" s="449"/>
      <c r="Z4" s="449"/>
      <c r="AA4" s="449"/>
      <c r="AB4" s="449"/>
      <c r="AC4" s="449"/>
      <c r="AD4" s="449"/>
      <c r="AE4" s="449"/>
      <c r="AF4" s="449"/>
      <c r="AG4" s="449"/>
      <c r="AH4" s="449"/>
      <c r="AI4" s="449"/>
      <c r="AJ4" s="449">
        <f>SUM(X4:AI4)</f>
        <v>0</v>
      </c>
      <c r="AK4" s="444">
        <f>+S4*1000000-W4</f>
        <v>0</v>
      </c>
      <c r="AL4" s="444"/>
      <c r="AM4" s="444"/>
      <c r="AN4" s="444">
        <f>+W4+AL4+AM4</f>
        <v>0</v>
      </c>
    </row>
    <row r="5" spans="1:40" ht="105" x14ac:dyDescent="0.2">
      <c r="A5" s="1186"/>
      <c r="B5" s="1364"/>
      <c r="C5" s="1191"/>
      <c r="D5" s="1364"/>
      <c r="E5" s="1360"/>
      <c r="F5" s="1188"/>
      <c r="G5" s="1188"/>
      <c r="H5" s="1188"/>
      <c r="I5" s="919" t="s">
        <v>3092</v>
      </c>
      <c r="J5" s="938" t="s">
        <v>3490</v>
      </c>
      <c r="K5" s="403">
        <v>0</v>
      </c>
      <c r="L5" s="919" t="s">
        <v>3276</v>
      </c>
      <c r="M5" s="409">
        <v>0.3</v>
      </c>
      <c r="N5" s="413">
        <v>0.2</v>
      </c>
      <c r="O5" s="413">
        <v>0.2</v>
      </c>
      <c r="P5" s="413">
        <v>0.3</v>
      </c>
      <c r="Q5" s="414">
        <v>75</v>
      </c>
      <c r="R5" s="414">
        <v>200</v>
      </c>
      <c r="S5" s="414">
        <v>240</v>
      </c>
      <c r="T5" s="414">
        <v>280</v>
      </c>
      <c r="U5" s="437">
        <f>Q5+R5+S5+T5</f>
        <v>795</v>
      </c>
      <c r="V5" s="926">
        <v>113</v>
      </c>
      <c r="W5" s="444" t="e">
        <f>+'RES.096 DE 2011'!Q13</f>
        <v>#REF!</v>
      </c>
      <c r="X5" s="444" t="e">
        <f>+'RES.096 DE 2011'!R13</f>
        <v>#REF!</v>
      </c>
      <c r="Y5" s="444" t="e">
        <f>+'RES.096 DE 2011'!S13</f>
        <v>#REF!</v>
      </c>
      <c r="Z5" s="444" t="e">
        <f>+'RES.096 DE 2011'!T13</f>
        <v>#REF!</v>
      </c>
      <c r="AA5" s="444" t="e">
        <f>+'RES.096 DE 2011'!U13</f>
        <v>#REF!</v>
      </c>
      <c r="AB5" s="444" t="e">
        <f>+'RES.096 DE 2011'!V13</f>
        <v>#REF!</v>
      </c>
      <c r="AC5" s="444" t="e">
        <f>+'RES.096 DE 2011'!W13</f>
        <v>#REF!</v>
      </c>
      <c r="AD5" s="444" t="e">
        <f>+'RES.096 DE 2011'!X13</f>
        <v>#REF!</v>
      </c>
      <c r="AE5" s="444" t="e">
        <f>+'RES.096 DE 2011'!Y13</f>
        <v>#REF!</v>
      </c>
      <c r="AF5" s="444" t="e">
        <f>+'RES.096 DE 2011'!Z13</f>
        <v>#REF!</v>
      </c>
      <c r="AG5" s="444" t="e">
        <f>+'RES.096 DE 2011'!AA13</f>
        <v>#REF!</v>
      </c>
      <c r="AH5" s="444" t="e">
        <f>+'RES.096 DE 2011'!AB13</f>
        <v>#REF!</v>
      </c>
      <c r="AI5" s="444" t="e">
        <f>+'RES.096 DE 2011'!AC13</f>
        <v>#REF!</v>
      </c>
      <c r="AJ5" s="449" t="e">
        <f>SUM(X5:AI5)</f>
        <v>#REF!</v>
      </c>
      <c r="AK5" s="444" t="e">
        <f>+S5*1000000-W5</f>
        <v>#REF!</v>
      </c>
      <c r="AL5" s="444"/>
      <c r="AM5" s="444" t="e">
        <f>+#REF!+#REF!</f>
        <v>#REF!</v>
      </c>
      <c r="AN5" s="444" t="e">
        <f>+W5+AL5+AM5</f>
        <v>#REF!</v>
      </c>
    </row>
    <row r="6" spans="1:40" ht="15" x14ac:dyDescent="0.25">
      <c r="A6" s="1186"/>
      <c r="B6" s="1364"/>
      <c r="C6" s="1191"/>
      <c r="D6" s="1364"/>
      <c r="E6" s="1360"/>
      <c r="F6" s="1188"/>
      <c r="G6" s="1188"/>
      <c r="H6" s="1188"/>
      <c r="I6" s="919"/>
      <c r="J6" s="468"/>
      <c r="K6" s="469"/>
      <c r="L6" s="470"/>
      <c r="M6" s="1345" t="s">
        <v>695</v>
      </c>
      <c r="N6" s="1346"/>
      <c r="O6" s="1346"/>
      <c r="P6" s="1347"/>
      <c r="Q6" s="395">
        <f>SUM(Q3:Q5)</f>
        <v>325</v>
      </c>
      <c r="R6" s="395">
        <f>SUM(R3:R5)</f>
        <v>205</v>
      </c>
      <c r="S6" s="395">
        <f>SUM(S3:S5)</f>
        <v>245</v>
      </c>
      <c r="T6" s="395">
        <f>SUM(T3:T5)</f>
        <v>280</v>
      </c>
      <c r="U6" s="437">
        <f>SUM(U3:U5)</f>
        <v>1055</v>
      </c>
      <c r="V6" s="926"/>
      <c r="W6" s="936" t="e">
        <f>SUM(W3:W5)</f>
        <v>#REF!</v>
      </c>
      <c r="X6" s="931" t="e">
        <f>SUM(X3:X5)</f>
        <v>#REF!</v>
      </c>
      <c r="Y6" s="481" t="e">
        <f t="shared" ref="Y6:AI6" si="0">SUM(Y3:Y5)</f>
        <v>#REF!</v>
      </c>
      <c r="Z6" s="481" t="e">
        <f t="shared" si="0"/>
        <v>#REF!</v>
      </c>
      <c r="AA6" s="481" t="e">
        <f t="shared" si="0"/>
        <v>#REF!</v>
      </c>
      <c r="AB6" s="481" t="e">
        <f t="shared" si="0"/>
        <v>#REF!</v>
      </c>
      <c r="AC6" s="481" t="e">
        <f t="shared" si="0"/>
        <v>#REF!</v>
      </c>
      <c r="AD6" s="481" t="e">
        <f t="shared" si="0"/>
        <v>#REF!</v>
      </c>
      <c r="AE6" s="481" t="e">
        <f t="shared" si="0"/>
        <v>#REF!</v>
      </c>
      <c r="AF6" s="481" t="e">
        <f t="shared" si="0"/>
        <v>#REF!</v>
      </c>
      <c r="AG6" s="481" t="e">
        <f t="shared" si="0"/>
        <v>#REF!</v>
      </c>
      <c r="AH6" s="481" t="e">
        <f t="shared" si="0"/>
        <v>#REF!</v>
      </c>
      <c r="AI6" s="481" t="e">
        <f t="shared" si="0"/>
        <v>#REF!</v>
      </c>
      <c r="AJ6" s="481" t="e">
        <f>SUM(AJ3:AJ5)</f>
        <v>#REF!</v>
      </c>
      <c r="AK6" s="936" t="e">
        <f>SUM(AK3:AK5)</f>
        <v>#REF!</v>
      </c>
      <c r="AL6" s="936">
        <f>SUM(AL3:AL5)</f>
        <v>0</v>
      </c>
      <c r="AM6" s="936" t="e">
        <f>SUM(AM3:AM5)</f>
        <v>#REF!</v>
      </c>
      <c r="AN6" s="936" t="e">
        <f>SUM(AN3:AN5)</f>
        <v>#REF!</v>
      </c>
    </row>
    <row r="7" spans="1:40" ht="15" customHeight="1" x14ac:dyDescent="0.25">
      <c r="A7" s="396"/>
      <c r="B7" s="398"/>
      <c r="C7" s="456"/>
      <c r="D7" s="398"/>
      <c r="E7" s="396"/>
      <c r="F7" s="396"/>
      <c r="G7" s="396"/>
      <c r="H7" s="396"/>
      <c r="I7" s="396"/>
      <c r="J7" s="396"/>
      <c r="K7" s="396"/>
      <c r="L7" s="396"/>
      <c r="M7" s="416"/>
      <c r="N7" s="416"/>
      <c r="O7" s="416"/>
      <c r="P7" s="416"/>
      <c r="Q7" s="417"/>
      <c r="R7" s="417"/>
      <c r="S7" s="417"/>
      <c r="T7" s="417"/>
      <c r="U7" s="399"/>
      <c r="V7" s="551"/>
      <c r="W7" s="442"/>
      <c r="X7" s="488"/>
      <c r="Y7" s="488"/>
      <c r="Z7" s="488"/>
      <c r="AA7" s="488"/>
      <c r="AB7" s="488"/>
      <c r="AC7" s="488"/>
      <c r="AD7" s="488"/>
      <c r="AE7" s="488"/>
      <c r="AF7" s="488"/>
      <c r="AG7" s="488"/>
      <c r="AH7" s="488"/>
      <c r="AI7" s="488"/>
      <c r="AJ7" s="488"/>
      <c r="AK7" s="442"/>
      <c r="AL7" s="442"/>
      <c r="AM7" s="442"/>
      <c r="AN7" s="442"/>
    </row>
    <row r="8" spans="1:40" ht="105" x14ac:dyDescent="0.2">
      <c r="A8" s="1186">
        <v>2</v>
      </c>
      <c r="B8" s="1364" t="s">
        <v>648</v>
      </c>
      <c r="C8" s="1186" t="s">
        <v>3656</v>
      </c>
      <c r="D8" s="1363" t="s">
        <v>3736</v>
      </c>
      <c r="E8" s="1360" t="s">
        <v>3483</v>
      </c>
      <c r="F8" s="1186" t="s">
        <v>3737</v>
      </c>
      <c r="G8" s="1186" t="s">
        <v>3738</v>
      </c>
      <c r="H8" s="1186" t="s">
        <v>3657</v>
      </c>
      <c r="I8" s="938" t="s">
        <v>3700</v>
      </c>
      <c r="J8" s="919" t="s">
        <v>3432</v>
      </c>
      <c r="K8" s="919">
        <v>0</v>
      </c>
      <c r="L8" s="919" t="s">
        <v>3638</v>
      </c>
      <c r="M8" s="418">
        <v>2</v>
      </c>
      <c r="N8" s="418">
        <v>7</v>
      </c>
      <c r="O8" s="418">
        <v>7</v>
      </c>
      <c r="P8" s="418">
        <v>7</v>
      </c>
      <c r="Q8" s="420">
        <v>10</v>
      </c>
      <c r="R8" s="420">
        <v>85</v>
      </c>
      <c r="S8" s="420">
        <v>85</v>
      </c>
      <c r="T8" s="420">
        <v>35</v>
      </c>
      <c r="U8" s="437">
        <f>Q8+R8+S8+T8</f>
        <v>215</v>
      </c>
      <c r="V8" s="926">
        <v>211</v>
      </c>
      <c r="W8" s="449" t="e">
        <f>+'RES.096 DE 2011'!Q26</f>
        <v>#REF!</v>
      </c>
      <c r="X8" s="449" t="e">
        <f>+'RES.096 DE 2011'!R26</f>
        <v>#REF!</v>
      </c>
      <c r="Y8" s="449" t="e">
        <f>+'RES.096 DE 2011'!S26</f>
        <v>#REF!</v>
      </c>
      <c r="Z8" s="449" t="e">
        <f>+'RES.096 DE 2011'!T26</f>
        <v>#REF!</v>
      </c>
      <c r="AA8" s="449" t="e">
        <f>+'RES.096 DE 2011'!U26</f>
        <v>#REF!</v>
      </c>
      <c r="AB8" s="449" t="e">
        <f>+'RES.096 DE 2011'!V26</f>
        <v>#REF!</v>
      </c>
      <c r="AC8" s="449" t="e">
        <f>+'RES.096 DE 2011'!W26</f>
        <v>#REF!</v>
      </c>
      <c r="AD8" s="449" t="e">
        <f>+'RES.096 DE 2011'!X26</f>
        <v>#REF!</v>
      </c>
      <c r="AE8" s="449" t="e">
        <f>+'RES.096 DE 2011'!Y26</f>
        <v>#REF!</v>
      </c>
      <c r="AF8" s="449" t="e">
        <f>+'RES.096 DE 2011'!Z26</f>
        <v>#REF!</v>
      </c>
      <c r="AG8" s="449" t="e">
        <f>+'RES.096 DE 2011'!AA26</f>
        <v>#REF!</v>
      </c>
      <c r="AH8" s="449" t="e">
        <f>+'RES.096 DE 2011'!AB26</f>
        <v>#REF!</v>
      </c>
      <c r="AI8" s="449" t="e">
        <f>+'RES.096 DE 2011'!AC26</f>
        <v>#REF!</v>
      </c>
      <c r="AJ8" s="449" t="e">
        <f>SUM(X8:AI8)</f>
        <v>#REF!</v>
      </c>
      <c r="AK8" s="444" t="e">
        <f>+S8*1000000-W8</f>
        <v>#REF!</v>
      </c>
      <c r="AL8" s="444"/>
      <c r="AM8" s="444"/>
      <c r="AN8" s="444" t="e">
        <f>+W8+AL8+AM8</f>
        <v>#REF!</v>
      </c>
    </row>
    <row r="9" spans="1:40" ht="120" x14ac:dyDescent="0.2">
      <c r="A9" s="1186"/>
      <c r="B9" s="1364"/>
      <c r="C9" s="1186"/>
      <c r="D9" s="1364"/>
      <c r="E9" s="1360"/>
      <c r="F9" s="1186"/>
      <c r="G9" s="1186"/>
      <c r="H9" s="1186"/>
      <c r="I9" s="1185" t="s">
        <v>3701</v>
      </c>
      <c r="J9" s="455" t="s">
        <v>3682</v>
      </c>
      <c r="K9" s="919">
        <v>111</v>
      </c>
      <c r="L9" s="919" t="s">
        <v>3287</v>
      </c>
      <c r="M9" s="418">
        <v>111</v>
      </c>
      <c r="N9" s="418">
        <v>50</v>
      </c>
      <c r="O9" s="418">
        <v>50</v>
      </c>
      <c r="P9" s="418">
        <v>50</v>
      </c>
      <c r="Q9" s="420">
        <v>100</v>
      </c>
      <c r="R9" s="420">
        <v>50</v>
      </c>
      <c r="S9" s="420">
        <v>100</v>
      </c>
      <c r="T9" s="414">
        <v>100</v>
      </c>
      <c r="U9" s="437">
        <f>Q9+R9+S9+T9</f>
        <v>350</v>
      </c>
      <c r="V9" s="926" t="s">
        <v>3612</v>
      </c>
      <c r="W9" s="449" t="e">
        <f>+'RES.096 DE 2011'!Q27</f>
        <v>#REF!</v>
      </c>
      <c r="X9" s="449" t="e">
        <f>+'RES.096 DE 2011'!R27</f>
        <v>#REF!</v>
      </c>
      <c r="Y9" s="449" t="e">
        <f>+'RES.096 DE 2011'!S27</f>
        <v>#REF!</v>
      </c>
      <c r="Z9" s="449" t="e">
        <f>+'RES.096 DE 2011'!T27</f>
        <v>#REF!</v>
      </c>
      <c r="AA9" s="449" t="e">
        <f>+'RES.096 DE 2011'!U27</f>
        <v>#REF!</v>
      </c>
      <c r="AB9" s="449" t="e">
        <f>+'RES.096 DE 2011'!V27</f>
        <v>#REF!</v>
      </c>
      <c r="AC9" s="449" t="e">
        <f>+'RES.096 DE 2011'!W27</f>
        <v>#REF!</v>
      </c>
      <c r="AD9" s="449" t="e">
        <f>+'RES.096 DE 2011'!X27</f>
        <v>#REF!</v>
      </c>
      <c r="AE9" s="449" t="e">
        <f>+'RES.096 DE 2011'!Y27</f>
        <v>#REF!</v>
      </c>
      <c r="AF9" s="449" t="e">
        <f>+'RES.096 DE 2011'!Z27</f>
        <v>#REF!</v>
      </c>
      <c r="AG9" s="449" t="e">
        <f>+'RES.096 DE 2011'!AA27</f>
        <v>#REF!</v>
      </c>
      <c r="AH9" s="449" t="e">
        <f>+'RES.096 DE 2011'!AB27</f>
        <v>#REF!</v>
      </c>
      <c r="AI9" s="449" t="e">
        <f>+'RES.096 DE 2011'!AC27</f>
        <v>#REF!</v>
      </c>
      <c r="AJ9" s="449" t="e">
        <f>SUM(X9:AI9)</f>
        <v>#REF!</v>
      </c>
      <c r="AK9" s="444" t="e">
        <f>+S9*1000000-W9</f>
        <v>#REF!</v>
      </c>
      <c r="AL9" s="444">
        <f>130000000</f>
        <v>130000000</v>
      </c>
      <c r="AM9" s="444"/>
      <c r="AN9" s="444" t="e">
        <f>+W9+AL9+AM9</f>
        <v>#REF!</v>
      </c>
    </row>
    <row r="10" spans="1:40" ht="90" x14ac:dyDescent="0.2">
      <c r="A10" s="1186"/>
      <c r="B10" s="1364"/>
      <c r="C10" s="1186"/>
      <c r="D10" s="1364"/>
      <c r="E10" s="1360"/>
      <c r="F10" s="1186"/>
      <c r="G10" s="1186"/>
      <c r="H10" s="1186"/>
      <c r="I10" s="1186"/>
      <c r="J10" s="455" t="s">
        <v>3681</v>
      </c>
      <c r="K10" s="919">
        <v>9</v>
      </c>
      <c r="L10" s="919" t="s">
        <v>3288</v>
      </c>
      <c r="M10" s="418">
        <v>10</v>
      </c>
      <c r="N10" s="418">
        <v>11</v>
      </c>
      <c r="O10" s="418">
        <v>11</v>
      </c>
      <c r="P10" s="418">
        <v>12</v>
      </c>
      <c r="Q10" s="420">
        <v>150</v>
      </c>
      <c r="R10" s="420">
        <v>191</v>
      </c>
      <c r="S10" s="420">
        <v>190</v>
      </c>
      <c r="T10" s="414">
        <v>180</v>
      </c>
      <c r="U10" s="437">
        <f>Q10+R10+S10+T10</f>
        <v>711</v>
      </c>
      <c r="V10" s="926" t="s">
        <v>3611</v>
      </c>
      <c r="W10" s="449" t="e">
        <f>+'RES.096 DE 2011'!Q28</f>
        <v>#REF!</v>
      </c>
      <c r="X10" s="449" t="e">
        <f>+'RES.096 DE 2011'!R28</f>
        <v>#REF!</v>
      </c>
      <c r="Y10" s="449" t="e">
        <f>+'RES.096 DE 2011'!S28</f>
        <v>#REF!</v>
      </c>
      <c r="Z10" s="449" t="e">
        <f>+'RES.096 DE 2011'!T28</f>
        <v>#REF!</v>
      </c>
      <c r="AA10" s="449" t="e">
        <f>+'RES.096 DE 2011'!U28</f>
        <v>#REF!</v>
      </c>
      <c r="AB10" s="449" t="e">
        <f>+'RES.096 DE 2011'!V28</f>
        <v>#REF!</v>
      </c>
      <c r="AC10" s="449" t="e">
        <f>+'RES.096 DE 2011'!W28</f>
        <v>#REF!</v>
      </c>
      <c r="AD10" s="449" t="e">
        <f>+'RES.096 DE 2011'!X28</f>
        <v>#REF!</v>
      </c>
      <c r="AE10" s="449" t="e">
        <f>+'RES.096 DE 2011'!Y28</f>
        <v>#REF!</v>
      </c>
      <c r="AF10" s="449" t="e">
        <f>+'RES.096 DE 2011'!Z28</f>
        <v>#REF!</v>
      </c>
      <c r="AG10" s="449" t="e">
        <f>+'RES.096 DE 2011'!AA28</f>
        <v>#REF!</v>
      </c>
      <c r="AH10" s="449" t="e">
        <f>+'RES.096 DE 2011'!AB28</f>
        <v>#REF!</v>
      </c>
      <c r="AI10" s="449" t="e">
        <f>+'RES.096 DE 2011'!AC28</f>
        <v>#REF!</v>
      </c>
      <c r="AJ10" s="449" t="e">
        <f>SUM(X10:AI10)</f>
        <v>#REF!</v>
      </c>
      <c r="AK10" s="444" t="e">
        <f>+S10*1000000-W10</f>
        <v>#REF!</v>
      </c>
      <c r="AL10" s="444">
        <f>20000000+28000000+2255577</f>
        <v>50255577</v>
      </c>
      <c r="AM10" s="444" t="e">
        <f>+#REF!</f>
        <v>#REF!</v>
      </c>
      <c r="AN10" s="444" t="e">
        <f>+W10+AL10+AM10</f>
        <v>#REF!</v>
      </c>
    </row>
    <row r="11" spans="1:40" ht="60" x14ac:dyDescent="0.2">
      <c r="A11" s="1186"/>
      <c r="B11" s="1364"/>
      <c r="C11" s="1186"/>
      <c r="D11" s="1364"/>
      <c r="E11" s="1360"/>
      <c r="F11" s="1186"/>
      <c r="G11" s="1186"/>
      <c r="H11" s="1186"/>
      <c r="I11" s="1186"/>
      <c r="J11" s="919" t="s">
        <v>3491</v>
      </c>
      <c r="K11" s="919">
        <v>3</v>
      </c>
      <c r="L11" s="919" t="s">
        <v>3492</v>
      </c>
      <c r="M11" s="418">
        <v>5</v>
      </c>
      <c r="N11" s="418">
        <v>0</v>
      </c>
      <c r="O11" s="418">
        <v>0</v>
      </c>
      <c r="P11" s="418">
        <v>0</v>
      </c>
      <c r="Q11" s="414">
        <v>25</v>
      </c>
      <c r="R11" s="414">
        <v>10</v>
      </c>
      <c r="S11" s="414">
        <v>0</v>
      </c>
      <c r="T11" s="414">
        <v>0</v>
      </c>
      <c r="U11" s="437">
        <f>Q11+R11+S11+T11</f>
        <v>35</v>
      </c>
      <c r="V11" s="926"/>
      <c r="W11" s="442"/>
      <c r="X11" s="930"/>
      <c r="Y11" s="449"/>
      <c r="Z11" s="449"/>
      <c r="AA11" s="449"/>
      <c r="AB11" s="449"/>
      <c r="AC11" s="449"/>
      <c r="AD11" s="449"/>
      <c r="AE11" s="449"/>
      <c r="AF11" s="449"/>
      <c r="AG11" s="449"/>
      <c r="AH11" s="449"/>
      <c r="AI11" s="449"/>
      <c r="AJ11" s="449">
        <f>SUM(X11:AI11)</f>
        <v>0</v>
      </c>
      <c r="AK11" s="444">
        <f>+S11*1000000-W11</f>
        <v>0</v>
      </c>
      <c r="AL11" s="444"/>
      <c r="AM11" s="444"/>
      <c r="AN11" s="444">
        <f>+W11+AL11+AM11</f>
        <v>0</v>
      </c>
    </row>
    <row r="12" spans="1:40" ht="120" x14ac:dyDescent="0.2">
      <c r="A12" s="1186"/>
      <c r="B12" s="1364"/>
      <c r="C12" s="1186"/>
      <c r="D12" s="1364"/>
      <c r="E12" s="1360"/>
      <c r="F12" s="1186"/>
      <c r="G12" s="1186"/>
      <c r="H12" s="1186"/>
      <c r="I12" s="1187"/>
      <c r="J12" s="919" t="s">
        <v>3641</v>
      </c>
      <c r="K12" s="919">
        <v>0</v>
      </c>
      <c r="L12" s="919" t="s">
        <v>3642</v>
      </c>
      <c r="M12" s="418"/>
      <c r="N12" s="413">
        <v>0.1</v>
      </c>
      <c r="O12" s="413">
        <v>0.5</v>
      </c>
      <c r="P12" s="413">
        <v>0.4</v>
      </c>
      <c r="Q12" s="420"/>
      <c r="R12" s="420">
        <v>30</v>
      </c>
      <c r="S12" s="420">
        <v>80</v>
      </c>
      <c r="T12" s="414">
        <v>70</v>
      </c>
      <c r="U12" s="437">
        <f>Q12+R12+S12+T12</f>
        <v>180</v>
      </c>
      <c r="V12" s="926" t="s">
        <v>3610</v>
      </c>
      <c r="W12" s="449" t="e">
        <f>+'RES.096 DE 2011'!Q29</f>
        <v>#REF!</v>
      </c>
      <c r="X12" s="449" t="e">
        <f>+'RES.096 DE 2011'!R29</f>
        <v>#REF!</v>
      </c>
      <c r="Y12" s="449" t="e">
        <f>+'RES.096 DE 2011'!S29</f>
        <v>#REF!</v>
      </c>
      <c r="Z12" s="449" t="e">
        <f>+'RES.096 DE 2011'!T29</f>
        <v>#REF!</v>
      </c>
      <c r="AA12" s="449" t="e">
        <f>+'RES.096 DE 2011'!U29</f>
        <v>#REF!</v>
      </c>
      <c r="AB12" s="449" t="e">
        <f>+'RES.096 DE 2011'!V29</f>
        <v>#REF!</v>
      </c>
      <c r="AC12" s="449" t="e">
        <f>+'RES.096 DE 2011'!W29</f>
        <v>#REF!</v>
      </c>
      <c r="AD12" s="449" t="e">
        <f>+'RES.096 DE 2011'!X29</f>
        <v>#REF!</v>
      </c>
      <c r="AE12" s="449" t="e">
        <f>+'RES.096 DE 2011'!Y29</f>
        <v>#REF!</v>
      </c>
      <c r="AF12" s="449" t="e">
        <f>+'RES.096 DE 2011'!Z29</f>
        <v>#REF!</v>
      </c>
      <c r="AG12" s="449" t="e">
        <f>+'RES.096 DE 2011'!AA29</f>
        <v>#REF!</v>
      </c>
      <c r="AH12" s="449" t="e">
        <f>+'RES.096 DE 2011'!AB29</f>
        <v>#REF!</v>
      </c>
      <c r="AI12" s="449" t="e">
        <f>+'RES.096 DE 2011'!AC29</f>
        <v>#REF!</v>
      </c>
      <c r="AJ12" s="449" t="e">
        <f>SUM(X12:AI12)</f>
        <v>#REF!</v>
      </c>
      <c r="AK12" s="444" t="e">
        <f>+S12*1000000-W12</f>
        <v>#REF!</v>
      </c>
      <c r="AL12" s="444"/>
      <c r="AM12" s="444" t="e">
        <f>+#REF!</f>
        <v>#REF!</v>
      </c>
      <c r="AN12" s="444" t="e">
        <f>+W12+AL12+AM12</f>
        <v>#REF!</v>
      </c>
    </row>
    <row r="13" spans="1:40" ht="15" x14ac:dyDescent="0.2">
      <c r="A13" s="1187"/>
      <c r="B13" s="1373"/>
      <c r="C13" s="1187"/>
      <c r="D13" s="1373"/>
      <c r="E13" s="1361"/>
      <c r="F13" s="1187"/>
      <c r="G13" s="1187"/>
      <c r="H13" s="917"/>
      <c r="I13" s="917"/>
      <c r="J13" s="919"/>
      <c r="K13" s="919"/>
      <c r="L13" s="919"/>
      <c r="M13" s="1349"/>
      <c r="N13" s="1350"/>
      <c r="O13" s="1350"/>
      <c r="P13" s="1351"/>
      <c r="Q13" s="411">
        <f>SUM(Q8:Q12)</f>
        <v>285</v>
      </c>
      <c r="R13" s="411">
        <f>SUM(R8:R12)</f>
        <v>366</v>
      </c>
      <c r="S13" s="411">
        <f>SUM(S8:S12)</f>
        <v>455</v>
      </c>
      <c r="T13" s="411">
        <f>SUM(T8:T12)</f>
        <v>385</v>
      </c>
      <c r="U13" s="411">
        <f>SUM(U8:U12)</f>
        <v>1491</v>
      </c>
      <c r="V13" s="926"/>
      <c r="W13" s="932" t="e">
        <f>SUM(W8:W12)</f>
        <v>#REF!</v>
      </c>
      <c r="X13" s="932" t="e">
        <f>SUM(X8:X12)</f>
        <v>#REF!</v>
      </c>
      <c r="Y13" s="446" t="e">
        <f t="shared" ref="Y13:AJ13" si="1">SUM(Y8:Y12)</f>
        <v>#REF!</v>
      </c>
      <c r="Z13" s="446" t="e">
        <f t="shared" si="1"/>
        <v>#REF!</v>
      </c>
      <c r="AA13" s="446" t="e">
        <f t="shared" si="1"/>
        <v>#REF!</v>
      </c>
      <c r="AB13" s="446" t="e">
        <f t="shared" si="1"/>
        <v>#REF!</v>
      </c>
      <c r="AC13" s="446" t="e">
        <f t="shared" si="1"/>
        <v>#REF!</v>
      </c>
      <c r="AD13" s="446" t="e">
        <f t="shared" si="1"/>
        <v>#REF!</v>
      </c>
      <c r="AE13" s="446" t="e">
        <f t="shared" si="1"/>
        <v>#REF!</v>
      </c>
      <c r="AF13" s="446"/>
      <c r="AG13" s="446"/>
      <c r="AH13" s="446" t="e">
        <f t="shared" si="1"/>
        <v>#REF!</v>
      </c>
      <c r="AI13" s="446"/>
      <c r="AJ13" s="446" t="e">
        <f t="shared" si="1"/>
        <v>#REF!</v>
      </c>
      <c r="AK13" s="932" t="e">
        <f>SUM(AK8:AK12)</f>
        <v>#REF!</v>
      </c>
      <c r="AL13" s="932">
        <f>SUM(AL8:AL12)</f>
        <v>180255577</v>
      </c>
      <c r="AM13" s="932" t="e">
        <f>SUM(AM8:AM12)</f>
        <v>#REF!</v>
      </c>
      <c r="AN13" s="932" t="e">
        <f>SUM(AN8:AN12)</f>
        <v>#REF!</v>
      </c>
    </row>
    <row r="14" spans="1:40" ht="24.75" customHeight="1" x14ac:dyDescent="0.25">
      <c r="A14" s="398"/>
      <c r="B14" s="456"/>
      <c r="C14" s="398"/>
      <c r="D14" s="396"/>
      <c r="E14" s="396"/>
      <c r="F14" s="396"/>
      <c r="G14" s="396"/>
      <c r="H14" s="398"/>
      <c r="I14" s="398"/>
      <c r="J14" s="396"/>
      <c r="K14" s="396"/>
      <c r="L14" s="457"/>
      <c r="M14" s="416"/>
      <c r="N14" s="416"/>
      <c r="O14" s="416"/>
      <c r="P14" s="417"/>
      <c r="Q14" s="417"/>
      <c r="R14" s="417"/>
      <c r="S14" s="417"/>
      <c r="T14" s="416"/>
      <c r="U14" s="397"/>
      <c r="V14" s="551"/>
      <c r="W14" s="442"/>
      <c r="X14" s="488"/>
      <c r="Y14" s="488"/>
      <c r="Z14" s="488"/>
      <c r="AA14" s="488"/>
      <c r="AB14" s="488"/>
      <c r="AC14" s="488"/>
      <c r="AD14" s="488"/>
      <c r="AE14" s="488"/>
      <c r="AF14" s="488"/>
      <c r="AG14" s="488"/>
      <c r="AH14" s="488"/>
      <c r="AI14" s="488"/>
      <c r="AJ14" s="488"/>
      <c r="AK14" s="442"/>
      <c r="AL14" s="442"/>
      <c r="AM14" s="442"/>
      <c r="AN14" s="442"/>
    </row>
    <row r="15" spans="1:40" ht="45" x14ac:dyDescent="0.2">
      <c r="A15" s="1188">
        <v>3</v>
      </c>
      <c r="B15" s="1365" t="s">
        <v>3162</v>
      </c>
      <c r="C15" s="1185" t="s">
        <v>3493</v>
      </c>
      <c r="D15" s="1365" t="s">
        <v>3494</v>
      </c>
      <c r="E15" s="1362" t="s">
        <v>3495</v>
      </c>
      <c r="F15" s="1188" t="s">
        <v>3484</v>
      </c>
      <c r="G15" s="1185" t="s">
        <v>3485</v>
      </c>
      <c r="H15" s="1188" t="s">
        <v>3486</v>
      </c>
      <c r="I15" s="1185" t="s">
        <v>3702</v>
      </c>
      <c r="J15" s="919" t="s">
        <v>3739</v>
      </c>
      <c r="K15" s="919">
        <v>7</v>
      </c>
      <c r="L15" s="919" t="s">
        <v>3217</v>
      </c>
      <c r="M15" s="418">
        <v>2</v>
      </c>
      <c r="N15" s="418">
        <v>2</v>
      </c>
      <c r="O15" s="418">
        <v>3</v>
      </c>
      <c r="P15" s="418">
        <v>2</v>
      </c>
      <c r="Q15" s="420">
        <v>50</v>
      </c>
      <c r="R15" s="420">
        <v>116</v>
      </c>
      <c r="S15" s="420">
        <v>210</v>
      </c>
      <c r="T15" s="420">
        <v>250</v>
      </c>
      <c r="U15" s="437">
        <f t="shared" ref="U15:U37" si="2">Q15+R15+S15+T15</f>
        <v>626</v>
      </c>
      <c r="V15" s="926" t="s">
        <v>4287</v>
      </c>
      <c r="W15" s="449" t="e">
        <f>SUM('RES.096 DE 2011'!Q36:Q52)</f>
        <v>#REF!</v>
      </c>
      <c r="X15" s="449" t="e">
        <f>SUM('RES.096 DE 2011'!R36:R52)</f>
        <v>#REF!</v>
      </c>
      <c r="Y15" s="449" t="e">
        <f>SUM('RES.096 DE 2011'!S36:S52)</f>
        <v>#REF!</v>
      </c>
      <c r="Z15" s="449" t="e">
        <f>SUM('RES.096 DE 2011'!T36:T52)</f>
        <v>#REF!</v>
      </c>
      <c r="AA15" s="449" t="e">
        <f>SUM('RES.096 DE 2011'!U36:U52)</f>
        <v>#REF!</v>
      </c>
      <c r="AB15" s="449" t="e">
        <f>SUM('RES.096 DE 2011'!V36:V52)</f>
        <v>#REF!</v>
      </c>
      <c r="AC15" s="449" t="e">
        <f>SUM('RES.096 DE 2011'!W36:W52)</f>
        <v>#REF!</v>
      </c>
      <c r="AD15" s="449" t="e">
        <f>SUM('RES.096 DE 2011'!X36:X52)</f>
        <v>#REF!</v>
      </c>
      <c r="AE15" s="449" t="e">
        <f>SUM('RES.096 DE 2011'!Y36:Y52)</f>
        <v>#REF!</v>
      </c>
      <c r="AF15" s="449" t="e">
        <f>SUM('RES.096 DE 2011'!Z36:Z52)</f>
        <v>#REF!</v>
      </c>
      <c r="AG15" s="449" t="e">
        <f>SUM('RES.096 DE 2011'!AA36:AA52)</f>
        <v>#REF!</v>
      </c>
      <c r="AH15" s="449" t="e">
        <f>SUM('RES.096 DE 2011'!AB36:AB52)</f>
        <v>#REF!</v>
      </c>
      <c r="AI15" s="449" t="e">
        <f>SUM('RES.096 DE 2011'!AC36:AC52)</f>
        <v>#REF!</v>
      </c>
      <c r="AJ15" s="449" t="e">
        <f t="shared" ref="AJ15:AJ36" si="3">SUM(X15:AI15)</f>
        <v>#REF!</v>
      </c>
      <c r="AK15" s="444" t="e">
        <f t="shared" ref="AK15:AK37" si="4">+S15*1000000-W15</f>
        <v>#REF!</v>
      </c>
      <c r="AL15" s="444"/>
      <c r="AM15" s="444" t="e">
        <f>SUM(#REF!)</f>
        <v>#REF!</v>
      </c>
      <c r="AN15" s="444" t="e">
        <f t="shared" ref="AN15:AN37" si="5">+W15+AL15+AM15</f>
        <v>#REF!</v>
      </c>
    </row>
    <row r="16" spans="1:40" ht="75" x14ac:dyDescent="0.2">
      <c r="A16" s="1188"/>
      <c r="B16" s="1365"/>
      <c r="C16" s="1186"/>
      <c r="D16" s="1365"/>
      <c r="E16" s="1360"/>
      <c r="F16" s="1188"/>
      <c r="G16" s="1186"/>
      <c r="H16" s="1188"/>
      <c r="I16" s="1187"/>
      <c r="J16" s="919" t="s">
        <v>3498</v>
      </c>
      <c r="K16" s="919">
        <v>0</v>
      </c>
      <c r="L16" s="919" t="s">
        <v>3218</v>
      </c>
      <c r="M16" s="421">
        <v>1</v>
      </c>
      <c r="N16" s="421">
        <v>1</v>
      </c>
      <c r="O16" s="421">
        <v>2</v>
      </c>
      <c r="P16" s="421">
        <v>3</v>
      </c>
      <c r="Q16" s="414">
        <v>30</v>
      </c>
      <c r="R16" s="414">
        <v>150</v>
      </c>
      <c r="S16" s="414">
        <v>135</v>
      </c>
      <c r="T16" s="414">
        <v>150</v>
      </c>
      <c r="U16" s="437">
        <f t="shared" si="2"/>
        <v>465</v>
      </c>
      <c r="V16" s="926" t="s">
        <v>4098</v>
      </c>
      <c r="W16" s="449" t="e">
        <f>SUM('RES.096 DE 2011'!Q53:Q61)</f>
        <v>#REF!</v>
      </c>
      <c r="X16" s="449" t="e">
        <f>SUM('RES.096 DE 2011'!R53:R61)</f>
        <v>#REF!</v>
      </c>
      <c r="Y16" s="449" t="e">
        <f>SUM('RES.096 DE 2011'!S53:S61)</f>
        <v>#REF!</v>
      </c>
      <c r="Z16" s="449" t="e">
        <f>SUM('RES.096 DE 2011'!T53:T61)</f>
        <v>#REF!</v>
      </c>
      <c r="AA16" s="449" t="e">
        <f>SUM('RES.096 DE 2011'!U53:U61)</f>
        <v>#REF!</v>
      </c>
      <c r="AB16" s="449" t="e">
        <f>SUM('RES.096 DE 2011'!V53:V61)</f>
        <v>#REF!</v>
      </c>
      <c r="AC16" s="449" t="e">
        <f>SUM('RES.096 DE 2011'!W53:W61)</f>
        <v>#REF!</v>
      </c>
      <c r="AD16" s="449" t="e">
        <f>SUM('RES.096 DE 2011'!X53:X61)</f>
        <v>#REF!</v>
      </c>
      <c r="AE16" s="449" t="e">
        <f>SUM('RES.096 DE 2011'!Y53:Y61)</f>
        <v>#REF!</v>
      </c>
      <c r="AF16" s="449" t="e">
        <f>SUM('RES.096 DE 2011'!Z53:Z61)</f>
        <v>#REF!</v>
      </c>
      <c r="AG16" s="449" t="e">
        <f>SUM('RES.096 DE 2011'!AA53:AA61)</f>
        <v>#REF!</v>
      </c>
      <c r="AH16" s="449" t="e">
        <f>SUM('RES.096 DE 2011'!AB53:AB61)</f>
        <v>#REF!</v>
      </c>
      <c r="AI16" s="449" t="e">
        <f>SUM('RES.096 DE 2011'!AC53:AC61)</f>
        <v>#REF!</v>
      </c>
      <c r="AJ16" s="449" t="e">
        <f t="shared" si="3"/>
        <v>#REF!</v>
      </c>
      <c r="AK16" s="444" t="e">
        <f t="shared" si="4"/>
        <v>#REF!</v>
      </c>
      <c r="AL16" s="444"/>
      <c r="AM16" s="444" t="e">
        <f>SUM(#REF!)</f>
        <v>#REF!</v>
      </c>
      <c r="AN16" s="444" t="e">
        <f t="shared" si="5"/>
        <v>#REF!</v>
      </c>
    </row>
    <row r="17" spans="1:40" ht="75" x14ac:dyDescent="0.2">
      <c r="A17" s="1188"/>
      <c r="B17" s="1365"/>
      <c r="C17" s="1186"/>
      <c r="D17" s="1365"/>
      <c r="E17" s="1360"/>
      <c r="F17" s="1188"/>
      <c r="G17" s="1186"/>
      <c r="H17" s="1188"/>
      <c r="I17" s="919" t="s">
        <v>3167</v>
      </c>
      <c r="J17" s="919" t="s">
        <v>3496</v>
      </c>
      <c r="K17" s="919">
        <v>0</v>
      </c>
      <c r="L17" s="919" t="s">
        <v>3497</v>
      </c>
      <c r="M17" s="418">
        <v>2</v>
      </c>
      <c r="N17" s="418">
        <v>2</v>
      </c>
      <c r="O17" s="418">
        <v>3</v>
      </c>
      <c r="P17" s="418">
        <v>3</v>
      </c>
      <c r="Q17" s="420">
        <v>20</v>
      </c>
      <c r="R17" s="420">
        <v>9</v>
      </c>
      <c r="S17" s="420">
        <v>30</v>
      </c>
      <c r="T17" s="420">
        <v>30</v>
      </c>
      <c r="U17" s="437">
        <f t="shared" si="2"/>
        <v>89</v>
      </c>
      <c r="V17" s="926">
        <v>312</v>
      </c>
      <c r="W17" s="442"/>
      <c r="X17" s="930"/>
      <c r="Y17" s="449"/>
      <c r="Z17" s="449"/>
      <c r="AA17" s="449"/>
      <c r="AB17" s="449"/>
      <c r="AC17" s="449"/>
      <c r="AD17" s="449"/>
      <c r="AE17" s="449"/>
      <c r="AF17" s="449"/>
      <c r="AG17" s="449"/>
      <c r="AH17" s="449"/>
      <c r="AI17" s="449"/>
      <c r="AJ17" s="449">
        <f t="shared" si="3"/>
        <v>0</v>
      </c>
      <c r="AK17" s="444">
        <f t="shared" si="4"/>
        <v>30000000</v>
      </c>
      <c r="AL17" s="444"/>
      <c r="AM17" s="444"/>
      <c r="AN17" s="444">
        <f t="shared" si="5"/>
        <v>0</v>
      </c>
    </row>
    <row r="18" spans="1:40" ht="140.25" x14ac:dyDescent="0.2">
      <c r="A18" s="1188"/>
      <c r="B18" s="1365"/>
      <c r="C18" s="1187"/>
      <c r="D18" s="1365"/>
      <c r="E18" s="1361"/>
      <c r="F18" s="1188"/>
      <c r="G18" s="1187"/>
      <c r="H18" s="1188"/>
      <c r="I18" s="919" t="s">
        <v>3703</v>
      </c>
      <c r="J18" s="919" t="s">
        <v>3644</v>
      </c>
      <c r="K18" s="919">
        <v>0</v>
      </c>
      <c r="L18" s="919" t="s">
        <v>3645</v>
      </c>
      <c r="M18" s="421">
        <v>1</v>
      </c>
      <c r="N18" s="401" t="s">
        <v>3646</v>
      </c>
      <c r="O18" s="421">
        <v>3</v>
      </c>
      <c r="P18" s="421">
        <v>3</v>
      </c>
      <c r="Q18" s="414">
        <v>40</v>
      </c>
      <c r="R18" s="414">
        <v>115</v>
      </c>
      <c r="S18" s="414">
        <v>40</v>
      </c>
      <c r="T18" s="414">
        <v>40</v>
      </c>
      <c r="U18" s="437">
        <f t="shared" si="2"/>
        <v>235</v>
      </c>
      <c r="V18" s="926" t="s">
        <v>4099</v>
      </c>
      <c r="W18" s="449" t="e">
        <f>+'RES.096 DE 2011'!Q66</f>
        <v>#REF!</v>
      </c>
      <c r="X18" s="449" t="e">
        <f>+'RES.096 DE 2011'!R66</f>
        <v>#REF!</v>
      </c>
      <c r="Y18" s="449" t="e">
        <f>+'RES.096 DE 2011'!S66</f>
        <v>#REF!</v>
      </c>
      <c r="Z18" s="449" t="e">
        <f>+'RES.096 DE 2011'!T66</f>
        <v>#REF!</v>
      </c>
      <c r="AA18" s="449" t="e">
        <f>+'RES.096 DE 2011'!U66</f>
        <v>#REF!</v>
      </c>
      <c r="AB18" s="449" t="e">
        <f>+'RES.096 DE 2011'!V66</f>
        <v>#REF!</v>
      </c>
      <c r="AC18" s="449" t="e">
        <f>+'RES.096 DE 2011'!W66</f>
        <v>#REF!</v>
      </c>
      <c r="AD18" s="449" t="e">
        <f>+'RES.096 DE 2011'!X66</f>
        <v>#REF!</v>
      </c>
      <c r="AE18" s="449" t="e">
        <f>+'RES.096 DE 2011'!Y66</f>
        <v>#REF!</v>
      </c>
      <c r="AF18" s="449" t="e">
        <f>+'RES.096 DE 2011'!Z66</f>
        <v>#REF!</v>
      </c>
      <c r="AG18" s="449" t="e">
        <f>+'RES.096 DE 2011'!AA66</f>
        <v>#REF!</v>
      </c>
      <c r="AH18" s="449" t="e">
        <f>+'RES.096 DE 2011'!AB66</f>
        <v>#REF!</v>
      </c>
      <c r="AI18" s="449" t="e">
        <f>+'RES.096 DE 2011'!AC66</f>
        <v>#REF!</v>
      </c>
      <c r="AJ18" s="449" t="e">
        <f t="shared" si="3"/>
        <v>#REF!</v>
      </c>
      <c r="AK18" s="444" t="e">
        <f t="shared" si="4"/>
        <v>#REF!</v>
      </c>
      <c r="AL18" s="444"/>
      <c r="AM18" s="444"/>
      <c r="AN18" s="444" t="e">
        <f t="shared" si="5"/>
        <v>#REF!</v>
      </c>
    </row>
    <row r="19" spans="1:40" ht="75" x14ac:dyDescent="0.2">
      <c r="A19" s="1365">
        <v>3</v>
      </c>
      <c r="B19" s="1365" t="s">
        <v>3162</v>
      </c>
      <c r="C19" s="1188" t="s">
        <v>3493</v>
      </c>
      <c r="D19" s="1365" t="s">
        <v>3184</v>
      </c>
      <c r="E19" s="1372" t="s">
        <v>3495</v>
      </c>
      <c r="F19" s="1188" t="s">
        <v>3499</v>
      </c>
      <c r="G19" s="1188" t="s">
        <v>3500</v>
      </c>
      <c r="H19" s="1188" t="s">
        <v>3501</v>
      </c>
      <c r="I19" s="919" t="s">
        <v>3293</v>
      </c>
      <c r="J19" s="919" t="s">
        <v>3683</v>
      </c>
      <c r="K19" s="919">
        <v>1</v>
      </c>
      <c r="L19" s="919" t="s">
        <v>3239</v>
      </c>
      <c r="M19" s="422">
        <v>0</v>
      </c>
      <c r="N19" s="422">
        <v>0</v>
      </c>
      <c r="O19" s="422">
        <v>2</v>
      </c>
      <c r="P19" s="422">
        <v>2</v>
      </c>
      <c r="Q19" s="414">
        <v>10</v>
      </c>
      <c r="R19" s="414">
        <v>20</v>
      </c>
      <c r="S19" s="414">
        <v>20</v>
      </c>
      <c r="T19" s="414">
        <v>10</v>
      </c>
      <c r="U19" s="437">
        <f t="shared" si="2"/>
        <v>60</v>
      </c>
      <c r="V19" s="926" t="s">
        <v>4100</v>
      </c>
      <c r="W19" s="449" t="e">
        <f>+'RES.096 DE 2011'!Q74</f>
        <v>#REF!</v>
      </c>
      <c r="X19" s="449" t="e">
        <f>+'RES.096 DE 2011'!R74</f>
        <v>#REF!</v>
      </c>
      <c r="Y19" s="449" t="e">
        <f>+'RES.096 DE 2011'!S74</f>
        <v>#REF!</v>
      </c>
      <c r="Z19" s="449" t="e">
        <f>+'RES.096 DE 2011'!T74</f>
        <v>#REF!</v>
      </c>
      <c r="AA19" s="449" t="e">
        <f>+'RES.096 DE 2011'!U74</f>
        <v>#REF!</v>
      </c>
      <c r="AB19" s="449" t="e">
        <f>+'RES.096 DE 2011'!V74</f>
        <v>#REF!</v>
      </c>
      <c r="AC19" s="449" t="e">
        <f>+'RES.096 DE 2011'!W74</f>
        <v>#REF!</v>
      </c>
      <c r="AD19" s="449" t="e">
        <f>+'RES.096 DE 2011'!X74</f>
        <v>#REF!</v>
      </c>
      <c r="AE19" s="449" t="e">
        <f>+'RES.096 DE 2011'!Y74</f>
        <v>#REF!</v>
      </c>
      <c r="AF19" s="449" t="e">
        <f>+'RES.096 DE 2011'!Z74</f>
        <v>#REF!</v>
      </c>
      <c r="AG19" s="449" t="e">
        <f>+'RES.096 DE 2011'!AA74</f>
        <v>#REF!</v>
      </c>
      <c r="AH19" s="449" t="e">
        <f>+'RES.096 DE 2011'!AB74</f>
        <v>#REF!</v>
      </c>
      <c r="AI19" s="449" t="e">
        <f>+'RES.096 DE 2011'!AC74</f>
        <v>#REF!</v>
      </c>
      <c r="AJ19" s="449" t="e">
        <f t="shared" si="3"/>
        <v>#REF!</v>
      </c>
      <c r="AK19" s="444" t="e">
        <f t="shared" si="4"/>
        <v>#REF!</v>
      </c>
      <c r="AL19" s="444"/>
      <c r="AM19" s="444"/>
      <c r="AN19" s="444" t="e">
        <f t="shared" si="5"/>
        <v>#REF!</v>
      </c>
    </row>
    <row r="20" spans="1:40" ht="90" x14ac:dyDescent="0.2">
      <c r="A20" s="1365"/>
      <c r="B20" s="1365"/>
      <c r="C20" s="1188"/>
      <c r="D20" s="1365"/>
      <c r="E20" s="1372"/>
      <c r="F20" s="1188"/>
      <c r="G20" s="1188"/>
      <c r="H20" s="1188"/>
      <c r="I20" s="1188" t="s">
        <v>3705</v>
      </c>
      <c r="J20" s="919" t="s">
        <v>3647</v>
      </c>
      <c r="K20" s="460">
        <v>0</v>
      </c>
      <c r="L20" s="919" t="s">
        <v>3649</v>
      </c>
      <c r="M20" s="422">
        <v>1</v>
      </c>
      <c r="N20" s="552" t="s">
        <v>3648</v>
      </c>
      <c r="O20" s="422">
        <v>50</v>
      </c>
      <c r="P20" s="422">
        <v>100</v>
      </c>
      <c r="Q20" s="414">
        <v>10</v>
      </c>
      <c r="R20" s="414">
        <v>27</v>
      </c>
      <c r="S20" s="414">
        <v>10</v>
      </c>
      <c r="T20" s="414">
        <v>10</v>
      </c>
      <c r="U20" s="437">
        <f t="shared" si="2"/>
        <v>57</v>
      </c>
      <c r="V20" s="926" t="s">
        <v>4101</v>
      </c>
      <c r="W20" s="449" t="e">
        <f>SUM('RES.096 DE 2011'!Q75)</f>
        <v>#REF!</v>
      </c>
      <c r="X20" s="449" t="e">
        <f>SUM('RES.096 DE 2011'!R75)</f>
        <v>#REF!</v>
      </c>
      <c r="Y20" s="449" t="e">
        <f>SUM('RES.096 DE 2011'!S75)</f>
        <v>#REF!</v>
      </c>
      <c r="Z20" s="449" t="e">
        <f>SUM('RES.096 DE 2011'!T75)</f>
        <v>#REF!</v>
      </c>
      <c r="AA20" s="449" t="e">
        <f>SUM('RES.096 DE 2011'!U75)</f>
        <v>#REF!</v>
      </c>
      <c r="AB20" s="449" t="e">
        <f>SUM('RES.096 DE 2011'!V75)</f>
        <v>#REF!</v>
      </c>
      <c r="AC20" s="449" t="e">
        <f>SUM('RES.096 DE 2011'!W75)</f>
        <v>#REF!</v>
      </c>
      <c r="AD20" s="449" t="e">
        <f>SUM('RES.096 DE 2011'!X75)</f>
        <v>#REF!</v>
      </c>
      <c r="AE20" s="449" t="e">
        <f>SUM('RES.096 DE 2011'!Y75)</f>
        <v>#REF!</v>
      </c>
      <c r="AF20" s="449" t="e">
        <f>SUM('RES.096 DE 2011'!Z75)</f>
        <v>#REF!</v>
      </c>
      <c r="AG20" s="449" t="e">
        <f>SUM('RES.096 DE 2011'!AA75)</f>
        <v>#REF!</v>
      </c>
      <c r="AH20" s="449" t="e">
        <f>SUM('RES.096 DE 2011'!AB75)</f>
        <v>#REF!</v>
      </c>
      <c r="AI20" s="449" t="e">
        <f>SUM('RES.096 DE 2011'!AC75)</f>
        <v>#REF!</v>
      </c>
      <c r="AJ20" s="449" t="e">
        <f t="shared" si="3"/>
        <v>#REF!</v>
      </c>
      <c r="AK20" s="444" t="e">
        <f t="shared" si="4"/>
        <v>#REF!</v>
      </c>
      <c r="AL20" s="444"/>
      <c r="AM20" s="444"/>
      <c r="AN20" s="444" t="e">
        <f t="shared" si="5"/>
        <v>#REF!</v>
      </c>
    </row>
    <row r="21" spans="1:40" ht="90" x14ac:dyDescent="0.2">
      <c r="A21" s="1365"/>
      <c r="B21" s="1365"/>
      <c r="C21" s="1188"/>
      <c r="D21" s="1365"/>
      <c r="E21" s="1372"/>
      <c r="F21" s="1188"/>
      <c r="G21" s="1188"/>
      <c r="H21" s="1188"/>
      <c r="I21" s="1188"/>
      <c r="J21" s="919" t="s">
        <v>3740</v>
      </c>
      <c r="K21" s="919">
        <v>22</v>
      </c>
      <c r="L21" s="919" t="s">
        <v>3294</v>
      </c>
      <c r="M21" s="422">
        <v>1</v>
      </c>
      <c r="N21" s="422">
        <v>2</v>
      </c>
      <c r="O21" s="422">
        <v>2</v>
      </c>
      <c r="P21" s="422">
        <v>4</v>
      </c>
      <c r="Q21" s="414">
        <v>40</v>
      </c>
      <c r="R21" s="414">
        <v>55</v>
      </c>
      <c r="S21" s="414">
        <v>80</v>
      </c>
      <c r="T21" s="414">
        <v>80</v>
      </c>
      <c r="U21" s="437">
        <f t="shared" si="2"/>
        <v>255</v>
      </c>
      <c r="V21" s="926" t="s">
        <v>4288</v>
      </c>
      <c r="W21" s="449" t="e">
        <f>SUM('RES.096 DE 2011'!Q76:Q89)</f>
        <v>#REF!</v>
      </c>
      <c r="X21" s="449" t="e">
        <f>SUM('RES.096 DE 2011'!R76:R89)</f>
        <v>#REF!</v>
      </c>
      <c r="Y21" s="449" t="e">
        <f>SUM('RES.096 DE 2011'!S76:S89)</f>
        <v>#REF!</v>
      </c>
      <c r="Z21" s="449" t="e">
        <f>SUM('RES.096 DE 2011'!T76:T89)</f>
        <v>#REF!</v>
      </c>
      <c r="AA21" s="449" t="e">
        <f>SUM('RES.096 DE 2011'!U76:U89)</f>
        <v>#REF!</v>
      </c>
      <c r="AB21" s="449" t="e">
        <f>SUM('RES.096 DE 2011'!V76:V89)</f>
        <v>#REF!</v>
      </c>
      <c r="AC21" s="449" t="e">
        <f>SUM('RES.096 DE 2011'!W76:W89)</f>
        <v>#REF!</v>
      </c>
      <c r="AD21" s="449" t="e">
        <f>SUM('RES.096 DE 2011'!X76:X89)</f>
        <v>#REF!</v>
      </c>
      <c r="AE21" s="449" t="e">
        <f>SUM('RES.096 DE 2011'!Y76:Y89)</f>
        <v>#REF!</v>
      </c>
      <c r="AF21" s="449" t="e">
        <f>SUM('RES.096 DE 2011'!Z76:Z89)</f>
        <v>#REF!</v>
      </c>
      <c r="AG21" s="449" t="e">
        <f>SUM('RES.096 DE 2011'!AA76:AA89)</f>
        <v>#REF!</v>
      </c>
      <c r="AH21" s="449" t="e">
        <f>SUM('RES.096 DE 2011'!AB76:AB89)</f>
        <v>#REF!</v>
      </c>
      <c r="AI21" s="449" t="e">
        <f>SUM('RES.096 DE 2011'!AC76:AC89)</f>
        <v>#REF!</v>
      </c>
      <c r="AJ21" s="449" t="e">
        <f t="shared" si="3"/>
        <v>#REF!</v>
      </c>
      <c r="AK21" s="444" t="e">
        <f t="shared" si="4"/>
        <v>#REF!</v>
      </c>
      <c r="AL21" s="444"/>
      <c r="AM21" s="444"/>
      <c r="AN21" s="444" t="e">
        <f t="shared" si="5"/>
        <v>#REF!</v>
      </c>
    </row>
    <row r="22" spans="1:40" ht="90" x14ac:dyDescent="0.2">
      <c r="A22" s="1365"/>
      <c r="B22" s="1365"/>
      <c r="C22" s="1188"/>
      <c r="D22" s="1365"/>
      <c r="E22" s="1372"/>
      <c r="F22" s="1188"/>
      <c r="G22" s="1188"/>
      <c r="H22" s="1188"/>
      <c r="I22" s="1188"/>
      <c r="J22" s="919" t="s">
        <v>3502</v>
      </c>
      <c r="K22" s="919">
        <v>0</v>
      </c>
      <c r="L22" s="919" t="s">
        <v>3274</v>
      </c>
      <c r="M22" s="422">
        <v>0</v>
      </c>
      <c r="N22" s="422">
        <v>0</v>
      </c>
      <c r="O22" s="553" t="s">
        <v>3650</v>
      </c>
      <c r="P22" s="553" t="s">
        <v>3651</v>
      </c>
      <c r="Q22" s="414">
        <v>0</v>
      </c>
      <c r="R22" s="414">
        <v>0</v>
      </c>
      <c r="S22" s="414">
        <v>0</v>
      </c>
      <c r="T22" s="414">
        <v>0</v>
      </c>
      <c r="U22" s="437">
        <f t="shared" si="2"/>
        <v>0</v>
      </c>
      <c r="V22" s="926" t="s">
        <v>4103</v>
      </c>
      <c r="W22" s="937">
        <v>0</v>
      </c>
      <c r="X22" s="930"/>
      <c r="Y22" s="449"/>
      <c r="Z22" s="449"/>
      <c r="AA22" s="449"/>
      <c r="AB22" s="449"/>
      <c r="AC22" s="449"/>
      <c r="AD22" s="449"/>
      <c r="AE22" s="449"/>
      <c r="AF22" s="449"/>
      <c r="AG22" s="449"/>
      <c r="AH22" s="449"/>
      <c r="AI22" s="449"/>
      <c r="AJ22" s="449">
        <f t="shared" si="3"/>
        <v>0</v>
      </c>
      <c r="AK22" s="444">
        <f t="shared" si="4"/>
        <v>0</v>
      </c>
      <c r="AL22" s="444"/>
      <c r="AM22" s="444"/>
      <c r="AN22" s="444">
        <f t="shared" si="5"/>
        <v>0</v>
      </c>
    </row>
    <row r="23" spans="1:40" ht="191.25" x14ac:dyDescent="0.2">
      <c r="A23" s="1365"/>
      <c r="B23" s="1365"/>
      <c r="C23" s="1188"/>
      <c r="D23" s="1365"/>
      <c r="E23" s="1372"/>
      <c r="F23" s="1188"/>
      <c r="G23" s="1188"/>
      <c r="H23" s="1188"/>
      <c r="I23" s="401" t="s">
        <v>3299</v>
      </c>
      <c r="J23" s="939" t="s">
        <v>3696</v>
      </c>
      <c r="K23" s="919">
        <v>10</v>
      </c>
      <c r="L23" s="939" t="s">
        <v>3697</v>
      </c>
      <c r="M23" s="422">
        <v>20</v>
      </c>
      <c r="N23" s="422">
        <v>30</v>
      </c>
      <c r="O23" s="553" t="s">
        <v>3652</v>
      </c>
      <c r="P23" s="553" t="s">
        <v>3653</v>
      </c>
      <c r="Q23" s="414">
        <v>10</v>
      </c>
      <c r="R23" s="414">
        <v>10</v>
      </c>
      <c r="S23" s="414">
        <v>10</v>
      </c>
      <c r="T23" s="414">
        <v>10</v>
      </c>
      <c r="U23" s="437">
        <f t="shared" si="2"/>
        <v>40</v>
      </c>
      <c r="V23" s="926">
        <v>323</v>
      </c>
      <c r="W23" s="449" t="e">
        <f>+'POAI 2011 AC.017 MAYO'!D20</f>
        <v>#REF!</v>
      </c>
      <c r="X23" s="930"/>
      <c r="Y23" s="449"/>
      <c r="Z23" s="449"/>
      <c r="AA23" s="449"/>
      <c r="AB23" s="449"/>
      <c r="AC23" s="449"/>
      <c r="AD23" s="449"/>
      <c r="AE23" s="449">
        <f>+'POAI 2011 AC.017 MAYO'!R20</f>
        <v>10000000</v>
      </c>
      <c r="AF23" s="449"/>
      <c r="AG23" s="449"/>
      <c r="AH23" s="449"/>
      <c r="AI23" s="449"/>
      <c r="AJ23" s="449">
        <f t="shared" si="3"/>
        <v>10000000</v>
      </c>
      <c r="AK23" s="444" t="e">
        <f t="shared" si="4"/>
        <v>#REF!</v>
      </c>
      <c r="AL23" s="444"/>
      <c r="AM23" s="444"/>
      <c r="AN23" s="444" t="e">
        <f t="shared" si="5"/>
        <v>#REF!</v>
      </c>
    </row>
    <row r="24" spans="1:40" ht="90" x14ac:dyDescent="0.2">
      <c r="A24" s="1365"/>
      <c r="B24" s="1365"/>
      <c r="C24" s="1188"/>
      <c r="D24" s="1365"/>
      <c r="E24" s="1372"/>
      <c r="F24" s="1188"/>
      <c r="G24" s="1188"/>
      <c r="H24" s="1188"/>
      <c r="I24" s="919" t="s">
        <v>3706</v>
      </c>
      <c r="J24" s="919" t="s">
        <v>3741</v>
      </c>
      <c r="K24" s="458">
        <v>25</v>
      </c>
      <c r="L24" s="919" t="s">
        <v>3224</v>
      </c>
      <c r="M24" s="422">
        <v>25</v>
      </c>
      <c r="N24" s="413">
        <v>0.8</v>
      </c>
      <c r="O24" s="413">
        <v>0.9</v>
      </c>
      <c r="P24" s="413">
        <v>1</v>
      </c>
      <c r="Q24" s="414">
        <v>150</v>
      </c>
      <c r="R24" s="414">
        <v>440</v>
      </c>
      <c r="S24" s="414">
        <v>480</v>
      </c>
      <c r="T24" s="414">
        <v>520</v>
      </c>
      <c r="U24" s="437">
        <f t="shared" si="2"/>
        <v>1590</v>
      </c>
      <c r="V24" s="926" t="s">
        <v>4104</v>
      </c>
      <c r="W24" s="449" t="e">
        <f>+'RES.096 DE 2011'!Q100</f>
        <v>#REF!</v>
      </c>
      <c r="X24" s="449" t="e">
        <f>+'RES.096 DE 2011'!R100</f>
        <v>#REF!</v>
      </c>
      <c r="Y24" s="449" t="e">
        <f>+'RES.096 DE 2011'!S100</f>
        <v>#REF!</v>
      </c>
      <c r="Z24" s="449" t="e">
        <f>+'RES.096 DE 2011'!T100</f>
        <v>#REF!</v>
      </c>
      <c r="AA24" s="449" t="e">
        <f>+'RES.096 DE 2011'!U100</f>
        <v>#REF!</v>
      </c>
      <c r="AB24" s="449" t="e">
        <f>+'RES.096 DE 2011'!V100</f>
        <v>#REF!</v>
      </c>
      <c r="AC24" s="449" t="e">
        <f>+'RES.096 DE 2011'!W100</f>
        <v>#REF!</v>
      </c>
      <c r="AD24" s="449" t="e">
        <f>+'RES.096 DE 2011'!X100</f>
        <v>#REF!</v>
      </c>
      <c r="AE24" s="449" t="e">
        <f>+'RES.096 DE 2011'!Y100</f>
        <v>#REF!</v>
      </c>
      <c r="AF24" s="449" t="e">
        <f>+'RES.096 DE 2011'!Z100</f>
        <v>#REF!</v>
      </c>
      <c r="AG24" s="449" t="e">
        <f>+'RES.096 DE 2011'!AA100</f>
        <v>#REF!</v>
      </c>
      <c r="AH24" s="449" t="e">
        <f>+'RES.096 DE 2011'!AB100</f>
        <v>#REF!</v>
      </c>
      <c r="AI24" s="449" t="e">
        <f>+'RES.096 DE 2011'!AC100</f>
        <v>#REF!</v>
      </c>
      <c r="AJ24" s="449" t="e">
        <f t="shared" si="3"/>
        <v>#REF!</v>
      </c>
      <c r="AK24" s="444" t="e">
        <f t="shared" si="4"/>
        <v>#REF!</v>
      </c>
      <c r="AL24" s="444"/>
      <c r="AM24" s="444" t="e">
        <f>SUM(#REF!)</f>
        <v>#REF!</v>
      </c>
      <c r="AN24" s="444" t="e">
        <f t="shared" si="5"/>
        <v>#REF!</v>
      </c>
    </row>
    <row r="25" spans="1:40" ht="162.75" x14ac:dyDescent="0.2">
      <c r="A25" s="1188">
        <v>3</v>
      </c>
      <c r="B25" s="1365" t="s">
        <v>3162</v>
      </c>
      <c r="C25" s="1188" t="s">
        <v>3493</v>
      </c>
      <c r="D25" s="1365" t="s">
        <v>3707</v>
      </c>
      <c r="E25" s="1372" t="s">
        <v>3503</v>
      </c>
      <c r="F25" s="1188" t="s">
        <v>3499</v>
      </c>
      <c r="G25" s="1188" t="s">
        <v>3500</v>
      </c>
      <c r="H25" s="1188" t="s">
        <v>3501</v>
      </c>
      <c r="I25" s="479" t="s">
        <v>3750</v>
      </c>
      <c r="J25" s="919" t="s">
        <v>3505</v>
      </c>
      <c r="K25" s="919" t="s">
        <v>3506</v>
      </c>
      <c r="L25" s="919" t="s">
        <v>3221</v>
      </c>
      <c r="M25" s="401" t="s">
        <v>3507</v>
      </c>
      <c r="N25" s="401" t="s">
        <v>3744</v>
      </c>
      <c r="O25" s="401" t="s">
        <v>3745</v>
      </c>
      <c r="P25" s="401" t="s">
        <v>3746</v>
      </c>
      <c r="Q25" s="414">
        <v>900</v>
      </c>
      <c r="R25" s="414">
        <v>948</v>
      </c>
      <c r="S25" s="414">
        <f>R25*1.03</f>
        <v>976.44</v>
      </c>
      <c r="T25" s="414">
        <f>+S25*1.03</f>
        <v>1005.7332000000001</v>
      </c>
      <c r="U25" s="437">
        <f t="shared" si="2"/>
        <v>3830.1732000000002</v>
      </c>
      <c r="V25" s="926" t="s">
        <v>4105</v>
      </c>
      <c r="W25" s="449" t="e">
        <f>+'RES.096 DE 2011'!Q109</f>
        <v>#REF!</v>
      </c>
      <c r="X25" s="449" t="e">
        <f>+'RES.096 DE 2011'!R109</f>
        <v>#REF!</v>
      </c>
      <c r="Y25" s="449" t="e">
        <f>+'RES.096 DE 2011'!S109</f>
        <v>#REF!</v>
      </c>
      <c r="Z25" s="449" t="e">
        <f>+'RES.096 DE 2011'!T109</f>
        <v>#REF!</v>
      </c>
      <c r="AA25" s="449" t="e">
        <f>+'RES.096 DE 2011'!U109</f>
        <v>#REF!</v>
      </c>
      <c r="AB25" s="449" t="e">
        <f>+'RES.096 DE 2011'!V109</f>
        <v>#REF!</v>
      </c>
      <c r="AC25" s="449" t="e">
        <f>+'RES.096 DE 2011'!W109</f>
        <v>#REF!</v>
      </c>
      <c r="AD25" s="449" t="e">
        <f>+'RES.096 DE 2011'!X109</f>
        <v>#REF!</v>
      </c>
      <c r="AE25" s="449" t="e">
        <f>+'RES.096 DE 2011'!Y109</f>
        <v>#REF!</v>
      </c>
      <c r="AF25" s="449" t="e">
        <f>+'RES.096 DE 2011'!Z109</f>
        <v>#REF!</v>
      </c>
      <c r="AG25" s="449" t="e">
        <f>+'RES.096 DE 2011'!AA109</f>
        <v>#REF!</v>
      </c>
      <c r="AH25" s="449" t="e">
        <f>+'RES.096 DE 2011'!AB109</f>
        <v>#REF!</v>
      </c>
      <c r="AI25" s="449" t="e">
        <f>+'RES.096 DE 2011'!AC109</f>
        <v>#REF!</v>
      </c>
      <c r="AJ25" s="449" t="e">
        <f t="shared" si="3"/>
        <v>#REF!</v>
      </c>
      <c r="AK25" s="444" t="e">
        <f t="shared" si="4"/>
        <v>#REF!</v>
      </c>
      <c r="AL25" s="444"/>
      <c r="AM25" s="444"/>
      <c r="AN25" s="444" t="e">
        <f t="shared" si="5"/>
        <v>#REF!</v>
      </c>
    </row>
    <row r="26" spans="1:40" ht="90" x14ac:dyDescent="0.2">
      <c r="A26" s="1188"/>
      <c r="B26" s="1402"/>
      <c r="C26" s="1188"/>
      <c r="D26" s="1365"/>
      <c r="E26" s="1372"/>
      <c r="F26" s="1188"/>
      <c r="G26" s="1188"/>
      <c r="H26" s="1188"/>
      <c r="I26" s="1185" t="s">
        <v>3708</v>
      </c>
      <c r="J26" s="919" t="s">
        <v>3508</v>
      </c>
      <c r="K26" s="919" t="s">
        <v>3509</v>
      </c>
      <c r="L26" s="919" t="s">
        <v>3232</v>
      </c>
      <c r="M26" s="421">
        <v>21</v>
      </c>
      <c r="N26" s="421">
        <v>22</v>
      </c>
      <c r="O26" s="421">
        <v>23</v>
      </c>
      <c r="P26" s="421">
        <v>25</v>
      </c>
      <c r="Q26" s="414">
        <v>420</v>
      </c>
      <c r="R26" s="414">
        <v>330</v>
      </c>
      <c r="S26" s="414">
        <v>460</v>
      </c>
      <c r="T26" s="414">
        <v>500</v>
      </c>
      <c r="U26" s="437">
        <f t="shared" si="2"/>
        <v>1710</v>
      </c>
      <c r="V26" s="926" t="s">
        <v>4108</v>
      </c>
      <c r="W26" s="449" t="e">
        <f>+'RES.096 DE 2011'!Q110+'RES.096 DE 2011'!Q113</f>
        <v>#REF!</v>
      </c>
      <c r="X26" s="449" t="e">
        <f>+'RES.096 DE 2011'!R110+'RES.096 DE 2011'!R113</f>
        <v>#REF!</v>
      </c>
      <c r="Y26" s="449" t="e">
        <f>+'RES.096 DE 2011'!S110+'RES.096 DE 2011'!S113</f>
        <v>#REF!</v>
      </c>
      <c r="Z26" s="449" t="e">
        <f>+'RES.096 DE 2011'!T110+'RES.096 DE 2011'!T113</f>
        <v>#REF!</v>
      </c>
      <c r="AA26" s="449" t="e">
        <f>+'RES.096 DE 2011'!U110+'RES.096 DE 2011'!U113</f>
        <v>#REF!</v>
      </c>
      <c r="AB26" s="449" t="e">
        <f>+'RES.096 DE 2011'!V110+'RES.096 DE 2011'!V113</f>
        <v>#REF!</v>
      </c>
      <c r="AC26" s="449" t="e">
        <f>+'RES.096 DE 2011'!W110+'RES.096 DE 2011'!W113</f>
        <v>#REF!</v>
      </c>
      <c r="AD26" s="449" t="e">
        <f>+'RES.096 DE 2011'!X110+'RES.096 DE 2011'!X113</f>
        <v>#REF!</v>
      </c>
      <c r="AE26" s="449" t="e">
        <f>+'RES.096 DE 2011'!Y110+'RES.096 DE 2011'!Y113</f>
        <v>#REF!</v>
      </c>
      <c r="AF26" s="449" t="e">
        <f>+'RES.096 DE 2011'!Z110+'RES.096 DE 2011'!Z113</f>
        <v>#REF!</v>
      </c>
      <c r="AG26" s="449" t="e">
        <f>+'RES.096 DE 2011'!AA110+'RES.096 DE 2011'!AA113</f>
        <v>#REF!</v>
      </c>
      <c r="AH26" s="449" t="e">
        <f>+'RES.096 DE 2011'!AB110+'RES.096 DE 2011'!AB113</f>
        <v>#REF!</v>
      </c>
      <c r="AI26" s="449" t="e">
        <f>+'RES.096 DE 2011'!AC110+'RES.096 DE 2011'!AC113</f>
        <v>#REF!</v>
      </c>
      <c r="AJ26" s="449" t="e">
        <f t="shared" si="3"/>
        <v>#REF!</v>
      </c>
      <c r="AK26" s="444" t="e">
        <f t="shared" si="4"/>
        <v>#REF!</v>
      </c>
      <c r="AL26" s="444"/>
      <c r="AM26" s="444"/>
      <c r="AN26" s="444" t="e">
        <f t="shared" si="5"/>
        <v>#REF!</v>
      </c>
    </row>
    <row r="27" spans="1:40" ht="60" x14ac:dyDescent="0.2">
      <c r="A27" s="1188"/>
      <c r="B27" s="1402"/>
      <c r="C27" s="1188"/>
      <c r="D27" s="1365"/>
      <c r="E27" s="1372"/>
      <c r="F27" s="1188"/>
      <c r="G27" s="1188"/>
      <c r="H27" s="1188"/>
      <c r="I27" s="1186"/>
      <c r="J27" s="919" t="s">
        <v>3510</v>
      </c>
      <c r="K27" s="919" t="s">
        <v>3511</v>
      </c>
      <c r="L27" s="919" t="s">
        <v>3271</v>
      </c>
      <c r="M27" s="421">
        <v>17</v>
      </c>
      <c r="N27" s="421">
        <v>18</v>
      </c>
      <c r="O27" s="421">
        <v>19</v>
      </c>
      <c r="P27" s="421">
        <v>20</v>
      </c>
      <c r="Q27" s="414">
        <v>160</v>
      </c>
      <c r="R27" s="414">
        <v>356</v>
      </c>
      <c r="S27" s="414">
        <v>180</v>
      </c>
      <c r="T27" s="414">
        <v>190</v>
      </c>
      <c r="U27" s="437">
        <f t="shared" si="2"/>
        <v>886</v>
      </c>
      <c r="V27" s="926" t="s">
        <v>4109</v>
      </c>
      <c r="W27" s="449" t="e">
        <f>+'RES.096 DE 2011'!Q111</f>
        <v>#REF!</v>
      </c>
      <c r="X27" s="449" t="e">
        <f>+'RES.096 DE 2011'!R111</f>
        <v>#REF!</v>
      </c>
      <c r="Y27" s="449" t="e">
        <f>+'RES.096 DE 2011'!S111</f>
        <v>#REF!</v>
      </c>
      <c r="Z27" s="449" t="e">
        <f>+'RES.096 DE 2011'!T111</f>
        <v>#REF!</v>
      </c>
      <c r="AA27" s="449" t="e">
        <f>+'RES.096 DE 2011'!U111</f>
        <v>#REF!</v>
      </c>
      <c r="AB27" s="449" t="e">
        <f>+'RES.096 DE 2011'!V111</f>
        <v>#REF!</v>
      </c>
      <c r="AC27" s="449" t="e">
        <f>+'RES.096 DE 2011'!W111</f>
        <v>#REF!</v>
      </c>
      <c r="AD27" s="449" t="e">
        <f>+'RES.096 DE 2011'!X111</f>
        <v>#REF!</v>
      </c>
      <c r="AE27" s="449" t="e">
        <f>+'RES.096 DE 2011'!Y111</f>
        <v>#REF!</v>
      </c>
      <c r="AF27" s="449" t="e">
        <f>+'RES.096 DE 2011'!Z111</f>
        <v>#REF!</v>
      </c>
      <c r="AG27" s="449" t="e">
        <f>+'RES.096 DE 2011'!AA111</f>
        <v>#REF!</v>
      </c>
      <c r="AH27" s="449" t="e">
        <f>+'RES.096 DE 2011'!AB111</f>
        <v>#REF!</v>
      </c>
      <c r="AI27" s="449" t="e">
        <f>+'RES.096 DE 2011'!AC111</f>
        <v>#REF!</v>
      </c>
      <c r="AJ27" s="449" t="e">
        <f t="shared" si="3"/>
        <v>#REF!</v>
      </c>
      <c r="AK27" s="444" t="e">
        <f t="shared" si="4"/>
        <v>#REF!</v>
      </c>
      <c r="AL27" s="444"/>
      <c r="AM27" s="444"/>
      <c r="AN27" s="444" t="e">
        <f t="shared" si="5"/>
        <v>#REF!</v>
      </c>
    </row>
    <row r="28" spans="1:40" ht="75" x14ac:dyDescent="0.2">
      <c r="A28" s="1188"/>
      <c r="B28" s="1402"/>
      <c r="C28" s="1188"/>
      <c r="D28" s="1365"/>
      <c r="E28" s="1372"/>
      <c r="F28" s="1188"/>
      <c r="G28" s="1188"/>
      <c r="H28" s="1188"/>
      <c r="I28" s="1187"/>
      <c r="J28" s="919" t="s">
        <v>3512</v>
      </c>
      <c r="K28" s="919" t="s">
        <v>3513</v>
      </c>
      <c r="L28" s="919" t="s">
        <v>3233</v>
      </c>
      <c r="M28" s="421">
        <v>28</v>
      </c>
      <c r="N28" s="421">
        <v>29</v>
      </c>
      <c r="O28" s="421">
        <v>32</v>
      </c>
      <c r="P28" s="421">
        <v>34</v>
      </c>
      <c r="Q28" s="414">
        <v>56</v>
      </c>
      <c r="R28" s="414">
        <v>124</v>
      </c>
      <c r="S28" s="414">
        <v>64</v>
      </c>
      <c r="T28" s="414">
        <v>68</v>
      </c>
      <c r="U28" s="437">
        <f t="shared" si="2"/>
        <v>312</v>
      </c>
      <c r="V28" s="926" t="s">
        <v>4110</v>
      </c>
      <c r="W28" s="449" t="e">
        <f>+'RES.096 DE 2011'!Q112</f>
        <v>#REF!</v>
      </c>
      <c r="X28" s="449" t="e">
        <f>+'RES.096 DE 2011'!R112</f>
        <v>#REF!</v>
      </c>
      <c r="Y28" s="449" t="e">
        <f>+'RES.096 DE 2011'!S112</f>
        <v>#REF!</v>
      </c>
      <c r="Z28" s="449" t="e">
        <f>+'RES.096 DE 2011'!T112</f>
        <v>#REF!</v>
      </c>
      <c r="AA28" s="449" t="e">
        <f>+'RES.096 DE 2011'!U112</f>
        <v>#REF!</v>
      </c>
      <c r="AB28" s="449" t="e">
        <f>+'RES.096 DE 2011'!V112</f>
        <v>#REF!</v>
      </c>
      <c r="AC28" s="449" t="e">
        <f>+'RES.096 DE 2011'!W112</f>
        <v>#REF!</v>
      </c>
      <c r="AD28" s="449" t="e">
        <f>+'RES.096 DE 2011'!X112</f>
        <v>#REF!</v>
      </c>
      <c r="AE28" s="449" t="e">
        <f>+'RES.096 DE 2011'!Y112</f>
        <v>#REF!</v>
      </c>
      <c r="AF28" s="449" t="e">
        <f>+'RES.096 DE 2011'!Z112</f>
        <v>#REF!</v>
      </c>
      <c r="AG28" s="449" t="e">
        <f>+'RES.096 DE 2011'!AA112</f>
        <v>#REF!</v>
      </c>
      <c r="AH28" s="449" t="e">
        <f>+'RES.096 DE 2011'!AB112</f>
        <v>#REF!</v>
      </c>
      <c r="AI28" s="449" t="e">
        <f>+'RES.096 DE 2011'!AC112</f>
        <v>#REF!</v>
      </c>
      <c r="AJ28" s="449" t="e">
        <f t="shared" si="3"/>
        <v>#REF!</v>
      </c>
      <c r="AK28" s="444" t="e">
        <f t="shared" si="4"/>
        <v>#REF!</v>
      </c>
      <c r="AL28" s="444"/>
      <c r="AM28" s="444"/>
      <c r="AN28" s="444" t="e">
        <f t="shared" si="5"/>
        <v>#REF!</v>
      </c>
    </row>
    <row r="29" spans="1:40" ht="150" x14ac:dyDescent="0.2">
      <c r="A29" s="1188"/>
      <c r="B29" s="1402"/>
      <c r="C29" s="1188"/>
      <c r="D29" s="1365"/>
      <c r="E29" s="1372"/>
      <c r="F29" s="1188"/>
      <c r="G29" s="1188"/>
      <c r="H29" s="1188"/>
      <c r="I29" s="1185" t="s">
        <v>3180</v>
      </c>
      <c r="J29" s="919" t="s">
        <v>3688</v>
      </c>
      <c r="K29" s="919" t="s">
        <v>3517</v>
      </c>
      <c r="L29" s="919" t="s">
        <v>3518</v>
      </c>
      <c r="M29" s="401" t="s">
        <v>3519</v>
      </c>
      <c r="N29" s="401" t="s">
        <v>3747</v>
      </c>
      <c r="O29" s="401" t="s">
        <v>3748</v>
      </c>
      <c r="P29" s="401" t="s">
        <v>3749</v>
      </c>
      <c r="Q29" s="414">
        <v>122</v>
      </c>
      <c r="R29" s="414">
        <v>97</v>
      </c>
      <c r="S29" s="414">
        <v>176</v>
      </c>
      <c r="T29" s="414">
        <v>180</v>
      </c>
      <c r="U29" s="437">
        <f t="shared" si="2"/>
        <v>575</v>
      </c>
      <c r="V29" s="926">
        <v>333</v>
      </c>
      <c r="W29" s="449" t="e">
        <f>SUM('RES.096 DE 2011'!Q115:Q117)</f>
        <v>#REF!</v>
      </c>
      <c r="X29" s="449" t="e">
        <f>SUM('RES.096 DE 2011'!R115:R117)</f>
        <v>#REF!</v>
      </c>
      <c r="Y29" s="449" t="e">
        <f>SUM('RES.096 DE 2011'!S115:S117)</f>
        <v>#REF!</v>
      </c>
      <c r="Z29" s="449" t="e">
        <f>SUM('RES.096 DE 2011'!T115:T117)</f>
        <v>#REF!</v>
      </c>
      <c r="AA29" s="449" t="e">
        <f>SUM('RES.096 DE 2011'!U115:U117)</f>
        <v>#REF!</v>
      </c>
      <c r="AB29" s="449" t="e">
        <f>SUM('RES.096 DE 2011'!V115:V117)</f>
        <v>#REF!</v>
      </c>
      <c r="AC29" s="449" t="e">
        <f>SUM('RES.096 DE 2011'!W115:W117)</f>
        <v>#REF!</v>
      </c>
      <c r="AD29" s="449" t="e">
        <f>SUM('RES.096 DE 2011'!X115:X117)</f>
        <v>#REF!</v>
      </c>
      <c r="AE29" s="449" t="e">
        <f>SUM('RES.096 DE 2011'!Y115:Y117)</f>
        <v>#REF!</v>
      </c>
      <c r="AF29" s="449" t="e">
        <f>SUM('RES.096 DE 2011'!Z115:Z117)</f>
        <v>#REF!</v>
      </c>
      <c r="AG29" s="449" t="e">
        <f>SUM('RES.096 DE 2011'!AA115:AA117)</f>
        <v>#REF!</v>
      </c>
      <c r="AH29" s="449" t="e">
        <f>SUM('RES.096 DE 2011'!AB115:AB117)</f>
        <v>#REF!</v>
      </c>
      <c r="AI29" s="449" t="e">
        <f>SUM('RES.096 DE 2011'!AC115:AC117)</f>
        <v>#REF!</v>
      </c>
      <c r="AJ29" s="449" t="e">
        <f t="shared" si="3"/>
        <v>#REF!</v>
      </c>
      <c r="AK29" s="444" t="e">
        <f t="shared" si="4"/>
        <v>#REF!</v>
      </c>
      <c r="AL29" s="444"/>
      <c r="AM29" s="444" t="e">
        <f>SUM(#REF!)</f>
        <v>#REF!</v>
      </c>
      <c r="AN29" s="444" t="e">
        <f t="shared" si="5"/>
        <v>#REF!</v>
      </c>
    </row>
    <row r="30" spans="1:40" ht="60" x14ac:dyDescent="0.2">
      <c r="A30" s="1188"/>
      <c r="B30" s="1402"/>
      <c r="C30" s="1188"/>
      <c r="D30" s="1365"/>
      <c r="E30" s="1372"/>
      <c r="F30" s="1188"/>
      <c r="G30" s="1188"/>
      <c r="H30" s="1188"/>
      <c r="I30" s="1187"/>
      <c r="J30" s="919" t="s">
        <v>3424</v>
      </c>
      <c r="K30" s="919">
        <v>5</v>
      </c>
      <c r="L30" s="919" t="s">
        <v>3639</v>
      </c>
      <c r="M30" s="401"/>
      <c r="N30" s="401">
        <v>5</v>
      </c>
      <c r="O30" s="401">
        <v>4</v>
      </c>
      <c r="P30" s="401">
        <v>4</v>
      </c>
      <c r="Q30" s="414"/>
      <c r="R30" s="414">
        <v>74</v>
      </c>
      <c r="S30" s="414">
        <v>80</v>
      </c>
      <c r="T30" s="414">
        <v>100</v>
      </c>
      <c r="U30" s="437">
        <f t="shared" si="2"/>
        <v>254</v>
      </c>
      <c r="V30" s="926" t="s">
        <v>3640</v>
      </c>
      <c r="W30" s="449" t="e">
        <f>+'RES.096 DE 2011'!Q118</f>
        <v>#REF!</v>
      </c>
      <c r="X30" s="449" t="e">
        <f>+'RES.096 DE 2011'!R118</f>
        <v>#REF!</v>
      </c>
      <c r="Y30" s="449" t="e">
        <f>+'RES.096 DE 2011'!S118</f>
        <v>#REF!</v>
      </c>
      <c r="Z30" s="449" t="e">
        <f>+'RES.096 DE 2011'!T118</f>
        <v>#REF!</v>
      </c>
      <c r="AA30" s="449" t="e">
        <f>+'RES.096 DE 2011'!U118</f>
        <v>#REF!</v>
      </c>
      <c r="AB30" s="449" t="e">
        <f>+'RES.096 DE 2011'!V118</f>
        <v>#REF!</v>
      </c>
      <c r="AC30" s="449" t="e">
        <f>+'RES.096 DE 2011'!W118</f>
        <v>#REF!</v>
      </c>
      <c r="AD30" s="449" t="e">
        <f>+'RES.096 DE 2011'!X118</f>
        <v>#REF!</v>
      </c>
      <c r="AE30" s="449" t="e">
        <f>+'RES.096 DE 2011'!Y118</f>
        <v>#REF!</v>
      </c>
      <c r="AF30" s="449" t="e">
        <f>+'RES.096 DE 2011'!Z118</f>
        <v>#REF!</v>
      </c>
      <c r="AG30" s="449" t="e">
        <f>+'RES.096 DE 2011'!AA118</f>
        <v>#REF!</v>
      </c>
      <c r="AH30" s="449" t="e">
        <f>+'RES.096 DE 2011'!AB118</f>
        <v>#REF!</v>
      </c>
      <c r="AI30" s="449" t="e">
        <f>+'RES.096 DE 2011'!AC118</f>
        <v>#REF!</v>
      </c>
      <c r="AJ30" s="449" t="e">
        <f t="shared" si="3"/>
        <v>#REF!</v>
      </c>
      <c r="AK30" s="444" t="e">
        <f t="shared" si="4"/>
        <v>#REF!</v>
      </c>
      <c r="AL30" s="444"/>
      <c r="AM30" s="444"/>
      <c r="AN30" s="444" t="e">
        <f t="shared" si="5"/>
        <v>#REF!</v>
      </c>
    </row>
    <row r="31" spans="1:40" ht="75" x14ac:dyDescent="0.2">
      <c r="A31" s="1188"/>
      <c r="B31" s="1402"/>
      <c r="C31" s="1188"/>
      <c r="D31" s="1365"/>
      <c r="E31" s="1372"/>
      <c r="F31" s="1188"/>
      <c r="G31" s="1188"/>
      <c r="H31" s="1188"/>
      <c r="I31" s="1185" t="s">
        <v>3709</v>
      </c>
      <c r="J31" s="919" t="s">
        <v>3515</v>
      </c>
      <c r="K31" s="919" t="s">
        <v>3516</v>
      </c>
      <c r="L31" s="919" t="s">
        <v>3222</v>
      </c>
      <c r="M31" s="421">
        <v>6</v>
      </c>
      <c r="N31" s="421">
        <v>7</v>
      </c>
      <c r="O31" s="421">
        <v>8</v>
      </c>
      <c r="P31" s="421">
        <v>10</v>
      </c>
      <c r="Q31" s="414">
        <v>90</v>
      </c>
      <c r="R31" s="414">
        <v>672</v>
      </c>
      <c r="S31" s="414">
        <v>120</v>
      </c>
      <c r="T31" s="414">
        <v>150</v>
      </c>
      <c r="U31" s="437">
        <f t="shared" si="2"/>
        <v>1032</v>
      </c>
      <c r="V31" s="926" t="s">
        <v>4111</v>
      </c>
      <c r="W31" s="449" t="e">
        <f>+'RES.096 DE 2011'!Q120</f>
        <v>#REF!</v>
      </c>
      <c r="X31" s="449" t="e">
        <f>+'RES.096 DE 2011'!R120</f>
        <v>#REF!</v>
      </c>
      <c r="Y31" s="449" t="e">
        <f>+'RES.096 DE 2011'!S120</f>
        <v>#REF!</v>
      </c>
      <c r="Z31" s="449" t="e">
        <f>+'RES.096 DE 2011'!T120</f>
        <v>#REF!</v>
      </c>
      <c r="AA31" s="449" t="e">
        <f>+'RES.096 DE 2011'!U120</f>
        <v>#REF!</v>
      </c>
      <c r="AB31" s="449" t="e">
        <f>+'RES.096 DE 2011'!V120</f>
        <v>#REF!</v>
      </c>
      <c r="AC31" s="449" t="e">
        <f>+'RES.096 DE 2011'!W120</f>
        <v>#REF!</v>
      </c>
      <c r="AD31" s="449" t="e">
        <f>+'RES.096 DE 2011'!X120</f>
        <v>#REF!</v>
      </c>
      <c r="AE31" s="449" t="e">
        <f>+'RES.096 DE 2011'!Y120</f>
        <v>#REF!</v>
      </c>
      <c r="AF31" s="449" t="e">
        <f>+'RES.096 DE 2011'!Z120</f>
        <v>#REF!</v>
      </c>
      <c r="AG31" s="449" t="e">
        <f>+'RES.096 DE 2011'!AA120</f>
        <v>#REF!</v>
      </c>
      <c r="AH31" s="449" t="e">
        <f>+'RES.096 DE 2011'!AB120</f>
        <v>#REF!</v>
      </c>
      <c r="AI31" s="449" t="e">
        <f>+'RES.096 DE 2011'!AC120</f>
        <v>#REF!</v>
      </c>
      <c r="AJ31" s="449" t="e">
        <f t="shared" si="3"/>
        <v>#REF!</v>
      </c>
      <c r="AK31" s="444" t="e">
        <f t="shared" si="4"/>
        <v>#REF!</v>
      </c>
      <c r="AL31" s="444">
        <f>168006800+30000000+70000000+40000000+77750000</f>
        <v>385756800</v>
      </c>
      <c r="AM31" s="444" t="e">
        <f>+#REF!</f>
        <v>#REF!</v>
      </c>
      <c r="AN31" s="444" t="e">
        <f t="shared" si="5"/>
        <v>#REF!</v>
      </c>
    </row>
    <row r="32" spans="1:40" ht="75" x14ac:dyDescent="0.2">
      <c r="A32" s="1188"/>
      <c r="B32" s="1402"/>
      <c r="C32" s="1188"/>
      <c r="D32" s="1365"/>
      <c r="E32" s="1372"/>
      <c r="F32" s="1188"/>
      <c r="G32" s="1188"/>
      <c r="H32" s="1188"/>
      <c r="I32" s="1187"/>
      <c r="J32" s="919" t="s">
        <v>3687</v>
      </c>
      <c r="K32" s="919" t="s">
        <v>3514</v>
      </c>
      <c r="L32" s="919" t="s">
        <v>3235</v>
      </c>
      <c r="M32" s="421">
        <v>49</v>
      </c>
      <c r="N32" s="421">
        <v>49</v>
      </c>
      <c r="O32" s="421">
        <v>52</v>
      </c>
      <c r="P32" s="421">
        <v>56</v>
      </c>
      <c r="Q32" s="414">
        <v>760</v>
      </c>
      <c r="R32" s="414">
        <v>985</v>
      </c>
      <c r="S32" s="414">
        <v>780</v>
      </c>
      <c r="T32" s="414">
        <v>800</v>
      </c>
      <c r="U32" s="437">
        <f t="shared" si="2"/>
        <v>3325</v>
      </c>
      <c r="V32" s="926" t="s">
        <v>4112</v>
      </c>
      <c r="W32" s="449" t="e">
        <f>+'RES.096 DE 2011'!Q121</f>
        <v>#REF!</v>
      </c>
      <c r="X32" s="449" t="e">
        <f>+'RES.096 DE 2011'!R121</f>
        <v>#REF!</v>
      </c>
      <c r="Y32" s="449" t="e">
        <f>+'RES.096 DE 2011'!S121</f>
        <v>#REF!</v>
      </c>
      <c r="Z32" s="449" t="e">
        <f>+'RES.096 DE 2011'!T121</f>
        <v>#REF!</v>
      </c>
      <c r="AA32" s="449" t="e">
        <f>+'RES.096 DE 2011'!U121</f>
        <v>#REF!</v>
      </c>
      <c r="AB32" s="449" t="e">
        <f>+'RES.096 DE 2011'!V121</f>
        <v>#REF!</v>
      </c>
      <c r="AC32" s="449" t="e">
        <f>+'RES.096 DE 2011'!W121</f>
        <v>#REF!</v>
      </c>
      <c r="AD32" s="449" t="e">
        <f>+'RES.096 DE 2011'!X121</f>
        <v>#REF!</v>
      </c>
      <c r="AE32" s="449" t="e">
        <f>+'RES.096 DE 2011'!Y121</f>
        <v>#REF!</v>
      </c>
      <c r="AF32" s="449" t="e">
        <f>+'RES.096 DE 2011'!Z121</f>
        <v>#REF!</v>
      </c>
      <c r="AG32" s="449" t="e">
        <f>+'RES.096 DE 2011'!AA121</f>
        <v>#REF!</v>
      </c>
      <c r="AH32" s="449" t="e">
        <f>+'RES.096 DE 2011'!AB121</f>
        <v>#REF!</v>
      </c>
      <c r="AI32" s="449" t="e">
        <f>+'RES.096 DE 2011'!AC121</f>
        <v>#REF!</v>
      </c>
      <c r="AJ32" s="449" t="e">
        <f t="shared" si="3"/>
        <v>#REF!</v>
      </c>
      <c r="AK32" s="444" t="e">
        <f t="shared" si="4"/>
        <v>#REF!</v>
      </c>
      <c r="AL32" s="444"/>
      <c r="AM32" s="444" t="e">
        <f>+#REF!</f>
        <v>#REF!</v>
      </c>
      <c r="AN32" s="444" t="e">
        <f t="shared" si="5"/>
        <v>#REF!</v>
      </c>
    </row>
    <row r="33" spans="1:40" ht="75" x14ac:dyDescent="0.2">
      <c r="A33" s="1188"/>
      <c r="B33" s="1402"/>
      <c r="C33" s="1188"/>
      <c r="D33" s="1365"/>
      <c r="E33" s="1372"/>
      <c r="F33" s="1188"/>
      <c r="G33" s="1188"/>
      <c r="H33" s="1188"/>
      <c r="I33" s="919" t="s">
        <v>3710</v>
      </c>
      <c r="J33" s="919" t="s">
        <v>3523</v>
      </c>
      <c r="K33" s="919" t="s">
        <v>3524</v>
      </c>
      <c r="L33" s="919" t="s">
        <v>3525</v>
      </c>
      <c r="M33" s="423">
        <v>3</v>
      </c>
      <c r="N33" s="423">
        <v>3</v>
      </c>
      <c r="O33" s="423">
        <v>4</v>
      </c>
      <c r="P33" s="423">
        <v>4</v>
      </c>
      <c r="Q33" s="424">
        <v>30</v>
      </c>
      <c r="R33" s="424">
        <v>30</v>
      </c>
      <c r="S33" s="424">
        <v>40</v>
      </c>
      <c r="T33" s="424">
        <v>40</v>
      </c>
      <c r="U33" s="438">
        <f t="shared" si="2"/>
        <v>140</v>
      </c>
      <c r="V33" s="926">
        <v>335</v>
      </c>
      <c r="W33" s="449" t="e">
        <f>+'RES.096 DE 2011'!Q123</f>
        <v>#REF!</v>
      </c>
      <c r="X33" s="449" t="e">
        <f>+'RES.096 DE 2011'!R123</f>
        <v>#REF!</v>
      </c>
      <c r="Y33" s="449" t="e">
        <f>+'RES.096 DE 2011'!S123</f>
        <v>#REF!</v>
      </c>
      <c r="Z33" s="449" t="e">
        <f>+'RES.096 DE 2011'!T123</f>
        <v>#REF!</v>
      </c>
      <c r="AA33" s="449" t="e">
        <f>+'RES.096 DE 2011'!U123</f>
        <v>#REF!</v>
      </c>
      <c r="AB33" s="449" t="e">
        <f>+'RES.096 DE 2011'!V123</f>
        <v>#REF!</v>
      </c>
      <c r="AC33" s="449" t="e">
        <f>+'RES.096 DE 2011'!W123</f>
        <v>#REF!</v>
      </c>
      <c r="AD33" s="449" t="e">
        <f>+'RES.096 DE 2011'!X123</f>
        <v>#REF!</v>
      </c>
      <c r="AE33" s="449" t="e">
        <f>+'RES.096 DE 2011'!Y123</f>
        <v>#REF!</v>
      </c>
      <c r="AF33" s="449" t="e">
        <f>+'RES.096 DE 2011'!Z123</f>
        <v>#REF!</v>
      </c>
      <c r="AG33" s="449" t="e">
        <f>+'RES.096 DE 2011'!AA123</f>
        <v>#REF!</v>
      </c>
      <c r="AH33" s="449" t="e">
        <f>+'RES.096 DE 2011'!AB123</f>
        <v>#REF!</v>
      </c>
      <c r="AI33" s="449" t="e">
        <f>+'RES.096 DE 2011'!AC123</f>
        <v>#REF!</v>
      </c>
      <c r="AJ33" s="449" t="e">
        <f t="shared" si="3"/>
        <v>#REF!</v>
      </c>
      <c r="AK33" s="444" t="e">
        <f t="shared" si="4"/>
        <v>#REF!</v>
      </c>
      <c r="AL33" s="444"/>
      <c r="AM33" s="444"/>
      <c r="AN33" s="444" t="e">
        <f t="shared" si="5"/>
        <v>#REF!</v>
      </c>
    </row>
    <row r="34" spans="1:40" ht="105" x14ac:dyDescent="0.2">
      <c r="A34" s="1188"/>
      <c r="B34" s="1402"/>
      <c r="C34" s="1188"/>
      <c r="D34" s="1365"/>
      <c r="E34" s="1372"/>
      <c r="F34" s="1188"/>
      <c r="G34" s="1188"/>
      <c r="H34" s="1188"/>
      <c r="I34" s="919" t="s">
        <v>3711</v>
      </c>
      <c r="J34" s="919" t="s">
        <v>3689</v>
      </c>
      <c r="K34" s="919" t="s">
        <v>3520</v>
      </c>
      <c r="L34" s="919" t="s">
        <v>3690</v>
      </c>
      <c r="M34" s="421">
        <v>0</v>
      </c>
      <c r="N34" s="413">
        <v>0.1</v>
      </c>
      <c r="O34" s="413">
        <v>0.2</v>
      </c>
      <c r="P34" s="413">
        <v>0.2</v>
      </c>
      <c r="Q34" s="414">
        <v>5</v>
      </c>
      <c r="R34" s="414">
        <v>40</v>
      </c>
      <c r="S34" s="414">
        <v>30</v>
      </c>
      <c r="T34" s="414">
        <v>40</v>
      </c>
      <c r="U34" s="437">
        <f t="shared" si="2"/>
        <v>115</v>
      </c>
      <c r="V34" s="926">
        <v>336</v>
      </c>
      <c r="W34" s="449" t="e">
        <f>+'RES.096 DE 2011'!Q126</f>
        <v>#REF!</v>
      </c>
      <c r="X34" s="449" t="e">
        <f>+'RES.096 DE 2011'!R126</f>
        <v>#REF!</v>
      </c>
      <c r="Y34" s="449" t="e">
        <f>+'RES.096 DE 2011'!S126</f>
        <v>#REF!</v>
      </c>
      <c r="Z34" s="449" t="e">
        <f>+'RES.096 DE 2011'!T126</f>
        <v>#REF!</v>
      </c>
      <c r="AA34" s="449" t="e">
        <f>+'RES.096 DE 2011'!U126</f>
        <v>#REF!</v>
      </c>
      <c r="AB34" s="449" t="e">
        <f>+'RES.096 DE 2011'!V126</f>
        <v>#REF!</v>
      </c>
      <c r="AC34" s="449" t="e">
        <f>+'RES.096 DE 2011'!W126</f>
        <v>#REF!</v>
      </c>
      <c r="AD34" s="449" t="e">
        <f>+'RES.096 DE 2011'!X126</f>
        <v>#REF!</v>
      </c>
      <c r="AE34" s="449" t="e">
        <f>+'RES.096 DE 2011'!Y126</f>
        <v>#REF!</v>
      </c>
      <c r="AF34" s="449" t="e">
        <f>+'RES.096 DE 2011'!Z126</f>
        <v>#REF!</v>
      </c>
      <c r="AG34" s="449" t="e">
        <f>+'RES.096 DE 2011'!AA126</f>
        <v>#REF!</v>
      </c>
      <c r="AH34" s="449" t="e">
        <f>+'RES.096 DE 2011'!AB126</f>
        <v>#REF!</v>
      </c>
      <c r="AI34" s="449" t="e">
        <f>+'RES.096 DE 2011'!AC126</f>
        <v>#REF!</v>
      </c>
      <c r="AJ34" s="449" t="e">
        <f t="shared" si="3"/>
        <v>#REF!</v>
      </c>
      <c r="AK34" s="444" t="e">
        <f t="shared" si="4"/>
        <v>#REF!</v>
      </c>
      <c r="AL34" s="444"/>
      <c r="AM34" s="444"/>
      <c r="AN34" s="444" t="e">
        <f t="shared" si="5"/>
        <v>#REF!</v>
      </c>
    </row>
    <row r="35" spans="1:40" ht="75" x14ac:dyDescent="0.2">
      <c r="A35" s="1188"/>
      <c r="B35" s="1402"/>
      <c r="C35" s="1188"/>
      <c r="D35" s="1365"/>
      <c r="E35" s="1372"/>
      <c r="F35" s="1188"/>
      <c r="G35" s="1188"/>
      <c r="H35" s="1188"/>
      <c r="I35" s="919" t="s">
        <v>3712</v>
      </c>
      <c r="J35" s="919" t="s">
        <v>3521</v>
      </c>
      <c r="K35" s="919" t="s">
        <v>3522</v>
      </c>
      <c r="L35" s="919" t="s">
        <v>3234</v>
      </c>
      <c r="M35" s="421">
        <v>0</v>
      </c>
      <c r="N35" s="413">
        <v>0.2</v>
      </c>
      <c r="O35" s="413">
        <v>0.2</v>
      </c>
      <c r="P35" s="413">
        <v>0.6</v>
      </c>
      <c r="Q35" s="414">
        <v>15</v>
      </c>
      <c r="R35" s="414">
        <v>35</v>
      </c>
      <c r="S35" s="414">
        <v>150</v>
      </c>
      <c r="T35" s="414">
        <v>150</v>
      </c>
      <c r="U35" s="437">
        <f t="shared" si="2"/>
        <v>350</v>
      </c>
      <c r="V35" s="926">
        <v>337</v>
      </c>
      <c r="W35" s="449" t="e">
        <f>+'RES.096 DE 2011'!Q128</f>
        <v>#REF!</v>
      </c>
      <c r="X35" s="449" t="e">
        <f>+'RES.096 DE 2011'!R128</f>
        <v>#REF!</v>
      </c>
      <c r="Y35" s="449" t="e">
        <f>+'RES.096 DE 2011'!S128</f>
        <v>#REF!</v>
      </c>
      <c r="Z35" s="449" t="e">
        <f>+'RES.096 DE 2011'!T128</f>
        <v>#REF!</v>
      </c>
      <c r="AA35" s="449" t="e">
        <f>+'RES.096 DE 2011'!U128</f>
        <v>#REF!</v>
      </c>
      <c r="AB35" s="449" t="e">
        <f>+'RES.096 DE 2011'!V128</f>
        <v>#REF!</v>
      </c>
      <c r="AC35" s="449" t="e">
        <f>+'RES.096 DE 2011'!W128</f>
        <v>#REF!</v>
      </c>
      <c r="AD35" s="449" t="e">
        <f>+'RES.096 DE 2011'!X128</f>
        <v>#REF!</v>
      </c>
      <c r="AE35" s="449" t="e">
        <f>+'RES.096 DE 2011'!Y128</f>
        <v>#REF!</v>
      </c>
      <c r="AF35" s="449" t="e">
        <f>+'RES.096 DE 2011'!Z128</f>
        <v>#REF!</v>
      </c>
      <c r="AG35" s="449" t="e">
        <f>+'RES.096 DE 2011'!AA128</f>
        <v>#REF!</v>
      </c>
      <c r="AH35" s="449" t="e">
        <f>+'RES.096 DE 2011'!AB128</f>
        <v>#REF!</v>
      </c>
      <c r="AI35" s="449" t="e">
        <f>+'RES.096 DE 2011'!AC128</f>
        <v>#REF!</v>
      </c>
      <c r="AJ35" s="449" t="e">
        <f t="shared" si="3"/>
        <v>#REF!</v>
      </c>
      <c r="AK35" s="444" t="e">
        <f t="shared" si="4"/>
        <v>#REF!</v>
      </c>
      <c r="AL35" s="444"/>
      <c r="AM35" s="444"/>
      <c r="AN35" s="444" t="e">
        <f t="shared" si="5"/>
        <v>#REF!</v>
      </c>
    </row>
    <row r="36" spans="1:40" ht="90" x14ac:dyDescent="0.2">
      <c r="A36" s="1185">
        <v>3</v>
      </c>
      <c r="B36" s="1363" t="s">
        <v>3162</v>
      </c>
      <c r="C36" s="1185" t="s">
        <v>3493</v>
      </c>
      <c r="D36" s="1364" t="s">
        <v>3182</v>
      </c>
      <c r="E36" s="1374" t="s">
        <v>3503</v>
      </c>
      <c r="F36" s="1376" t="s">
        <v>3499</v>
      </c>
      <c r="G36" s="1185" t="s">
        <v>3500</v>
      </c>
      <c r="H36" s="1185" t="s">
        <v>3501</v>
      </c>
      <c r="I36" s="919" t="s">
        <v>3713</v>
      </c>
      <c r="J36" s="459" t="s">
        <v>3684</v>
      </c>
      <c r="K36" s="917">
        <v>0</v>
      </c>
      <c r="L36" s="459" t="s">
        <v>3685</v>
      </c>
      <c r="M36" s="422">
        <v>0</v>
      </c>
      <c r="N36" s="413">
        <v>0.05</v>
      </c>
      <c r="O36" s="413">
        <v>0.15</v>
      </c>
      <c r="P36" s="413">
        <v>0.2</v>
      </c>
      <c r="Q36" s="414">
        <v>5</v>
      </c>
      <c r="R36" s="414">
        <v>5</v>
      </c>
      <c r="S36" s="414">
        <v>15</v>
      </c>
      <c r="T36" s="414">
        <v>15</v>
      </c>
      <c r="U36" s="437">
        <f t="shared" si="2"/>
        <v>40</v>
      </c>
      <c r="V36" s="926">
        <v>341</v>
      </c>
      <c r="W36" s="449" t="e">
        <f>+'RES.096 DE 2011'!Q135</f>
        <v>#REF!</v>
      </c>
      <c r="X36" s="449" t="e">
        <f>+'RES.096 DE 2011'!R135</f>
        <v>#REF!</v>
      </c>
      <c r="Y36" s="449" t="e">
        <f>+'RES.096 DE 2011'!S135</f>
        <v>#REF!</v>
      </c>
      <c r="Z36" s="449" t="e">
        <f>+'RES.096 DE 2011'!T135</f>
        <v>#REF!</v>
      </c>
      <c r="AA36" s="449" t="e">
        <f>+'RES.096 DE 2011'!U135</f>
        <v>#REF!</v>
      </c>
      <c r="AB36" s="449" t="e">
        <f>+'RES.096 DE 2011'!V135</f>
        <v>#REF!</v>
      </c>
      <c r="AC36" s="449" t="e">
        <f>+'RES.096 DE 2011'!W135</f>
        <v>#REF!</v>
      </c>
      <c r="AD36" s="449" t="e">
        <f>+'RES.096 DE 2011'!X135</f>
        <v>#REF!</v>
      </c>
      <c r="AE36" s="449" t="e">
        <f>+'RES.096 DE 2011'!Y135</f>
        <v>#REF!</v>
      </c>
      <c r="AF36" s="449" t="e">
        <f>+'RES.096 DE 2011'!Z135</f>
        <v>#REF!</v>
      </c>
      <c r="AG36" s="449" t="e">
        <f>+'RES.096 DE 2011'!AA135</f>
        <v>#REF!</v>
      </c>
      <c r="AH36" s="449" t="e">
        <f>+'RES.096 DE 2011'!AB135</f>
        <v>#REF!</v>
      </c>
      <c r="AI36" s="449" t="e">
        <f>+'RES.096 DE 2011'!AC135</f>
        <v>#REF!</v>
      </c>
      <c r="AJ36" s="449" t="e">
        <f t="shared" si="3"/>
        <v>#REF!</v>
      </c>
      <c r="AK36" s="444" t="e">
        <f t="shared" si="4"/>
        <v>#REF!</v>
      </c>
      <c r="AL36" s="444"/>
      <c r="AM36" s="444"/>
      <c r="AN36" s="444" t="e">
        <f t="shared" si="5"/>
        <v>#REF!</v>
      </c>
    </row>
    <row r="37" spans="1:40" ht="120" x14ac:dyDescent="0.2">
      <c r="A37" s="1187"/>
      <c r="B37" s="1373"/>
      <c r="C37" s="1187"/>
      <c r="D37" s="1373"/>
      <c r="E37" s="1375"/>
      <c r="F37" s="1377"/>
      <c r="G37" s="1187"/>
      <c r="H37" s="1187"/>
      <c r="I37" s="401" t="s">
        <v>3714</v>
      </c>
      <c r="J37" s="919" t="s">
        <v>3686</v>
      </c>
      <c r="K37" s="460">
        <v>4</v>
      </c>
      <c r="L37" s="919" t="s">
        <v>3273</v>
      </c>
      <c r="M37" s="422">
        <v>4</v>
      </c>
      <c r="N37" s="422">
        <v>11</v>
      </c>
      <c r="O37" s="422">
        <v>11</v>
      </c>
      <c r="P37" s="422">
        <v>11</v>
      </c>
      <c r="Q37" s="414">
        <v>100</v>
      </c>
      <c r="R37" s="414">
        <v>117</v>
      </c>
      <c r="S37" s="414">
        <v>100</v>
      </c>
      <c r="T37" s="414">
        <v>100</v>
      </c>
      <c r="U37" s="437">
        <f t="shared" si="2"/>
        <v>417</v>
      </c>
      <c r="V37" s="926">
        <v>342</v>
      </c>
      <c r="W37" s="449" t="e">
        <f>+'RES.096 DE 2011'!Q137</f>
        <v>#REF!</v>
      </c>
      <c r="X37" s="449" t="e">
        <f>+'RES.096 DE 2011'!R137</f>
        <v>#REF!</v>
      </c>
      <c r="Y37" s="449" t="e">
        <f>+'RES.096 DE 2011'!S137</f>
        <v>#REF!</v>
      </c>
      <c r="Z37" s="449" t="e">
        <f>+'RES.096 DE 2011'!T137</f>
        <v>#REF!</v>
      </c>
      <c r="AA37" s="449" t="e">
        <f>+'RES.096 DE 2011'!U137</f>
        <v>#REF!</v>
      </c>
      <c r="AB37" s="449" t="e">
        <f>+'RES.096 DE 2011'!V137</f>
        <v>#REF!</v>
      </c>
      <c r="AC37" s="449" t="e">
        <f>+'RES.096 DE 2011'!W137</f>
        <v>#REF!</v>
      </c>
      <c r="AD37" s="449" t="e">
        <f>+'RES.096 DE 2011'!X137</f>
        <v>#REF!</v>
      </c>
      <c r="AE37" s="449" t="e">
        <f>+'RES.096 DE 2011'!Y137</f>
        <v>#REF!</v>
      </c>
      <c r="AF37" s="449" t="e">
        <f>+'RES.096 DE 2011'!Z137</f>
        <v>#REF!</v>
      </c>
      <c r="AG37" s="449" t="e">
        <f>+'RES.096 DE 2011'!AA137</f>
        <v>#REF!</v>
      </c>
      <c r="AH37" s="449" t="e">
        <f>+'RES.096 DE 2011'!AB137</f>
        <v>#REF!</v>
      </c>
      <c r="AI37" s="449" t="e">
        <f>+'RES.096 DE 2011'!AC137</f>
        <v>#REF!</v>
      </c>
      <c r="AJ37" s="449" t="e">
        <f>SUM(X37:AI37)</f>
        <v>#REF!</v>
      </c>
      <c r="AK37" s="444" t="e">
        <f t="shared" si="4"/>
        <v>#REF!</v>
      </c>
      <c r="AL37" s="444"/>
      <c r="AM37" s="444" t="e">
        <f>+#REF!</f>
        <v>#REF!</v>
      </c>
      <c r="AN37" s="444" t="e">
        <f t="shared" si="5"/>
        <v>#REF!</v>
      </c>
    </row>
    <row r="38" spans="1:40" ht="24.75" customHeight="1" x14ac:dyDescent="0.25">
      <c r="A38" s="461"/>
      <c r="B38" s="461"/>
      <c r="C38" s="461"/>
      <c r="D38" s="461"/>
      <c r="E38" s="461"/>
      <c r="F38" s="461"/>
      <c r="G38" s="461"/>
      <c r="H38" s="461"/>
      <c r="I38" s="461"/>
      <c r="J38" s="462"/>
      <c r="K38" s="461"/>
      <c r="L38" s="461"/>
      <c r="M38" s="1345" t="s">
        <v>695</v>
      </c>
      <c r="N38" s="1346"/>
      <c r="O38" s="1346"/>
      <c r="P38" s="1347"/>
      <c r="Q38" s="395">
        <f>SUM(Q15:Q37)</f>
        <v>3023</v>
      </c>
      <c r="R38" s="395">
        <f>SUM(R15:R37)</f>
        <v>4755</v>
      </c>
      <c r="S38" s="395">
        <f>SUM(S15:S37)</f>
        <v>4186.4400000000005</v>
      </c>
      <c r="T38" s="395">
        <f>SUM(T15:T37)</f>
        <v>4438.7332000000006</v>
      </c>
      <c r="U38" s="395">
        <f>SUM(U15:U37)</f>
        <v>16403.173200000001</v>
      </c>
      <c r="V38" s="926"/>
      <c r="W38" s="446" t="e">
        <f>SUM(W15:W37)</f>
        <v>#REF!</v>
      </c>
      <c r="X38" s="932" t="e">
        <f>SUM(X15:X37)</f>
        <v>#REF!</v>
      </c>
      <c r="Y38" s="446" t="e">
        <f t="shared" ref="Y38:AJ38" si="6">SUM(Y15:Y37)</f>
        <v>#REF!</v>
      </c>
      <c r="Z38" s="446" t="e">
        <f t="shared" si="6"/>
        <v>#REF!</v>
      </c>
      <c r="AA38" s="446" t="e">
        <f t="shared" si="6"/>
        <v>#REF!</v>
      </c>
      <c r="AB38" s="446" t="e">
        <f t="shared" si="6"/>
        <v>#REF!</v>
      </c>
      <c r="AC38" s="446" t="e">
        <f t="shared" si="6"/>
        <v>#REF!</v>
      </c>
      <c r="AD38" s="446" t="e">
        <f t="shared" si="6"/>
        <v>#REF!</v>
      </c>
      <c r="AE38" s="446" t="e">
        <f t="shared" si="6"/>
        <v>#REF!</v>
      </c>
      <c r="AF38" s="446"/>
      <c r="AG38" s="446"/>
      <c r="AH38" s="446" t="e">
        <f t="shared" si="6"/>
        <v>#REF!</v>
      </c>
      <c r="AI38" s="446"/>
      <c r="AJ38" s="446" t="e">
        <f t="shared" si="6"/>
        <v>#REF!</v>
      </c>
      <c r="AK38" s="446" t="e">
        <f>SUM(AK15:AK37)</f>
        <v>#REF!</v>
      </c>
      <c r="AL38" s="446">
        <f>SUM(AL15:AL37)</f>
        <v>385756800</v>
      </c>
      <c r="AM38" s="446" t="e">
        <f>SUM(AM15:AM37)</f>
        <v>#REF!</v>
      </c>
      <c r="AN38" s="446" t="e">
        <f>SUM(AN15:AN37)</f>
        <v>#REF!</v>
      </c>
    </row>
    <row r="39" spans="1:40" ht="20.25" customHeight="1" x14ac:dyDescent="0.25">
      <c r="A39" s="398"/>
      <c r="B39" s="456"/>
      <c r="C39" s="398"/>
      <c r="D39" s="396"/>
      <c r="E39" s="396"/>
      <c r="F39" s="396"/>
      <c r="G39" s="396"/>
      <c r="H39" s="398"/>
      <c r="I39" s="398"/>
      <c r="J39" s="396"/>
      <c r="K39" s="396"/>
      <c r="L39" s="457"/>
      <c r="M39" s="416"/>
      <c r="N39" s="416"/>
      <c r="O39" s="416"/>
      <c r="P39" s="417"/>
      <c r="Q39" s="417"/>
      <c r="R39" s="417"/>
      <c r="S39" s="417"/>
      <c r="T39" s="416"/>
      <c r="U39" s="397"/>
      <c r="V39" s="551"/>
      <c r="W39" s="442"/>
      <c r="X39" s="488"/>
      <c r="Y39" s="488"/>
      <c r="Z39" s="488"/>
      <c r="AA39" s="488"/>
      <c r="AB39" s="488"/>
      <c r="AC39" s="488"/>
      <c r="AD39" s="488"/>
      <c r="AE39" s="488"/>
      <c r="AF39" s="488"/>
      <c r="AG39" s="488"/>
      <c r="AH39" s="488"/>
      <c r="AI39" s="488"/>
      <c r="AJ39" s="488"/>
      <c r="AK39" s="442"/>
      <c r="AL39" s="442"/>
      <c r="AM39" s="442"/>
      <c r="AN39" s="442"/>
    </row>
    <row r="40" spans="1:40" ht="75" x14ac:dyDescent="0.2">
      <c r="A40" s="1398">
        <v>4</v>
      </c>
      <c r="B40" s="1400" t="s">
        <v>3526</v>
      </c>
      <c r="C40" s="1185" t="s">
        <v>3527</v>
      </c>
      <c r="D40" s="1365" t="s">
        <v>3528</v>
      </c>
      <c r="E40" s="1394" t="s">
        <v>3529</v>
      </c>
      <c r="F40" s="1188" t="s">
        <v>3530</v>
      </c>
      <c r="G40" s="1185" t="s">
        <v>446</v>
      </c>
      <c r="H40" s="1188" t="s">
        <v>3531</v>
      </c>
      <c r="I40" s="919" t="s">
        <v>3715</v>
      </c>
      <c r="J40" s="919" t="s">
        <v>3532</v>
      </c>
      <c r="K40" s="919">
        <v>0</v>
      </c>
      <c r="L40" s="919" t="s">
        <v>3533</v>
      </c>
      <c r="M40" s="425" t="s">
        <v>3534</v>
      </c>
      <c r="N40" s="425" t="s">
        <v>3534</v>
      </c>
      <c r="O40" s="425" t="s">
        <v>3534</v>
      </c>
      <c r="P40" s="425" t="s">
        <v>3534</v>
      </c>
      <c r="Q40" s="426">
        <v>50</v>
      </c>
      <c r="R40" s="426">
        <v>46</v>
      </c>
      <c r="S40" s="426">
        <v>70</v>
      </c>
      <c r="T40" s="426">
        <v>50</v>
      </c>
      <c r="U40" s="438">
        <f>Q40+R40+S40+T40</f>
        <v>216</v>
      </c>
      <c r="V40" s="926" t="s">
        <v>4113</v>
      </c>
      <c r="W40" s="449" t="e">
        <f>+'RES.096 DE 2011'!Q146</f>
        <v>#REF!</v>
      </c>
      <c r="X40" s="449" t="e">
        <f>+'RES.096 DE 2011'!R146</f>
        <v>#REF!</v>
      </c>
      <c r="Y40" s="449" t="e">
        <f>+'RES.096 DE 2011'!S146</f>
        <v>#REF!</v>
      </c>
      <c r="Z40" s="449" t="e">
        <f>+'RES.096 DE 2011'!T146</f>
        <v>#REF!</v>
      </c>
      <c r="AA40" s="449" t="e">
        <f>+'RES.096 DE 2011'!U146</f>
        <v>#REF!</v>
      </c>
      <c r="AB40" s="449" t="e">
        <f>+'RES.096 DE 2011'!V146</f>
        <v>#REF!</v>
      </c>
      <c r="AC40" s="449" t="e">
        <f>+'RES.096 DE 2011'!W146</f>
        <v>#REF!</v>
      </c>
      <c r="AD40" s="449" t="e">
        <f>+'RES.096 DE 2011'!X146</f>
        <v>#REF!</v>
      </c>
      <c r="AE40" s="449" t="e">
        <f>+'RES.096 DE 2011'!Y146</f>
        <v>#REF!</v>
      </c>
      <c r="AF40" s="449" t="e">
        <f>+'RES.096 DE 2011'!Z146</f>
        <v>#REF!</v>
      </c>
      <c r="AG40" s="449" t="e">
        <f>+'RES.096 DE 2011'!AA146</f>
        <v>#REF!</v>
      </c>
      <c r="AH40" s="449" t="e">
        <f>+'RES.096 DE 2011'!AB146</f>
        <v>#REF!</v>
      </c>
      <c r="AI40" s="449" t="e">
        <f>+'RES.096 DE 2011'!AC146</f>
        <v>#REF!</v>
      </c>
      <c r="AJ40" s="449" t="e">
        <f t="shared" ref="AJ40:AJ46" si="7">SUM(X40:AI40)</f>
        <v>#REF!</v>
      </c>
      <c r="AK40" s="444" t="e">
        <f t="shared" ref="AK40:AK46" si="8">+S40*1000000-W40</f>
        <v>#REF!</v>
      </c>
      <c r="AL40" s="444">
        <v>40000000</v>
      </c>
      <c r="AM40" s="444"/>
      <c r="AN40" s="444" t="e">
        <f t="shared" ref="AN40:AN51" si="9">+W40+AL40+AM40</f>
        <v>#REF!</v>
      </c>
    </row>
    <row r="41" spans="1:40" ht="60" x14ac:dyDescent="0.2">
      <c r="A41" s="1399"/>
      <c r="B41" s="1401"/>
      <c r="C41" s="1186"/>
      <c r="D41" s="1365"/>
      <c r="E41" s="1395"/>
      <c r="F41" s="1188"/>
      <c r="G41" s="1186"/>
      <c r="H41" s="1188"/>
      <c r="I41" s="401" t="s">
        <v>3716</v>
      </c>
      <c r="J41" s="940" t="s">
        <v>3535</v>
      </c>
      <c r="K41" s="919">
        <v>0</v>
      </c>
      <c r="L41" s="940" t="s">
        <v>3536</v>
      </c>
      <c r="M41" s="428">
        <v>0.4</v>
      </c>
      <c r="N41" s="428">
        <v>0</v>
      </c>
      <c r="O41" s="428">
        <v>0.3</v>
      </c>
      <c r="P41" s="428">
        <v>0.15</v>
      </c>
      <c r="Q41" s="426">
        <v>5</v>
      </c>
      <c r="R41" s="426">
        <v>0</v>
      </c>
      <c r="S41" s="426">
        <v>10</v>
      </c>
      <c r="T41" s="426">
        <v>10</v>
      </c>
      <c r="U41" s="438">
        <f>Q41+R41+S41+T41</f>
        <v>25</v>
      </c>
      <c r="V41" s="926">
        <v>412</v>
      </c>
      <c r="W41" s="442"/>
      <c r="X41" s="930"/>
      <c r="Y41" s="449"/>
      <c r="Z41" s="449"/>
      <c r="AA41" s="449"/>
      <c r="AB41" s="449"/>
      <c r="AC41" s="449"/>
      <c r="AD41" s="449"/>
      <c r="AE41" s="449"/>
      <c r="AF41" s="449"/>
      <c r="AG41" s="449"/>
      <c r="AH41" s="449"/>
      <c r="AI41" s="449"/>
      <c r="AJ41" s="449">
        <f t="shared" si="7"/>
        <v>0</v>
      </c>
      <c r="AK41" s="444">
        <f t="shared" si="8"/>
        <v>10000000</v>
      </c>
      <c r="AL41" s="444"/>
      <c r="AM41" s="444"/>
      <c r="AN41" s="444">
        <f t="shared" si="9"/>
        <v>0</v>
      </c>
    </row>
    <row r="42" spans="1:40" ht="156" x14ac:dyDescent="0.2">
      <c r="A42" s="1399"/>
      <c r="B42" s="1401"/>
      <c r="C42" s="1186"/>
      <c r="D42" s="1363" t="s">
        <v>3537</v>
      </c>
      <c r="E42" s="1362" t="s">
        <v>3538</v>
      </c>
      <c r="F42" s="1185" t="s">
        <v>3504</v>
      </c>
      <c r="G42" s="1185">
        <v>0</v>
      </c>
      <c r="H42" s="1185" t="s">
        <v>3539</v>
      </c>
      <c r="I42" s="401" t="s">
        <v>3717</v>
      </c>
      <c r="J42" s="919" t="s">
        <v>3540</v>
      </c>
      <c r="K42" s="463">
        <v>0</v>
      </c>
      <c r="L42" s="919" t="s">
        <v>3036</v>
      </c>
      <c r="M42" s="429" t="s">
        <v>3541</v>
      </c>
      <c r="N42" s="429" t="s">
        <v>3542</v>
      </c>
      <c r="O42" s="429" t="s">
        <v>3543</v>
      </c>
      <c r="P42" s="429" t="s">
        <v>3544</v>
      </c>
      <c r="Q42" s="414">
        <v>4600</v>
      </c>
      <c r="R42" s="414">
        <v>6195</v>
      </c>
      <c r="S42" s="414">
        <v>3700</v>
      </c>
      <c r="T42" s="414">
        <v>4000</v>
      </c>
      <c r="U42" s="437">
        <f>Q42+R42+S42+T42</f>
        <v>18495</v>
      </c>
      <c r="V42" s="926" t="s">
        <v>4114</v>
      </c>
      <c r="W42" s="449" t="e">
        <f>SUM('RES.096 DE 2011'!Q154:Q158)</f>
        <v>#REF!</v>
      </c>
      <c r="X42" s="449" t="e">
        <f>SUM('RES.096 DE 2011'!R154:R158)</f>
        <v>#REF!</v>
      </c>
      <c r="Y42" s="449" t="e">
        <f>SUM('RES.096 DE 2011'!S154:S158)</f>
        <v>#REF!</v>
      </c>
      <c r="Z42" s="449" t="e">
        <f>SUM('RES.096 DE 2011'!T154:T158)</f>
        <v>#REF!</v>
      </c>
      <c r="AA42" s="449" t="e">
        <f>SUM('RES.096 DE 2011'!U154:U158)</f>
        <v>#REF!</v>
      </c>
      <c r="AB42" s="449" t="e">
        <f>SUM('RES.096 DE 2011'!V154:V158)</f>
        <v>#REF!</v>
      </c>
      <c r="AC42" s="449" t="e">
        <f>SUM('RES.096 DE 2011'!W154:W158)</f>
        <v>#REF!</v>
      </c>
      <c r="AD42" s="449" t="e">
        <f>SUM('RES.096 DE 2011'!X154:X158)</f>
        <v>#REF!</v>
      </c>
      <c r="AE42" s="449" t="e">
        <f>SUM('RES.096 DE 2011'!Y154:Y158)</f>
        <v>#REF!</v>
      </c>
      <c r="AF42" s="449" t="e">
        <f>SUM('RES.096 DE 2011'!Z154:Z158)</f>
        <v>#REF!</v>
      </c>
      <c r="AG42" s="449" t="e">
        <f>SUM('RES.096 DE 2011'!AA154:AA158)</f>
        <v>#REF!</v>
      </c>
      <c r="AH42" s="449" t="e">
        <f>SUM('RES.096 DE 2011'!AB154:AB158)</f>
        <v>#REF!</v>
      </c>
      <c r="AI42" s="449" t="e">
        <f>SUM('RES.096 DE 2011'!AC154:AC158)</f>
        <v>#REF!</v>
      </c>
      <c r="AJ42" s="449" t="e">
        <f t="shared" si="7"/>
        <v>#REF!</v>
      </c>
      <c r="AK42" s="444" t="e">
        <f t="shared" si="8"/>
        <v>#REF!</v>
      </c>
      <c r="AL42" s="444"/>
      <c r="AM42" s="444" t="e">
        <f>SUM(#REF!)</f>
        <v>#REF!</v>
      </c>
      <c r="AN42" s="444" t="e">
        <f t="shared" si="9"/>
        <v>#REF!</v>
      </c>
    </row>
    <row r="43" spans="1:40" ht="89.25" x14ac:dyDescent="0.2">
      <c r="A43" s="1399"/>
      <c r="B43" s="1401"/>
      <c r="C43" s="1186"/>
      <c r="D43" s="1364"/>
      <c r="E43" s="1360"/>
      <c r="F43" s="1186"/>
      <c r="G43" s="1186"/>
      <c r="H43" s="1186"/>
      <c r="I43" s="924" t="s">
        <v>3718</v>
      </c>
      <c r="J43" s="916" t="s">
        <v>3545</v>
      </c>
      <c r="K43" s="916" t="s">
        <v>3546</v>
      </c>
      <c r="L43" s="916" t="s">
        <v>3547</v>
      </c>
      <c r="M43" s="924" t="s">
        <v>3548</v>
      </c>
      <c r="N43" s="924" t="s">
        <v>3549</v>
      </c>
      <c r="O43" s="924" t="s">
        <v>3550</v>
      </c>
      <c r="P43" s="924" t="s">
        <v>3550</v>
      </c>
      <c r="Q43" s="430">
        <v>300</v>
      </c>
      <c r="R43" s="430">
        <v>524</v>
      </c>
      <c r="S43" s="430">
        <v>300</v>
      </c>
      <c r="T43" s="430">
        <v>300</v>
      </c>
      <c r="U43" s="438">
        <f>Q43+R43+S43+T43</f>
        <v>1424</v>
      </c>
      <c r="V43" s="926" t="s">
        <v>4115</v>
      </c>
      <c r="W43" s="449" t="e">
        <f>+'RES.096 DE 2011'!Q168</f>
        <v>#REF!</v>
      </c>
      <c r="X43" s="449" t="e">
        <f>+'RES.096 DE 2011'!R168</f>
        <v>#REF!</v>
      </c>
      <c r="Y43" s="449" t="e">
        <f>+'RES.096 DE 2011'!S168</f>
        <v>#REF!</v>
      </c>
      <c r="Z43" s="449" t="e">
        <f>+'RES.096 DE 2011'!T168</f>
        <v>#REF!</v>
      </c>
      <c r="AA43" s="449" t="e">
        <f>+'RES.096 DE 2011'!U168</f>
        <v>#REF!</v>
      </c>
      <c r="AB43" s="449" t="e">
        <f>+'RES.096 DE 2011'!V168</f>
        <v>#REF!</v>
      </c>
      <c r="AC43" s="449" t="e">
        <f>+'RES.096 DE 2011'!W168</f>
        <v>#REF!</v>
      </c>
      <c r="AD43" s="449" t="e">
        <f>+'RES.096 DE 2011'!X168</f>
        <v>#REF!</v>
      </c>
      <c r="AE43" s="449" t="e">
        <f>+'RES.096 DE 2011'!Y168</f>
        <v>#REF!</v>
      </c>
      <c r="AF43" s="449" t="e">
        <f>+'RES.096 DE 2011'!Z168</f>
        <v>#REF!</v>
      </c>
      <c r="AG43" s="449" t="e">
        <f>+'RES.096 DE 2011'!AA168</f>
        <v>#REF!</v>
      </c>
      <c r="AH43" s="449" t="e">
        <f>+'RES.096 DE 2011'!AB168</f>
        <v>#REF!</v>
      </c>
      <c r="AI43" s="449" t="e">
        <f>+'RES.096 DE 2011'!AC168</f>
        <v>#REF!</v>
      </c>
      <c r="AJ43" s="449" t="e">
        <f t="shared" si="7"/>
        <v>#REF!</v>
      </c>
      <c r="AK43" s="444" t="e">
        <f t="shared" si="8"/>
        <v>#REF!</v>
      </c>
      <c r="AL43" s="444"/>
      <c r="AM43" s="444" t="e">
        <f>SUM(#REF!)</f>
        <v>#REF!</v>
      </c>
      <c r="AN43" s="444" t="e">
        <f t="shared" si="9"/>
        <v>#REF!</v>
      </c>
    </row>
    <row r="44" spans="1:40" ht="191.25" x14ac:dyDescent="0.2">
      <c r="A44" s="1399"/>
      <c r="B44" s="1401"/>
      <c r="C44" s="1186"/>
      <c r="D44" s="1364"/>
      <c r="E44" s="1360"/>
      <c r="F44" s="1186"/>
      <c r="G44" s="1186"/>
      <c r="H44" s="1186"/>
      <c r="I44" s="924" t="s">
        <v>3719</v>
      </c>
      <c r="J44" s="916" t="s">
        <v>3552</v>
      </c>
      <c r="K44" s="919" t="s">
        <v>3553</v>
      </c>
      <c r="L44" s="919" t="s">
        <v>3554</v>
      </c>
      <c r="M44" s="401" t="s">
        <v>3555</v>
      </c>
      <c r="N44" s="401" t="s">
        <v>3556</v>
      </c>
      <c r="O44" s="401" t="s">
        <v>3557</v>
      </c>
      <c r="P44" s="401" t="s">
        <v>3557</v>
      </c>
      <c r="Q44" s="432">
        <v>2300</v>
      </c>
      <c r="R44" s="432">
        <v>887</v>
      </c>
      <c r="S44" s="432">
        <v>2300</v>
      </c>
      <c r="T44" s="432">
        <v>2256</v>
      </c>
      <c r="U44" s="437">
        <f>Q44+R44+S44+T44</f>
        <v>7743</v>
      </c>
      <c r="V44" s="926" t="s">
        <v>4116</v>
      </c>
      <c r="W44" s="449" t="e">
        <f>+'RES.096 DE 2011'!Q213</f>
        <v>#REF!</v>
      </c>
      <c r="X44" s="449" t="e">
        <f>+'RES.096 DE 2011'!R213</f>
        <v>#REF!</v>
      </c>
      <c r="Y44" s="449" t="e">
        <f>+'RES.096 DE 2011'!S213</f>
        <v>#REF!</v>
      </c>
      <c r="Z44" s="449" t="e">
        <f>+'RES.096 DE 2011'!T213</f>
        <v>#REF!</v>
      </c>
      <c r="AA44" s="449" t="e">
        <f>+'RES.096 DE 2011'!U213</f>
        <v>#REF!</v>
      </c>
      <c r="AB44" s="449" t="e">
        <f>+'RES.096 DE 2011'!V213</f>
        <v>#REF!</v>
      </c>
      <c r="AC44" s="449" t="e">
        <f>+'RES.096 DE 2011'!W213</f>
        <v>#REF!</v>
      </c>
      <c r="AD44" s="449" t="e">
        <f>+'RES.096 DE 2011'!X213</f>
        <v>#REF!</v>
      </c>
      <c r="AE44" s="449" t="e">
        <f>+'RES.096 DE 2011'!Y213</f>
        <v>#REF!</v>
      </c>
      <c r="AF44" s="449" t="e">
        <f>+'RES.096 DE 2011'!Z213</f>
        <v>#REF!</v>
      </c>
      <c r="AG44" s="449" t="e">
        <f>+'RES.096 DE 2011'!AA213</f>
        <v>#REF!</v>
      </c>
      <c r="AH44" s="449" t="e">
        <f>+'RES.096 DE 2011'!AB213</f>
        <v>#REF!</v>
      </c>
      <c r="AI44" s="449" t="e">
        <f>+'RES.096 DE 2011'!AC213</f>
        <v>#REF!</v>
      </c>
      <c r="AJ44" s="449" t="e">
        <f t="shared" si="7"/>
        <v>#REF!</v>
      </c>
      <c r="AK44" s="444" t="e">
        <f t="shared" si="8"/>
        <v>#REF!</v>
      </c>
      <c r="AL44" s="444"/>
      <c r="AM44" s="444"/>
      <c r="AN44" s="444" t="e">
        <f t="shared" si="9"/>
        <v>#REF!</v>
      </c>
    </row>
    <row r="45" spans="1:40" ht="30" x14ac:dyDescent="0.2">
      <c r="A45" s="1399"/>
      <c r="B45" s="1401"/>
      <c r="C45" s="1186"/>
      <c r="D45" s="1364"/>
      <c r="E45" s="1360"/>
      <c r="F45" s="1186"/>
      <c r="G45" s="1186"/>
      <c r="H45" s="1186"/>
      <c r="I45" s="919" t="s">
        <v>237</v>
      </c>
      <c r="J45" s="919" t="s">
        <v>3551</v>
      </c>
      <c r="K45" s="919">
        <v>0</v>
      </c>
      <c r="L45" s="919" t="s">
        <v>3258</v>
      </c>
      <c r="M45" s="421">
        <v>1</v>
      </c>
      <c r="N45" s="421">
        <v>0</v>
      </c>
      <c r="O45" s="421">
        <v>0</v>
      </c>
      <c r="P45" s="421">
        <v>0</v>
      </c>
      <c r="Q45" s="414">
        <v>100</v>
      </c>
      <c r="R45" s="414">
        <v>0</v>
      </c>
      <c r="S45" s="414">
        <v>0</v>
      </c>
      <c r="T45" s="414">
        <v>0</v>
      </c>
      <c r="U45" s="437">
        <f t="shared" ref="U45:U51" si="10">Q45+R45+S45+T45</f>
        <v>100</v>
      </c>
      <c r="V45" s="927">
        <v>422</v>
      </c>
      <c r="W45" s="442"/>
      <c r="X45" s="930"/>
      <c r="Y45" s="449"/>
      <c r="Z45" s="449"/>
      <c r="AA45" s="449"/>
      <c r="AB45" s="449"/>
      <c r="AC45" s="449"/>
      <c r="AD45" s="449"/>
      <c r="AE45" s="449"/>
      <c r="AF45" s="449"/>
      <c r="AG45" s="449"/>
      <c r="AH45" s="449"/>
      <c r="AI45" s="449"/>
      <c r="AJ45" s="449">
        <f t="shared" si="7"/>
        <v>0</v>
      </c>
      <c r="AK45" s="444">
        <f t="shared" si="8"/>
        <v>0</v>
      </c>
      <c r="AL45" s="444"/>
      <c r="AM45" s="444"/>
      <c r="AN45" s="444">
        <f t="shared" si="9"/>
        <v>0</v>
      </c>
    </row>
    <row r="46" spans="1:40" ht="30" x14ac:dyDescent="0.2">
      <c r="A46" s="1452"/>
      <c r="B46" s="1451"/>
      <c r="C46" s="1187"/>
      <c r="D46" s="1373"/>
      <c r="E46" s="1361"/>
      <c r="F46" s="1187"/>
      <c r="G46" s="1187"/>
      <c r="H46" s="1187"/>
      <c r="I46" s="918" t="s">
        <v>4160</v>
      </c>
      <c r="J46" s="918" t="s">
        <v>4161</v>
      </c>
      <c r="K46" s="919">
        <v>0</v>
      </c>
      <c r="L46" s="919" t="s">
        <v>4162</v>
      </c>
      <c r="M46" s="421">
        <v>0</v>
      </c>
      <c r="N46" s="421">
        <v>0</v>
      </c>
      <c r="O46" s="421">
        <v>0</v>
      </c>
      <c r="P46" s="421">
        <v>1</v>
      </c>
      <c r="Q46" s="414">
        <v>0</v>
      </c>
      <c r="R46" s="414">
        <v>0</v>
      </c>
      <c r="S46" s="414">
        <v>610</v>
      </c>
      <c r="T46" s="414">
        <v>0</v>
      </c>
      <c r="U46" s="437">
        <f t="shared" si="10"/>
        <v>610</v>
      </c>
      <c r="V46" s="927">
        <v>423</v>
      </c>
      <c r="W46" s="449" t="e">
        <f>+'RES.096 DE 2011'!Q217</f>
        <v>#REF!</v>
      </c>
      <c r="X46" s="449" t="e">
        <f>+'RES.096 DE 2011'!R217</f>
        <v>#REF!</v>
      </c>
      <c r="Y46" s="449" t="e">
        <f>+'RES.096 DE 2011'!S217</f>
        <v>#REF!</v>
      </c>
      <c r="Z46" s="449" t="e">
        <f>+'RES.096 DE 2011'!T217</f>
        <v>#REF!</v>
      </c>
      <c r="AA46" s="449" t="e">
        <f>+'RES.096 DE 2011'!U217</f>
        <v>#REF!</v>
      </c>
      <c r="AB46" s="449" t="e">
        <f>+'RES.096 DE 2011'!V217</f>
        <v>#REF!</v>
      </c>
      <c r="AC46" s="449" t="e">
        <f>+'RES.096 DE 2011'!W217</f>
        <v>#REF!</v>
      </c>
      <c r="AD46" s="449" t="e">
        <f>+'RES.096 DE 2011'!X217</f>
        <v>#REF!</v>
      </c>
      <c r="AE46" s="449" t="e">
        <f>+'RES.096 DE 2011'!Y217</f>
        <v>#REF!</v>
      </c>
      <c r="AF46" s="449" t="e">
        <f>+'RES.096 DE 2011'!Z217</f>
        <v>#REF!</v>
      </c>
      <c r="AG46" s="449" t="e">
        <f>+'RES.096 DE 2011'!AA217</f>
        <v>#REF!</v>
      </c>
      <c r="AH46" s="449" t="e">
        <f>+'RES.096 DE 2011'!AB217</f>
        <v>#REF!</v>
      </c>
      <c r="AI46" s="449" t="e">
        <f>+'RES.096 DE 2011'!AC217</f>
        <v>#REF!</v>
      </c>
      <c r="AJ46" s="449" t="e">
        <f t="shared" si="7"/>
        <v>#REF!</v>
      </c>
      <c r="AK46" s="444" t="e">
        <f t="shared" si="8"/>
        <v>#REF!</v>
      </c>
      <c r="AL46" s="444"/>
      <c r="AM46" s="444"/>
      <c r="AN46" s="444" t="e">
        <f t="shared" si="9"/>
        <v>#REF!</v>
      </c>
    </row>
    <row r="47" spans="1:40" ht="25.5" customHeight="1" x14ac:dyDescent="0.2">
      <c r="A47" s="789"/>
      <c r="B47" s="790"/>
      <c r="C47" s="788"/>
      <c r="D47" s="791"/>
      <c r="E47" s="792"/>
      <c r="F47" s="793"/>
      <c r="G47" s="793"/>
      <c r="H47" s="788"/>
      <c r="I47" s="787"/>
      <c r="J47" s="788"/>
      <c r="K47" s="470"/>
      <c r="L47" s="470"/>
      <c r="M47" s="1345" t="s">
        <v>695</v>
      </c>
      <c r="N47" s="1346"/>
      <c r="O47" s="1346"/>
      <c r="P47" s="1347"/>
      <c r="Q47" s="407">
        <f>SUM(Q40:Q46)</f>
        <v>7355</v>
      </c>
      <c r="R47" s="407">
        <f>SUM(R40:R46)</f>
        <v>7652</v>
      </c>
      <c r="S47" s="407">
        <f>SUM(S40:S46)</f>
        <v>6990</v>
      </c>
      <c r="T47" s="407">
        <f>SUM(T40:T46)</f>
        <v>6616</v>
      </c>
      <c r="U47" s="439">
        <f>SUM(U40:U46)</f>
        <v>28613</v>
      </c>
      <c r="V47" s="926"/>
      <c r="W47" s="439" t="e">
        <f>SUM(W40:W46)</f>
        <v>#REF!</v>
      </c>
      <c r="X47" s="933" t="e">
        <f>SUM(X40:X45)</f>
        <v>#REF!</v>
      </c>
      <c r="Y47" s="407" t="e">
        <f t="shared" ref="Y47:AJ47" si="11">SUM(Y40:Y45)</f>
        <v>#REF!</v>
      </c>
      <c r="Z47" s="407" t="e">
        <f t="shared" si="11"/>
        <v>#REF!</v>
      </c>
      <c r="AA47" s="407" t="e">
        <f t="shared" si="11"/>
        <v>#REF!</v>
      </c>
      <c r="AB47" s="407" t="e">
        <f t="shared" si="11"/>
        <v>#REF!</v>
      </c>
      <c r="AC47" s="407" t="e">
        <f t="shared" si="11"/>
        <v>#REF!</v>
      </c>
      <c r="AD47" s="407" t="e">
        <f t="shared" si="11"/>
        <v>#REF!</v>
      </c>
      <c r="AE47" s="407" t="e">
        <f t="shared" si="11"/>
        <v>#REF!</v>
      </c>
      <c r="AF47" s="407"/>
      <c r="AG47" s="407"/>
      <c r="AH47" s="407" t="e">
        <f t="shared" si="11"/>
        <v>#REF!</v>
      </c>
      <c r="AI47" s="407"/>
      <c r="AJ47" s="407" t="e">
        <f t="shared" si="11"/>
        <v>#REF!</v>
      </c>
      <c r="AK47" s="439" t="e">
        <f>SUM(AK40:AK46)</f>
        <v>#REF!</v>
      </c>
      <c r="AL47" s="439">
        <f>SUM(AL40:AL46)</f>
        <v>40000000</v>
      </c>
      <c r="AM47" s="439" t="e">
        <f>SUM(AM40:AM46)</f>
        <v>#REF!</v>
      </c>
      <c r="AN47" s="444" t="e">
        <f t="shared" si="9"/>
        <v>#REF!</v>
      </c>
    </row>
    <row r="48" spans="1:40" ht="34.5" customHeight="1" x14ac:dyDescent="0.25">
      <c r="A48" s="398"/>
      <c r="B48" s="456"/>
      <c r="C48" s="398"/>
      <c r="D48" s="396"/>
      <c r="E48" s="396"/>
      <c r="F48" s="396"/>
      <c r="G48" s="396"/>
      <c r="H48" s="398"/>
      <c r="I48" s="398"/>
      <c r="J48" s="396"/>
      <c r="K48" s="396"/>
      <c r="L48" s="457"/>
      <c r="M48" s="416"/>
      <c r="N48" s="416"/>
      <c r="O48" s="416"/>
      <c r="P48" s="417"/>
      <c r="Q48" s="417"/>
      <c r="R48" s="417"/>
      <c r="S48" s="417"/>
      <c r="T48" s="416"/>
      <c r="U48" s="397"/>
      <c r="V48" s="551"/>
      <c r="W48" s="442"/>
      <c r="X48" s="488"/>
      <c r="Y48" s="488"/>
      <c r="Z48" s="488"/>
      <c r="AA48" s="488"/>
      <c r="AB48" s="488"/>
      <c r="AC48" s="488"/>
      <c r="AD48" s="488"/>
      <c r="AE48" s="488"/>
      <c r="AF48" s="488"/>
      <c r="AG48" s="488"/>
      <c r="AH48" s="488"/>
      <c r="AI48" s="488"/>
      <c r="AJ48" s="488"/>
      <c r="AK48" s="442"/>
      <c r="AL48" s="442"/>
      <c r="AM48" s="442"/>
      <c r="AN48" s="444">
        <f t="shared" si="9"/>
        <v>0</v>
      </c>
    </row>
    <row r="49" spans="1:40" ht="68.25" customHeight="1" x14ac:dyDescent="0.2">
      <c r="A49" s="1185">
        <v>5</v>
      </c>
      <c r="B49" s="1363" t="s">
        <v>3112</v>
      </c>
      <c r="C49" s="1189" t="s">
        <v>3558</v>
      </c>
      <c r="D49" s="1363" t="s">
        <v>3559</v>
      </c>
      <c r="E49" s="1362" t="s">
        <v>3483</v>
      </c>
      <c r="F49" s="1188" t="s">
        <v>3484</v>
      </c>
      <c r="G49" s="1188">
        <v>0</v>
      </c>
      <c r="H49" s="1188" t="s">
        <v>3560</v>
      </c>
      <c r="I49" s="401" t="s">
        <v>3266</v>
      </c>
      <c r="J49" s="919" t="s">
        <v>3561</v>
      </c>
      <c r="K49" s="403" t="s">
        <v>3562</v>
      </c>
      <c r="L49" s="919" t="s">
        <v>3563</v>
      </c>
      <c r="M49" s="404">
        <v>0.3</v>
      </c>
      <c r="N49" s="404">
        <v>0.3</v>
      </c>
      <c r="O49" s="404">
        <v>0.3</v>
      </c>
      <c r="P49" s="404">
        <v>0.1</v>
      </c>
      <c r="Q49" s="414">
        <v>25</v>
      </c>
      <c r="R49" s="414">
        <v>43</v>
      </c>
      <c r="S49" s="414">
        <v>25</v>
      </c>
      <c r="T49" s="414">
        <v>10</v>
      </c>
      <c r="U49" s="437">
        <f t="shared" si="10"/>
        <v>103</v>
      </c>
      <c r="V49" s="926">
        <v>511</v>
      </c>
      <c r="W49" s="449" t="e">
        <f>+'RES.096 DE 2011'!Q223</f>
        <v>#REF!</v>
      </c>
      <c r="X49" s="449" t="e">
        <f>+'RES.096 DE 2011'!R223</f>
        <v>#REF!</v>
      </c>
      <c r="Y49" s="449" t="e">
        <f>+'RES.096 DE 2011'!S223</f>
        <v>#REF!</v>
      </c>
      <c r="Z49" s="449" t="e">
        <f>+'RES.096 DE 2011'!T223</f>
        <v>#REF!</v>
      </c>
      <c r="AA49" s="449" t="e">
        <f>+'RES.096 DE 2011'!U223</f>
        <v>#REF!</v>
      </c>
      <c r="AB49" s="449" t="e">
        <f>+'RES.096 DE 2011'!V223</f>
        <v>#REF!</v>
      </c>
      <c r="AC49" s="449" t="e">
        <f>+'RES.096 DE 2011'!W223</f>
        <v>#REF!</v>
      </c>
      <c r="AD49" s="449" t="e">
        <f>+'RES.096 DE 2011'!X223</f>
        <v>#REF!</v>
      </c>
      <c r="AE49" s="449" t="e">
        <f>+'RES.096 DE 2011'!Y223</f>
        <v>#REF!</v>
      </c>
      <c r="AF49" s="449" t="e">
        <f>+'RES.096 DE 2011'!Z223</f>
        <v>#REF!</v>
      </c>
      <c r="AG49" s="449" t="e">
        <f>+'RES.096 DE 2011'!AA223</f>
        <v>#REF!</v>
      </c>
      <c r="AH49" s="449" t="e">
        <f>+'RES.096 DE 2011'!AB223</f>
        <v>#REF!</v>
      </c>
      <c r="AI49" s="449" t="e">
        <f>+'RES.096 DE 2011'!AC223</f>
        <v>#REF!</v>
      </c>
      <c r="AJ49" s="449" t="e">
        <f>SUM(X49:AI49)</f>
        <v>#REF!</v>
      </c>
      <c r="AK49" s="444" t="e">
        <f>+S49*1000000-W49</f>
        <v>#REF!</v>
      </c>
      <c r="AL49" s="444">
        <v>30000000</v>
      </c>
      <c r="AM49" s="444"/>
      <c r="AN49" s="444" t="e">
        <f t="shared" si="9"/>
        <v>#REF!</v>
      </c>
    </row>
    <row r="50" spans="1:40" ht="92.25" customHeight="1" x14ac:dyDescent="0.2">
      <c r="A50" s="1186"/>
      <c r="B50" s="1364"/>
      <c r="C50" s="1191"/>
      <c r="D50" s="1364"/>
      <c r="E50" s="1360"/>
      <c r="F50" s="1188"/>
      <c r="G50" s="1188"/>
      <c r="H50" s="1188"/>
      <c r="I50" s="919" t="s">
        <v>3720</v>
      </c>
      <c r="J50" s="919" t="s">
        <v>3564</v>
      </c>
      <c r="K50" s="403">
        <v>0</v>
      </c>
      <c r="L50" s="919" t="s">
        <v>3565</v>
      </c>
      <c r="M50" s="400">
        <v>4</v>
      </c>
      <c r="N50" s="400">
        <v>4</v>
      </c>
      <c r="O50" s="400">
        <v>4</v>
      </c>
      <c r="P50" s="400">
        <v>4</v>
      </c>
      <c r="Q50" s="405">
        <v>30</v>
      </c>
      <c r="R50" s="405">
        <v>30</v>
      </c>
      <c r="S50" s="405">
        <v>30</v>
      </c>
      <c r="T50" s="405">
        <v>30</v>
      </c>
      <c r="U50" s="437">
        <f t="shared" si="10"/>
        <v>120</v>
      </c>
      <c r="V50" s="926">
        <v>512</v>
      </c>
      <c r="W50" s="449" t="e">
        <f>+'RES.096 DE 2011'!Q225</f>
        <v>#REF!</v>
      </c>
      <c r="X50" s="449" t="e">
        <f>+'RES.096 DE 2011'!R225</f>
        <v>#REF!</v>
      </c>
      <c r="Y50" s="449" t="e">
        <f>+'RES.096 DE 2011'!S225</f>
        <v>#REF!</v>
      </c>
      <c r="Z50" s="449" t="e">
        <f>+'RES.096 DE 2011'!T225</f>
        <v>#REF!</v>
      </c>
      <c r="AA50" s="449" t="e">
        <f>+'RES.096 DE 2011'!U225</f>
        <v>#REF!</v>
      </c>
      <c r="AB50" s="449" t="e">
        <f>+'RES.096 DE 2011'!V225</f>
        <v>#REF!</v>
      </c>
      <c r="AC50" s="449" t="e">
        <f>+'RES.096 DE 2011'!W225</f>
        <v>#REF!</v>
      </c>
      <c r="AD50" s="449" t="e">
        <f>+'RES.096 DE 2011'!X225</f>
        <v>#REF!</v>
      </c>
      <c r="AE50" s="449" t="e">
        <f>+'RES.096 DE 2011'!Y225</f>
        <v>#REF!</v>
      </c>
      <c r="AF50" s="449" t="e">
        <f>+'RES.096 DE 2011'!Z225</f>
        <v>#REF!</v>
      </c>
      <c r="AG50" s="449" t="e">
        <f>+'RES.096 DE 2011'!AA225</f>
        <v>#REF!</v>
      </c>
      <c r="AH50" s="449" t="e">
        <f>+'RES.096 DE 2011'!AB225</f>
        <v>#REF!</v>
      </c>
      <c r="AI50" s="449" t="e">
        <f>+'RES.096 DE 2011'!AC225</f>
        <v>#REF!</v>
      </c>
      <c r="AJ50" s="449" t="e">
        <f>SUM(X50:AI50)</f>
        <v>#REF!</v>
      </c>
      <c r="AK50" s="444" t="e">
        <f>+S50*1000000-W50</f>
        <v>#REF!</v>
      </c>
      <c r="AL50" s="444"/>
      <c r="AM50" s="444"/>
      <c r="AN50" s="444" t="e">
        <f t="shared" si="9"/>
        <v>#REF!</v>
      </c>
    </row>
    <row r="51" spans="1:40" ht="96.75" customHeight="1" x14ac:dyDescent="0.2">
      <c r="A51" s="1187"/>
      <c r="B51" s="1373"/>
      <c r="C51" s="1192"/>
      <c r="D51" s="1373"/>
      <c r="E51" s="1361"/>
      <c r="F51" s="1188"/>
      <c r="G51" s="1188"/>
      <c r="H51" s="1188"/>
      <c r="I51" s="401" t="s">
        <v>3267</v>
      </c>
      <c r="J51" s="919" t="s">
        <v>3566</v>
      </c>
      <c r="K51" s="403" t="s">
        <v>3567</v>
      </c>
      <c r="L51" s="919" t="s">
        <v>3568</v>
      </c>
      <c r="M51" s="400">
        <v>4</v>
      </c>
      <c r="N51" s="400">
        <v>6</v>
      </c>
      <c r="O51" s="400">
        <v>6</v>
      </c>
      <c r="P51" s="400">
        <v>6</v>
      </c>
      <c r="Q51" s="405">
        <v>24</v>
      </c>
      <c r="R51" s="405">
        <v>10</v>
      </c>
      <c r="S51" s="405">
        <v>24</v>
      </c>
      <c r="T51" s="405">
        <v>24</v>
      </c>
      <c r="U51" s="438">
        <f t="shared" si="10"/>
        <v>82</v>
      </c>
      <c r="V51" s="926">
        <v>513</v>
      </c>
      <c r="W51" s="442"/>
      <c r="X51" s="930"/>
      <c r="Y51" s="449"/>
      <c r="Z51" s="449"/>
      <c r="AA51" s="449"/>
      <c r="AB51" s="449"/>
      <c r="AC51" s="449"/>
      <c r="AD51" s="449"/>
      <c r="AE51" s="449"/>
      <c r="AF51" s="449"/>
      <c r="AG51" s="449"/>
      <c r="AH51" s="449"/>
      <c r="AI51" s="449"/>
      <c r="AJ51" s="449">
        <f>SUM(X51:AI51)</f>
        <v>0</v>
      </c>
      <c r="AK51" s="444">
        <f>+S51*1000000-W51</f>
        <v>24000000</v>
      </c>
      <c r="AL51" s="444"/>
      <c r="AM51" s="444"/>
      <c r="AN51" s="444">
        <f t="shared" si="9"/>
        <v>0</v>
      </c>
    </row>
    <row r="52" spans="1:40" ht="23.25" customHeight="1" x14ac:dyDescent="0.25">
      <c r="A52" s="461"/>
      <c r="B52" s="461"/>
      <c r="C52" s="461"/>
      <c r="D52" s="461"/>
      <c r="E52" s="461"/>
      <c r="F52" s="461"/>
      <c r="G52" s="461"/>
      <c r="H52" s="461"/>
      <c r="I52" s="461"/>
      <c r="J52" s="462"/>
      <c r="K52" s="461"/>
      <c r="L52" s="461"/>
      <c r="M52" s="1345" t="s">
        <v>695</v>
      </c>
      <c r="N52" s="1346"/>
      <c r="O52" s="1346"/>
      <c r="P52" s="1347"/>
      <c r="Q52" s="407">
        <f>SUM(Q49:Q51)</f>
        <v>79</v>
      </c>
      <c r="R52" s="407">
        <f t="shared" ref="R52:W52" si="12">SUM(R49:R51)</f>
        <v>83</v>
      </c>
      <c r="S52" s="407">
        <f>SUM(S49:S51)</f>
        <v>79</v>
      </c>
      <c r="T52" s="407">
        <f t="shared" si="12"/>
        <v>64</v>
      </c>
      <c r="U52" s="407">
        <f t="shared" si="12"/>
        <v>305</v>
      </c>
      <c r="V52" s="926"/>
      <c r="W52" s="407" t="e">
        <f t="shared" si="12"/>
        <v>#REF!</v>
      </c>
      <c r="X52" s="933" t="e">
        <f t="shared" ref="X52:AK52" si="13">SUM(X49:X51)</f>
        <v>#REF!</v>
      </c>
      <c r="Y52" s="407" t="e">
        <f t="shared" si="13"/>
        <v>#REF!</v>
      </c>
      <c r="Z52" s="407" t="e">
        <f t="shared" si="13"/>
        <v>#REF!</v>
      </c>
      <c r="AA52" s="407" t="e">
        <f t="shared" si="13"/>
        <v>#REF!</v>
      </c>
      <c r="AB52" s="407" t="e">
        <f t="shared" si="13"/>
        <v>#REF!</v>
      </c>
      <c r="AC52" s="407" t="e">
        <f t="shared" si="13"/>
        <v>#REF!</v>
      </c>
      <c r="AD52" s="407" t="e">
        <f t="shared" si="13"/>
        <v>#REF!</v>
      </c>
      <c r="AE52" s="407" t="e">
        <f t="shared" si="13"/>
        <v>#REF!</v>
      </c>
      <c r="AF52" s="407"/>
      <c r="AG52" s="407"/>
      <c r="AH52" s="407" t="e">
        <f t="shared" si="13"/>
        <v>#REF!</v>
      </c>
      <c r="AI52" s="407"/>
      <c r="AJ52" s="407" t="e">
        <f t="shared" si="13"/>
        <v>#REF!</v>
      </c>
      <c r="AK52" s="407" t="e">
        <f t="shared" si="13"/>
        <v>#REF!</v>
      </c>
      <c r="AL52" s="407">
        <f>SUM(AL49:AL51)</f>
        <v>30000000</v>
      </c>
      <c r="AM52" s="407">
        <f>SUM(AM49:AM51)</f>
        <v>0</v>
      </c>
      <c r="AN52" s="407" t="e">
        <f>SUM(AN49:AN51)</f>
        <v>#REF!</v>
      </c>
    </row>
    <row r="53" spans="1:40" ht="21.75" customHeight="1" x14ac:dyDescent="0.25">
      <c r="A53" s="398"/>
      <c r="B53" s="456"/>
      <c r="C53" s="398"/>
      <c r="D53" s="396"/>
      <c r="E53" s="396"/>
      <c r="F53" s="396"/>
      <c r="G53" s="396"/>
      <c r="H53" s="398"/>
      <c r="I53" s="398"/>
      <c r="J53" s="396"/>
      <c r="K53" s="396"/>
      <c r="L53" s="457"/>
      <c r="M53" s="416"/>
      <c r="N53" s="416"/>
      <c r="O53" s="416"/>
      <c r="P53" s="417"/>
      <c r="Q53" s="417"/>
      <c r="R53" s="417"/>
      <c r="S53" s="417"/>
      <c r="T53" s="416"/>
      <c r="U53" s="484"/>
      <c r="V53" s="551"/>
      <c r="W53" s="442"/>
      <c r="X53" s="488"/>
      <c r="Y53" s="488"/>
      <c r="Z53" s="488"/>
      <c r="AA53" s="488"/>
      <c r="AB53" s="488"/>
      <c r="AC53" s="488"/>
      <c r="AD53" s="488"/>
      <c r="AE53" s="488"/>
      <c r="AF53" s="488"/>
      <c r="AG53" s="488"/>
      <c r="AH53" s="488"/>
      <c r="AI53" s="488"/>
      <c r="AJ53" s="488"/>
      <c r="AK53" s="442"/>
      <c r="AL53" s="442"/>
      <c r="AM53" s="442"/>
      <c r="AN53" s="442"/>
    </row>
    <row r="54" spans="1:40" ht="90" x14ac:dyDescent="0.2">
      <c r="A54" s="1185">
        <v>6</v>
      </c>
      <c r="B54" s="1363" t="s">
        <v>3569</v>
      </c>
      <c r="C54" s="1185" t="s">
        <v>3570</v>
      </c>
      <c r="D54" s="1365" t="s">
        <v>3571</v>
      </c>
      <c r="E54" s="1366" t="s">
        <v>3572</v>
      </c>
      <c r="F54" s="1188" t="s">
        <v>3484</v>
      </c>
      <c r="G54" s="1188" t="s">
        <v>3573</v>
      </c>
      <c r="H54" s="1188" t="s">
        <v>3574</v>
      </c>
      <c r="I54" s="916" t="s">
        <v>3721</v>
      </c>
      <c r="J54" s="916" t="s">
        <v>3575</v>
      </c>
      <c r="K54" s="916">
        <v>0</v>
      </c>
      <c r="L54" s="916" t="s">
        <v>3576</v>
      </c>
      <c r="M54" s="400">
        <v>50</v>
      </c>
      <c r="N54" s="400">
        <v>150</v>
      </c>
      <c r="O54" s="400">
        <v>200</v>
      </c>
      <c r="P54" s="400">
        <v>200</v>
      </c>
      <c r="Q54" s="405">
        <v>150</v>
      </c>
      <c r="R54" s="405">
        <v>150</v>
      </c>
      <c r="S54" s="405">
        <v>200</v>
      </c>
      <c r="T54" s="405">
        <v>220</v>
      </c>
      <c r="U54" s="486">
        <f>Q54+R54+S54+T54</f>
        <v>720</v>
      </c>
      <c r="V54" s="926">
        <v>611</v>
      </c>
      <c r="W54" s="449" t="e">
        <f>+'RES.096 DE 2011'!Q236</f>
        <v>#REF!</v>
      </c>
      <c r="X54" s="449" t="e">
        <f>+'RES.096 DE 2011'!R236</f>
        <v>#REF!</v>
      </c>
      <c r="Y54" s="449" t="e">
        <f>+'RES.096 DE 2011'!S236</f>
        <v>#REF!</v>
      </c>
      <c r="Z54" s="449" t="e">
        <f>+'RES.096 DE 2011'!T236</f>
        <v>#REF!</v>
      </c>
      <c r="AA54" s="449" t="e">
        <f>+'RES.096 DE 2011'!U236</f>
        <v>#REF!</v>
      </c>
      <c r="AB54" s="449" t="e">
        <f>+'RES.096 DE 2011'!V236</f>
        <v>#REF!</v>
      </c>
      <c r="AC54" s="449" t="e">
        <f>+'RES.096 DE 2011'!W236</f>
        <v>#REF!</v>
      </c>
      <c r="AD54" s="449" t="e">
        <f>+'RES.096 DE 2011'!X236</f>
        <v>#REF!</v>
      </c>
      <c r="AE54" s="449" t="e">
        <f>+'RES.096 DE 2011'!Y236</f>
        <v>#REF!</v>
      </c>
      <c r="AF54" s="449" t="e">
        <f>+'RES.096 DE 2011'!Z236</f>
        <v>#REF!</v>
      </c>
      <c r="AG54" s="449" t="e">
        <f>+'RES.096 DE 2011'!AA236</f>
        <v>#REF!</v>
      </c>
      <c r="AH54" s="449" t="e">
        <f>+'RES.096 DE 2011'!AB236</f>
        <v>#REF!</v>
      </c>
      <c r="AI54" s="449" t="e">
        <f>+'RES.096 DE 2011'!AC236</f>
        <v>#REF!</v>
      </c>
      <c r="AJ54" s="449" t="e">
        <f t="shared" ref="AJ54:AJ64" si="14">SUM(X54:AI54)</f>
        <v>#REF!</v>
      </c>
      <c r="AK54" s="444" t="e">
        <f t="shared" ref="AK54:AK64" si="15">+S54*1000000-W54</f>
        <v>#REF!</v>
      </c>
      <c r="AL54" s="444"/>
      <c r="AM54" s="444" t="e">
        <f>SUM(#REF!)</f>
        <v>#REF!</v>
      </c>
      <c r="AN54" s="444" t="e">
        <f t="shared" ref="AN54:AN64" si="16">+W54+AL54+AM54</f>
        <v>#REF!</v>
      </c>
    </row>
    <row r="55" spans="1:40" ht="75" x14ac:dyDescent="0.2">
      <c r="A55" s="1186"/>
      <c r="B55" s="1364"/>
      <c r="C55" s="1186"/>
      <c r="D55" s="1365"/>
      <c r="E55" s="1367"/>
      <c r="F55" s="1188"/>
      <c r="G55" s="1188"/>
      <c r="H55" s="1188"/>
      <c r="I55" s="916" t="s">
        <v>3722</v>
      </c>
      <c r="J55" s="916" t="s">
        <v>3691</v>
      </c>
      <c r="K55" s="916">
        <v>0</v>
      </c>
      <c r="L55" s="916" t="s">
        <v>3692</v>
      </c>
      <c r="M55" s="400">
        <v>600</v>
      </c>
      <c r="N55" s="400">
        <v>800</v>
      </c>
      <c r="O55" s="400">
        <v>800</v>
      </c>
      <c r="P55" s="400">
        <v>800</v>
      </c>
      <c r="Q55" s="405">
        <v>15</v>
      </c>
      <c r="R55" s="405">
        <v>45</v>
      </c>
      <c r="S55" s="405">
        <v>50</v>
      </c>
      <c r="T55" s="405">
        <v>55</v>
      </c>
      <c r="U55" s="440">
        <f>Q55+R55+S55+T55</f>
        <v>165</v>
      </c>
      <c r="V55" s="926">
        <v>612</v>
      </c>
      <c r="W55" s="449" t="e">
        <f>+'RES.096 DE 2011'!Q238</f>
        <v>#REF!</v>
      </c>
      <c r="X55" s="449" t="e">
        <f>+'RES.096 DE 2011'!R238</f>
        <v>#REF!</v>
      </c>
      <c r="Y55" s="449" t="e">
        <f>+'RES.096 DE 2011'!S238</f>
        <v>#REF!</v>
      </c>
      <c r="Z55" s="449" t="e">
        <f>+'RES.096 DE 2011'!T238</f>
        <v>#REF!</v>
      </c>
      <c r="AA55" s="449" t="e">
        <f>+'RES.096 DE 2011'!U238</f>
        <v>#REF!</v>
      </c>
      <c r="AB55" s="449" t="e">
        <f>+'RES.096 DE 2011'!V238</f>
        <v>#REF!</v>
      </c>
      <c r="AC55" s="449" t="e">
        <f>+'RES.096 DE 2011'!W238</f>
        <v>#REF!</v>
      </c>
      <c r="AD55" s="449" t="e">
        <f>+'RES.096 DE 2011'!X238</f>
        <v>#REF!</v>
      </c>
      <c r="AE55" s="449" t="e">
        <f>+'RES.096 DE 2011'!Y238</f>
        <v>#REF!</v>
      </c>
      <c r="AF55" s="449" t="e">
        <f>+'RES.096 DE 2011'!Z238</f>
        <v>#REF!</v>
      </c>
      <c r="AG55" s="449" t="e">
        <f>+'RES.096 DE 2011'!AA238</f>
        <v>#REF!</v>
      </c>
      <c r="AH55" s="449" t="e">
        <f>+'RES.096 DE 2011'!AB238</f>
        <v>#REF!</v>
      </c>
      <c r="AI55" s="449" t="e">
        <f>+'RES.096 DE 2011'!AC238</f>
        <v>#REF!</v>
      </c>
      <c r="AJ55" s="449" t="e">
        <f t="shared" si="14"/>
        <v>#REF!</v>
      </c>
      <c r="AK55" s="444" t="e">
        <f t="shared" si="15"/>
        <v>#REF!</v>
      </c>
      <c r="AL55" s="444"/>
      <c r="AM55" s="444"/>
      <c r="AN55" s="444" t="e">
        <f t="shared" si="16"/>
        <v>#REF!</v>
      </c>
    </row>
    <row r="56" spans="1:40" ht="105" x14ac:dyDescent="0.2">
      <c r="A56" s="1186"/>
      <c r="B56" s="1364"/>
      <c r="C56" s="1186"/>
      <c r="D56" s="1363" t="s">
        <v>434</v>
      </c>
      <c r="E56" s="1362" t="s">
        <v>3577</v>
      </c>
      <c r="F56" s="1185" t="s">
        <v>3578</v>
      </c>
      <c r="G56" s="1185" t="s">
        <v>3579</v>
      </c>
      <c r="H56" s="1185" t="s">
        <v>3580</v>
      </c>
      <c r="I56" s="1188" t="s">
        <v>3723</v>
      </c>
      <c r="J56" s="942" t="s">
        <v>3589</v>
      </c>
      <c r="K56" s="403">
        <v>0.1</v>
      </c>
      <c r="L56" s="919" t="s">
        <v>2844</v>
      </c>
      <c r="M56" s="409">
        <v>0.12</v>
      </c>
      <c r="N56" s="409">
        <v>0.13</v>
      </c>
      <c r="O56" s="409">
        <v>0.14000000000000001</v>
      </c>
      <c r="P56" s="409">
        <v>0.15</v>
      </c>
      <c r="Q56" s="432">
        <v>50</v>
      </c>
      <c r="R56" s="432">
        <v>42</v>
      </c>
      <c r="S56" s="432">
        <v>70</v>
      </c>
      <c r="T56" s="432">
        <v>80</v>
      </c>
      <c r="U56" s="922">
        <f>Q56+R56+S56+T56</f>
        <v>242</v>
      </c>
      <c r="V56" s="926" t="s">
        <v>3630</v>
      </c>
      <c r="W56" s="449" t="e">
        <f>+'RES.096 DE 2011'!Q244</f>
        <v>#REF!</v>
      </c>
      <c r="X56" s="449" t="e">
        <f>+'RES.096 DE 2011'!R244</f>
        <v>#REF!</v>
      </c>
      <c r="Y56" s="449" t="e">
        <f>+'RES.096 DE 2011'!S244</f>
        <v>#REF!</v>
      </c>
      <c r="Z56" s="449" t="e">
        <f>+'RES.096 DE 2011'!T244</f>
        <v>#REF!</v>
      </c>
      <c r="AA56" s="449" t="e">
        <f>+'RES.096 DE 2011'!U244</f>
        <v>#REF!</v>
      </c>
      <c r="AB56" s="449" t="e">
        <f>+'RES.096 DE 2011'!V244</f>
        <v>#REF!</v>
      </c>
      <c r="AC56" s="449" t="e">
        <f>+'RES.096 DE 2011'!W244</f>
        <v>#REF!</v>
      </c>
      <c r="AD56" s="449" t="e">
        <f>+'RES.096 DE 2011'!X244</f>
        <v>#REF!</v>
      </c>
      <c r="AE56" s="449" t="e">
        <f>+'RES.096 DE 2011'!Y244</f>
        <v>#REF!</v>
      </c>
      <c r="AF56" s="449" t="e">
        <f>+'RES.096 DE 2011'!Z244</f>
        <v>#REF!</v>
      </c>
      <c r="AG56" s="449" t="e">
        <f>+'RES.096 DE 2011'!AA244</f>
        <v>#REF!</v>
      </c>
      <c r="AH56" s="449" t="e">
        <f>+'RES.096 DE 2011'!AB244</f>
        <v>#REF!</v>
      </c>
      <c r="AI56" s="449" t="e">
        <f>+'RES.096 DE 2011'!AC244</f>
        <v>#REF!</v>
      </c>
      <c r="AJ56" s="449" t="e">
        <f t="shared" si="14"/>
        <v>#REF!</v>
      </c>
      <c r="AK56" s="444" t="e">
        <f t="shared" si="15"/>
        <v>#REF!</v>
      </c>
      <c r="AL56" s="444"/>
      <c r="AM56" s="444" t="e">
        <f>+#REF!</f>
        <v>#REF!</v>
      </c>
      <c r="AN56" s="444" t="e">
        <f t="shared" si="16"/>
        <v>#REF!</v>
      </c>
    </row>
    <row r="57" spans="1:40" ht="60" x14ac:dyDescent="0.2">
      <c r="A57" s="1186"/>
      <c r="B57" s="1364"/>
      <c r="C57" s="1186"/>
      <c r="D57" s="1364"/>
      <c r="E57" s="1360"/>
      <c r="F57" s="1186"/>
      <c r="G57" s="1186"/>
      <c r="H57" s="1186"/>
      <c r="I57" s="1188"/>
      <c r="J57" s="942" t="s">
        <v>3596</v>
      </c>
      <c r="K57" s="403">
        <v>0.56999999999999995</v>
      </c>
      <c r="L57" s="919" t="s">
        <v>3597</v>
      </c>
      <c r="M57" s="406">
        <v>0.57999999999999996</v>
      </c>
      <c r="N57" s="406">
        <v>0.59</v>
      </c>
      <c r="O57" s="406">
        <v>0.6</v>
      </c>
      <c r="P57" s="406">
        <v>0.6</v>
      </c>
      <c r="Q57" s="430">
        <v>30</v>
      </c>
      <c r="R57" s="430">
        <v>90</v>
      </c>
      <c r="S57" s="430">
        <v>60</v>
      </c>
      <c r="T57" s="430">
        <v>80</v>
      </c>
      <c r="U57" s="440">
        <f>Q57+R57+S57+T57</f>
        <v>260</v>
      </c>
      <c r="V57" s="926" t="s">
        <v>3633</v>
      </c>
      <c r="W57" s="449" t="e">
        <f>+'RES.096 DE 2011'!Q245</f>
        <v>#REF!</v>
      </c>
      <c r="X57" s="449" t="e">
        <f>+'RES.096 DE 2011'!R245</f>
        <v>#REF!</v>
      </c>
      <c r="Y57" s="449" t="e">
        <f>+'RES.096 DE 2011'!S245</f>
        <v>#REF!</v>
      </c>
      <c r="Z57" s="449" t="e">
        <f>+'RES.096 DE 2011'!T245</f>
        <v>#REF!</v>
      </c>
      <c r="AA57" s="449" t="e">
        <f>+'RES.096 DE 2011'!U245</f>
        <v>#REF!</v>
      </c>
      <c r="AB57" s="449" t="e">
        <f>+'RES.096 DE 2011'!V245</f>
        <v>#REF!</v>
      </c>
      <c r="AC57" s="449" t="e">
        <f>+'RES.096 DE 2011'!W245</f>
        <v>#REF!</v>
      </c>
      <c r="AD57" s="449" t="e">
        <f>+'RES.096 DE 2011'!X245</f>
        <v>#REF!</v>
      </c>
      <c r="AE57" s="449" t="e">
        <f>+'RES.096 DE 2011'!Y245</f>
        <v>#REF!</v>
      </c>
      <c r="AF57" s="449" t="e">
        <f>+'RES.096 DE 2011'!Z245</f>
        <v>#REF!</v>
      </c>
      <c r="AG57" s="449" t="e">
        <f>+'RES.096 DE 2011'!AA245</f>
        <v>#REF!</v>
      </c>
      <c r="AH57" s="449" t="e">
        <f>+'RES.096 DE 2011'!AB245</f>
        <v>#REF!</v>
      </c>
      <c r="AI57" s="449" t="e">
        <f>+'RES.096 DE 2011'!AC245</f>
        <v>#REF!</v>
      </c>
      <c r="AJ57" s="449" t="e">
        <f t="shared" si="14"/>
        <v>#REF!</v>
      </c>
      <c r="AK57" s="444" t="e">
        <f t="shared" si="15"/>
        <v>#REF!</v>
      </c>
      <c r="AL57" s="444"/>
      <c r="AM57" s="444" t="e">
        <f>+#REF!</f>
        <v>#REF!</v>
      </c>
      <c r="AN57" s="444" t="e">
        <f t="shared" si="16"/>
        <v>#REF!</v>
      </c>
    </row>
    <row r="58" spans="1:40" ht="60" x14ac:dyDescent="0.2">
      <c r="A58" s="1186"/>
      <c r="B58" s="1364"/>
      <c r="C58" s="1186"/>
      <c r="D58" s="1364"/>
      <c r="E58" s="1360"/>
      <c r="F58" s="1186"/>
      <c r="G58" s="1186"/>
      <c r="H58" s="1186"/>
      <c r="I58" s="1188"/>
      <c r="J58" s="942" t="s">
        <v>3581</v>
      </c>
      <c r="K58" s="403">
        <v>0.6</v>
      </c>
      <c r="L58" s="919" t="s">
        <v>3582</v>
      </c>
      <c r="M58" s="409">
        <v>0.63</v>
      </c>
      <c r="N58" s="409">
        <v>0.7</v>
      </c>
      <c r="O58" s="409">
        <v>0.8</v>
      </c>
      <c r="P58" s="409">
        <v>0.85</v>
      </c>
      <c r="Q58" s="432">
        <v>25</v>
      </c>
      <c r="R58" s="432">
        <v>47</v>
      </c>
      <c r="S58" s="432">
        <v>50</v>
      </c>
      <c r="T58" s="432">
        <v>60</v>
      </c>
      <c r="U58" s="922">
        <f>Q58+R58+S58+T58</f>
        <v>182</v>
      </c>
      <c r="V58" s="926" t="s">
        <v>3626</v>
      </c>
      <c r="W58" s="449" t="e">
        <f>+'RES.096 DE 2011'!Q246</f>
        <v>#REF!</v>
      </c>
      <c r="X58" s="449" t="e">
        <f>+'RES.096 DE 2011'!R246</f>
        <v>#REF!</v>
      </c>
      <c r="Y58" s="449" t="e">
        <f>+'RES.096 DE 2011'!S246</f>
        <v>#REF!</v>
      </c>
      <c r="Z58" s="449" t="e">
        <f>+'RES.096 DE 2011'!T246</f>
        <v>#REF!</v>
      </c>
      <c r="AA58" s="449" t="e">
        <f>+'RES.096 DE 2011'!U246</f>
        <v>#REF!</v>
      </c>
      <c r="AB58" s="449" t="e">
        <f>+'RES.096 DE 2011'!V246</f>
        <v>#REF!</v>
      </c>
      <c r="AC58" s="449" t="e">
        <f>+'RES.096 DE 2011'!W246</f>
        <v>#REF!</v>
      </c>
      <c r="AD58" s="449" t="e">
        <f>+'RES.096 DE 2011'!X246</f>
        <v>#REF!</v>
      </c>
      <c r="AE58" s="449" t="e">
        <f>+'RES.096 DE 2011'!Y246</f>
        <v>#REF!</v>
      </c>
      <c r="AF58" s="449" t="e">
        <f>+'RES.096 DE 2011'!Z246</f>
        <v>#REF!</v>
      </c>
      <c r="AG58" s="449" t="e">
        <f>+'RES.096 DE 2011'!AA246</f>
        <v>#REF!</v>
      </c>
      <c r="AH58" s="449" t="e">
        <f>+'RES.096 DE 2011'!AB246</f>
        <v>#REF!</v>
      </c>
      <c r="AI58" s="449" t="e">
        <f>+'RES.096 DE 2011'!AC246</f>
        <v>#REF!</v>
      </c>
      <c r="AJ58" s="449" t="e">
        <f t="shared" si="14"/>
        <v>#REF!</v>
      </c>
      <c r="AK58" s="444" t="e">
        <f t="shared" si="15"/>
        <v>#REF!</v>
      </c>
      <c r="AL58" s="444"/>
      <c r="AM58" s="444" t="e">
        <f>+#REF!</f>
        <v>#REF!</v>
      </c>
      <c r="AN58" s="444" t="e">
        <f t="shared" si="16"/>
        <v>#REF!</v>
      </c>
    </row>
    <row r="59" spans="1:40" ht="60" x14ac:dyDescent="0.2">
      <c r="A59" s="1186"/>
      <c r="B59" s="1364"/>
      <c r="C59" s="1186"/>
      <c r="D59" s="1364"/>
      <c r="E59" s="1360"/>
      <c r="F59" s="1186"/>
      <c r="G59" s="1186"/>
      <c r="H59" s="1186"/>
      <c r="I59" s="1188"/>
      <c r="J59" s="942" t="s">
        <v>3583</v>
      </c>
      <c r="K59" s="403">
        <v>0.4</v>
      </c>
      <c r="L59" s="919" t="s">
        <v>3584</v>
      </c>
      <c r="M59" s="409">
        <v>0.45</v>
      </c>
      <c r="N59" s="409">
        <v>0.5</v>
      </c>
      <c r="O59" s="409">
        <v>0.55000000000000004</v>
      </c>
      <c r="P59" s="409">
        <v>0.6</v>
      </c>
      <c r="Q59" s="432">
        <v>20</v>
      </c>
      <c r="R59" s="432">
        <v>6</v>
      </c>
      <c r="S59" s="432">
        <v>40</v>
      </c>
      <c r="T59" s="432">
        <v>50</v>
      </c>
      <c r="U59" s="922">
        <f t="shared" ref="U59:U64" si="17">Q59+R59+S59+T59</f>
        <v>116</v>
      </c>
      <c r="V59" s="926" t="s">
        <v>3627</v>
      </c>
      <c r="W59" s="449" t="e">
        <f>+'RES.096 DE 2011'!Q247</f>
        <v>#REF!</v>
      </c>
      <c r="X59" s="449" t="e">
        <f>+'RES.096 DE 2011'!R247</f>
        <v>#REF!</v>
      </c>
      <c r="Y59" s="449" t="e">
        <f>+'RES.096 DE 2011'!S247</f>
        <v>#REF!</v>
      </c>
      <c r="Z59" s="449" t="e">
        <f>+'RES.096 DE 2011'!T247</f>
        <v>#REF!</v>
      </c>
      <c r="AA59" s="449" t="e">
        <f>+'RES.096 DE 2011'!U247</f>
        <v>#REF!</v>
      </c>
      <c r="AB59" s="449" t="e">
        <f>+'RES.096 DE 2011'!V247</f>
        <v>#REF!</v>
      </c>
      <c r="AC59" s="449" t="e">
        <f>+'RES.096 DE 2011'!W247</f>
        <v>#REF!</v>
      </c>
      <c r="AD59" s="449" t="e">
        <f>+'RES.096 DE 2011'!X247</f>
        <v>#REF!</v>
      </c>
      <c r="AE59" s="449" t="e">
        <f>+'RES.096 DE 2011'!Y247</f>
        <v>#REF!</v>
      </c>
      <c r="AF59" s="449" t="e">
        <f>+'RES.096 DE 2011'!Z247</f>
        <v>#REF!</v>
      </c>
      <c r="AG59" s="449" t="e">
        <f>+'RES.096 DE 2011'!AA247</f>
        <v>#REF!</v>
      </c>
      <c r="AH59" s="449" t="e">
        <f>+'RES.096 DE 2011'!AB247</f>
        <v>#REF!</v>
      </c>
      <c r="AI59" s="449" t="e">
        <f>+'RES.096 DE 2011'!AC247</f>
        <v>#REF!</v>
      </c>
      <c r="AJ59" s="449" t="e">
        <f t="shared" si="14"/>
        <v>#REF!</v>
      </c>
      <c r="AK59" s="444" t="e">
        <f t="shared" si="15"/>
        <v>#REF!</v>
      </c>
      <c r="AL59" s="444"/>
      <c r="AM59" s="444" t="e">
        <f>+#REF!</f>
        <v>#REF!</v>
      </c>
      <c r="AN59" s="444" t="e">
        <f t="shared" si="16"/>
        <v>#REF!</v>
      </c>
    </row>
    <row r="60" spans="1:40" ht="72" customHeight="1" x14ac:dyDescent="0.2">
      <c r="A60" s="1186"/>
      <c r="B60" s="1364"/>
      <c r="C60" s="1186"/>
      <c r="D60" s="1364"/>
      <c r="E60" s="1360"/>
      <c r="F60" s="1186"/>
      <c r="G60" s="1186"/>
      <c r="H60" s="1186"/>
      <c r="I60" s="1188"/>
      <c r="J60" s="942" t="s">
        <v>3585</v>
      </c>
      <c r="K60" s="403">
        <v>0.3</v>
      </c>
      <c r="L60" s="919" t="s">
        <v>3586</v>
      </c>
      <c r="M60" s="409">
        <v>0.35</v>
      </c>
      <c r="N60" s="409">
        <v>0.4</v>
      </c>
      <c r="O60" s="409">
        <v>0.45</v>
      </c>
      <c r="P60" s="409">
        <v>0.5</v>
      </c>
      <c r="Q60" s="432">
        <v>10</v>
      </c>
      <c r="R60" s="432">
        <v>0</v>
      </c>
      <c r="S60" s="432">
        <v>20</v>
      </c>
      <c r="T60" s="432">
        <v>25</v>
      </c>
      <c r="U60" s="922">
        <f t="shared" si="17"/>
        <v>55</v>
      </c>
      <c r="V60" s="926" t="s">
        <v>3628</v>
      </c>
      <c r="W60" s="449" t="e">
        <f>+'RES.096 DE 2011'!Q248</f>
        <v>#REF!</v>
      </c>
      <c r="X60" s="449" t="e">
        <f>+'RES.096 DE 2011'!R248</f>
        <v>#REF!</v>
      </c>
      <c r="Y60" s="449" t="e">
        <f>+'RES.096 DE 2011'!S248</f>
        <v>#REF!</v>
      </c>
      <c r="Z60" s="449" t="e">
        <f>+'RES.096 DE 2011'!T248</f>
        <v>#REF!</v>
      </c>
      <c r="AA60" s="449" t="e">
        <f>+'RES.096 DE 2011'!U248</f>
        <v>#REF!</v>
      </c>
      <c r="AB60" s="449" t="e">
        <f>+'RES.096 DE 2011'!V248</f>
        <v>#REF!</v>
      </c>
      <c r="AC60" s="449" t="e">
        <f>+'RES.096 DE 2011'!W248</f>
        <v>#REF!</v>
      </c>
      <c r="AD60" s="449" t="e">
        <f>+'RES.096 DE 2011'!X248</f>
        <v>#REF!</v>
      </c>
      <c r="AE60" s="449" t="e">
        <f>+'RES.096 DE 2011'!Y248</f>
        <v>#REF!</v>
      </c>
      <c r="AF60" s="449" t="e">
        <f>+'RES.096 DE 2011'!Z248</f>
        <v>#REF!</v>
      </c>
      <c r="AG60" s="449" t="e">
        <f>+'RES.096 DE 2011'!AA248</f>
        <v>#REF!</v>
      </c>
      <c r="AH60" s="449" t="e">
        <f>+'RES.096 DE 2011'!AB248</f>
        <v>#REF!</v>
      </c>
      <c r="AI60" s="449" t="e">
        <f>+'RES.096 DE 2011'!AC248</f>
        <v>#REF!</v>
      </c>
      <c r="AJ60" s="449" t="e">
        <f t="shared" si="14"/>
        <v>#REF!</v>
      </c>
      <c r="AK60" s="444" t="e">
        <f t="shared" si="15"/>
        <v>#REF!</v>
      </c>
      <c r="AL60" s="444"/>
      <c r="AM60" s="444" t="e">
        <f>+#REF!</f>
        <v>#REF!</v>
      </c>
      <c r="AN60" s="444" t="e">
        <f t="shared" si="16"/>
        <v>#REF!</v>
      </c>
    </row>
    <row r="61" spans="1:40" ht="75" x14ac:dyDescent="0.2">
      <c r="A61" s="1186"/>
      <c r="B61" s="1364"/>
      <c r="C61" s="1186"/>
      <c r="D61" s="1364"/>
      <c r="E61" s="1360"/>
      <c r="F61" s="1186"/>
      <c r="G61" s="1186"/>
      <c r="H61" s="1186"/>
      <c r="I61" s="1188"/>
      <c r="J61" s="942" t="s">
        <v>3587</v>
      </c>
      <c r="K61" s="919">
        <v>662</v>
      </c>
      <c r="L61" s="919" t="s">
        <v>3588</v>
      </c>
      <c r="M61" s="401">
        <v>680</v>
      </c>
      <c r="N61" s="401">
        <v>750</v>
      </c>
      <c r="O61" s="401">
        <v>850</v>
      </c>
      <c r="P61" s="401">
        <v>1000</v>
      </c>
      <c r="Q61" s="432">
        <v>500</v>
      </c>
      <c r="R61" s="432">
        <v>550</v>
      </c>
      <c r="S61" s="432">
        <v>600</v>
      </c>
      <c r="T61" s="432">
        <v>700</v>
      </c>
      <c r="U61" s="922">
        <f t="shared" si="17"/>
        <v>2350</v>
      </c>
      <c r="V61" s="926" t="s">
        <v>3629</v>
      </c>
      <c r="W61" s="449" t="e">
        <f>+'RES.096 DE 2011'!Q249</f>
        <v>#REF!</v>
      </c>
      <c r="X61" s="449" t="e">
        <f>+'RES.096 DE 2011'!R249</f>
        <v>#REF!</v>
      </c>
      <c r="Y61" s="449" t="e">
        <f>+'RES.096 DE 2011'!S249</f>
        <v>#REF!</v>
      </c>
      <c r="Z61" s="449" t="e">
        <f>+'RES.096 DE 2011'!T249</f>
        <v>#REF!</v>
      </c>
      <c r="AA61" s="449" t="e">
        <f>+'RES.096 DE 2011'!U249</f>
        <v>#REF!</v>
      </c>
      <c r="AB61" s="449" t="e">
        <f>+'RES.096 DE 2011'!V249</f>
        <v>#REF!</v>
      </c>
      <c r="AC61" s="449" t="e">
        <f>+'RES.096 DE 2011'!W249</f>
        <v>#REF!</v>
      </c>
      <c r="AD61" s="449" t="e">
        <f>+'RES.096 DE 2011'!X249</f>
        <v>#REF!</v>
      </c>
      <c r="AE61" s="449" t="e">
        <f>+'RES.096 DE 2011'!Y249</f>
        <v>#REF!</v>
      </c>
      <c r="AF61" s="449" t="e">
        <f>+'RES.096 DE 2011'!Z249</f>
        <v>#REF!</v>
      </c>
      <c r="AG61" s="449" t="e">
        <f>+'RES.096 DE 2011'!AA249</f>
        <v>#REF!</v>
      </c>
      <c r="AH61" s="449" t="e">
        <f>+'RES.096 DE 2011'!AB249</f>
        <v>#REF!</v>
      </c>
      <c r="AI61" s="449" t="e">
        <f>+'RES.096 DE 2011'!AC249</f>
        <v>#REF!</v>
      </c>
      <c r="AJ61" s="449" t="e">
        <f t="shared" si="14"/>
        <v>#REF!</v>
      </c>
      <c r="AK61" s="444" t="e">
        <f t="shared" si="15"/>
        <v>#REF!</v>
      </c>
      <c r="AL61" s="444"/>
      <c r="AM61" s="444" t="e">
        <f>+#REF!</f>
        <v>#REF!</v>
      </c>
      <c r="AN61" s="444" t="e">
        <f t="shared" si="16"/>
        <v>#REF!</v>
      </c>
    </row>
    <row r="62" spans="1:40" ht="90" x14ac:dyDescent="0.2">
      <c r="A62" s="917"/>
      <c r="B62" s="920"/>
      <c r="C62" s="917"/>
      <c r="D62" s="920"/>
      <c r="E62" s="921"/>
      <c r="F62" s="917"/>
      <c r="G62" s="917"/>
      <c r="H62" s="917"/>
      <c r="I62" s="435" t="s">
        <v>3724</v>
      </c>
      <c r="J62" s="942" t="s">
        <v>3594</v>
      </c>
      <c r="K62" s="919">
        <v>0</v>
      </c>
      <c r="L62" s="919" t="s">
        <v>3595</v>
      </c>
      <c r="M62" s="409">
        <v>0.9</v>
      </c>
      <c r="N62" s="409">
        <v>0.9</v>
      </c>
      <c r="O62" s="409">
        <v>0.9</v>
      </c>
      <c r="P62" s="409">
        <v>0.9</v>
      </c>
      <c r="Q62" s="432">
        <v>35</v>
      </c>
      <c r="R62" s="432">
        <v>40</v>
      </c>
      <c r="S62" s="432">
        <v>35</v>
      </c>
      <c r="T62" s="432">
        <v>35</v>
      </c>
      <c r="U62" s="922">
        <f>Q62+R62+S62+T62</f>
        <v>145</v>
      </c>
      <c r="V62" s="926">
        <v>622</v>
      </c>
      <c r="W62" s="449" t="e">
        <f>+'RES.096 DE 2011'!Q252</f>
        <v>#REF!</v>
      </c>
      <c r="X62" s="449" t="e">
        <f>+'RES.096 DE 2011'!R252</f>
        <v>#REF!</v>
      </c>
      <c r="Y62" s="449" t="e">
        <f>+'RES.096 DE 2011'!S252</f>
        <v>#REF!</v>
      </c>
      <c r="Z62" s="449" t="e">
        <f>+'RES.096 DE 2011'!T252</f>
        <v>#REF!</v>
      </c>
      <c r="AA62" s="449" t="e">
        <f>+'RES.096 DE 2011'!U252</f>
        <v>#REF!</v>
      </c>
      <c r="AB62" s="449" t="e">
        <f>+'RES.096 DE 2011'!V252</f>
        <v>#REF!</v>
      </c>
      <c r="AC62" s="449" t="e">
        <f>+'RES.096 DE 2011'!W252</f>
        <v>#REF!</v>
      </c>
      <c r="AD62" s="449" t="e">
        <f>+'RES.096 DE 2011'!X252</f>
        <v>#REF!</v>
      </c>
      <c r="AE62" s="449" t="e">
        <f>+'RES.096 DE 2011'!Y252</f>
        <v>#REF!</v>
      </c>
      <c r="AF62" s="449" t="e">
        <f>+'RES.096 DE 2011'!Z252</f>
        <v>#REF!</v>
      </c>
      <c r="AG62" s="449" t="e">
        <f>+'RES.096 DE 2011'!AA252</f>
        <v>#REF!</v>
      </c>
      <c r="AH62" s="449" t="e">
        <f>+'RES.096 DE 2011'!AB252</f>
        <v>#REF!</v>
      </c>
      <c r="AI62" s="449" t="e">
        <f>+'RES.096 DE 2011'!AC252</f>
        <v>#REF!</v>
      </c>
      <c r="AJ62" s="449" t="e">
        <f t="shared" si="14"/>
        <v>#REF!</v>
      </c>
      <c r="AK62" s="444" t="e">
        <f t="shared" si="15"/>
        <v>#REF!</v>
      </c>
      <c r="AL62" s="444"/>
      <c r="AM62" s="444"/>
      <c r="AN62" s="444" t="e">
        <f t="shared" si="16"/>
        <v>#REF!</v>
      </c>
    </row>
    <row r="63" spans="1:40" ht="120" x14ac:dyDescent="0.2">
      <c r="A63" s="1188">
        <v>6</v>
      </c>
      <c r="B63" s="1396" t="s">
        <v>3569</v>
      </c>
      <c r="C63" s="1188" t="s">
        <v>3570</v>
      </c>
      <c r="D63" s="1365" t="s">
        <v>434</v>
      </c>
      <c r="E63" s="1450" t="s">
        <v>3577</v>
      </c>
      <c r="F63" s="1188" t="s">
        <v>3578</v>
      </c>
      <c r="G63" s="1188" t="s">
        <v>3579</v>
      </c>
      <c r="H63" s="1188" t="s">
        <v>3580</v>
      </c>
      <c r="I63" s="1188" t="s">
        <v>3725</v>
      </c>
      <c r="J63" s="942" t="s">
        <v>3590</v>
      </c>
      <c r="K63" s="403">
        <v>0.1</v>
      </c>
      <c r="L63" s="919" t="s">
        <v>3591</v>
      </c>
      <c r="M63" s="409">
        <v>0.2</v>
      </c>
      <c r="N63" s="409">
        <v>0.3</v>
      </c>
      <c r="O63" s="409">
        <v>0.4</v>
      </c>
      <c r="P63" s="409">
        <v>0.5</v>
      </c>
      <c r="Q63" s="432">
        <v>40</v>
      </c>
      <c r="R63" s="432">
        <v>67</v>
      </c>
      <c r="S63" s="432">
        <v>80</v>
      </c>
      <c r="T63" s="432">
        <v>100</v>
      </c>
      <c r="U63" s="922">
        <f t="shared" si="17"/>
        <v>287</v>
      </c>
      <c r="V63" s="926" t="s">
        <v>3631</v>
      </c>
      <c r="W63" s="449" t="e">
        <f>+'RES.096 DE 2011'!Q253</f>
        <v>#REF!</v>
      </c>
      <c r="X63" s="449" t="e">
        <f>+'RES.096 DE 2011'!R253</f>
        <v>#REF!</v>
      </c>
      <c r="Y63" s="449" t="e">
        <f>+'RES.096 DE 2011'!S253</f>
        <v>#REF!</v>
      </c>
      <c r="Z63" s="449" t="e">
        <f>+'RES.096 DE 2011'!T253</f>
        <v>#REF!</v>
      </c>
      <c r="AA63" s="449" t="e">
        <f>+'RES.096 DE 2011'!U253</f>
        <v>#REF!</v>
      </c>
      <c r="AB63" s="449" t="e">
        <f>+'RES.096 DE 2011'!V253</f>
        <v>#REF!</v>
      </c>
      <c r="AC63" s="449" t="e">
        <f>+'RES.096 DE 2011'!W253</f>
        <v>#REF!</v>
      </c>
      <c r="AD63" s="449" t="e">
        <f>+'RES.096 DE 2011'!X253</f>
        <v>#REF!</v>
      </c>
      <c r="AE63" s="449" t="e">
        <f>+'RES.096 DE 2011'!Y253</f>
        <v>#REF!</v>
      </c>
      <c r="AF63" s="449" t="e">
        <f>+'RES.096 DE 2011'!Z253</f>
        <v>#REF!</v>
      </c>
      <c r="AG63" s="449" t="e">
        <f>+'RES.096 DE 2011'!AA253</f>
        <v>#REF!</v>
      </c>
      <c r="AH63" s="449" t="e">
        <f>+'RES.096 DE 2011'!AB253</f>
        <v>#REF!</v>
      </c>
      <c r="AI63" s="449" t="e">
        <f>+'RES.096 DE 2011'!AC253</f>
        <v>#REF!</v>
      </c>
      <c r="AJ63" s="449" t="e">
        <f t="shared" si="14"/>
        <v>#REF!</v>
      </c>
      <c r="AK63" s="444" t="e">
        <f t="shared" si="15"/>
        <v>#REF!</v>
      </c>
      <c r="AL63" s="444"/>
      <c r="AM63" s="444"/>
      <c r="AN63" s="444" t="e">
        <f t="shared" si="16"/>
        <v>#REF!</v>
      </c>
    </row>
    <row r="64" spans="1:40" ht="105" x14ac:dyDescent="0.2">
      <c r="A64" s="1188"/>
      <c r="B64" s="1396"/>
      <c r="C64" s="1188"/>
      <c r="D64" s="1365"/>
      <c r="E64" s="1450"/>
      <c r="F64" s="1188"/>
      <c r="G64" s="1188"/>
      <c r="H64" s="1188"/>
      <c r="I64" s="1188"/>
      <c r="J64" s="919" t="s">
        <v>3592</v>
      </c>
      <c r="K64" s="919">
        <v>45</v>
      </c>
      <c r="L64" s="919" t="s">
        <v>3593</v>
      </c>
      <c r="M64" s="401">
        <v>50</v>
      </c>
      <c r="N64" s="401">
        <v>50</v>
      </c>
      <c r="O64" s="401">
        <v>50</v>
      </c>
      <c r="P64" s="401">
        <v>50</v>
      </c>
      <c r="Q64" s="432">
        <v>200</v>
      </c>
      <c r="R64" s="432">
        <f>133+97</f>
        <v>230</v>
      </c>
      <c r="S64" s="432">
        <v>200</v>
      </c>
      <c r="T64" s="432">
        <v>200</v>
      </c>
      <c r="U64" s="486">
        <f t="shared" si="17"/>
        <v>830</v>
      </c>
      <c r="V64" s="928" t="s">
        <v>3632</v>
      </c>
      <c r="W64" s="449" t="e">
        <f>SUM('RES.096 DE 2011'!Q254:Q255)</f>
        <v>#REF!</v>
      </c>
      <c r="X64" s="449" t="e">
        <f>SUM('RES.096 DE 2011'!R254:R255)</f>
        <v>#REF!</v>
      </c>
      <c r="Y64" s="449" t="e">
        <f>SUM('RES.096 DE 2011'!S254:S255)</f>
        <v>#REF!</v>
      </c>
      <c r="Z64" s="449" t="e">
        <f>SUM('RES.096 DE 2011'!T254:T255)</f>
        <v>#REF!</v>
      </c>
      <c r="AA64" s="449" t="e">
        <f>SUM('RES.096 DE 2011'!U254:U255)</f>
        <v>#REF!</v>
      </c>
      <c r="AB64" s="449" t="e">
        <f>SUM('RES.096 DE 2011'!V254:V255)</f>
        <v>#REF!</v>
      </c>
      <c r="AC64" s="449" t="e">
        <f>SUM('RES.096 DE 2011'!W254:W255)</f>
        <v>#REF!</v>
      </c>
      <c r="AD64" s="449" t="e">
        <f>SUM('RES.096 DE 2011'!X254:X255)</f>
        <v>#REF!</v>
      </c>
      <c r="AE64" s="449" t="e">
        <f>SUM('RES.096 DE 2011'!Y254:Y255)</f>
        <v>#REF!</v>
      </c>
      <c r="AF64" s="449" t="e">
        <f>SUM('RES.096 DE 2011'!Z254:Z255)</f>
        <v>#REF!</v>
      </c>
      <c r="AG64" s="449" t="e">
        <f>SUM('RES.096 DE 2011'!AA254:AA255)</f>
        <v>#REF!</v>
      </c>
      <c r="AH64" s="449" t="e">
        <f>SUM('RES.096 DE 2011'!AB254:AB255)</f>
        <v>#REF!</v>
      </c>
      <c r="AI64" s="449" t="e">
        <f>SUM('RES.096 DE 2011'!AC254:AC255)</f>
        <v>#REF!</v>
      </c>
      <c r="AJ64" s="449" t="e">
        <f t="shared" si="14"/>
        <v>#REF!</v>
      </c>
      <c r="AK64" s="444" t="e">
        <f t="shared" si="15"/>
        <v>#REF!</v>
      </c>
      <c r="AL64" s="444"/>
      <c r="AM64" s="444" t="e">
        <f>SUM(#REF!)</f>
        <v>#REF!</v>
      </c>
      <c r="AN64" s="444" t="e">
        <f t="shared" si="16"/>
        <v>#REF!</v>
      </c>
    </row>
    <row r="65" spans="1:40" ht="18" customHeight="1" x14ac:dyDescent="0.25">
      <c r="A65" s="466"/>
      <c r="B65" s="466"/>
      <c r="C65" s="466"/>
      <c r="D65" s="466"/>
      <c r="E65" s="466"/>
      <c r="F65" s="466"/>
      <c r="G65" s="466"/>
      <c r="H65" s="466"/>
      <c r="I65" s="466"/>
      <c r="J65" s="466"/>
      <c r="K65" s="466"/>
      <c r="L65" s="466"/>
      <c r="M65" s="1345" t="s">
        <v>695</v>
      </c>
      <c r="N65" s="1346"/>
      <c r="O65" s="1346"/>
      <c r="P65" s="1347"/>
      <c r="Q65" s="407">
        <f>SUM(Q54:Q64)</f>
        <v>1075</v>
      </c>
      <c r="R65" s="407">
        <f>SUM(R54:R64)</f>
        <v>1267</v>
      </c>
      <c r="S65" s="407">
        <f>SUM(S54:S64)</f>
        <v>1405</v>
      </c>
      <c r="T65" s="407">
        <f>SUM(T54:T64)</f>
        <v>1605</v>
      </c>
      <c r="U65" s="407">
        <f>SUM(U54:U64)</f>
        <v>5352</v>
      </c>
      <c r="V65" s="926"/>
      <c r="W65" s="407" t="e">
        <f>SUM(W54:W64)</f>
        <v>#REF!</v>
      </c>
      <c r="X65" s="933" t="e">
        <f>SUM(X54:X64)</f>
        <v>#REF!</v>
      </c>
      <c r="Y65" s="407" t="e">
        <f t="shared" ref="Y65:AJ65" si="18">SUM(Y54:Y64)</f>
        <v>#REF!</v>
      </c>
      <c r="Z65" s="407" t="e">
        <f t="shared" si="18"/>
        <v>#REF!</v>
      </c>
      <c r="AA65" s="407" t="e">
        <f t="shared" si="18"/>
        <v>#REF!</v>
      </c>
      <c r="AB65" s="407" t="e">
        <f t="shared" si="18"/>
        <v>#REF!</v>
      </c>
      <c r="AC65" s="407" t="e">
        <f t="shared" si="18"/>
        <v>#REF!</v>
      </c>
      <c r="AD65" s="407" t="e">
        <f t="shared" si="18"/>
        <v>#REF!</v>
      </c>
      <c r="AE65" s="407" t="e">
        <f t="shared" si="18"/>
        <v>#REF!</v>
      </c>
      <c r="AF65" s="407"/>
      <c r="AG65" s="407"/>
      <c r="AH65" s="407" t="e">
        <f t="shared" si="18"/>
        <v>#REF!</v>
      </c>
      <c r="AI65" s="407"/>
      <c r="AJ65" s="407" t="e">
        <f t="shared" si="18"/>
        <v>#REF!</v>
      </c>
      <c r="AK65" s="407" t="e">
        <f>SUM(AK54:AK64)</f>
        <v>#REF!</v>
      </c>
      <c r="AL65" s="407">
        <f>SUM(AL54:AL64)</f>
        <v>0</v>
      </c>
      <c r="AM65" s="407" t="e">
        <f>SUM(AM54:AM64)</f>
        <v>#REF!</v>
      </c>
      <c r="AN65" s="407" t="e">
        <f>SUM(AN54:AN64)</f>
        <v>#REF!</v>
      </c>
    </row>
    <row r="66" spans="1:40" ht="22.5" customHeight="1" x14ac:dyDescent="0.25">
      <c r="A66" s="398"/>
      <c r="B66" s="456"/>
      <c r="C66" s="398"/>
      <c r="D66" s="396"/>
      <c r="E66" s="396"/>
      <c r="F66" s="396"/>
      <c r="G66" s="396"/>
      <c r="H66" s="398"/>
      <c r="I66" s="398"/>
      <c r="J66" s="396"/>
      <c r="K66" s="396"/>
      <c r="L66" s="457"/>
      <c r="M66" s="416"/>
      <c r="N66" s="416"/>
      <c r="O66" s="416"/>
      <c r="P66" s="417"/>
      <c r="Q66" s="417"/>
      <c r="R66" s="417"/>
      <c r="S66" s="417"/>
      <c r="T66" s="416"/>
      <c r="U66" s="484"/>
      <c r="V66" s="556"/>
      <c r="W66" s="935"/>
      <c r="X66" s="489"/>
      <c r="Y66" s="489"/>
      <c r="Z66" s="489"/>
      <c r="AA66" s="489"/>
      <c r="AB66" s="489"/>
      <c r="AC66" s="489"/>
      <c r="AD66" s="489"/>
      <c r="AE66" s="489"/>
      <c r="AF66" s="489"/>
      <c r="AG66" s="489"/>
      <c r="AH66" s="489"/>
      <c r="AI66" s="489"/>
      <c r="AJ66" s="489"/>
      <c r="AK66" s="935"/>
      <c r="AL66" s="935"/>
      <c r="AM66" s="935"/>
      <c r="AN66" s="935"/>
    </row>
    <row r="67" spans="1:40" ht="108" x14ac:dyDescent="0.2">
      <c r="A67" s="1188">
        <v>7</v>
      </c>
      <c r="B67" s="1365" t="s">
        <v>3598</v>
      </c>
      <c r="C67" s="1188" t="s">
        <v>3599</v>
      </c>
      <c r="D67" s="1365" t="s">
        <v>3600</v>
      </c>
      <c r="E67" s="1394" t="s">
        <v>3577</v>
      </c>
      <c r="F67" s="1188" t="s">
        <v>3674</v>
      </c>
      <c r="G67" s="1188" t="s">
        <v>3675</v>
      </c>
      <c r="H67" s="1188" t="s">
        <v>3676</v>
      </c>
      <c r="I67" s="1185" t="s">
        <v>3726</v>
      </c>
      <c r="J67" s="916" t="s">
        <v>3730</v>
      </c>
      <c r="K67" s="916">
        <v>0</v>
      </c>
      <c r="L67" s="916" t="s">
        <v>2887</v>
      </c>
      <c r="M67" s="400">
        <v>0</v>
      </c>
      <c r="N67" s="435" t="s">
        <v>3601</v>
      </c>
      <c r="O67" s="435" t="s">
        <v>3602</v>
      </c>
      <c r="P67" s="435" t="s">
        <v>3602</v>
      </c>
      <c r="Q67" s="405">
        <v>25</v>
      </c>
      <c r="R67" s="405">
        <v>110</v>
      </c>
      <c r="S67" s="405">
        <v>110</v>
      </c>
      <c r="T67" s="405">
        <v>0</v>
      </c>
      <c r="U67" s="486">
        <f t="shared" ref="U67:U72" si="19">Q67+R67+S67+T67</f>
        <v>245</v>
      </c>
      <c r="V67" s="926" t="s">
        <v>3634</v>
      </c>
      <c r="W67" s="449" t="e">
        <f>+'RES.096 DE 2011'!Q264</f>
        <v>#REF!</v>
      </c>
      <c r="X67" s="449" t="e">
        <f>+'RES.096 DE 2011'!R264</f>
        <v>#REF!</v>
      </c>
      <c r="Y67" s="449" t="e">
        <f>+'RES.096 DE 2011'!S264</f>
        <v>#REF!</v>
      </c>
      <c r="Z67" s="449" t="e">
        <f>+'RES.096 DE 2011'!T264</f>
        <v>#REF!</v>
      </c>
      <c r="AA67" s="449" t="e">
        <f>+'RES.096 DE 2011'!U264</f>
        <v>#REF!</v>
      </c>
      <c r="AB67" s="449" t="e">
        <f>+'RES.096 DE 2011'!V264</f>
        <v>#REF!</v>
      </c>
      <c r="AC67" s="449" t="e">
        <f>+'RES.096 DE 2011'!W264</f>
        <v>#REF!</v>
      </c>
      <c r="AD67" s="449" t="e">
        <f>+'RES.096 DE 2011'!X264</f>
        <v>#REF!</v>
      </c>
      <c r="AE67" s="449" t="e">
        <f>+'RES.096 DE 2011'!Y264</f>
        <v>#REF!</v>
      </c>
      <c r="AF67" s="449" t="e">
        <f>+'RES.096 DE 2011'!Z264</f>
        <v>#REF!</v>
      </c>
      <c r="AG67" s="449" t="e">
        <f>+'RES.096 DE 2011'!AA264</f>
        <v>#REF!</v>
      </c>
      <c r="AH67" s="449" t="e">
        <f>+'RES.096 DE 2011'!AB264</f>
        <v>#REF!</v>
      </c>
      <c r="AI67" s="449" t="e">
        <f>+'RES.096 DE 2011'!AC264</f>
        <v>#REF!</v>
      </c>
      <c r="AJ67" s="449" t="e">
        <f t="shared" ref="AJ67:AJ72" si="20">SUM(X67:AI67)</f>
        <v>#REF!</v>
      </c>
      <c r="AK67" s="444" t="e">
        <f t="shared" ref="AK67:AK72" si="21">+S67*1000000-W67</f>
        <v>#REF!</v>
      </c>
      <c r="AL67" s="444"/>
      <c r="AM67" s="444"/>
      <c r="AN67" s="444" t="e">
        <f t="shared" ref="AN67:AN72" si="22">+W67+AL67+AM67</f>
        <v>#REF!</v>
      </c>
    </row>
    <row r="68" spans="1:40" ht="60" x14ac:dyDescent="0.2">
      <c r="A68" s="1188"/>
      <c r="B68" s="1365"/>
      <c r="C68" s="1188"/>
      <c r="D68" s="1365"/>
      <c r="E68" s="1395"/>
      <c r="F68" s="1188"/>
      <c r="G68" s="1188"/>
      <c r="H68" s="1188"/>
      <c r="I68" s="1187"/>
      <c r="J68" s="916" t="s">
        <v>3603</v>
      </c>
      <c r="K68" s="916">
        <v>0</v>
      </c>
      <c r="L68" s="916" t="s">
        <v>3604</v>
      </c>
      <c r="M68" s="400">
        <v>0</v>
      </c>
      <c r="N68" s="400">
        <v>1</v>
      </c>
      <c r="O68" s="400">
        <v>0</v>
      </c>
      <c r="P68" s="400">
        <v>0</v>
      </c>
      <c r="Q68" s="405">
        <v>30</v>
      </c>
      <c r="R68" s="405">
        <v>50</v>
      </c>
      <c r="S68" s="405">
        <v>80</v>
      </c>
      <c r="T68" s="405">
        <v>140</v>
      </c>
      <c r="U68" s="440">
        <f t="shared" si="19"/>
        <v>300</v>
      </c>
      <c r="V68" s="926" t="s">
        <v>3635</v>
      </c>
      <c r="W68" s="442"/>
      <c r="X68" s="930"/>
      <c r="Y68" s="449"/>
      <c r="Z68" s="449"/>
      <c r="AA68" s="449"/>
      <c r="AB68" s="449"/>
      <c r="AC68" s="449"/>
      <c r="AD68" s="449"/>
      <c r="AE68" s="449"/>
      <c r="AF68" s="449"/>
      <c r="AG68" s="449"/>
      <c r="AH68" s="449"/>
      <c r="AI68" s="449"/>
      <c r="AJ68" s="449">
        <f t="shared" si="20"/>
        <v>0</v>
      </c>
      <c r="AK68" s="444">
        <f t="shared" si="21"/>
        <v>80000000</v>
      </c>
      <c r="AL68" s="444"/>
      <c r="AM68" s="444"/>
      <c r="AN68" s="444">
        <f t="shared" si="22"/>
        <v>0</v>
      </c>
    </row>
    <row r="69" spans="1:40" ht="60" x14ac:dyDescent="0.2">
      <c r="A69" s="1188"/>
      <c r="B69" s="1365"/>
      <c r="C69" s="1188"/>
      <c r="D69" s="1396" t="s">
        <v>3605</v>
      </c>
      <c r="E69" s="1362" t="s">
        <v>3667</v>
      </c>
      <c r="F69" s="1188" t="s">
        <v>3698</v>
      </c>
      <c r="G69" s="1188" t="s">
        <v>3677</v>
      </c>
      <c r="H69" s="1188" t="s">
        <v>3678</v>
      </c>
      <c r="I69" s="1185" t="s">
        <v>3727</v>
      </c>
      <c r="J69" s="916" t="s">
        <v>3693</v>
      </c>
      <c r="K69" s="916">
        <v>0</v>
      </c>
      <c r="L69" s="916" t="s">
        <v>3606</v>
      </c>
      <c r="M69" s="924">
        <v>10</v>
      </c>
      <c r="N69" s="924">
        <v>10</v>
      </c>
      <c r="O69" s="924">
        <v>5</v>
      </c>
      <c r="P69" s="924">
        <v>5</v>
      </c>
      <c r="Q69" s="430">
        <v>500</v>
      </c>
      <c r="R69" s="430">
        <f>15+32+8</f>
        <v>55</v>
      </c>
      <c r="S69" s="430">
        <v>50</v>
      </c>
      <c r="T69" s="430">
        <v>50</v>
      </c>
      <c r="U69" s="440">
        <f t="shared" si="19"/>
        <v>655</v>
      </c>
      <c r="V69" s="928" t="s">
        <v>4117</v>
      </c>
      <c r="W69" s="449" t="e">
        <f>SUM('RES.096 DE 2011'!Q270:Q273)</f>
        <v>#REF!</v>
      </c>
      <c r="X69" s="449" t="e">
        <f>SUM('RES.096 DE 2011'!R270:R273)</f>
        <v>#REF!</v>
      </c>
      <c r="Y69" s="449" t="e">
        <f>SUM('RES.096 DE 2011'!S270:S273)</f>
        <v>#REF!</v>
      </c>
      <c r="Z69" s="449" t="e">
        <f>SUM('RES.096 DE 2011'!T270:T273)</f>
        <v>#REF!</v>
      </c>
      <c r="AA69" s="449" t="e">
        <f>SUM('RES.096 DE 2011'!U270:U273)</f>
        <v>#REF!</v>
      </c>
      <c r="AB69" s="449" t="e">
        <f>SUM('RES.096 DE 2011'!V270:V273)</f>
        <v>#REF!</v>
      </c>
      <c r="AC69" s="449" t="e">
        <f>SUM('RES.096 DE 2011'!W270:W273)</f>
        <v>#REF!</v>
      </c>
      <c r="AD69" s="449" t="e">
        <f>SUM('RES.096 DE 2011'!X270:X273)</f>
        <v>#REF!</v>
      </c>
      <c r="AE69" s="449" t="e">
        <f>SUM('RES.096 DE 2011'!Y270:Y273)</f>
        <v>#REF!</v>
      </c>
      <c r="AF69" s="449" t="e">
        <f>SUM('RES.096 DE 2011'!Z270:Z273)</f>
        <v>#REF!</v>
      </c>
      <c r="AG69" s="449" t="e">
        <f>SUM('RES.096 DE 2011'!AA270:AA273)</f>
        <v>#REF!</v>
      </c>
      <c r="AH69" s="449" t="e">
        <f>SUM('RES.096 DE 2011'!AB270:AB273)</f>
        <v>#REF!</v>
      </c>
      <c r="AI69" s="449" t="e">
        <f>SUM('RES.096 DE 2011'!AC270:AC273)</f>
        <v>#REF!</v>
      </c>
      <c r="AJ69" s="449" t="e">
        <f t="shared" si="20"/>
        <v>#REF!</v>
      </c>
      <c r="AK69" s="444" t="e">
        <f t="shared" si="21"/>
        <v>#REF!</v>
      </c>
      <c r="AL69" s="444"/>
      <c r="AM69" s="444"/>
      <c r="AN69" s="444" t="e">
        <f t="shared" si="22"/>
        <v>#REF!</v>
      </c>
    </row>
    <row r="70" spans="1:40" ht="60" x14ac:dyDescent="0.2">
      <c r="A70" s="1188"/>
      <c r="B70" s="1365"/>
      <c r="C70" s="1188"/>
      <c r="D70" s="1396"/>
      <c r="E70" s="1360"/>
      <c r="F70" s="1188"/>
      <c r="G70" s="1188"/>
      <c r="H70" s="1188"/>
      <c r="I70" s="1186"/>
      <c r="J70" s="941" t="s">
        <v>3679</v>
      </c>
      <c r="K70" s="916">
        <v>0</v>
      </c>
      <c r="L70" s="916" t="s">
        <v>3608</v>
      </c>
      <c r="M70" s="400">
        <v>0</v>
      </c>
      <c r="N70" s="400">
        <v>1</v>
      </c>
      <c r="O70" s="400">
        <v>0</v>
      </c>
      <c r="P70" s="400">
        <v>0</v>
      </c>
      <c r="Q70" s="405">
        <v>50</v>
      </c>
      <c r="R70" s="405">
        <v>0</v>
      </c>
      <c r="S70" s="405">
        <v>0</v>
      </c>
      <c r="T70" s="405">
        <v>0</v>
      </c>
      <c r="U70" s="440">
        <f>Q70+R70+S70+T70</f>
        <v>50</v>
      </c>
      <c r="V70" s="928"/>
      <c r="W70" s="442"/>
      <c r="X70" s="930"/>
      <c r="Y70" s="449"/>
      <c r="Z70" s="449"/>
      <c r="AA70" s="449"/>
      <c r="AB70" s="449"/>
      <c r="AC70" s="449"/>
      <c r="AD70" s="449"/>
      <c r="AE70" s="449"/>
      <c r="AF70" s="449"/>
      <c r="AG70" s="449"/>
      <c r="AH70" s="449"/>
      <c r="AI70" s="449"/>
      <c r="AJ70" s="449">
        <f t="shared" si="20"/>
        <v>0</v>
      </c>
      <c r="AK70" s="444">
        <f t="shared" si="21"/>
        <v>0</v>
      </c>
      <c r="AL70" s="444"/>
      <c r="AM70" s="444"/>
      <c r="AN70" s="444">
        <f t="shared" si="22"/>
        <v>0</v>
      </c>
    </row>
    <row r="71" spans="1:40" ht="75" x14ac:dyDescent="0.2">
      <c r="A71" s="1188"/>
      <c r="B71" s="1365"/>
      <c r="C71" s="1188"/>
      <c r="D71" s="1396"/>
      <c r="E71" s="1360"/>
      <c r="F71" s="1188"/>
      <c r="G71" s="1188"/>
      <c r="H71" s="1188"/>
      <c r="I71" s="1187"/>
      <c r="J71" s="916" t="s">
        <v>3694</v>
      </c>
      <c r="K71" s="467">
        <v>0</v>
      </c>
      <c r="L71" s="916" t="s">
        <v>3607</v>
      </c>
      <c r="M71" s="400">
        <v>0</v>
      </c>
      <c r="N71" s="400">
        <v>1</v>
      </c>
      <c r="O71" s="400">
        <v>0</v>
      </c>
      <c r="P71" s="400">
        <v>0</v>
      </c>
      <c r="Q71" s="405">
        <v>50</v>
      </c>
      <c r="R71" s="405">
        <v>75</v>
      </c>
      <c r="S71" s="405">
        <v>150</v>
      </c>
      <c r="T71" s="405">
        <v>150</v>
      </c>
      <c r="U71" s="440">
        <f t="shared" si="19"/>
        <v>425</v>
      </c>
      <c r="V71" s="926" t="s">
        <v>3636</v>
      </c>
      <c r="W71" s="449" t="e">
        <f>SUM('RES.096 DE 2011'!Q274:Q277)</f>
        <v>#REF!</v>
      </c>
      <c r="X71" s="449" t="e">
        <f>SUM('RES.096 DE 2011'!R274:R277)</f>
        <v>#REF!</v>
      </c>
      <c r="Y71" s="449" t="e">
        <f>SUM('RES.096 DE 2011'!S274:S277)</f>
        <v>#REF!</v>
      </c>
      <c r="Z71" s="449" t="e">
        <f>SUM('RES.096 DE 2011'!T274:T277)</f>
        <v>#REF!</v>
      </c>
      <c r="AA71" s="449" t="e">
        <f>SUM('RES.096 DE 2011'!U274:U277)</f>
        <v>#REF!</v>
      </c>
      <c r="AB71" s="449" t="e">
        <f>SUM('RES.096 DE 2011'!V274:V277)</f>
        <v>#REF!</v>
      </c>
      <c r="AC71" s="449" t="e">
        <f>SUM('RES.096 DE 2011'!W274:W277)</f>
        <v>#REF!</v>
      </c>
      <c r="AD71" s="449" t="e">
        <f>SUM('RES.096 DE 2011'!X274:X277)</f>
        <v>#REF!</v>
      </c>
      <c r="AE71" s="449" t="e">
        <f>SUM('RES.096 DE 2011'!Y274:Y277)</f>
        <v>#REF!</v>
      </c>
      <c r="AF71" s="449" t="e">
        <f>SUM('RES.096 DE 2011'!Z274:Z277)</f>
        <v>#REF!</v>
      </c>
      <c r="AG71" s="449" t="e">
        <f>SUM('RES.096 DE 2011'!AA274:AA277)</f>
        <v>#REF!</v>
      </c>
      <c r="AH71" s="449" t="e">
        <f>SUM('RES.096 DE 2011'!AB274:AB277)</f>
        <v>#REF!</v>
      </c>
      <c r="AI71" s="449" t="e">
        <f>SUM('RES.096 DE 2011'!AC274:AC277)</f>
        <v>#REF!</v>
      </c>
      <c r="AJ71" s="449" t="e">
        <f t="shared" si="20"/>
        <v>#REF!</v>
      </c>
      <c r="AK71" s="444" t="e">
        <f t="shared" si="21"/>
        <v>#REF!</v>
      </c>
      <c r="AL71" s="444"/>
      <c r="AM71" s="444" t="e">
        <f>+#REF!</f>
        <v>#REF!</v>
      </c>
      <c r="AN71" s="444" t="e">
        <f t="shared" si="22"/>
        <v>#REF!</v>
      </c>
    </row>
    <row r="72" spans="1:40" ht="126.6" customHeight="1" x14ac:dyDescent="0.2">
      <c r="A72" s="1188"/>
      <c r="B72" s="1365"/>
      <c r="C72" s="1188"/>
      <c r="D72" s="1396"/>
      <c r="E72" s="1360"/>
      <c r="F72" s="1188"/>
      <c r="G72" s="1188"/>
      <c r="H72" s="1188"/>
      <c r="I72" s="401" t="s">
        <v>3728</v>
      </c>
      <c r="J72" s="919" t="s">
        <v>3695</v>
      </c>
      <c r="K72" s="919">
        <v>300</v>
      </c>
      <c r="L72" s="919" t="s">
        <v>3609</v>
      </c>
      <c r="M72" s="400">
        <v>300</v>
      </c>
      <c r="N72" s="400">
        <v>400</v>
      </c>
      <c r="O72" s="400">
        <v>500</v>
      </c>
      <c r="P72" s="400">
        <v>550</v>
      </c>
      <c r="Q72" s="433">
        <v>600</v>
      </c>
      <c r="R72" s="433">
        <v>599</v>
      </c>
      <c r="S72" s="433">
        <v>1000</v>
      </c>
      <c r="T72" s="433">
        <v>1300</v>
      </c>
      <c r="U72" s="440">
        <f t="shared" si="19"/>
        <v>3499</v>
      </c>
      <c r="V72" s="926">
        <v>722</v>
      </c>
      <c r="W72" s="449" t="e">
        <f>+'RES.096 DE 2011'!Q282+'POAI 2011 AC.017 MAYO'!P65</f>
        <v>#REF!</v>
      </c>
      <c r="X72" s="449" t="e">
        <f>+'RES.096 DE 2011'!R282</f>
        <v>#REF!</v>
      </c>
      <c r="Y72" s="449" t="e">
        <f>+'RES.096 DE 2011'!S282</f>
        <v>#REF!</v>
      </c>
      <c r="Z72" s="449" t="e">
        <f>+'RES.096 DE 2011'!T282</f>
        <v>#REF!</v>
      </c>
      <c r="AA72" s="449" t="e">
        <f>+'RES.096 DE 2011'!U282</f>
        <v>#REF!</v>
      </c>
      <c r="AB72" s="449" t="e">
        <f>+'RES.096 DE 2011'!V282</f>
        <v>#REF!</v>
      </c>
      <c r="AC72" s="449" t="e">
        <f>+'POAI 2011 AC.017 MAYO'!P65</f>
        <v>#REF!</v>
      </c>
      <c r="AD72" s="449" t="e">
        <f>+'RES.096 DE 2011'!X282</f>
        <v>#REF!</v>
      </c>
      <c r="AE72" s="449" t="e">
        <f>+'RES.096 DE 2011'!Y282</f>
        <v>#REF!</v>
      </c>
      <c r="AF72" s="449" t="e">
        <f>+'RES.096 DE 2011'!Z282</f>
        <v>#REF!</v>
      </c>
      <c r="AG72" s="449" t="e">
        <f>+'RES.096 DE 2011'!AA282</f>
        <v>#REF!</v>
      </c>
      <c r="AH72" s="449" t="e">
        <f>+'RES.096 DE 2011'!AB282</f>
        <v>#REF!</v>
      </c>
      <c r="AI72" s="449" t="e">
        <f>+'RES.096 DE 2011'!AC282</f>
        <v>#REF!</v>
      </c>
      <c r="AJ72" s="449" t="e">
        <f t="shared" si="20"/>
        <v>#REF!</v>
      </c>
      <c r="AK72" s="444" t="e">
        <f t="shared" si="21"/>
        <v>#REF!</v>
      </c>
      <c r="AL72" s="444">
        <v>16000000</v>
      </c>
      <c r="AM72" s="444"/>
      <c r="AN72" s="444" t="e">
        <f t="shared" si="22"/>
        <v>#REF!</v>
      </c>
    </row>
    <row r="73" spans="1:40" ht="18" customHeight="1" x14ac:dyDescent="0.2">
      <c r="A73" s="419"/>
      <c r="B73" s="419"/>
      <c r="C73" s="419"/>
      <c r="D73" s="419"/>
      <c r="E73" s="419"/>
      <c r="F73" s="419"/>
      <c r="G73" s="419"/>
      <c r="H73" s="419"/>
      <c r="I73" s="419"/>
      <c r="J73" s="419"/>
      <c r="K73" s="419"/>
      <c r="L73" s="419"/>
      <c r="M73" s="1345" t="s">
        <v>695</v>
      </c>
      <c r="N73" s="1346"/>
      <c r="O73" s="1346"/>
      <c r="P73" s="1347"/>
      <c r="Q73" s="407">
        <f>SUM(Q67:Q72)</f>
        <v>1255</v>
      </c>
      <c r="R73" s="407">
        <f>SUM(R67:R72)</f>
        <v>889</v>
      </c>
      <c r="S73" s="407">
        <f>SUM(S67:S72)</f>
        <v>1390</v>
      </c>
      <c r="T73" s="407">
        <f>SUM(T67:T72)</f>
        <v>1640</v>
      </c>
      <c r="U73" s="439">
        <f>SUM(U67:U72)</f>
        <v>5174</v>
      </c>
      <c r="V73" s="929"/>
      <c r="W73" s="439" t="e">
        <f>SUM(W67:W72)</f>
        <v>#REF!</v>
      </c>
      <c r="X73" s="933" t="e">
        <f>SUM(X67:X72)</f>
        <v>#REF!</v>
      </c>
      <c r="Y73" s="407" t="e">
        <f t="shared" ref="Y73:AJ73" si="23">SUM(Y67:Y72)</f>
        <v>#REF!</v>
      </c>
      <c r="Z73" s="407" t="e">
        <f t="shared" si="23"/>
        <v>#REF!</v>
      </c>
      <c r="AA73" s="407" t="e">
        <f t="shared" si="23"/>
        <v>#REF!</v>
      </c>
      <c r="AB73" s="407" t="e">
        <f t="shared" si="23"/>
        <v>#REF!</v>
      </c>
      <c r="AC73" s="407" t="e">
        <f t="shared" si="23"/>
        <v>#REF!</v>
      </c>
      <c r="AD73" s="407" t="e">
        <f t="shared" si="23"/>
        <v>#REF!</v>
      </c>
      <c r="AE73" s="407" t="e">
        <f t="shared" si="23"/>
        <v>#REF!</v>
      </c>
      <c r="AF73" s="407"/>
      <c r="AG73" s="407"/>
      <c r="AH73" s="407" t="e">
        <f t="shared" si="23"/>
        <v>#REF!</v>
      </c>
      <c r="AI73" s="407"/>
      <c r="AJ73" s="407" t="e">
        <f t="shared" si="23"/>
        <v>#REF!</v>
      </c>
      <c r="AK73" s="439" t="e">
        <f>SUM(AK67:AK72)</f>
        <v>#REF!</v>
      </c>
      <c r="AL73" s="439">
        <f>SUM(AL67:AL72)</f>
        <v>16000000</v>
      </c>
      <c r="AM73" s="439" t="e">
        <f>SUM(AM67:AM72)</f>
        <v>#REF!</v>
      </c>
      <c r="AN73" s="439" t="e">
        <f>SUM(AN67:AN72)</f>
        <v>#REF!</v>
      </c>
    </row>
    <row r="74" spans="1:40" x14ac:dyDescent="0.2">
      <c r="A74" s="419"/>
      <c r="B74" s="419"/>
      <c r="C74" s="419"/>
      <c r="D74" s="419"/>
      <c r="E74" s="419"/>
      <c r="F74" s="419"/>
      <c r="G74" s="419"/>
      <c r="H74" s="419"/>
      <c r="I74" s="419"/>
      <c r="J74" s="419"/>
      <c r="K74" s="419"/>
      <c r="L74" s="419"/>
      <c r="M74" s="1447"/>
      <c r="N74" s="1447"/>
      <c r="O74" s="1447"/>
      <c r="P74" s="1447"/>
      <c r="Q74" s="1447"/>
      <c r="R74" s="1447"/>
      <c r="S74" s="1447"/>
      <c r="T74" s="1447"/>
      <c r="U74" s="1447"/>
      <c r="V74" s="1447"/>
      <c r="W74" s="442"/>
      <c r="AK74" s="442"/>
      <c r="AL74" s="442"/>
      <c r="AM74" s="442"/>
      <c r="AN74" s="442"/>
    </row>
    <row r="75" spans="1:40" ht="17.25" customHeight="1" x14ac:dyDescent="0.2">
      <c r="A75" s="419"/>
      <c r="B75" s="419"/>
      <c r="C75" s="419"/>
      <c r="D75" s="419"/>
      <c r="E75" s="419"/>
      <c r="F75" s="419"/>
      <c r="G75" s="419"/>
      <c r="H75" s="419"/>
      <c r="I75" s="419"/>
      <c r="J75" s="419"/>
      <c r="K75" s="419"/>
      <c r="L75" s="419"/>
      <c r="M75" s="1380" t="s">
        <v>695</v>
      </c>
      <c r="N75" s="1381"/>
      <c r="O75" s="1381"/>
      <c r="P75" s="1382"/>
      <c r="Q75" s="412">
        <f>+Q73+Q65+Q52+Q47+Q38+Q13+Q6</f>
        <v>13397</v>
      </c>
      <c r="R75" s="412">
        <f>+R73+R65+R52+R47+R38+R13+R6</f>
        <v>15217</v>
      </c>
      <c r="S75" s="412">
        <f>+S73+S65+S52+S47+S38+S13+S6</f>
        <v>14750.44</v>
      </c>
      <c r="T75" s="412">
        <f>+T73+T65+T52+T47+T38+T13+T6</f>
        <v>15028.733200000001</v>
      </c>
      <c r="U75" s="402">
        <f>+U73+U65+U52+U47+U38+U13+U6</f>
        <v>58393.173200000005</v>
      </c>
      <c r="V75" s="929"/>
      <c r="W75" s="934" t="e">
        <f t="shared" ref="W75:AJ75" si="24">+W73+W65+W52+W47+W38+W13+W6</f>
        <v>#REF!</v>
      </c>
      <c r="X75" s="934" t="e">
        <f t="shared" si="24"/>
        <v>#REF!</v>
      </c>
      <c r="Y75" s="412" t="e">
        <f t="shared" si="24"/>
        <v>#REF!</v>
      </c>
      <c r="Z75" s="412" t="e">
        <f t="shared" si="24"/>
        <v>#REF!</v>
      </c>
      <c r="AA75" s="412" t="e">
        <f t="shared" si="24"/>
        <v>#REF!</v>
      </c>
      <c r="AB75" s="412" t="e">
        <f t="shared" si="24"/>
        <v>#REF!</v>
      </c>
      <c r="AC75" s="412" t="e">
        <f t="shared" si="24"/>
        <v>#REF!</v>
      </c>
      <c r="AD75" s="412" t="e">
        <f t="shared" si="24"/>
        <v>#REF!</v>
      </c>
      <c r="AE75" s="412" t="e">
        <f t="shared" si="24"/>
        <v>#REF!</v>
      </c>
      <c r="AF75" s="412"/>
      <c r="AG75" s="412"/>
      <c r="AH75" s="412" t="e">
        <f t="shared" si="24"/>
        <v>#REF!</v>
      </c>
      <c r="AI75" s="412"/>
      <c r="AJ75" s="412" t="e">
        <f t="shared" si="24"/>
        <v>#REF!</v>
      </c>
      <c r="AK75" s="934" t="e">
        <f>+AK73+AK65+AK52+AK47+AK38+AK13+AK6</f>
        <v>#REF!</v>
      </c>
      <c r="AL75" s="934">
        <f>+AL73+AL65+AL52+AL47+AL38+AL13+AL6</f>
        <v>652012377</v>
      </c>
      <c r="AM75" s="934" t="e">
        <f>+AM73+AM65+AM52+AM47+AM38+AM13+AM6</f>
        <v>#REF!</v>
      </c>
      <c r="AN75" s="934" t="e">
        <f>+AN73+AN65+AN52+AN47+AN38+AN13+AN6</f>
        <v>#REF!</v>
      </c>
    </row>
    <row r="78" spans="1:40" x14ac:dyDescent="0.2">
      <c r="AL78" s="445"/>
    </row>
  </sheetData>
  <mergeCells count="143">
    <mergeCell ref="M73:P73"/>
    <mergeCell ref="M74:V74"/>
    <mergeCell ref="M75:P75"/>
    <mergeCell ref="D69:D72"/>
    <mergeCell ref="E69:E72"/>
    <mergeCell ref="F69:F72"/>
    <mergeCell ref="G69:G72"/>
    <mergeCell ref="H69:H72"/>
    <mergeCell ref="I69:I71"/>
    <mergeCell ref="A54:A61"/>
    <mergeCell ref="B54:B61"/>
    <mergeCell ref="C54:C61"/>
    <mergeCell ref="M65:P65"/>
    <mergeCell ref="A67:A72"/>
    <mergeCell ref="B67:B72"/>
    <mergeCell ref="C67:C72"/>
    <mergeCell ref="D67:D68"/>
    <mergeCell ref="E67:E68"/>
    <mergeCell ref="F67:F68"/>
    <mergeCell ref="G67:G68"/>
    <mergeCell ref="H67:H68"/>
    <mergeCell ref="I67:I68"/>
    <mergeCell ref="A63:A64"/>
    <mergeCell ref="B63:B64"/>
    <mergeCell ref="C63:C64"/>
    <mergeCell ref="D63:D64"/>
    <mergeCell ref="E63:E64"/>
    <mergeCell ref="F63:F64"/>
    <mergeCell ref="G63:G64"/>
    <mergeCell ref="H63:H64"/>
    <mergeCell ref="I63:I64"/>
    <mergeCell ref="H54:H55"/>
    <mergeCell ref="D56:D61"/>
    <mergeCell ref="E56:E61"/>
    <mergeCell ref="F56:F61"/>
    <mergeCell ref="G56:G61"/>
    <mergeCell ref="H56:H61"/>
    <mergeCell ref="G49:G51"/>
    <mergeCell ref="H49:H51"/>
    <mergeCell ref="M52:P52"/>
    <mergeCell ref="D54:D55"/>
    <mergeCell ref="E54:E55"/>
    <mergeCell ref="F54:F55"/>
    <mergeCell ref="G54:G55"/>
    <mergeCell ref="I56:I61"/>
    <mergeCell ref="A49:A51"/>
    <mergeCell ref="B49:B51"/>
    <mergeCell ref="C49:C51"/>
    <mergeCell ref="D49:D51"/>
    <mergeCell ref="E49:E51"/>
    <mergeCell ref="F49:F51"/>
    <mergeCell ref="D42:D46"/>
    <mergeCell ref="E42:E46"/>
    <mergeCell ref="F42:F46"/>
    <mergeCell ref="M47:P47"/>
    <mergeCell ref="H36:H37"/>
    <mergeCell ref="M38:P38"/>
    <mergeCell ref="A40:A46"/>
    <mergeCell ref="B40:B46"/>
    <mergeCell ref="C40:C46"/>
    <mergeCell ref="D40:D41"/>
    <mergeCell ref="E40:E41"/>
    <mergeCell ref="F40:F41"/>
    <mergeCell ref="G40:G41"/>
    <mergeCell ref="H40:H41"/>
    <mergeCell ref="A36:A37"/>
    <mergeCell ref="B36:B37"/>
    <mergeCell ref="C36:C37"/>
    <mergeCell ref="D36:D37"/>
    <mergeCell ref="E36:E37"/>
    <mergeCell ref="F36:F37"/>
    <mergeCell ref="G36:G37"/>
    <mergeCell ref="G42:G46"/>
    <mergeCell ref="H42:H46"/>
    <mergeCell ref="A25:A35"/>
    <mergeCell ref="B25:B35"/>
    <mergeCell ref="C25:C35"/>
    <mergeCell ref="D25:D35"/>
    <mergeCell ref="E25:E35"/>
    <mergeCell ref="F25:F35"/>
    <mergeCell ref="G25:G35"/>
    <mergeCell ref="H25:H35"/>
    <mergeCell ref="I26:I28"/>
    <mergeCell ref="I29:I30"/>
    <mergeCell ref="I31:I32"/>
    <mergeCell ref="A19:A24"/>
    <mergeCell ref="B19:B24"/>
    <mergeCell ref="C19:C24"/>
    <mergeCell ref="D19:D24"/>
    <mergeCell ref="E19:E24"/>
    <mergeCell ref="F19:F24"/>
    <mergeCell ref="G19:G24"/>
    <mergeCell ref="H19:H24"/>
    <mergeCell ref="I20:I22"/>
    <mergeCell ref="A15:A18"/>
    <mergeCell ref="B15:B18"/>
    <mergeCell ref="C15:C18"/>
    <mergeCell ref="D15:D18"/>
    <mergeCell ref="E15:E18"/>
    <mergeCell ref="F15:F18"/>
    <mergeCell ref="G15:G18"/>
    <mergeCell ref="H15:H18"/>
    <mergeCell ref="I15:I16"/>
    <mergeCell ref="F3:F6"/>
    <mergeCell ref="G3:G6"/>
    <mergeCell ref="H3:H6"/>
    <mergeCell ref="M6:P6"/>
    <mergeCell ref="A8:A13"/>
    <mergeCell ref="B8:B13"/>
    <mergeCell ref="C8:C13"/>
    <mergeCell ref="D8:D13"/>
    <mergeCell ref="E8:E13"/>
    <mergeCell ref="F8:F13"/>
    <mergeCell ref="A3:A6"/>
    <mergeCell ref="B3:B6"/>
    <mergeCell ref="C3:C6"/>
    <mergeCell ref="D3:D6"/>
    <mergeCell ref="E3:E6"/>
    <mergeCell ref="G8:G13"/>
    <mergeCell ref="H8:H12"/>
    <mergeCell ref="I9:I12"/>
    <mergeCell ref="M13:P13"/>
    <mergeCell ref="AN1:AN2"/>
    <mergeCell ref="A1:A2"/>
    <mergeCell ref="B1:B2"/>
    <mergeCell ref="C1:C2"/>
    <mergeCell ref="D1:D2"/>
    <mergeCell ref="E1:E2"/>
    <mergeCell ref="F1:F2"/>
    <mergeCell ref="AK1:AK2"/>
    <mergeCell ref="AL1:AL2"/>
    <mergeCell ref="AM1:AM2"/>
    <mergeCell ref="X1:AJ1"/>
    <mergeCell ref="W1:W2"/>
    <mergeCell ref="M1:P1"/>
    <mergeCell ref="Q1:U1"/>
    <mergeCell ref="V1:V2"/>
    <mergeCell ref="G1:G2"/>
    <mergeCell ref="H1:H2"/>
    <mergeCell ref="I1:I2"/>
    <mergeCell ref="J1:J2"/>
    <mergeCell ref="K1:K2"/>
    <mergeCell ref="L1:L2"/>
  </mergeCells>
  <printOptions horizontalCentered="1" verticalCentered="1"/>
  <pageMargins left="0.19685039370078741" right="0.55118110236220474" top="0.97" bottom="0.43307086614173229" header="0.76" footer="0"/>
  <pageSetup scale="55" orientation="landscape" horizontalDpi="4294967293" verticalDpi="4294967293" r:id="rId1"/>
  <headerFooter alignWithMargins="0">
    <oddHeader>&amp;C&amp;"-,Negrita"&amp;20PLAN INDICATIVO 2009 - 2012</oddHeader>
    <oddFooter>&amp;LUnidad de Planeamiento Económico y Administrativo&amp;COficina de Planeación&amp;RPágina &amp;P de &amp;N</oddFooter>
  </headerFooter>
  <rowBreaks count="2" manualBreakCount="2">
    <brk id="14" max="16383" man="1"/>
    <brk id="48" max="16383" man="1"/>
  </rowBreak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K21"/>
  <sheetViews>
    <sheetView topLeftCell="B22" zoomScale="140" zoomScaleNormal="140" workbookViewId="0">
      <selection activeCell="G10" sqref="G10"/>
    </sheetView>
  </sheetViews>
  <sheetFormatPr baseColWidth="10" defaultColWidth="11.42578125" defaultRowHeight="15" x14ac:dyDescent="0.25"/>
  <cols>
    <col min="1" max="1" width="14.7109375" customWidth="1"/>
    <col min="3" max="3" width="15.85546875" hidden="1" customWidth="1"/>
    <col min="4" max="4" width="23" customWidth="1"/>
    <col min="5" max="5" width="6.42578125" customWidth="1"/>
    <col min="6" max="6" width="13.85546875" customWidth="1"/>
    <col min="7" max="7" width="14.5703125" customWidth="1"/>
    <col min="8" max="8" width="16" customWidth="1"/>
    <col min="9" max="9" width="21.7109375" customWidth="1"/>
    <col min="10" max="10" width="15.85546875" customWidth="1"/>
  </cols>
  <sheetData>
    <row r="1" spans="1:11" ht="18" x14ac:dyDescent="0.3">
      <c r="A1" s="5" t="s">
        <v>688</v>
      </c>
    </row>
    <row r="3" spans="1:11" ht="18" x14ac:dyDescent="0.3">
      <c r="A3" s="5" t="s">
        <v>2809</v>
      </c>
    </row>
    <row r="5" spans="1:11" x14ac:dyDescent="0.25">
      <c r="A5" s="44" t="s">
        <v>689</v>
      </c>
      <c r="B5" s="44" t="s">
        <v>690</v>
      </c>
      <c r="C5" s="44" t="s">
        <v>691</v>
      </c>
      <c r="D5" s="44" t="s">
        <v>692</v>
      </c>
      <c r="E5" s="44" t="s">
        <v>693</v>
      </c>
      <c r="F5" s="44" t="s">
        <v>694</v>
      </c>
      <c r="G5" s="44" t="s">
        <v>695</v>
      </c>
      <c r="H5" s="44" t="s">
        <v>1</v>
      </c>
      <c r="I5" s="44" t="s">
        <v>2</v>
      </c>
    </row>
    <row r="6" spans="1:11" ht="30" x14ac:dyDescent="0.25">
      <c r="A6" s="44" t="s">
        <v>223</v>
      </c>
      <c r="B6" s="6"/>
      <c r="C6" s="44" t="s">
        <v>696</v>
      </c>
      <c r="D6" s="44" t="s">
        <v>697</v>
      </c>
      <c r="E6" s="6">
        <v>1</v>
      </c>
      <c r="F6" s="7">
        <v>1000000000</v>
      </c>
      <c r="G6" s="97">
        <v>1000000000</v>
      </c>
      <c r="H6" s="44" t="s">
        <v>236</v>
      </c>
      <c r="I6" s="44" t="s">
        <v>237</v>
      </c>
    </row>
    <row r="7" spans="1:11" ht="30" x14ac:dyDescent="0.25">
      <c r="A7" s="44" t="s">
        <v>223</v>
      </c>
      <c r="B7" s="6"/>
      <c r="C7" s="44" t="s">
        <v>696</v>
      </c>
      <c r="D7" s="44" t="s">
        <v>699</v>
      </c>
      <c r="E7" s="6">
        <v>1</v>
      </c>
      <c r="F7" s="7">
        <v>500000000</v>
      </c>
      <c r="G7" s="98">
        <v>1327000000</v>
      </c>
      <c r="H7" s="44" t="s">
        <v>232</v>
      </c>
      <c r="I7" s="44" t="s">
        <v>2810</v>
      </c>
      <c r="J7">
        <v>200000000</v>
      </c>
      <c r="K7" t="s">
        <v>3241</v>
      </c>
    </row>
    <row r="8" spans="1:11" ht="30" x14ac:dyDescent="0.25">
      <c r="A8" s="44" t="s">
        <v>223</v>
      </c>
      <c r="B8" s="6"/>
      <c r="C8" s="44" t="s">
        <v>696</v>
      </c>
      <c r="D8" s="44" t="s">
        <v>701</v>
      </c>
      <c r="E8" s="6">
        <v>1</v>
      </c>
      <c r="F8" s="7">
        <v>500000000</v>
      </c>
      <c r="G8" s="98">
        <v>1200000000</v>
      </c>
      <c r="H8" s="44" t="s">
        <v>232</v>
      </c>
      <c r="I8" s="44" t="s">
        <v>2810</v>
      </c>
    </row>
    <row r="9" spans="1:11" ht="45" x14ac:dyDescent="0.25">
      <c r="A9" s="44" t="s">
        <v>223</v>
      </c>
      <c r="B9" s="6"/>
      <c r="C9" s="44" t="s">
        <v>696</v>
      </c>
      <c r="D9" s="44" t="s">
        <v>702</v>
      </c>
      <c r="E9" s="6">
        <v>1</v>
      </c>
      <c r="F9" s="7">
        <v>860000000</v>
      </c>
      <c r="G9" s="98">
        <v>300000000</v>
      </c>
      <c r="H9" s="44" t="s">
        <v>232</v>
      </c>
      <c r="I9" s="44" t="s">
        <v>2810</v>
      </c>
    </row>
    <row r="10" spans="1:11" ht="30" x14ac:dyDescent="0.25">
      <c r="A10" s="44" t="s">
        <v>223</v>
      </c>
      <c r="B10" s="6"/>
      <c r="C10" s="44" t="s">
        <v>696</v>
      </c>
      <c r="D10" s="44" t="s">
        <v>703</v>
      </c>
      <c r="E10" s="6">
        <v>1</v>
      </c>
      <c r="F10" s="7">
        <v>1000000000</v>
      </c>
      <c r="G10" s="7">
        <v>1000000000</v>
      </c>
      <c r="H10" s="44" t="s">
        <v>232</v>
      </c>
      <c r="I10" s="44" t="s">
        <v>2810</v>
      </c>
    </row>
    <row r="11" spans="1:11" ht="45" x14ac:dyDescent="0.25">
      <c r="A11" s="44" t="s">
        <v>223</v>
      </c>
      <c r="B11" s="6"/>
      <c r="C11" s="44" t="s">
        <v>696</v>
      </c>
      <c r="D11" s="44" t="s">
        <v>704</v>
      </c>
      <c r="E11" s="6">
        <v>1</v>
      </c>
      <c r="F11" s="7">
        <v>100000000</v>
      </c>
      <c r="G11" s="98">
        <v>100000000</v>
      </c>
      <c r="H11" s="44" t="s">
        <v>230</v>
      </c>
      <c r="I11" s="44" t="s">
        <v>2811</v>
      </c>
    </row>
    <row r="12" spans="1:11" ht="45" x14ac:dyDescent="0.25">
      <c r="A12" s="44" t="s">
        <v>223</v>
      </c>
      <c r="B12" s="6"/>
      <c r="C12" s="44" t="s">
        <v>696</v>
      </c>
      <c r="D12" s="44" t="s">
        <v>706</v>
      </c>
      <c r="E12" s="6">
        <v>1</v>
      </c>
      <c r="F12" s="7">
        <v>25000000</v>
      </c>
      <c r="G12" s="97">
        <v>25000000</v>
      </c>
      <c r="H12" s="44" t="s">
        <v>230</v>
      </c>
      <c r="I12" s="44" t="s">
        <v>2811</v>
      </c>
      <c r="J12" s="1">
        <f>+G11+G13+G14+G16</f>
        <v>440000000</v>
      </c>
    </row>
    <row r="13" spans="1:11" ht="30" x14ac:dyDescent="0.25">
      <c r="A13" s="44"/>
      <c r="B13" s="6"/>
      <c r="C13" s="44"/>
      <c r="D13" s="44" t="s">
        <v>3135</v>
      </c>
      <c r="E13" s="6"/>
      <c r="F13" s="6"/>
      <c r="G13" s="98">
        <v>90000000</v>
      </c>
      <c r="H13" s="44"/>
      <c r="I13" s="44" t="s">
        <v>2811</v>
      </c>
    </row>
    <row r="14" spans="1:11" ht="45" x14ac:dyDescent="0.25">
      <c r="A14" s="44" t="s">
        <v>223</v>
      </c>
      <c r="B14" s="6"/>
      <c r="C14" s="44" t="s">
        <v>696</v>
      </c>
      <c r="D14" s="44" t="s">
        <v>708</v>
      </c>
      <c r="E14" s="6">
        <v>1</v>
      </c>
      <c r="F14" s="7">
        <v>150000000</v>
      </c>
      <c r="G14" s="7">
        <v>150000000</v>
      </c>
      <c r="H14" s="44" t="s">
        <v>230</v>
      </c>
      <c r="I14" s="44" t="s">
        <v>2811</v>
      </c>
    </row>
    <row r="15" spans="1:11" ht="30" x14ac:dyDescent="0.25">
      <c r="A15" s="44" t="s">
        <v>223</v>
      </c>
      <c r="B15" s="6"/>
      <c r="C15" s="44" t="s">
        <v>696</v>
      </c>
      <c r="D15" s="44" t="s">
        <v>709</v>
      </c>
      <c r="E15" s="6">
        <v>1</v>
      </c>
      <c r="F15" s="7">
        <v>105000000</v>
      </c>
      <c r="G15" s="98">
        <v>50000000</v>
      </c>
      <c r="H15" s="44" t="s">
        <v>230</v>
      </c>
      <c r="I15" s="44" t="s">
        <v>2811</v>
      </c>
    </row>
    <row r="16" spans="1:11" ht="105" x14ac:dyDescent="0.25">
      <c r="A16" s="44"/>
      <c r="B16" s="6"/>
      <c r="C16" s="44"/>
      <c r="D16" s="44" t="s">
        <v>3136</v>
      </c>
      <c r="E16" s="6"/>
      <c r="F16" s="7"/>
      <c r="G16" s="98">
        <v>100000000</v>
      </c>
      <c r="H16" s="44"/>
      <c r="I16" s="44"/>
    </row>
    <row r="17" spans="1:9" ht="45" x14ac:dyDescent="0.25">
      <c r="A17" s="44" t="s">
        <v>223</v>
      </c>
      <c r="B17" s="6"/>
      <c r="C17" s="44" t="s">
        <v>696</v>
      </c>
      <c r="D17" s="44" t="s">
        <v>711</v>
      </c>
      <c r="E17" s="6">
        <v>1</v>
      </c>
      <c r="F17" s="7">
        <v>70000000</v>
      </c>
      <c r="G17" s="7">
        <v>70000000</v>
      </c>
      <c r="H17" s="44" t="s">
        <v>234</v>
      </c>
      <c r="I17" s="44" t="s">
        <v>2812</v>
      </c>
    </row>
    <row r="18" spans="1:9" ht="50.25" customHeight="1" x14ac:dyDescent="0.25">
      <c r="A18" s="44" t="s">
        <v>223</v>
      </c>
      <c r="B18" s="6"/>
      <c r="C18" s="44" t="s">
        <v>696</v>
      </c>
      <c r="D18" s="44" t="s">
        <v>713</v>
      </c>
      <c r="E18" s="6">
        <v>1</v>
      </c>
      <c r="F18" s="7">
        <v>190000000</v>
      </c>
      <c r="G18" s="7">
        <v>190000000</v>
      </c>
      <c r="H18" s="44" t="s">
        <v>234</v>
      </c>
      <c r="I18" s="44" t="s">
        <v>2812</v>
      </c>
    </row>
    <row r="19" spans="1:9" x14ac:dyDescent="0.25">
      <c r="A19" s="1516" t="s">
        <v>695</v>
      </c>
      <c r="B19" s="1517"/>
      <c r="C19" s="1517"/>
      <c r="D19" s="1517"/>
      <c r="E19" s="1517"/>
      <c r="F19" s="1518"/>
      <c r="G19" s="99">
        <f>SUM(G6:G18)</f>
        <v>5602000000</v>
      </c>
      <c r="H19" s="1519"/>
      <c r="I19" s="1520"/>
    </row>
    <row r="20" spans="1:9" x14ac:dyDescent="0.25">
      <c r="G20" s="1">
        <f>+G15+G13+G11+G8+G7+G16+G9</f>
        <v>3167000000</v>
      </c>
    </row>
    <row r="21" spans="1:9" x14ac:dyDescent="0.25">
      <c r="G21" s="1">
        <f>SUM(G6:G18)-G16</f>
        <v>5502000000</v>
      </c>
    </row>
  </sheetData>
  <mergeCells count="2">
    <mergeCell ref="A19:F19"/>
    <mergeCell ref="H19:I19"/>
  </mergeCells>
  <pageMargins left="0.85" right="0.70866141732283472" top="0.74803149606299213" bottom="0.48" header="0.31496062992125984" footer="0.31496062992125984"/>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A1:I1306"/>
  <sheetViews>
    <sheetView topLeftCell="A60" workbookViewId="0">
      <selection activeCell="H297" sqref="H297"/>
    </sheetView>
  </sheetViews>
  <sheetFormatPr baseColWidth="10" defaultColWidth="11.42578125" defaultRowHeight="15" x14ac:dyDescent="0.25"/>
  <cols>
    <col min="1" max="1" width="20.85546875" customWidth="1"/>
    <col min="2" max="2" width="11" hidden="1" customWidth="1"/>
    <col min="3" max="3" width="16.42578125" customWidth="1"/>
    <col min="4" max="4" width="34.7109375" customWidth="1"/>
    <col min="5" max="5" width="6.5703125" customWidth="1"/>
    <col min="6" max="6" width="12" customWidth="1"/>
    <col min="7" max="7" width="14.7109375" customWidth="1"/>
    <col min="8" max="8" width="25.42578125" customWidth="1"/>
    <col min="9" max="9" width="17.7109375" customWidth="1"/>
    <col min="10" max="10" width="15.5703125" customWidth="1"/>
  </cols>
  <sheetData>
    <row r="1" spans="1:9" ht="18" x14ac:dyDescent="0.3">
      <c r="A1" s="5" t="s">
        <v>688</v>
      </c>
    </row>
    <row r="3" spans="1:9" ht="18" x14ac:dyDescent="0.3">
      <c r="A3" s="5" t="s">
        <v>714</v>
      </c>
    </row>
    <row r="5" spans="1:9" x14ac:dyDescent="0.25">
      <c r="A5" s="44" t="s">
        <v>689</v>
      </c>
      <c r="B5" s="44" t="s">
        <v>690</v>
      </c>
      <c r="C5" s="44" t="s">
        <v>691</v>
      </c>
      <c r="D5" s="44" t="s">
        <v>692</v>
      </c>
      <c r="E5" s="44" t="s">
        <v>693</v>
      </c>
      <c r="F5" s="44" t="s">
        <v>694</v>
      </c>
      <c r="G5" s="44" t="s">
        <v>695</v>
      </c>
      <c r="H5" s="44" t="s">
        <v>1</v>
      </c>
      <c r="I5" s="44" t="s">
        <v>2</v>
      </c>
    </row>
    <row r="6" spans="1:9" ht="45" x14ac:dyDescent="0.25">
      <c r="A6" s="44" t="s">
        <v>70</v>
      </c>
      <c r="B6" s="6">
        <v>12090059</v>
      </c>
      <c r="C6" s="44" t="s">
        <v>715</v>
      </c>
      <c r="D6" s="44" t="s">
        <v>716</v>
      </c>
      <c r="E6" s="6">
        <v>3</v>
      </c>
      <c r="F6" s="6">
        <v>25</v>
      </c>
      <c r="G6" s="6">
        <v>75</v>
      </c>
      <c r="H6" s="44" t="s">
        <v>73</v>
      </c>
      <c r="I6" s="44" t="s">
        <v>74</v>
      </c>
    </row>
    <row r="7" spans="1:9" ht="45" x14ac:dyDescent="0.25">
      <c r="A7" s="44" t="s">
        <v>70</v>
      </c>
      <c r="B7" s="6">
        <v>12090059</v>
      </c>
      <c r="C7" s="44" t="s">
        <v>715</v>
      </c>
      <c r="D7" s="44" t="s">
        <v>717</v>
      </c>
      <c r="E7" s="6">
        <v>3</v>
      </c>
      <c r="F7" s="6">
        <v>30</v>
      </c>
      <c r="G7" s="6">
        <v>90</v>
      </c>
      <c r="H7" s="44" t="s">
        <v>73</v>
      </c>
      <c r="I7" s="44" t="s">
        <v>74</v>
      </c>
    </row>
    <row r="8" spans="1:9" ht="75" x14ac:dyDescent="0.25">
      <c r="A8" s="44" t="s">
        <v>148</v>
      </c>
      <c r="B8" s="6">
        <v>12090059</v>
      </c>
      <c r="C8" s="44" t="s">
        <v>715</v>
      </c>
      <c r="D8" s="44" t="s">
        <v>718</v>
      </c>
      <c r="E8" s="6">
        <v>20</v>
      </c>
      <c r="F8" s="6">
        <v>34</v>
      </c>
      <c r="G8" s="6">
        <v>680</v>
      </c>
      <c r="H8" s="44" t="s">
        <v>154</v>
      </c>
      <c r="I8" s="44" t="s">
        <v>155</v>
      </c>
    </row>
    <row r="9" spans="1:9" ht="60.75" customHeight="1" x14ac:dyDescent="0.25">
      <c r="A9" s="44" t="s">
        <v>148</v>
      </c>
      <c r="B9" s="6">
        <v>1209001</v>
      </c>
      <c r="C9" s="44" t="s">
        <v>715</v>
      </c>
      <c r="D9" s="44" t="s">
        <v>719</v>
      </c>
      <c r="E9" s="6">
        <v>12</v>
      </c>
      <c r="F9" s="6">
        <v>54</v>
      </c>
      <c r="G9" s="6">
        <v>648</v>
      </c>
      <c r="H9" s="44" t="s">
        <v>154</v>
      </c>
      <c r="I9" s="44" t="s">
        <v>155</v>
      </c>
    </row>
    <row r="10" spans="1:9" ht="30" x14ac:dyDescent="0.25">
      <c r="A10" s="44" t="s">
        <v>205</v>
      </c>
      <c r="B10" s="6">
        <v>1209001</v>
      </c>
      <c r="C10" s="44" t="s">
        <v>715</v>
      </c>
      <c r="D10" s="44" t="s">
        <v>720</v>
      </c>
      <c r="E10" s="6">
        <v>2</v>
      </c>
      <c r="F10" s="6">
        <v>150</v>
      </c>
      <c r="G10" s="6">
        <v>300</v>
      </c>
      <c r="H10" s="44" t="s">
        <v>206</v>
      </c>
      <c r="I10" s="44" t="s">
        <v>205</v>
      </c>
    </row>
    <row r="11" spans="1:9" ht="30" x14ac:dyDescent="0.25">
      <c r="A11" s="44" t="s">
        <v>205</v>
      </c>
      <c r="B11" s="6">
        <v>1209001</v>
      </c>
      <c r="C11" s="44" t="s">
        <v>715</v>
      </c>
      <c r="D11" s="44" t="s">
        <v>721</v>
      </c>
      <c r="E11" s="6">
        <v>2</v>
      </c>
      <c r="F11" s="6">
        <v>200</v>
      </c>
      <c r="G11" s="6">
        <v>400</v>
      </c>
      <c r="H11" s="44" t="s">
        <v>206</v>
      </c>
      <c r="I11" s="44" t="s">
        <v>205</v>
      </c>
    </row>
    <row r="12" spans="1:9" ht="30" x14ac:dyDescent="0.25">
      <c r="A12" s="44" t="s">
        <v>205</v>
      </c>
      <c r="B12" s="6">
        <v>1209001</v>
      </c>
      <c r="C12" s="44" t="s">
        <v>715</v>
      </c>
      <c r="D12" s="44" t="s">
        <v>722</v>
      </c>
      <c r="E12" s="6">
        <v>8</v>
      </c>
      <c r="F12" s="6">
        <v>200</v>
      </c>
      <c r="G12" s="6" t="s">
        <v>723</v>
      </c>
      <c r="H12" s="44" t="s">
        <v>206</v>
      </c>
      <c r="I12" s="44" t="s">
        <v>205</v>
      </c>
    </row>
    <row r="13" spans="1:9" ht="30" x14ac:dyDescent="0.25">
      <c r="A13" s="44" t="s">
        <v>205</v>
      </c>
      <c r="B13" s="6">
        <v>1209001</v>
      </c>
      <c r="C13" s="44" t="s">
        <v>715</v>
      </c>
      <c r="D13" s="44" t="s">
        <v>724</v>
      </c>
      <c r="E13" s="6">
        <v>3</v>
      </c>
      <c r="F13" s="6">
        <v>80</v>
      </c>
      <c r="G13" s="6">
        <v>240</v>
      </c>
      <c r="H13" s="44" t="s">
        <v>206</v>
      </c>
      <c r="I13" s="44" t="s">
        <v>205</v>
      </c>
    </row>
    <row r="14" spans="1:9" ht="30" x14ac:dyDescent="0.25">
      <c r="A14" s="44" t="s">
        <v>205</v>
      </c>
      <c r="B14" s="6">
        <v>12090059</v>
      </c>
      <c r="C14" s="44" t="s">
        <v>715</v>
      </c>
      <c r="D14" s="44" t="s">
        <v>725</v>
      </c>
      <c r="E14" s="6">
        <v>20</v>
      </c>
      <c r="F14" s="6">
        <v>50</v>
      </c>
      <c r="G14" s="6" t="s">
        <v>726</v>
      </c>
      <c r="H14" s="44" t="s">
        <v>206</v>
      </c>
      <c r="I14" s="44" t="s">
        <v>205</v>
      </c>
    </row>
    <row r="15" spans="1:9" ht="45" x14ac:dyDescent="0.25">
      <c r="A15" s="44" t="s">
        <v>207</v>
      </c>
      <c r="B15" s="6">
        <v>12090059</v>
      </c>
      <c r="C15" s="44" t="s">
        <v>715</v>
      </c>
      <c r="D15" s="44" t="s">
        <v>727</v>
      </c>
      <c r="E15" s="6">
        <v>3</v>
      </c>
      <c r="F15" s="6">
        <v>23</v>
      </c>
      <c r="G15" s="6">
        <v>69</v>
      </c>
      <c r="H15" s="44" t="s">
        <v>208</v>
      </c>
      <c r="I15" s="44" t="s">
        <v>207</v>
      </c>
    </row>
    <row r="16" spans="1:9" ht="45" x14ac:dyDescent="0.25">
      <c r="A16" s="44" t="s">
        <v>207</v>
      </c>
      <c r="B16" s="6">
        <v>12090059</v>
      </c>
      <c r="C16" s="44" t="s">
        <v>715</v>
      </c>
      <c r="D16" s="44" t="s">
        <v>728</v>
      </c>
      <c r="E16" s="6">
        <v>3</v>
      </c>
      <c r="F16" s="6">
        <v>12</v>
      </c>
      <c r="G16" s="6">
        <v>36</v>
      </c>
      <c r="H16" s="44" t="s">
        <v>208</v>
      </c>
      <c r="I16" s="44" t="s">
        <v>207</v>
      </c>
    </row>
    <row r="17" spans="1:9" ht="45" x14ac:dyDescent="0.25">
      <c r="A17" s="44" t="s">
        <v>286</v>
      </c>
      <c r="B17" s="6">
        <v>1209001</v>
      </c>
      <c r="C17" s="44" t="s">
        <v>715</v>
      </c>
      <c r="D17" s="44" t="s">
        <v>729</v>
      </c>
      <c r="E17" s="6">
        <v>2</v>
      </c>
      <c r="F17" s="6">
        <v>160</v>
      </c>
      <c r="G17" s="6">
        <v>320</v>
      </c>
      <c r="H17" s="44" t="s">
        <v>289</v>
      </c>
      <c r="I17" s="44" t="s">
        <v>290</v>
      </c>
    </row>
    <row r="18" spans="1:9" ht="45" x14ac:dyDescent="0.25">
      <c r="A18" s="44" t="s">
        <v>286</v>
      </c>
      <c r="B18" s="6">
        <v>1209001</v>
      </c>
      <c r="C18" s="44" t="s">
        <v>715</v>
      </c>
      <c r="D18" s="44" t="s">
        <v>730</v>
      </c>
      <c r="E18" s="6">
        <v>2</v>
      </c>
      <c r="F18" s="6">
        <v>120</v>
      </c>
      <c r="G18" s="6">
        <v>240</v>
      </c>
      <c r="H18" s="44" t="s">
        <v>289</v>
      </c>
      <c r="I18" s="44" t="s">
        <v>290</v>
      </c>
    </row>
    <row r="19" spans="1:9" ht="45" x14ac:dyDescent="0.25">
      <c r="A19" s="44" t="s">
        <v>286</v>
      </c>
      <c r="B19" s="6">
        <v>1209001</v>
      </c>
      <c r="C19" s="44" t="s">
        <v>715</v>
      </c>
      <c r="D19" s="44" t="s">
        <v>731</v>
      </c>
      <c r="E19" s="6">
        <v>1</v>
      </c>
      <c r="F19" s="6">
        <v>70</v>
      </c>
      <c r="G19" s="6">
        <v>70</v>
      </c>
      <c r="H19" s="44" t="s">
        <v>289</v>
      </c>
      <c r="I19" s="44" t="s">
        <v>290</v>
      </c>
    </row>
    <row r="20" spans="1:9" ht="45" x14ac:dyDescent="0.25">
      <c r="A20" s="44" t="s">
        <v>286</v>
      </c>
      <c r="B20" s="6">
        <v>12090059</v>
      </c>
      <c r="C20" s="44" t="s">
        <v>715</v>
      </c>
      <c r="D20" s="44" t="s">
        <v>732</v>
      </c>
      <c r="E20" s="6">
        <v>1</v>
      </c>
      <c r="F20" s="6">
        <v>500</v>
      </c>
      <c r="G20" s="6">
        <v>500</v>
      </c>
      <c r="H20" s="44" t="s">
        <v>289</v>
      </c>
      <c r="I20" s="44" t="s">
        <v>290</v>
      </c>
    </row>
    <row r="21" spans="1:9" ht="45" x14ac:dyDescent="0.25">
      <c r="A21" s="44" t="s">
        <v>286</v>
      </c>
      <c r="B21" s="6">
        <v>1209001</v>
      </c>
      <c r="C21" s="44" t="s">
        <v>715</v>
      </c>
      <c r="D21" s="44" t="s">
        <v>733</v>
      </c>
      <c r="E21" s="6">
        <v>3</v>
      </c>
      <c r="F21" s="6">
        <v>200</v>
      </c>
      <c r="G21" s="6">
        <v>600</v>
      </c>
      <c r="H21" s="44" t="s">
        <v>289</v>
      </c>
      <c r="I21" s="44" t="s">
        <v>290</v>
      </c>
    </row>
    <row r="22" spans="1:9" ht="30" x14ac:dyDescent="0.25">
      <c r="A22" s="44" t="s">
        <v>296</v>
      </c>
      <c r="B22" s="6">
        <v>1209001</v>
      </c>
      <c r="C22" s="44" t="s">
        <v>715</v>
      </c>
      <c r="D22" s="44" t="s">
        <v>734</v>
      </c>
      <c r="E22" s="6">
        <v>1</v>
      </c>
      <c r="F22" s="6">
        <v>500</v>
      </c>
      <c r="G22" s="6">
        <v>500</v>
      </c>
      <c r="H22" s="44" t="s">
        <v>299</v>
      </c>
      <c r="I22" s="44" t="s">
        <v>300</v>
      </c>
    </row>
    <row r="23" spans="1:9" ht="30" x14ac:dyDescent="0.25">
      <c r="A23" s="44" t="s">
        <v>296</v>
      </c>
      <c r="B23" s="6">
        <v>12090059</v>
      </c>
      <c r="C23" s="44" t="s">
        <v>715</v>
      </c>
      <c r="D23" s="44" t="s">
        <v>735</v>
      </c>
      <c r="E23" s="6">
        <v>1</v>
      </c>
      <c r="F23" s="6" t="s">
        <v>736</v>
      </c>
      <c r="G23" s="6" t="s">
        <v>736</v>
      </c>
      <c r="H23" s="44" t="s">
        <v>299</v>
      </c>
      <c r="I23" s="44" t="s">
        <v>300</v>
      </c>
    </row>
    <row r="24" spans="1:9" ht="45" x14ac:dyDescent="0.25">
      <c r="A24" s="44" t="s">
        <v>209</v>
      </c>
      <c r="B24" s="6">
        <v>1239004</v>
      </c>
      <c r="C24" s="44" t="s">
        <v>737</v>
      </c>
      <c r="D24" s="44" t="s">
        <v>738</v>
      </c>
      <c r="E24" s="6">
        <v>2</v>
      </c>
      <c r="F24" s="6">
        <v>8</v>
      </c>
      <c r="G24" s="6">
        <v>16</v>
      </c>
      <c r="H24" s="44" t="s">
        <v>210</v>
      </c>
      <c r="I24" s="44" t="s">
        <v>209</v>
      </c>
    </row>
    <row r="25" spans="1:9" ht="45" x14ac:dyDescent="0.25">
      <c r="A25" s="44" t="s">
        <v>281</v>
      </c>
      <c r="B25" s="6">
        <v>1239004</v>
      </c>
      <c r="C25" s="44" t="s">
        <v>737</v>
      </c>
      <c r="D25" s="44" t="s">
        <v>739</v>
      </c>
      <c r="E25" s="6">
        <v>12</v>
      </c>
      <c r="F25" s="6">
        <v>12</v>
      </c>
      <c r="G25" s="6">
        <v>144</v>
      </c>
      <c r="H25" s="44" t="s">
        <v>284</v>
      </c>
      <c r="I25" s="44" t="s">
        <v>285</v>
      </c>
    </row>
    <row r="26" spans="1:9" ht="30" x14ac:dyDescent="0.25">
      <c r="A26" s="44" t="s">
        <v>247</v>
      </c>
      <c r="B26" s="6"/>
      <c r="C26" s="44" t="s">
        <v>740</v>
      </c>
      <c r="D26" s="44" t="s">
        <v>741</v>
      </c>
      <c r="E26" s="6">
        <v>25</v>
      </c>
      <c r="F26" s="6">
        <v>100</v>
      </c>
      <c r="G26" s="6" t="s">
        <v>742</v>
      </c>
      <c r="H26" s="44" t="s">
        <v>250</v>
      </c>
      <c r="I26" s="44" t="s">
        <v>251</v>
      </c>
    </row>
    <row r="27" spans="1:9" ht="45" x14ac:dyDescent="0.25">
      <c r="A27" s="44" t="s">
        <v>70</v>
      </c>
      <c r="B27" s="6">
        <v>2199008</v>
      </c>
      <c r="C27" s="44" t="s">
        <v>743</v>
      </c>
      <c r="D27" s="44" t="s">
        <v>744</v>
      </c>
      <c r="E27" s="6">
        <v>2</v>
      </c>
      <c r="F27" s="6">
        <v>150</v>
      </c>
      <c r="G27" s="6">
        <v>300</v>
      </c>
      <c r="H27" s="44" t="s">
        <v>73</v>
      </c>
      <c r="I27" s="44" t="s">
        <v>74</v>
      </c>
    </row>
    <row r="28" spans="1:9" ht="30" x14ac:dyDescent="0.25">
      <c r="A28" s="44" t="s">
        <v>247</v>
      </c>
      <c r="B28" s="6">
        <v>2199008</v>
      </c>
      <c r="C28" s="44" t="s">
        <v>743</v>
      </c>
      <c r="D28" s="44" t="s">
        <v>745</v>
      </c>
      <c r="E28" s="6">
        <v>1</v>
      </c>
      <c r="F28" s="6">
        <v>300</v>
      </c>
      <c r="G28" s="6">
        <v>300</v>
      </c>
      <c r="H28" s="44" t="s">
        <v>250</v>
      </c>
      <c r="I28" s="44" t="s">
        <v>251</v>
      </c>
    </row>
    <row r="29" spans="1:9" ht="45" x14ac:dyDescent="0.25">
      <c r="A29" s="44" t="s">
        <v>281</v>
      </c>
      <c r="B29" s="6">
        <v>2199008</v>
      </c>
      <c r="C29" s="44" t="s">
        <v>743</v>
      </c>
      <c r="D29" s="44" t="s">
        <v>746</v>
      </c>
      <c r="E29" s="6">
        <v>2</v>
      </c>
      <c r="F29" s="6" t="s">
        <v>747</v>
      </c>
      <c r="G29" s="6" t="s">
        <v>680</v>
      </c>
      <c r="H29" s="44" t="s">
        <v>284</v>
      </c>
      <c r="I29" s="44" t="s">
        <v>285</v>
      </c>
    </row>
    <row r="30" spans="1:9" ht="45" x14ac:dyDescent="0.25">
      <c r="A30" s="44" t="s">
        <v>209</v>
      </c>
      <c r="B30" s="6">
        <v>1219001</v>
      </c>
      <c r="C30" s="44" t="s">
        <v>748</v>
      </c>
      <c r="D30" s="44"/>
      <c r="E30" s="6">
        <v>1</v>
      </c>
      <c r="F30" s="6">
        <v>3</v>
      </c>
      <c r="G30" s="6">
        <v>3</v>
      </c>
      <c r="H30" s="44" t="s">
        <v>210</v>
      </c>
      <c r="I30" s="44" t="s">
        <v>209</v>
      </c>
    </row>
    <row r="31" spans="1:9" ht="45" x14ac:dyDescent="0.25">
      <c r="A31" s="44" t="s">
        <v>209</v>
      </c>
      <c r="B31" s="6">
        <v>1219001</v>
      </c>
      <c r="C31" s="44" t="s">
        <v>748</v>
      </c>
      <c r="D31" s="44" t="s">
        <v>749</v>
      </c>
      <c r="E31" s="6">
        <v>2</v>
      </c>
      <c r="F31" s="6">
        <v>25</v>
      </c>
      <c r="G31" s="6">
        <v>50</v>
      </c>
      <c r="H31" s="44" t="s">
        <v>210</v>
      </c>
      <c r="I31" s="44" t="s">
        <v>209</v>
      </c>
    </row>
    <row r="32" spans="1:9" ht="60" x14ac:dyDescent="0.25">
      <c r="A32" s="44" t="s">
        <v>88</v>
      </c>
      <c r="B32" s="6">
        <v>207700311</v>
      </c>
      <c r="C32" s="44" t="s">
        <v>750</v>
      </c>
      <c r="D32" s="44"/>
      <c r="E32" s="6">
        <v>2</v>
      </c>
      <c r="F32" s="6" t="s">
        <v>751</v>
      </c>
      <c r="G32" s="6" t="s">
        <v>752</v>
      </c>
      <c r="H32" s="44" t="s">
        <v>95</v>
      </c>
      <c r="I32" s="44" t="s">
        <v>96</v>
      </c>
    </row>
    <row r="33" spans="1:9" ht="60" x14ac:dyDescent="0.25">
      <c r="A33" s="44" t="s">
        <v>88</v>
      </c>
      <c r="B33" s="6">
        <v>207700311</v>
      </c>
      <c r="C33" s="44" t="s">
        <v>750</v>
      </c>
      <c r="D33" s="44" t="s">
        <v>753</v>
      </c>
      <c r="E33" s="6">
        <v>4</v>
      </c>
      <c r="F33" s="6" t="s">
        <v>751</v>
      </c>
      <c r="G33" s="6" t="s">
        <v>754</v>
      </c>
      <c r="H33" s="44" t="s">
        <v>103</v>
      </c>
      <c r="I33" s="44" t="s">
        <v>104</v>
      </c>
    </row>
    <row r="34" spans="1:9" ht="60" x14ac:dyDescent="0.25">
      <c r="A34" s="44" t="s">
        <v>88</v>
      </c>
      <c r="B34" s="6">
        <v>207700311</v>
      </c>
      <c r="C34" s="44" t="s">
        <v>750</v>
      </c>
      <c r="D34" s="44" t="s">
        <v>755</v>
      </c>
      <c r="E34" s="6">
        <v>4</v>
      </c>
      <c r="F34" s="6" t="s">
        <v>751</v>
      </c>
      <c r="G34" s="6" t="s">
        <v>754</v>
      </c>
      <c r="H34" s="44" t="s">
        <v>101</v>
      </c>
      <c r="I34" s="44" t="s">
        <v>102</v>
      </c>
    </row>
    <row r="35" spans="1:9" ht="60" x14ac:dyDescent="0.25">
      <c r="A35" s="44" t="s">
        <v>88</v>
      </c>
      <c r="B35" s="6">
        <v>207700311</v>
      </c>
      <c r="C35" s="44" t="s">
        <v>750</v>
      </c>
      <c r="D35" s="44"/>
      <c r="E35" s="6">
        <v>9</v>
      </c>
      <c r="F35" s="6" t="s">
        <v>751</v>
      </c>
      <c r="G35" s="6" t="s">
        <v>756</v>
      </c>
      <c r="H35" s="44" t="s">
        <v>95</v>
      </c>
      <c r="I35" s="44" t="s">
        <v>96</v>
      </c>
    </row>
    <row r="36" spans="1:9" ht="60" x14ac:dyDescent="0.25">
      <c r="A36" s="44" t="s">
        <v>88</v>
      </c>
      <c r="B36" s="6">
        <v>207700311</v>
      </c>
      <c r="C36" s="44" t="s">
        <v>750</v>
      </c>
      <c r="D36" s="44" t="s">
        <v>757</v>
      </c>
      <c r="E36" s="6">
        <v>4</v>
      </c>
      <c r="F36" s="6" t="s">
        <v>751</v>
      </c>
      <c r="G36" s="6" t="s">
        <v>754</v>
      </c>
      <c r="H36" s="44" t="s">
        <v>99</v>
      </c>
      <c r="I36" s="44" t="s">
        <v>100</v>
      </c>
    </row>
    <row r="37" spans="1:9" ht="60" x14ac:dyDescent="0.25">
      <c r="A37" s="44" t="s">
        <v>136</v>
      </c>
      <c r="B37" s="6">
        <v>207700311</v>
      </c>
      <c r="C37" s="44" t="s">
        <v>750</v>
      </c>
      <c r="D37" s="44" t="s">
        <v>758</v>
      </c>
      <c r="E37" s="6">
        <v>3</v>
      </c>
      <c r="F37" s="6" t="s">
        <v>751</v>
      </c>
      <c r="G37" s="6" t="s">
        <v>759</v>
      </c>
      <c r="H37" s="44" t="s">
        <v>144</v>
      </c>
      <c r="I37" s="44" t="s">
        <v>145</v>
      </c>
    </row>
    <row r="38" spans="1:9" ht="60" x14ac:dyDescent="0.25">
      <c r="A38" s="44" t="s">
        <v>136</v>
      </c>
      <c r="B38" s="6">
        <v>207700311</v>
      </c>
      <c r="C38" s="44" t="s">
        <v>750</v>
      </c>
      <c r="D38" s="44" t="s">
        <v>760</v>
      </c>
      <c r="E38" s="6">
        <v>4</v>
      </c>
      <c r="F38" s="6" t="s">
        <v>751</v>
      </c>
      <c r="G38" s="6" t="s">
        <v>754</v>
      </c>
      <c r="H38" s="44" t="s">
        <v>146</v>
      </c>
      <c r="I38" s="44" t="s">
        <v>147</v>
      </c>
    </row>
    <row r="39" spans="1:9" ht="60" x14ac:dyDescent="0.25">
      <c r="A39" s="44" t="s">
        <v>136</v>
      </c>
      <c r="B39" s="6">
        <v>207700311</v>
      </c>
      <c r="C39" s="44" t="s">
        <v>750</v>
      </c>
      <c r="D39" s="44" t="s">
        <v>761</v>
      </c>
      <c r="E39" s="6">
        <v>2</v>
      </c>
      <c r="F39" s="6" t="s">
        <v>751</v>
      </c>
      <c r="G39" s="6" t="s">
        <v>752</v>
      </c>
      <c r="H39" s="44" t="s">
        <v>142</v>
      </c>
      <c r="I39" s="44" t="s">
        <v>143</v>
      </c>
    </row>
    <row r="40" spans="1:9" ht="60" x14ac:dyDescent="0.25">
      <c r="A40" s="44" t="s">
        <v>158</v>
      </c>
      <c r="B40" s="6">
        <v>207700311</v>
      </c>
      <c r="C40" s="44" t="s">
        <v>750</v>
      </c>
      <c r="D40" s="44"/>
      <c r="E40" s="6">
        <v>2</v>
      </c>
      <c r="F40" s="6" t="s">
        <v>751</v>
      </c>
      <c r="G40" s="6" t="s">
        <v>752</v>
      </c>
      <c r="H40" s="44" t="s">
        <v>161</v>
      </c>
      <c r="I40" s="44" t="s">
        <v>162</v>
      </c>
    </row>
    <row r="41" spans="1:9" ht="75" x14ac:dyDescent="0.25">
      <c r="A41" s="44" t="s">
        <v>166</v>
      </c>
      <c r="B41" s="6">
        <v>207700311</v>
      </c>
      <c r="C41" s="44" t="s">
        <v>750</v>
      </c>
      <c r="D41" s="44" t="s">
        <v>762</v>
      </c>
      <c r="E41" s="6">
        <v>40</v>
      </c>
      <c r="F41" s="6" t="s">
        <v>751</v>
      </c>
      <c r="G41" s="6" t="s">
        <v>763</v>
      </c>
      <c r="H41" s="44" t="s">
        <v>169</v>
      </c>
      <c r="I41" s="44" t="s">
        <v>170</v>
      </c>
    </row>
    <row r="42" spans="1:9" ht="75" x14ac:dyDescent="0.25">
      <c r="A42" s="44" t="s">
        <v>70</v>
      </c>
      <c r="B42" s="6">
        <v>207700345</v>
      </c>
      <c r="C42" s="44" t="s">
        <v>764</v>
      </c>
      <c r="D42" s="44"/>
      <c r="E42" s="6">
        <v>9</v>
      </c>
      <c r="F42" s="6" t="s">
        <v>765</v>
      </c>
      <c r="G42" s="6" t="s">
        <v>766</v>
      </c>
      <c r="H42" s="44" t="s">
        <v>73</v>
      </c>
      <c r="I42" s="44" t="s">
        <v>74</v>
      </c>
    </row>
    <row r="43" spans="1:9" ht="75" x14ac:dyDescent="0.25">
      <c r="A43" s="44" t="s">
        <v>88</v>
      </c>
      <c r="B43" s="6">
        <v>207700345</v>
      </c>
      <c r="C43" s="44" t="s">
        <v>764</v>
      </c>
      <c r="D43" s="44"/>
      <c r="E43" s="6">
        <v>2</v>
      </c>
      <c r="F43" s="6" t="s">
        <v>765</v>
      </c>
      <c r="G43" s="6" t="s">
        <v>767</v>
      </c>
      <c r="H43" s="44" t="s">
        <v>97</v>
      </c>
      <c r="I43" s="44" t="s">
        <v>98</v>
      </c>
    </row>
    <row r="44" spans="1:9" ht="75" x14ac:dyDescent="0.25">
      <c r="A44" s="44" t="s">
        <v>88</v>
      </c>
      <c r="B44" s="6">
        <v>207700345</v>
      </c>
      <c r="C44" s="44" t="s">
        <v>764</v>
      </c>
      <c r="D44" s="44" t="s">
        <v>768</v>
      </c>
      <c r="E44" s="6">
        <v>9</v>
      </c>
      <c r="F44" s="6" t="s">
        <v>765</v>
      </c>
      <c r="G44" s="6" t="s">
        <v>766</v>
      </c>
      <c r="H44" s="44" t="s">
        <v>95</v>
      </c>
      <c r="I44" s="44" t="s">
        <v>96</v>
      </c>
    </row>
    <row r="45" spans="1:9" ht="75" x14ac:dyDescent="0.25">
      <c r="A45" s="44" t="s">
        <v>88</v>
      </c>
      <c r="B45" s="6">
        <v>207700345</v>
      </c>
      <c r="C45" s="44" t="s">
        <v>764</v>
      </c>
      <c r="D45" s="44"/>
      <c r="E45" s="6">
        <v>2</v>
      </c>
      <c r="F45" s="6" t="s">
        <v>765</v>
      </c>
      <c r="G45" s="6" t="s">
        <v>767</v>
      </c>
      <c r="H45" s="44" t="s">
        <v>93</v>
      </c>
      <c r="I45" s="44" t="s">
        <v>94</v>
      </c>
    </row>
    <row r="46" spans="1:9" ht="75" x14ac:dyDescent="0.25">
      <c r="A46" s="44" t="s">
        <v>88</v>
      </c>
      <c r="B46" s="6">
        <v>207700345</v>
      </c>
      <c r="C46" s="44" t="s">
        <v>764</v>
      </c>
      <c r="D46" s="44"/>
      <c r="E46" s="6">
        <v>2</v>
      </c>
      <c r="F46" s="6" t="s">
        <v>765</v>
      </c>
      <c r="G46" s="6" t="s">
        <v>767</v>
      </c>
      <c r="H46" s="44" t="s">
        <v>91</v>
      </c>
      <c r="I46" s="44" t="s">
        <v>92</v>
      </c>
    </row>
    <row r="47" spans="1:9" ht="75" x14ac:dyDescent="0.25">
      <c r="A47" s="44" t="s">
        <v>88</v>
      </c>
      <c r="B47" s="6">
        <v>207700345</v>
      </c>
      <c r="C47" s="44" t="s">
        <v>764</v>
      </c>
      <c r="D47" s="44" t="s">
        <v>769</v>
      </c>
      <c r="E47" s="6">
        <v>5</v>
      </c>
      <c r="F47" s="6" t="s">
        <v>765</v>
      </c>
      <c r="G47" s="6" t="s">
        <v>770</v>
      </c>
      <c r="H47" s="44" t="s">
        <v>95</v>
      </c>
      <c r="I47" s="44" t="s">
        <v>96</v>
      </c>
    </row>
    <row r="48" spans="1:9" ht="75" x14ac:dyDescent="0.25">
      <c r="A48" s="44" t="s">
        <v>202</v>
      </c>
      <c r="B48" s="6">
        <v>207700345</v>
      </c>
      <c r="C48" s="44" t="s">
        <v>764</v>
      </c>
      <c r="D48" s="44"/>
      <c r="E48" s="6">
        <v>1</v>
      </c>
      <c r="F48" s="6" t="s">
        <v>765</v>
      </c>
      <c r="G48" s="6" t="s">
        <v>765</v>
      </c>
      <c r="H48" s="44" t="s">
        <v>203</v>
      </c>
      <c r="I48" s="44" t="s">
        <v>204</v>
      </c>
    </row>
    <row r="49" spans="1:9" ht="75" x14ac:dyDescent="0.25">
      <c r="A49" s="44" t="s">
        <v>281</v>
      </c>
      <c r="B49" s="6">
        <v>207700345</v>
      </c>
      <c r="C49" s="44" t="s">
        <v>764</v>
      </c>
      <c r="D49" s="44" t="s">
        <v>771</v>
      </c>
      <c r="E49" s="6">
        <v>2</v>
      </c>
      <c r="F49" s="6" t="s">
        <v>765</v>
      </c>
      <c r="G49" s="6" t="s">
        <v>767</v>
      </c>
      <c r="H49" s="44" t="s">
        <v>284</v>
      </c>
      <c r="I49" s="44" t="s">
        <v>285</v>
      </c>
    </row>
    <row r="50" spans="1:9" ht="75" x14ac:dyDescent="0.25">
      <c r="A50" s="44" t="s">
        <v>281</v>
      </c>
      <c r="B50" s="6">
        <v>207700345</v>
      </c>
      <c r="C50" s="44" t="s">
        <v>764</v>
      </c>
      <c r="D50" s="44" t="s">
        <v>772</v>
      </c>
      <c r="E50" s="6">
        <v>1</v>
      </c>
      <c r="F50" s="6" t="s">
        <v>765</v>
      </c>
      <c r="G50" s="6" t="s">
        <v>765</v>
      </c>
      <c r="H50" s="44" t="s">
        <v>284</v>
      </c>
      <c r="I50" s="44" t="s">
        <v>285</v>
      </c>
    </row>
    <row r="51" spans="1:9" ht="75" x14ac:dyDescent="0.25">
      <c r="A51" s="44" t="s">
        <v>281</v>
      </c>
      <c r="B51" s="6">
        <v>207700345</v>
      </c>
      <c r="C51" s="44" t="s">
        <v>764</v>
      </c>
      <c r="D51" s="44" t="s">
        <v>773</v>
      </c>
      <c r="E51" s="6">
        <v>1</v>
      </c>
      <c r="F51" s="6" t="s">
        <v>765</v>
      </c>
      <c r="G51" s="6" t="s">
        <v>765</v>
      </c>
      <c r="H51" s="44" t="s">
        <v>284</v>
      </c>
      <c r="I51" s="44" t="s">
        <v>285</v>
      </c>
    </row>
    <row r="52" spans="1:9" ht="75" x14ac:dyDescent="0.25">
      <c r="A52" s="44" t="s">
        <v>281</v>
      </c>
      <c r="B52" s="6">
        <v>207700345</v>
      </c>
      <c r="C52" s="44" t="s">
        <v>764</v>
      </c>
      <c r="D52" s="44" t="s">
        <v>774</v>
      </c>
      <c r="E52" s="6">
        <v>2</v>
      </c>
      <c r="F52" s="6" t="s">
        <v>765</v>
      </c>
      <c r="G52" s="6" t="s">
        <v>767</v>
      </c>
      <c r="H52" s="44" t="s">
        <v>284</v>
      </c>
      <c r="I52" s="44" t="s">
        <v>285</v>
      </c>
    </row>
    <row r="53" spans="1:9" ht="75" x14ac:dyDescent="0.25">
      <c r="A53" s="44" t="s">
        <v>88</v>
      </c>
      <c r="B53" s="6">
        <v>207700330</v>
      </c>
      <c r="C53" s="44" t="s">
        <v>775</v>
      </c>
      <c r="D53" s="44"/>
      <c r="E53" s="6">
        <v>3</v>
      </c>
      <c r="F53" s="6" t="s">
        <v>776</v>
      </c>
      <c r="G53" s="6" t="s">
        <v>777</v>
      </c>
      <c r="H53" s="44" t="s">
        <v>95</v>
      </c>
      <c r="I53" s="44" t="s">
        <v>96</v>
      </c>
    </row>
    <row r="54" spans="1:9" ht="75" x14ac:dyDescent="0.25">
      <c r="A54" s="44" t="s">
        <v>88</v>
      </c>
      <c r="B54" s="6">
        <v>207700330</v>
      </c>
      <c r="C54" s="44" t="s">
        <v>775</v>
      </c>
      <c r="D54" s="44"/>
      <c r="E54" s="6">
        <v>4</v>
      </c>
      <c r="F54" s="6" t="s">
        <v>776</v>
      </c>
      <c r="G54" s="6" t="s">
        <v>778</v>
      </c>
      <c r="H54" s="44" t="s">
        <v>95</v>
      </c>
      <c r="I54" s="44" t="s">
        <v>96</v>
      </c>
    </row>
    <row r="55" spans="1:9" ht="75" x14ac:dyDescent="0.25">
      <c r="A55" s="44" t="s">
        <v>88</v>
      </c>
      <c r="B55" s="6">
        <v>207700330</v>
      </c>
      <c r="C55" s="44" t="s">
        <v>775</v>
      </c>
      <c r="D55" s="44"/>
      <c r="E55" s="6">
        <v>5</v>
      </c>
      <c r="F55" s="6" t="s">
        <v>776</v>
      </c>
      <c r="G55" s="6" t="s">
        <v>779</v>
      </c>
      <c r="H55" s="44" t="s">
        <v>95</v>
      </c>
      <c r="I55" s="44" t="s">
        <v>96</v>
      </c>
    </row>
    <row r="56" spans="1:9" ht="75" x14ac:dyDescent="0.25">
      <c r="A56" s="44" t="s">
        <v>88</v>
      </c>
      <c r="B56" s="6">
        <v>207700330</v>
      </c>
      <c r="C56" s="44" t="s">
        <v>775</v>
      </c>
      <c r="D56" s="44"/>
      <c r="E56" s="6">
        <v>6</v>
      </c>
      <c r="F56" s="6" t="s">
        <v>776</v>
      </c>
      <c r="G56" s="6" t="s">
        <v>780</v>
      </c>
      <c r="H56" s="44" t="s">
        <v>95</v>
      </c>
      <c r="I56" s="44" t="s">
        <v>96</v>
      </c>
    </row>
    <row r="57" spans="1:9" ht="75" x14ac:dyDescent="0.25">
      <c r="A57" s="44" t="s">
        <v>88</v>
      </c>
      <c r="B57" s="6">
        <v>207700330</v>
      </c>
      <c r="C57" s="44" t="s">
        <v>775</v>
      </c>
      <c r="D57" s="44"/>
      <c r="E57" s="6">
        <v>4</v>
      </c>
      <c r="F57" s="6" t="s">
        <v>776</v>
      </c>
      <c r="G57" s="6" t="s">
        <v>778</v>
      </c>
      <c r="H57" s="44" t="s">
        <v>95</v>
      </c>
      <c r="I57" s="44" t="s">
        <v>96</v>
      </c>
    </row>
    <row r="58" spans="1:9" ht="75" x14ac:dyDescent="0.25">
      <c r="A58" s="44" t="s">
        <v>158</v>
      </c>
      <c r="B58" s="6">
        <v>207700330</v>
      </c>
      <c r="C58" s="44" t="s">
        <v>775</v>
      </c>
      <c r="D58" s="44"/>
      <c r="E58" s="6">
        <v>3</v>
      </c>
      <c r="F58" s="6" t="s">
        <v>776</v>
      </c>
      <c r="G58" s="6" t="s">
        <v>777</v>
      </c>
      <c r="H58" s="44" t="s">
        <v>164</v>
      </c>
      <c r="I58" s="44" t="s">
        <v>165</v>
      </c>
    </row>
    <row r="59" spans="1:9" ht="75" x14ac:dyDescent="0.25">
      <c r="A59" s="44" t="s">
        <v>158</v>
      </c>
      <c r="B59" s="6">
        <v>207700330</v>
      </c>
      <c r="C59" s="44" t="s">
        <v>775</v>
      </c>
      <c r="D59" s="44"/>
      <c r="E59" s="6">
        <v>4</v>
      </c>
      <c r="F59" s="6" t="s">
        <v>776</v>
      </c>
      <c r="G59" s="6" t="s">
        <v>778</v>
      </c>
      <c r="H59" s="44" t="s">
        <v>164</v>
      </c>
      <c r="I59" s="44" t="s">
        <v>165</v>
      </c>
    </row>
    <row r="60" spans="1:9" ht="75" x14ac:dyDescent="0.25">
      <c r="A60" s="44" t="s">
        <v>166</v>
      </c>
      <c r="B60" s="6">
        <v>207700330</v>
      </c>
      <c r="C60" s="44" t="s">
        <v>775</v>
      </c>
      <c r="D60" s="44" t="s">
        <v>781</v>
      </c>
      <c r="E60" s="6">
        <v>10</v>
      </c>
      <c r="F60" s="6" t="s">
        <v>776</v>
      </c>
      <c r="G60" s="6" t="s">
        <v>782</v>
      </c>
      <c r="H60" s="44" t="s">
        <v>172</v>
      </c>
      <c r="I60" s="44" t="s">
        <v>173</v>
      </c>
    </row>
    <row r="61" spans="1:9" ht="75" x14ac:dyDescent="0.25">
      <c r="A61" s="44" t="s">
        <v>174</v>
      </c>
      <c r="B61" s="6">
        <v>207700330</v>
      </c>
      <c r="C61" s="44" t="s">
        <v>775</v>
      </c>
      <c r="D61" s="44"/>
      <c r="E61" s="6">
        <v>2</v>
      </c>
      <c r="F61" s="6" t="s">
        <v>776</v>
      </c>
      <c r="G61" s="6" t="s">
        <v>783</v>
      </c>
      <c r="H61" s="44" t="s">
        <v>180</v>
      </c>
      <c r="I61" s="44" t="s">
        <v>181</v>
      </c>
    </row>
    <row r="62" spans="1:9" ht="75" x14ac:dyDescent="0.25">
      <c r="A62" s="44" t="s">
        <v>174</v>
      </c>
      <c r="B62" s="6">
        <v>207700330</v>
      </c>
      <c r="C62" s="44" t="s">
        <v>775</v>
      </c>
      <c r="D62" s="44"/>
      <c r="E62" s="6">
        <v>2</v>
      </c>
      <c r="F62" s="6" t="s">
        <v>776</v>
      </c>
      <c r="G62" s="6" t="s">
        <v>783</v>
      </c>
      <c r="H62" s="44" t="s">
        <v>180</v>
      </c>
      <c r="I62" s="44" t="s">
        <v>181</v>
      </c>
    </row>
    <row r="63" spans="1:9" ht="75" x14ac:dyDescent="0.25">
      <c r="A63" s="44" t="s">
        <v>207</v>
      </c>
      <c r="B63" s="6">
        <v>207700330</v>
      </c>
      <c r="C63" s="44" t="s">
        <v>775</v>
      </c>
      <c r="D63" s="44"/>
      <c r="E63" s="6">
        <v>1</v>
      </c>
      <c r="F63" s="6" t="s">
        <v>776</v>
      </c>
      <c r="G63" s="6" t="s">
        <v>776</v>
      </c>
      <c r="H63" s="44" t="s">
        <v>208</v>
      </c>
      <c r="I63" s="44" t="s">
        <v>207</v>
      </c>
    </row>
    <row r="64" spans="1:9" ht="75" x14ac:dyDescent="0.25">
      <c r="A64" s="44" t="s">
        <v>281</v>
      </c>
      <c r="B64" s="6">
        <v>207700330</v>
      </c>
      <c r="C64" s="44" t="s">
        <v>775</v>
      </c>
      <c r="D64" s="44" t="s">
        <v>784</v>
      </c>
      <c r="E64" s="6">
        <v>3</v>
      </c>
      <c r="F64" s="6" t="s">
        <v>776</v>
      </c>
      <c r="G64" s="6" t="s">
        <v>777</v>
      </c>
      <c r="H64" s="44" t="s">
        <v>284</v>
      </c>
      <c r="I64" s="44" t="s">
        <v>285</v>
      </c>
    </row>
    <row r="65" spans="1:9" ht="60" x14ac:dyDescent="0.25">
      <c r="A65" s="44" t="s">
        <v>88</v>
      </c>
      <c r="B65" s="6">
        <v>2077057</v>
      </c>
      <c r="C65" s="44" t="s">
        <v>785</v>
      </c>
      <c r="D65" s="44"/>
      <c r="E65" s="6">
        <v>4</v>
      </c>
      <c r="F65" s="6">
        <v>990</v>
      </c>
      <c r="G65" s="6" t="s">
        <v>786</v>
      </c>
      <c r="H65" s="44" t="s">
        <v>95</v>
      </c>
      <c r="I65" s="44" t="s">
        <v>96</v>
      </c>
    </row>
    <row r="66" spans="1:9" ht="75" x14ac:dyDescent="0.25">
      <c r="A66" s="44" t="s">
        <v>205</v>
      </c>
      <c r="B66" s="6">
        <v>2077057</v>
      </c>
      <c r="C66" s="44" t="s">
        <v>785</v>
      </c>
      <c r="D66" s="44" t="s">
        <v>787</v>
      </c>
      <c r="E66" s="6">
        <v>1</v>
      </c>
      <c r="F66" s="6">
        <v>990</v>
      </c>
      <c r="G66" s="6">
        <v>990</v>
      </c>
      <c r="H66" s="44" t="s">
        <v>206</v>
      </c>
      <c r="I66" s="44" t="s">
        <v>205</v>
      </c>
    </row>
    <row r="67" spans="1:9" ht="60" x14ac:dyDescent="0.25">
      <c r="A67" s="44" t="s">
        <v>281</v>
      </c>
      <c r="B67" s="6">
        <v>2077057</v>
      </c>
      <c r="C67" s="44" t="s">
        <v>785</v>
      </c>
      <c r="D67" s="44" t="s">
        <v>788</v>
      </c>
      <c r="E67" s="6">
        <v>2</v>
      </c>
      <c r="F67" s="6">
        <v>990</v>
      </c>
      <c r="G67" s="6" t="s">
        <v>789</v>
      </c>
      <c r="H67" s="44" t="s">
        <v>284</v>
      </c>
      <c r="I67" s="44" t="s">
        <v>285</v>
      </c>
    </row>
    <row r="68" spans="1:9" ht="75" x14ac:dyDescent="0.25">
      <c r="A68" s="44" t="s">
        <v>148</v>
      </c>
      <c r="B68" s="6">
        <v>207600005</v>
      </c>
      <c r="C68" s="44" t="s">
        <v>790</v>
      </c>
      <c r="D68" s="44" t="s">
        <v>791</v>
      </c>
      <c r="E68" s="6">
        <v>2</v>
      </c>
      <c r="F68" s="6">
        <v>956.9</v>
      </c>
      <c r="G68" s="6" t="s">
        <v>792</v>
      </c>
      <c r="H68" s="44" t="s">
        <v>154</v>
      </c>
      <c r="I68" s="44" t="s">
        <v>155</v>
      </c>
    </row>
    <row r="69" spans="1:9" ht="60" x14ac:dyDescent="0.25">
      <c r="A69" s="44" t="s">
        <v>166</v>
      </c>
      <c r="B69" s="6">
        <v>207600005</v>
      </c>
      <c r="C69" s="44" t="s">
        <v>790</v>
      </c>
      <c r="D69" s="44" t="s">
        <v>793</v>
      </c>
      <c r="E69" s="6">
        <v>1</v>
      </c>
      <c r="F69" s="6" t="s">
        <v>794</v>
      </c>
      <c r="G69" s="6" t="s">
        <v>794</v>
      </c>
      <c r="H69" s="44" t="s">
        <v>172</v>
      </c>
      <c r="I69" s="44" t="s">
        <v>173</v>
      </c>
    </row>
    <row r="70" spans="1:9" ht="60" x14ac:dyDescent="0.25">
      <c r="A70" s="44" t="s">
        <v>88</v>
      </c>
      <c r="B70" s="6">
        <v>2077002</v>
      </c>
      <c r="C70" s="44" t="s">
        <v>795</v>
      </c>
      <c r="D70" s="44"/>
      <c r="E70" s="6">
        <v>6</v>
      </c>
      <c r="F70" s="6">
        <v>750</v>
      </c>
      <c r="G70" s="6" t="s">
        <v>796</v>
      </c>
      <c r="H70" s="44" t="s">
        <v>95</v>
      </c>
      <c r="I70" s="44" t="s">
        <v>96</v>
      </c>
    </row>
    <row r="71" spans="1:9" ht="60" x14ac:dyDescent="0.25">
      <c r="A71" s="44" t="s">
        <v>281</v>
      </c>
      <c r="B71" s="6">
        <v>2077002</v>
      </c>
      <c r="C71" s="44" t="s">
        <v>795</v>
      </c>
      <c r="D71" s="44" t="s">
        <v>797</v>
      </c>
      <c r="E71" s="6">
        <v>1</v>
      </c>
      <c r="F71" s="6">
        <v>750</v>
      </c>
      <c r="G71" s="6">
        <v>750</v>
      </c>
      <c r="H71" s="44" t="s">
        <v>284</v>
      </c>
      <c r="I71" s="44" t="s">
        <v>285</v>
      </c>
    </row>
    <row r="72" spans="1:9" ht="30" x14ac:dyDescent="0.25">
      <c r="A72" s="44" t="s">
        <v>247</v>
      </c>
      <c r="B72" s="6"/>
      <c r="C72" s="44" t="s">
        <v>798</v>
      </c>
      <c r="D72" s="44" t="s">
        <v>799</v>
      </c>
      <c r="E72" s="6">
        <v>25</v>
      </c>
      <c r="F72" s="6">
        <v>60</v>
      </c>
      <c r="G72" s="6" t="s">
        <v>800</v>
      </c>
      <c r="H72" s="44" t="s">
        <v>250</v>
      </c>
      <c r="I72" s="44" t="s">
        <v>251</v>
      </c>
    </row>
    <row r="73" spans="1:9" ht="45" x14ac:dyDescent="0.25">
      <c r="A73" s="44" t="s">
        <v>207</v>
      </c>
      <c r="B73" s="6">
        <v>1072001</v>
      </c>
      <c r="C73" s="44" t="s">
        <v>801</v>
      </c>
      <c r="D73" s="44" t="s">
        <v>802</v>
      </c>
      <c r="E73" s="6">
        <v>12</v>
      </c>
      <c r="F73" s="6">
        <v>2.7</v>
      </c>
      <c r="G73" s="6">
        <v>32.4</v>
      </c>
      <c r="H73" s="44" t="s">
        <v>208</v>
      </c>
      <c r="I73" s="44" t="s">
        <v>207</v>
      </c>
    </row>
    <row r="74" spans="1:9" ht="45" x14ac:dyDescent="0.25">
      <c r="A74" s="44" t="s">
        <v>209</v>
      </c>
      <c r="B74" s="6">
        <v>1072001</v>
      </c>
      <c r="C74" s="44" t="s">
        <v>801</v>
      </c>
      <c r="D74" s="44" t="s">
        <v>803</v>
      </c>
      <c r="E74" s="6">
        <v>2</v>
      </c>
      <c r="F74" s="6">
        <v>4.5</v>
      </c>
      <c r="G74" s="6">
        <v>9</v>
      </c>
      <c r="H74" s="44" t="s">
        <v>210</v>
      </c>
      <c r="I74" s="44" t="s">
        <v>209</v>
      </c>
    </row>
    <row r="75" spans="1:9" ht="45" x14ac:dyDescent="0.25">
      <c r="A75" s="44" t="s">
        <v>88</v>
      </c>
      <c r="B75" s="6">
        <v>1181001</v>
      </c>
      <c r="C75" s="44" t="s">
        <v>804</v>
      </c>
      <c r="D75" s="44" t="s">
        <v>805</v>
      </c>
      <c r="E75" s="6">
        <v>5</v>
      </c>
      <c r="F75" s="6">
        <v>500</v>
      </c>
      <c r="G75" s="6">
        <v>2.5</v>
      </c>
      <c r="H75" s="44" t="s">
        <v>95</v>
      </c>
      <c r="I75" s="44" t="s">
        <v>96</v>
      </c>
    </row>
    <row r="76" spans="1:9" ht="45" x14ac:dyDescent="0.25">
      <c r="A76" s="44" t="s">
        <v>88</v>
      </c>
      <c r="B76" s="6">
        <v>1181001</v>
      </c>
      <c r="C76" s="44" t="s">
        <v>804</v>
      </c>
      <c r="D76" s="44"/>
      <c r="E76" s="6">
        <v>2</v>
      </c>
      <c r="F76" s="6">
        <v>500</v>
      </c>
      <c r="G76" s="6">
        <v>1</v>
      </c>
      <c r="H76" s="44" t="s">
        <v>95</v>
      </c>
      <c r="I76" s="44" t="s">
        <v>96</v>
      </c>
    </row>
    <row r="77" spans="1:9" ht="45" x14ac:dyDescent="0.25">
      <c r="A77" s="44" t="s">
        <v>88</v>
      </c>
      <c r="B77" s="6">
        <v>1181001</v>
      </c>
      <c r="C77" s="44" t="s">
        <v>804</v>
      </c>
      <c r="D77" s="44" t="s">
        <v>805</v>
      </c>
      <c r="E77" s="6">
        <v>5</v>
      </c>
      <c r="F77" s="6">
        <v>1</v>
      </c>
      <c r="G77" s="6">
        <v>5</v>
      </c>
      <c r="H77" s="44" t="s">
        <v>95</v>
      </c>
      <c r="I77" s="44" t="s">
        <v>96</v>
      </c>
    </row>
    <row r="78" spans="1:9" ht="45" x14ac:dyDescent="0.25">
      <c r="A78" s="44" t="s">
        <v>207</v>
      </c>
      <c r="B78" s="6">
        <v>1075007</v>
      </c>
      <c r="C78" s="44" t="s">
        <v>806</v>
      </c>
      <c r="D78" s="44" t="s">
        <v>807</v>
      </c>
      <c r="E78" s="6">
        <v>5</v>
      </c>
      <c r="F78" s="6">
        <v>7</v>
      </c>
      <c r="G78" s="6">
        <v>35</v>
      </c>
      <c r="H78" s="44" t="s">
        <v>208</v>
      </c>
      <c r="I78" s="44" t="s">
        <v>207</v>
      </c>
    </row>
    <row r="79" spans="1:9" ht="45" x14ac:dyDescent="0.25">
      <c r="A79" s="44" t="s">
        <v>209</v>
      </c>
      <c r="B79" s="6">
        <v>1075007</v>
      </c>
      <c r="C79" s="44" t="s">
        <v>806</v>
      </c>
      <c r="D79" s="44" t="s">
        <v>808</v>
      </c>
      <c r="E79" s="6">
        <v>1</v>
      </c>
      <c r="F79" s="6">
        <v>15</v>
      </c>
      <c r="G79" s="6">
        <v>15</v>
      </c>
      <c r="H79" s="44" t="s">
        <v>210</v>
      </c>
      <c r="I79" s="44" t="s">
        <v>209</v>
      </c>
    </row>
    <row r="80" spans="1:9" ht="60" x14ac:dyDescent="0.25">
      <c r="A80" s="44" t="s">
        <v>70</v>
      </c>
      <c r="B80" s="6">
        <v>14230006</v>
      </c>
      <c r="C80" s="44" t="s">
        <v>809</v>
      </c>
      <c r="D80" s="44" t="s">
        <v>810</v>
      </c>
      <c r="E80" s="6">
        <v>20</v>
      </c>
      <c r="F80" s="6">
        <v>45</v>
      </c>
      <c r="G80" s="6">
        <v>900</v>
      </c>
      <c r="H80" s="44" t="s">
        <v>73</v>
      </c>
      <c r="I80" s="44" t="s">
        <v>74</v>
      </c>
    </row>
    <row r="81" spans="1:9" ht="60" x14ac:dyDescent="0.25">
      <c r="A81" s="44" t="s">
        <v>247</v>
      </c>
      <c r="B81" s="6">
        <v>14230006</v>
      </c>
      <c r="C81" s="44" t="s">
        <v>809</v>
      </c>
      <c r="D81" s="44" t="s">
        <v>811</v>
      </c>
      <c r="E81" s="6">
        <v>1</v>
      </c>
      <c r="F81" s="6">
        <v>45</v>
      </c>
      <c r="G81" s="6">
        <v>45</v>
      </c>
      <c r="H81" s="44" t="s">
        <v>250</v>
      </c>
      <c r="I81" s="44" t="s">
        <v>251</v>
      </c>
    </row>
    <row r="82" spans="1:9" ht="60" x14ac:dyDescent="0.25">
      <c r="A82" s="44" t="s">
        <v>274</v>
      </c>
      <c r="B82" s="6">
        <v>2509003</v>
      </c>
      <c r="C82" s="44" t="s">
        <v>812</v>
      </c>
      <c r="D82" s="44" t="s">
        <v>813</v>
      </c>
      <c r="E82" s="6">
        <v>1</v>
      </c>
      <c r="F82" s="6" t="s">
        <v>814</v>
      </c>
      <c r="G82" s="6" t="s">
        <v>814</v>
      </c>
      <c r="H82" s="44" t="s">
        <v>277</v>
      </c>
      <c r="I82" s="44" t="s">
        <v>278</v>
      </c>
    </row>
    <row r="83" spans="1:9" ht="45" x14ac:dyDescent="0.25">
      <c r="A83" s="44" t="s">
        <v>136</v>
      </c>
      <c r="B83" s="6">
        <v>2108013</v>
      </c>
      <c r="C83" s="44" t="s">
        <v>815</v>
      </c>
      <c r="D83" s="44" t="s">
        <v>816</v>
      </c>
      <c r="E83" s="6">
        <v>1</v>
      </c>
      <c r="F83" s="6">
        <v>600</v>
      </c>
      <c r="G83" s="6">
        <v>600</v>
      </c>
      <c r="H83" s="44" t="s">
        <v>142</v>
      </c>
      <c r="I83" s="44" t="s">
        <v>143</v>
      </c>
    </row>
    <row r="84" spans="1:9" ht="45" x14ac:dyDescent="0.25">
      <c r="A84" s="44" t="s">
        <v>281</v>
      </c>
      <c r="B84" s="6">
        <v>2108013</v>
      </c>
      <c r="C84" s="44" t="s">
        <v>815</v>
      </c>
      <c r="D84" s="44" t="s">
        <v>817</v>
      </c>
      <c r="E84" s="6">
        <v>1</v>
      </c>
      <c r="F84" s="6">
        <v>600</v>
      </c>
      <c r="G84" s="6">
        <v>600</v>
      </c>
      <c r="H84" s="44" t="s">
        <v>284</v>
      </c>
      <c r="I84" s="44" t="s">
        <v>285</v>
      </c>
    </row>
    <row r="85" spans="1:9" ht="60" x14ac:dyDescent="0.25">
      <c r="A85" s="44" t="s">
        <v>166</v>
      </c>
      <c r="B85" s="6">
        <v>2108029</v>
      </c>
      <c r="C85" s="44" t="s">
        <v>818</v>
      </c>
      <c r="D85" s="44" t="s">
        <v>819</v>
      </c>
      <c r="E85" s="6">
        <v>3</v>
      </c>
      <c r="F85" s="6" t="s">
        <v>678</v>
      </c>
      <c r="G85" s="6" t="s">
        <v>820</v>
      </c>
      <c r="H85" s="44" t="s">
        <v>172</v>
      </c>
      <c r="I85" s="44" t="s">
        <v>173</v>
      </c>
    </row>
    <row r="86" spans="1:9" ht="60" x14ac:dyDescent="0.25">
      <c r="A86" s="44" t="s">
        <v>88</v>
      </c>
      <c r="B86" s="6">
        <v>2108005</v>
      </c>
      <c r="C86" s="44" t="s">
        <v>821</v>
      </c>
      <c r="D86" s="44"/>
      <c r="E86" s="6">
        <v>2</v>
      </c>
      <c r="F86" s="6">
        <v>551</v>
      </c>
      <c r="G86" s="6" t="s">
        <v>822</v>
      </c>
      <c r="H86" s="44" t="s">
        <v>93</v>
      </c>
      <c r="I86" s="44" t="s">
        <v>94</v>
      </c>
    </row>
    <row r="87" spans="1:9" ht="60" x14ac:dyDescent="0.25">
      <c r="A87" s="44" t="s">
        <v>88</v>
      </c>
      <c r="B87" s="6">
        <v>2108005</v>
      </c>
      <c r="C87" s="44" t="s">
        <v>821</v>
      </c>
      <c r="D87" s="44" t="s">
        <v>823</v>
      </c>
      <c r="E87" s="6">
        <v>4</v>
      </c>
      <c r="F87" s="6">
        <v>551</v>
      </c>
      <c r="G87" s="6" t="s">
        <v>824</v>
      </c>
      <c r="H87" s="44" t="s">
        <v>95</v>
      </c>
      <c r="I87" s="44" t="s">
        <v>96</v>
      </c>
    </row>
    <row r="88" spans="1:9" ht="60" x14ac:dyDescent="0.25">
      <c r="A88" s="44" t="s">
        <v>88</v>
      </c>
      <c r="B88" s="6">
        <v>2108005</v>
      </c>
      <c r="C88" s="44" t="s">
        <v>821</v>
      </c>
      <c r="D88" s="44" t="s">
        <v>825</v>
      </c>
      <c r="E88" s="6">
        <v>4</v>
      </c>
      <c r="F88" s="6">
        <v>551</v>
      </c>
      <c r="G88" s="6" t="s">
        <v>824</v>
      </c>
      <c r="H88" s="44" t="s">
        <v>95</v>
      </c>
      <c r="I88" s="44" t="s">
        <v>96</v>
      </c>
    </row>
    <row r="89" spans="1:9" ht="60" x14ac:dyDescent="0.25">
      <c r="A89" s="44" t="s">
        <v>88</v>
      </c>
      <c r="B89" s="6">
        <v>2108005</v>
      </c>
      <c r="C89" s="44" t="s">
        <v>821</v>
      </c>
      <c r="D89" s="44"/>
      <c r="E89" s="6">
        <v>2</v>
      </c>
      <c r="F89" s="6">
        <v>551</v>
      </c>
      <c r="G89" s="6" t="s">
        <v>822</v>
      </c>
      <c r="H89" s="44" t="s">
        <v>91</v>
      </c>
      <c r="I89" s="44" t="s">
        <v>92</v>
      </c>
    </row>
    <row r="90" spans="1:9" ht="60" x14ac:dyDescent="0.25">
      <c r="A90" s="44" t="s">
        <v>88</v>
      </c>
      <c r="B90" s="6">
        <v>2108005</v>
      </c>
      <c r="C90" s="44" t="s">
        <v>821</v>
      </c>
      <c r="D90" s="44" t="s">
        <v>826</v>
      </c>
      <c r="E90" s="6">
        <v>4</v>
      </c>
      <c r="F90" s="6">
        <v>551</v>
      </c>
      <c r="G90" s="6" t="s">
        <v>824</v>
      </c>
      <c r="H90" s="44" t="s">
        <v>95</v>
      </c>
      <c r="I90" s="44" t="s">
        <v>96</v>
      </c>
    </row>
    <row r="91" spans="1:9" ht="60" x14ac:dyDescent="0.25">
      <c r="A91" s="44" t="s">
        <v>88</v>
      </c>
      <c r="B91" s="6">
        <v>2108005</v>
      </c>
      <c r="C91" s="44" t="s">
        <v>821</v>
      </c>
      <c r="D91" s="44"/>
      <c r="E91" s="6">
        <v>2</v>
      </c>
      <c r="F91" s="6">
        <v>551</v>
      </c>
      <c r="G91" s="6" t="s">
        <v>822</v>
      </c>
      <c r="H91" s="44" t="s">
        <v>97</v>
      </c>
      <c r="I91" s="44" t="s">
        <v>98</v>
      </c>
    </row>
    <row r="92" spans="1:9" ht="60" x14ac:dyDescent="0.25">
      <c r="A92" s="44" t="s">
        <v>158</v>
      </c>
      <c r="B92" s="6">
        <v>2108005</v>
      </c>
      <c r="C92" s="44" t="s">
        <v>821</v>
      </c>
      <c r="D92" s="44" t="s">
        <v>827</v>
      </c>
      <c r="E92" s="6">
        <v>2</v>
      </c>
      <c r="F92" s="6">
        <v>551</v>
      </c>
      <c r="G92" s="6" t="s">
        <v>822</v>
      </c>
      <c r="H92" s="44" t="s">
        <v>164</v>
      </c>
      <c r="I92" s="44" t="s">
        <v>165</v>
      </c>
    </row>
    <row r="93" spans="1:9" ht="60" x14ac:dyDescent="0.25">
      <c r="A93" s="44" t="s">
        <v>207</v>
      </c>
      <c r="B93" s="6">
        <v>2108005</v>
      </c>
      <c r="C93" s="44" t="s">
        <v>821</v>
      </c>
      <c r="D93" s="44" t="s">
        <v>828</v>
      </c>
      <c r="E93" s="6">
        <v>1</v>
      </c>
      <c r="F93" s="6">
        <v>551</v>
      </c>
      <c r="G93" s="6">
        <v>551</v>
      </c>
      <c r="H93" s="44" t="s">
        <v>208</v>
      </c>
      <c r="I93" s="44" t="s">
        <v>207</v>
      </c>
    </row>
    <row r="94" spans="1:9" ht="45" x14ac:dyDescent="0.25">
      <c r="A94" s="44" t="s">
        <v>136</v>
      </c>
      <c r="B94" s="6">
        <v>22540013</v>
      </c>
      <c r="C94" s="44" t="s">
        <v>829</v>
      </c>
      <c r="D94" s="44" t="s">
        <v>830</v>
      </c>
      <c r="E94" s="6">
        <v>3</v>
      </c>
      <c r="F94" s="6">
        <v>300</v>
      </c>
      <c r="G94" s="6">
        <v>900</v>
      </c>
      <c r="H94" s="44" t="s">
        <v>146</v>
      </c>
      <c r="I94" s="44" t="s">
        <v>147</v>
      </c>
    </row>
    <row r="95" spans="1:9" ht="75" x14ac:dyDescent="0.25">
      <c r="A95" s="44" t="s">
        <v>148</v>
      </c>
      <c r="B95" s="6">
        <v>2085001</v>
      </c>
      <c r="C95" s="44" t="s">
        <v>831</v>
      </c>
      <c r="D95" s="44" t="s">
        <v>832</v>
      </c>
      <c r="E95" s="6">
        <v>4</v>
      </c>
      <c r="F95" s="6">
        <v>780</v>
      </c>
      <c r="G95" s="6" t="s">
        <v>833</v>
      </c>
      <c r="H95" s="44" t="s">
        <v>154</v>
      </c>
      <c r="I95" s="44" t="s">
        <v>155</v>
      </c>
    </row>
    <row r="96" spans="1:9" ht="45" x14ac:dyDescent="0.25">
      <c r="A96" s="44" t="s">
        <v>207</v>
      </c>
      <c r="B96" s="6">
        <v>1278001</v>
      </c>
      <c r="C96" s="44" t="s">
        <v>834</v>
      </c>
      <c r="D96" s="44" t="s">
        <v>835</v>
      </c>
      <c r="E96" s="6">
        <v>1</v>
      </c>
      <c r="F96" s="6">
        <v>3</v>
      </c>
      <c r="G96" s="6">
        <v>3</v>
      </c>
      <c r="H96" s="44" t="s">
        <v>208</v>
      </c>
      <c r="I96" s="44" t="s">
        <v>207</v>
      </c>
    </row>
    <row r="97" spans="1:9" ht="45" x14ac:dyDescent="0.25">
      <c r="A97" s="44" t="s">
        <v>209</v>
      </c>
      <c r="B97" s="6">
        <v>1278001</v>
      </c>
      <c r="C97" s="44" t="s">
        <v>834</v>
      </c>
      <c r="D97" s="44"/>
      <c r="E97" s="6">
        <v>2</v>
      </c>
      <c r="F97" s="6">
        <v>3</v>
      </c>
      <c r="G97" s="6">
        <v>6</v>
      </c>
      <c r="H97" s="44" t="s">
        <v>210</v>
      </c>
      <c r="I97" s="44" t="s">
        <v>209</v>
      </c>
    </row>
    <row r="98" spans="1:9" ht="45" x14ac:dyDescent="0.25">
      <c r="A98" s="44" t="s">
        <v>136</v>
      </c>
      <c r="B98" s="6">
        <v>22370036</v>
      </c>
      <c r="C98" s="44" t="s">
        <v>836</v>
      </c>
      <c r="D98" s="44" t="s">
        <v>837</v>
      </c>
      <c r="E98" s="6">
        <v>1</v>
      </c>
      <c r="F98" s="6" t="s">
        <v>838</v>
      </c>
      <c r="G98" s="6" t="s">
        <v>838</v>
      </c>
      <c r="H98" s="44" t="s">
        <v>142</v>
      </c>
      <c r="I98" s="44" t="s">
        <v>143</v>
      </c>
    </row>
    <row r="99" spans="1:9" ht="45" x14ac:dyDescent="0.25">
      <c r="A99" s="44" t="s">
        <v>247</v>
      </c>
      <c r="B99" s="6">
        <v>22370036</v>
      </c>
      <c r="C99" s="44" t="s">
        <v>836</v>
      </c>
      <c r="D99" s="44" t="s">
        <v>839</v>
      </c>
      <c r="E99" s="6">
        <v>2</v>
      </c>
      <c r="F99" s="6" t="s">
        <v>736</v>
      </c>
      <c r="G99" s="6" t="s">
        <v>678</v>
      </c>
      <c r="H99" s="44" t="s">
        <v>250</v>
      </c>
      <c r="I99" s="44" t="s">
        <v>251</v>
      </c>
    </row>
    <row r="100" spans="1:9" ht="45" x14ac:dyDescent="0.25">
      <c r="A100" s="44" t="s">
        <v>247</v>
      </c>
      <c r="B100" s="6">
        <v>22370036</v>
      </c>
      <c r="C100" s="44" t="s">
        <v>836</v>
      </c>
      <c r="D100" s="44" t="s">
        <v>840</v>
      </c>
      <c r="E100" s="6">
        <v>1</v>
      </c>
      <c r="F100" s="6" t="s">
        <v>838</v>
      </c>
      <c r="G100" s="6" t="s">
        <v>838</v>
      </c>
      <c r="H100" s="44" t="s">
        <v>250</v>
      </c>
      <c r="I100" s="44" t="s">
        <v>251</v>
      </c>
    </row>
    <row r="101" spans="1:9" ht="45" x14ac:dyDescent="0.25">
      <c r="A101" s="44" t="s">
        <v>281</v>
      </c>
      <c r="B101" s="6">
        <v>22370036</v>
      </c>
      <c r="C101" s="44" t="s">
        <v>836</v>
      </c>
      <c r="D101" s="44" t="s">
        <v>841</v>
      </c>
      <c r="E101" s="6">
        <v>1</v>
      </c>
      <c r="F101" s="6" t="s">
        <v>842</v>
      </c>
      <c r="G101" s="6" t="s">
        <v>842</v>
      </c>
      <c r="H101" s="44" t="s">
        <v>284</v>
      </c>
      <c r="I101" s="44" t="s">
        <v>285</v>
      </c>
    </row>
    <row r="102" spans="1:9" ht="45" x14ac:dyDescent="0.25">
      <c r="A102" s="44" t="s">
        <v>281</v>
      </c>
      <c r="B102" s="6">
        <v>22370036</v>
      </c>
      <c r="C102" s="44" t="s">
        <v>836</v>
      </c>
      <c r="D102" s="44" t="s">
        <v>843</v>
      </c>
      <c r="E102" s="6">
        <v>1</v>
      </c>
      <c r="F102" s="6" t="s">
        <v>820</v>
      </c>
      <c r="G102" s="6" t="s">
        <v>820</v>
      </c>
      <c r="H102" s="44" t="s">
        <v>284</v>
      </c>
      <c r="I102" s="44" t="s">
        <v>285</v>
      </c>
    </row>
    <row r="103" spans="1:9" ht="60" x14ac:dyDescent="0.25">
      <c r="A103" s="44" t="s">
        <v>286</v>
      </c>
      <c r="B103" s="6">
        <v>22370036</v>
      </c>
      <c r="C103" s="44" t="s">
        <v>836</v>
      </c>
      <c r="D103" s="44" t="s">
        <v>844</v>
      </c>
      <c r="E103" s="6">
        <v>1</v>
      </c>
      <c r="F103" s="6" t="s">
        <v>845</v>
      </c>
      <c r="G103" s="6" t="s">
        <v>845</v>
      </c>
      <c r="H103" s="44" t="s">
        <v>289</v>
      </c>
      <c r="I103" s="44" t="s">
        <v>290</v>
      </c>
    </row>
    <row r="104" spans="1:9" ht="60" x14ac:dyDescent="0.25">
      <c r="A104" s="44" t="s">
        <v>286</v>
      </c>
      <c r="B104" s="6">
        <v>22370036</v>
      </c>
      <c r="C104" s="44" t="s">
        <v>836</v>
      </c>
      <c r="D104" s="44" t="s">
        <v>846</v>
      </c>
      <c r="E104" s="6">
        <v>1</v>
      </c>
      <c r="F104" s="6" t="s">
        <v>847</v>
      </c>
      <c r="G104" s="6" t="s">
        <v>847</v>
      </c>
      <c r="H104" s="44" t="s">
        <v>289</v>
      </c>
      <c r="I104" s="44" t="s">
        <v>290</v>
      </c>
    </row>
    <row r="105" spans="1:9" ht="60" x14ac:dyDescent="0.25">
      <c r="A105" s="44" t="s">
        <v>286</v>
      </c>
      <c r="B105" s="6">
        <v>22370036</v>
      </c>
      <c r="C105" s="44" t="s">
        <v>836</v>
      </c>
      <c r="D105" s="44" t="s">
        <v>848</v>
      </c>
      <c r="E105" s="6">
        <v>1</v>
      </c>
      <c r="F105" s="6" t="s">
        <v>849</v>
      </c>
      <c r="G105" s="6" t="s">
        <v>849</v>
      </c>
      <c r="H105" s="44" t="s">
        <v>289</v>
      </c>
      <c r="I105" s="44" t="s">
        <v>290</v>
      </c>
    </row>
    <row r="106" spans="1:9" ht="45" x14ac:dyDescent="0.25">
      <c r="A106" s="44" t="s">
        <v>286</v>
      </c>
      <c r="B106" s="6">
        <v>22370036</v>
      </c>
      <c r="C106" s="44" t="s">
        <v>836</v>
      </c>
      <c r="D106" s="44" t="s">
        <v>850</v>
      </c>
      <c r="E106" s="6">
        <v>1</v>
      </c>
      <c r="F106" s="6" t="s">
        <v>814</v>
      </c>
      <c r="G106" s="6" t="s">
        <v>814</v>
      </c>
      <c r="H106" s="44" t="s">
        <v>289</v>
      </c>
      <c r="I106" s="44" t="s">
        <v>290</v>
      </c>
    </row>
    <row r="107" spans="1:9" ht="45" x14ac:dyDescent="0.25">
      <c r="A107" s="44" t="s">
        <v>136</v>
      </c>
      <c r="B107" s="6">
        <v>22370035</v>
      </c>
      <c r="C107" s="44" t="s">
        <v>851</v>
      </c>
      <c r="D107" s="44" t="s">
        <v>852</v>
      </c>
      <c r="E107" s="6">
        <v>2</v>
      </c>
      <c r="F107" s="6" t="s">
        <v>736</v>
      </c>
      <c r="G107" s="6" t="s">
        <v>678</v>
      </c>
      <c r="H107" s="44" t="s">
        <v>142</v>
      </c>
      <c r="I107" s="44" t="s">
        <v>143</v>
      </c>
    </row>
    <row r="108" spans="1:9" ht="45" x14ac:dyDescent="0.25">
      <c r="A108" s="44" t="s">
        <v>247</v>
      </c>
      <c r="B108" s="6">
        <v>2237001</v>
      </c>
      <c r="C108" s="44" t="s">
        <v>853</v>
      </c>
      <c r="D108" s="44" t="s">
        <v>854</v>
      </c>
      <c r="E108" s="6">
        <v>1</v>
      </c>
      <c r="F108" s="6">
        <v>500</v>
      </c>
      <c r="G108" s="6">
        <v>500</v>
      </c>
      <c r="H108" s="44" t="s">
        <v>250</v>
      </c>
      <c r="I108" s="44" t="s">
        <v>251</v>
      </c>
    </row>
    <row r="109" spans="1:9" ht="45" x14ac:dyDescent="0.25">
      <c r="A109" s="44" t="s">
        <v>281</v>
      </c>
      <c r="B109" s="6">
        <v>2237010</v>
      </c>
      <c r="C109" s="44" t="s">
        <v>855</v>
      </c>
      <c r="D109" s="44" t="s">
        <v>856</v>
      </c>
      <c r="E109" s="6">
        <v>1</v>
      </c>
      <c r="F109" s="6">
        <v>2</v>
      </c>
      <c r="G109" s="6">
        <v>2</v>
      </c>
      <c r="H109" s="44" t="s">
        <v>284</v>
      </c>
      <c r="I109" s="44" t="s">
        <v>285</v>
      </c>
    </row>
    <row r="110" spans="1:9" ht="45" x14ac:dyDescent="0.25">
      <c r="A110" s="44" t="s">
        <v>281</v>
      </c>
      <c r="B110" s="6">
        <v>2237010</v>
      </c>
      <c r="C110" s="44" t="s">
        <v>855</v>
      </c>
      <c r="D110" s="44" t="s">
        <v>857</v>
      </c>
      <c r="E110" s="6">
        <v>1</v>
      </c>
      <c r="F110" s="6" t="s">
        <v>845</v>
      </c>
      <c r="G110" s="6" t="s">
        <v>845</v>
      </c>
      <c r="H110" s="44" t="s">
        <v>284</v>
      </c>
      <c r="I110" s="44" t="s">
        <v>285</v>
      </c>
    </row>
    <row r="111" spans="1:9" ht="45" x14ac:dyDescent="0.25">
      <c r="A111" s="44" t="s">
        <v>281</v>
      </c>
      <c r="B111" s="6">
        <v>2237010</v>
      </c>
      <c r="C111" s="44" t="s">
        <v>855</v>
      </c>
      <c r="D111" s="44" t="s">
        <v>858</v>
      </c>
      <c r="E111" s="6">
        <v>1</v>
      </c>
      <c r="F111" s="6" t="s">
        <v>742</v>
      </c>
      <c r="G111" s="6" t="s">
        <v>742</v>
      </c>
      <c r="H111" s="44" t="s">
        <v>284</v>
      </c>
      <c r="I111" s="44" t="s">
        <v>285</v>
      </c>
    </row>
    <row r="112" spans="1:9" ht="45" x14ac:dyDescent="0.25">
      <c r="A112" s="44" t="s">
        <v>281</v>
      </c>
      <c r="B112" s="6">
        <v>2237010</v>
      </c>
      <c r="C112" s="44" t="s">
        <v>855</v>
      </c>
      <c r="D112" s="44" t="s">
        <v>856</v>
      </c>
      <c r="E112" s="6">
        <v>1</v>
      </c>
      <c r="F112" s="6" t="s">
        <v>814</v>
      </c>
      <c r="G112" s="6" t="s">
        <v>814</v>
      </c>
      <c r="H112" s="44" t="s">
        <v>284</v>
      </c>
      <c r="I112" s="44" t="s">
        <v>285</v>
      </c>
    </row>
    <row r="113" spans="1:9" ht="45" x14ac:dyDescent="0.25">
      <c r="A113" s="44" t="s">
        <v>281</v>
      </c>
      <c r="B113" s="6">
        <v>2237010</v>
      </c>
      <c r="C113" s="44" t="s">
        <v>855</v>
      </c>
      <c r="D113" s="44" t="s">
        <v>859</v>
      </c>
      <c r="E113" s="6">
        <v>1</v>
      </c>
      <c r="F113" s="6" t="s">
        <v>742</v>
      </c>
      <c r="G113" s="6" t="s">
        <v>742</v>
      </c>
      <c r="H113" s="44" t="s">
        <v>284</v>
      </c>
      <c r="I113" s="44" t="s">
        <v>285</v>
      </c>
    </row>
    <row r="114" spans="1:9" ht="45" x14ac:dyDescent="0.25">
      <c r="A114" s="44" t="s">
        <v>281</v>
      </c>
      <c r="B114" s="6">
        <v>2237010</v>
      </c>
      <c r="C114" s="44" t="s">
        <v>855</v>
      </c>
      <c r="D114" s="44" t="s">
        <v>860</v>
      </c>
      <c r="E114" s="6">
        <v>1</v>
      </c>
      <c r="F114" s="6" t="s">
        <v>861</v>
      </c>
      <c r="G114" s="6" t="s">
        <v>861</v>
      </c>
      <c r="H114" s="44" t="s">
        <v>284</v>
      </c>
      <c r="I114" s="44" t="s">
        <v>285</v>
      </c>
    </row>
    <row r="115" spans="1:9" ht="45" x14ac:dyDescent="0.25">
      <c r="A115" s="44" t="s">
        <v>274</v>
      </c>
      <c r="B115" s="6">
        <v>1217004</v>
      </c>
      <c r="C115" s="44" t="s">
        <v>862</v>
      </c>
      <c r="D115" s="44" t="s">
        <v>863</v>
      </c>
      <c r="E115" s="6">
        <v>15</v>
      </c>
      <c r="F115" s="6">
        <v>38</v>
      </c>
      <c r="G115" s="6">
        <v>570</v>
      </c>
      <c r="H115" s="44" t="s">
        <v>277</v>
      </c>
      <c r="I115" s="44" t="s">
        <v>278</v>
      </c>
    </row>
    <row r="116" spans="1:9" ht="45" x14ac:dyDescent="0.25">
      <c r="A116" s="44" t="s">
        <v>274</v>
      </c>
      <c r="B116" s="6">
        <v>1217004</v>
      </c>
      <c r="C116" s="44" t="s">
        <v>862</v>
      </c>
      <c r="D116" s="44" t="s">
        <v>864</v>
      </c>
      <c r="E116" s="6">
        <v>15</v>
      </c>
      <c r="F116" s="6">
        <v>40</v>
      </c>
      <c r="G116" s="6">
        <v>600</v>
      </c>
      <c r="H116" s="44" t="s">
        <v>277</v>
      </c>
      <c r="I116" s="44" t="s">
        <v>278</v>
      </c>
    </row>
    <row r="117" spans="1:9" ht="45" x14ac:dyDescent="0.25">
      <c r="A117" s="44" t="s">
        <v>274</v>
      </c>
      <c r="B117" s="6">
        <v>1217004</v>
      </c>
      <c r="C117" s="44" t="s">
        <v>862</v>
      </c>
      <c r="D117" s="44" t="s">
        <v>865</v>
      </c>
      <c r="E117" s="6">
        <v>15</v>
      </c>
      <c r="F117" s="6">
        <v>39</v>
      </c>
      <c r="G117" s="6">
        <v>585</v>
      </c>
      <c r="H117" s="44" t="s">
        <v>277</v>
      </c>
      <c r="I117" s="44" t="s">
        <v>278</v>
      </c>
    </row>
    <row r="118" spans="1:9" ht="45" x14ac:dyDescent="0.25">
      <c r="A118" s="44" t="s">
        <v>274</v>
      </c>
      <c r="B118" s="6">
        <v>1217004</v>
      </c>
      <c r="C118" s="44" t="s">
        <v>862</v>
      </c>
      <c r="D118" s="44" t="s">
        <v>866</v>
      </c>
      <c r="E118" s="6">
        <v>20</v>
      </c>
      <c r="F118" s="6">
        <v>120</v>
      </c>
      <c r="G118" s="6" t="s">
        <v>867</v>
      </c>
      <c r="H118" s="44" t="s">
        <v>277</v>
      </c>
      <c r="I118" s="44" t="s">
        <v>278</v>
      </c>
    </row>
    <row r="119" spans="1:9" ht="45" x14ac:dyDescent="0.25">
      <c r="A119" s="44" t="s">
        <v>274</v>
      </c>
      <c r="B119" s="6">
        <v>1217004</v>
      </c>
      <c r="C119" s="44" t="s">
        <v>868</v>
      </c>
      <c r="D119" s="44" t="s">
        <v>869</v>
      </c>
      <c r="E119" s="6">
        <v>20</v>
      </c>
      <c r="F119" s="6">
        <v>120</v>
      </c>
      <c r="G119" s="6" t="s">
        <v>867</v>
      </c>
      <c r="H119" s="44" t="s">
        <v>277</v>
      </c>
      <c r="I119" s="44" t="s">
        <v>278</v>
      </c>
    </row>
    <row r="120" spans="1:9" ht="45" x14ac:dyDescent="0.25">
      <c r="A120" s="44" t="s">
        <v>274</v>
      </c>
      <c r="B120" s="6">
        <v>1217004</v>
      </c>
      <c r="C120" s="44" t="s">
        <v>868</v>
      </c>
      <c r="D120" s="44" t="s">
        <v>870</v>
      </c>
      <c r="E120" s="6">
        <v>20</v>
      </c>
      <c r="F120" s="6">
        <v>120</v>
      </c>
      <c r="G120" s="6" t="s">
        <v>867</v>
      </c>
      <c r="H120" s="44" t="s">
        <v>277</v>
      </c>
      <c r="I120" s="44" t="s">
        <v>278</v>
      </c>
    </row>
    <row r="121" spans="1:9" ht="45" x14ac:dyDescent="0.25">
      <c r="A121" s="44" t="s">
        <v>274</v>
      </c>
      <c r="B121" s="6">
        <v>1217001</v>
      </c>
      <c r="C121" s="44" t="s">
        <v>871</v>
      </c>
      <c r="D121" s="44" t="s">
        <v>872</v>
      </c>
      <c r="E121" s="6">
        <v>50</v>
      </c>
      <c r="F121" s="6">
        <v>120</v>
      </c>
      <c r="G121" s="6" t="s">
        <v>678</v>
      </c>
      <c r="H121" s="44" t="s">
        <v>277</v>
      </c>
      <c r="I121" s="44" t="s">
        <v>278</v>
      </c>
    </row>
    <row r="122" spans="1:9" ht="45" x14ac:dyDescent="0.25">
      <c r="A122" s="44" t="s">
        <v>274</v>
      </c>
      <c r="B122" s="6">
        <v>121700024</v>
      </c>
      <c r="C122" s="44" t="s">
        <v>873</v>
      </c>
      <c r="D122" s="44" t="s">
        <v>874</v>
      </c>
      <c r="E122" s="6">
        <v>25</v>
      </c>
      <c r="F122" s="6">
        <v>130</v>
      </c>
      <c r="G122" s="6" t="s">
        <v>875</v>
      </c>
      <c r="H122" s="44" t="s">
        <v>277</v>
      </c>
      <c r="I122" s="44" t="s">
        <v>278</v>
      </c>
    </row>
    <row r="123" spans="1:9" ht="45" x14ac:dyDescent="0.25">
      <c r="A123" s="44" t="s">
        <v>274</v>
      </c>
      <c r="B123" s="6">
        <v>1217002</v>
      </c>
      <c r="C123" s="44" t="s">
        <v>876</v>
      </c>
      <c r="D123" s="44" t="s">
        <v>877</v>
      </c>
      <c r="E123" s="6">
        <v>25</v>
      </c>
      <c r="F123" s="6">
        <v>120</v>
      </c>
      <c r="G123" s="6" t="s">
        <v>736</v>
      </c>
      <c r="H123" s="44" t="s">
        <v>277</v>
      </c>
      <c r="I123" s="44" t="s">
        <v>278</v>
      </c>
    </row>
    <row r="124" spans="1:9" ht="45" x14ac:dyDescent="0.25">
      <c r="A124" s="44" t="s">
        <v>274</v>
      </c>
      <c r="B124" s="6">
        <v>121700022</v>
      </c>
      <c r="C124" s="44" t="s">
        <v>878</v>
      </c>
      <c r="D124" s="44" t="s">
        <v>879</v>
      </c>
      <c r="E124" s="6">
        <v>30</v>
      </c>
      <c r="F124" s="6">
        <v>120</v>
      </c>
      <c r="G124" s="6" t="s">
        <v>880</v>
      </c>
      <c r="H124" s="44" t="s">
        <v>277</v>
      </c>
      <c r="I124" s="44" t="s">
        <v>278</v>
      </c>
    </row>
    <row r="125" spans="1:9" ht="45" x14ac:dyDescent="0.25">
      <c r="A125" s="44" t="s">
        <v>281</v>
      </c>
      <c r="B125" s="6">
        <v>24280003</v>
      </c>
      <c r="C125" s="44" t="s">
        <v>881</v>
      </c>
      <c r="D125" s="44" t="s">
        <v>882</v>
      </c>
      <c r="E125" s="6">
        <v>1</v>
      </c>
      <c r="F125" s="6" t="s">
        <v>883</v>
      </c>
      <c r="G125" s="6" t="s">
        <v>883</v>
      </c>
      <c r="H125" s="44" t="s">
        <v>284</v>
      </c>
      <c r="I125" s="44" t="s">
        <v>285</v>
      </c>
    </row>
    <row r="126" spans="1:9" ht="45" x14ac:dyDescent="0.25">
      <c r="A126" s="44" t="s">
        <v>281</v>
      </c>
      <c r="B126" s="6">
        <v>24280003</v>
      </c>
      <c r="C126" s="44" t="s">
        <v>881</v>
      </c>
      <c r="D126" s="44" t="s">
        <v>884</v>
      </c>
      <c r="E126" s="6">
        <v>1</v>
      </c>
      <c r="F126" s="6" t="s">
        <v>883</v>
      </c>
      <c r="G126" s="6" t="s">
        <v>883</v>
      </c>
      <c r="H126" s="44" t="s">
        <v>284</v>
      </c>
      <c r="I126" s="44" t="s">
        <v>285</v>
      </c>
    </row>
    <row r="127" spans="1:9" ht="45" x14ac:dyDescent="0.25">
      <c r="A127" s="44" t="s">
        <v>281</v>
      </c>
      <c r="B127" s="6">
        <v>24280003</v>
      </c>
      <c r="C127" s="44" t="s">
        <v>881</v>
      </c>
      <c r="D127" s="44" t="s">
        <v>885</v>
      </c>
      <c r="E127" s="6">
        <v>1</v>
      </c>
      <c r="F127" s="6" t="s">
        <v>680</v>
      </c>
      <c r="G127" s="6" t="s">
        <v>680</v>
      </c>
      <c r="H127" s="44" t="s">
        <v>284</v>
      </c>
      <c r="I127" s="44" t="s">
        <v>285</v>
      </c>
    </row>
    <row r="128" spans="1:9" ht="45" x14ac:dyDescent="0.25">
      <c r="A128" s="44" t="s">
        <v>207</v>
      </c>
      <c r="B128" s="6">
        <v>100400003</v>
      </c>
      <c r="C128" s="44" t="s">
        <v>886</v>
      </c>
      <c r="D128" s="44"/>
      <c r="E128" s="6">
        <v>2</v>
      </c>
      <c r="F128" s="6">
        <v>368</v>
      </c>
      <c r="G128" s="6">
        <v>736</v>
      </c>
      <c r="H128" s="44" t="s">
        <v>208</v>
      </c>
      <c r="I128" s="44" t="s">
        <v>207</v>
      </c>
    </row>
    <row r="129" spans="1:9" ht="45" x14ac:dyDescent="0.25">
      <c r="A129" s="44" t="s">
        <v>274</v>
      </c>
      <c r="B129" s="6">
        <v>1286002</v>
      </c>
      <c r="C129" s="44" t="s">
        <v>887</v>
      </c>
      <c r="D129" s="44" t="s">
        <v>888</v>
      </c>
      <c r="E129" s="6">
        <v>50</v>
      </c>
      <c r="F129" s="6">
        <v>20</v>
      </c>
      <c r="G129" s="6" t="s">
        <v>726</v>
      </c>
      <c r="H129" s="44" t="s">
        <v>277</v>
      </c>
      <c r="I129" s="44" t="s">
        <v>278</v>
      </c>
    </row>
    <row r="130" spans="1:9" ht="60" x14ac:dyDescent="0.25">
      <c r="A130" s="44" t="s">
        <v>136</v>
      </c>
      <c r="B130" s="6">
        <v>15470001</v>
      </c>
      <c r="C130" s="44" t="s">
        <v>889</v>
      </c>
      <c r="D130" s="44" t="s">
        <v>890</v>
      </c>
      <c r="E130" s="6">
        <v>30</v>
      </c>
      <c r="F130" s="6">
        <v>15</v>
      </c>
      <c r="G130" s="6">
        <v>450</v>
      </c>
      <c r="H130" s="44" t="s">
        <v>142</v>
      </c>
      <c r="I130" s="44" t="s">
        <v>143</v>
      </c>
    </row>
    <row r="131" spans="1:9" ht="45" x14ac:dyDescent="0.25">
      <c r="A131" s="44" t="s">
        <v>88</v>
      </c>
      <c r="B131" s="6">
        <v>1381008</v>
      </c>
      <c r="C131" s="44" t="s">
        <v>891</v>
      </c>
      <c r="D131" s="44" t="s">
        <v>892</v>
      </c>
      <c r="E131" s="6">
        <v>3</v>
      </c>
      <c r="F131" s="6">
        <v>250</v>
      </c>
      <c r="G131" s="6">
        <v>750</v>
      </c>
      <c r="H131" s="44" t="s">
        <v>91</v>
      </c>
      <c r="I131" s="44" t="s">
        <v>92</v>
      </c>
    </row>
    <row r="132" spans="1:9" ht="45" x14ac:dyDescent="0.25">
      <c r="A132" s="44" t="s">
        <v>88</v>
      </c>
      <c r="B132" s="6">
        <v>1381008</v>
      </c>
      <c r="C132" s="44" t="s">
        <v>891</v>
      </c>
      <c r="D132" s="44" t="s">
        <v>892</v>
      </c>
      <c r="E132" s="6">
        <v>3</v>
      </c>
      <c r="F132" s="6">
        <v>250</v>
      </c>
      <c r="G132" s="6">
        <v>750</v>
      </c>
      <c r="H132" s="44" t="s">
        <v>97</v>
      </c>
      <c r="I132" s="44" t="s">
        <v>98</v>
      </c>
    </row>
    <row r="133" spans="1:9" ht="45" x14ac:dyDescent="0.25">
      <c r="A133" s="44" t="s">
        <v>88</v>
      </c>
      <c r="B133" s="6">
        <v>1381008</v>
      </c>
      <c r="C133" s="44" t="s">
        <v>891</v>
      </c>
      <c r="D133" s="44" t="s">
        <v>892</v>
      </c>
      <c r="E133" s="6">
        <v>3</v>
      </c>
      <c r="F133" s="6">
        <v>250</v>
      </c>
      <c r="G133" s="6">
        <v>750</v>
      </c>
      <c r="H133" s="44" t="s">
        <v>93</v>
      </c>
      <c r="I133" s="44" t="s">
        <v>94</v>
      </c>
    </row>
    <row r="134" spans="1:9" ht="45" x14ac:dyDescent="0.25">
      <c r="A134" s="44" t="s">
        <v>136</v>
      </c>
      <c r="B134" s="6"/>
      <c r="C134" s="44" t="s">
        <v>893</v>
      </c>
      <c r="D134" s="44" t="s">
        <v>894</v>
      </c>
      <c r="E134" s="6">
        <v>2</v>
      </c>
      <c r="F134" s="6">
        <v>80</v>
      </c>
      <c r="G134" s="6">
        <v>160</v>
      </c>
      <c r="H134" s="44" t="s">
        <v>142</v>
      </c>
      <c r="I134" s="44" t="s">
        <v>143</v>
      </c>
    </row>
    <row r="135" spans="1:9" ht="45" x14ac:dyDescent="0.25">
      <c r="A135" s="44" t="s">
        <v>207</v>
      </c>
      <c r="B135" s="6"/>
      <c r="C135" s="44" t="s">
        <v>893</v>
      </c>
      <c r="D135" s="44" t="s">
        <v>895</v>
      </c>
      <c r="E135" s="6">
        <v>1</v>
      </c>
      <c r="F135" s="6">
        <v>50</v>
      </c>
      <c r="G135" s="6">
        <v>50</v>
      </c>
      <c r="H135" s="44" t="s">
        <v>208</v>
      </c>
      <c r="I135" s="44" t="s">
        <v>207</v>
      </c>
    </row>
    <row r="136" spans="1:9" ht="30" x14ac:dyDescent="0.25">
      <c r="A136" s="44" t="s">
        <v>247</v>
      </c>
      <c r="B136" s="6"/>
      <c r="C136" s="44" t="s">
        <v>893</v>
      </c>
      <c r="D136" s="44" t="s">
        <v>896</v>
      </c>
      <c r="E136" s="6">
        <v>2</v>
      </c>
      <c r="F136" s="6">
        <v>80</v>
      </c>
      <c r="G136" s="6">
        <v>160</v>
      </c>
      <c r="H136" s="44" t="s">
        <v>250</v>
      </c>
      <c r="I136" s="44" t="s">
        <v>251</v>
      </c>
    </row>
    <row r="137" spans="1:9" ht="45" x14ac:dyDescent="0.25">
      <c r="A137" s="44" t="s">
        <v>207</v>
      </c>
      <c r="B137" s="6">
        <v>1288004</v>
      </c>
      <c r="C137" s="44" t="s">
        <v>897</v>
      </c>
      <c r="D137" s="44" t="s">
        <v>898</v>
      </c>
      <c r="E137" s="6">
        <v>10</v>
      </c>
      <c r="F137" s="6">
        <v>35</v>
      </c>
      <c r="G137" s="6">
        <v>350</v>
      </c>
      <c r="H137" s="44" t="s">
        <v>208</v>
      </c>
      <c r="I137" s="44" t="s">
        <v>207</v>
      </c>
    </row>
    <row r="138" spans="1:9" ht="45" x14ac:dyDescent="0.25">
      <c r="A138" s="44" t="s">
        <v>207</v>
      </c>
      <c r="B138" s="6">
        <v>1288004</v>
      </c>
      <c r="C138" s="44" t="s">
        <v>897</v>
      </c>
      <c r="D138" s="44" t="s">
        <v>899</v>
      </c>
      <c r="E138" s="6">
        <v>2</v>
      </c>
      <c r="F138" s="6">
        <v>35</v>
      </c>
      <c r="G138" s="6">
        <v>70</v>
      </c>
      <c r="H138" s="44" t="s">
        <v>208</v>
      </c>
      <c r="I138" s="44" t="s">
        <v>207</v>
      </c>
    </row>
    <row r="139" spans="1:9" ht="45" x14ac:dyDescent="0.25">
      <c r="A139" s="44" t="s">
        <v>274</v>
      </c>
      <c r="B139" s="6">
        <v>1288004</v>
      </c>
      <c r="C139" s="44" t="s">
        <v>897</v>
      </c>
      <c r="D139" s="44" t="s">
        <v>900</v>
      </c>
      <c r="E139" s="6">
        <v>4</v>
      </c>
      <c r="F139" s="6">
        <v>35</v>
      </c>
      <c r="G139" s="6">
        <v>140</v>
      </c>
      <c r="H139" s="44" t="s">
        <v>277</v>
      </c>
      <c r="I139" s="44" t="s">
        <v>278</v>
      </c>
    </row>
    <row r="140" spans="1:9" ht="75" x14ac:dyDescent="0.25">
      <c r="A140" s="44" t="s">
        <v>148</v>
      </c>
      <c r="B140" s="6"/>
      <c r="C140" s="44" t="s">
        <v>901</v>
      </c>
      <c r="D140" s="44" t="s">
        <v>902</v>
      </c>
      <c r="E140" s="6">
        <v>4</v>
      </c>
      <c r="F140" s="6">
        <v>250</v>
      </c>
      <c r="G140" s="6" t="s">
        <v>726</v>
      </c>
      <c r="H140" s="44" t="s">
        <v>154</v>
      </c>
      <c r="I140" s="44" t="s">
        <v>155</v>
      </c>
    </row>
    <row r="141" spans="1:9" ht="75" x14ac:dyDescent="0.25">
      <c r="A141" s="44" t="s">
        <v>148</v>
      </c>
      <c r="B141" s="6"/>
      <c r="C141" s="44" t="s">
        <v>901</v>
      </c>
      <c r="D141" s="44" t="s">
        <v>903</v>
      </c>
      <c r="E141" s="6">
        <v>5</v>
      </c>
      <c r="F141" s="6">
        <v>400</v>
      </c>
      <c r="G141" s="6" t="s">
        <v>814</v>
      </c>
      <c r="H141" s="44" t="s">
        <v>154</v>
      </c>
      <c r="I141" s="44" t="s">
        <v>155</v>
      </c>
    </row>
    <row r="142" spans="1:9" ht="45" x14ac:dyDescent="0.25">
      <c r="A142" s="44" t="s">
        <v>207</v>
      </c>
      <c r="B142" s="6"/>
      <c r="C142" s="44" t="s">
        <v>901</v>
      </c>
      <c r="D142" s="44" t="s">
        <v>904</v>
      </c>
      <c r="E142" s="6">
        <v>2</v>
      </c>
      <c r="F142" s="6">
        <v>300</v>
      </c>
      <c r="G142" s="6">
        <v>600</v>
      </c>
      <c r="H142" s="44" t="s">
        <v>208</v>
      </c>
      <c r="I142" s="44" t="s">
        <v>207</v>
      </c>
    </row>
    <row r="143" spans="1:9" ht="45" x14ac:dyDescent="0.25">
      <c r="A143" s="44" t="s">
        <v>207</v>
      </c>
      <c r="B143" s="6">
        <v>1229002</v>
      </c>
      <c r="C143" s="44" t="s">
        <v>905</v>
      </c>
      <c r="D143" s="44" t="s">
        <v>906</v>
      </c>
      <c r="E143" s="6">
        <v>3</v>
      </c>
      <c r="F143" s="6">
        <v>800</v>
      </c>
      <c r="G143" s="6">
        <v>2.4</v>
      </c>
      <c r="H143" s="44" t="s">
        <v>208</v>
      </c>
      <c r="I143" s="44" t="s">
        <v>207</v>
      </c>
    </row>
    <row r="144" spans="1:9" ht="45" x14ac:dyDescent="0.25">
      <c r="A144" s="44" t="s">
        <v>281</v>
      </c>
      <c r="B144" s="6">
        <v>1229002</v>
      </c>
      <c r="C144" s="44" t="s">
        <v>905</v>
      </c>
      <c r="D144" s="44" t="s">
        <v>907</v>
      </c>
      <c r="E144" s="6">
        <v>1</v>
      </c>
      <c r="F144" s="6">
        <v>800</v>
      </c>
      <c r="G144" s="6">
        <v>800</v>
      </c>
      <c r="H144" s="44" t="s">
        <v>284</v>
      </c>
      <c r="I144" s="44" t="s">
        <v>285</v>
      </c>
    </row>
    <row r="145" spans="1:9" ht="45" x14ac:dyDescent="0.25">
      <c r="A145" s="44" t="s">
        <v>281</v>
      </c>
      <c r="B145" s="6">
        <v>1229001</v>
      </c>
      <c r="C145" s="44" t="s">
        <v>908</v>
      </c>
      <c r="D145" s="44" t="s">
        <v>909</v>
      </c>
      <c r="E145" s="6">
        <v>1</v>
      </c>
      <c r="F145" s="6">
        <v>3.8</v>
      </c>
      <c r="G145" s="6">
        <v>3.8</v>
      </c>
      <c r="H145" s="44" t="s">
        <v>284</v>
      </c>
      <c r="I145" s="44" t="s">
        <v>285</v>
      </c>
    </row>
    <row r="146" spans="1:9" ht="45" x14ac:dyDescent="0.25">
      <c r="A146" s="44" t="s">
        <v>281</v>
      </c>
      <c r="B146" s="6">
        <v>1229001</v>
      </c>
      <c r="C146" s="44" t="s">
        <v>908</v>
      </c>
      <c r="D146" s="44" t="s">
        <v>910</v>
      </c>
      <c r="E146" s="6">
        <v>2</v>
      </c>
      <c r="F146" s="6">
        <v>3.8</v>
      </c>
      <c r="G146" s="6">
        <v>7.6</v>
      </c>
      <c r="H146" s="44" t="s">
        <v>284</v>
      </c>
      <c r="I146" s="44" t="s">
        <v>285</v>
      </c>
    </row>
    <row r="147" spans="1:9" ht="45" x14ac:dyDescent="0.25">
      <c r="A147" s="44" t="s">
        <v>88</v>
      </c>
      <c r="B147" s="6">
        <v>2111011</v>
      </c>
      <c r="C147" s="44" t="s">
        <v>911</v>
      </c>
      <c r="D147" s="44" t="s">
        <v>912</v>
      </c>
      <c r="E147" s="6">
        <v>4</v>
      </c>
      <c r="F147" s="6">
        <v>760</v>
      </c>
      <c r="G147" s="6" t="s">
        <v>913</v>
      </c>
      <c r="H147" s="44" t="s">
        <v>95</v>
      </c>
      <c r="I147" s="44" t="s">
        <v>96</v>
      </c>
    </row>
    <row r="148" spans="1:9" ht="45" x14ac:dyDescent="0.25">
      <c r="A148" s="44" t="s">
        <v>88</v>
      </c>
      <c r="B148" s="6">
        <v>2111011</v>
      </c>
      <c r="C148" s="44" t="s">
        <v>911</v>
      </c>
      <c r="D148" s="44" t="s">
        <v>914</v>
      </c>
      <c r="E148" s="6">
        <v>4</v>
      </c>
      <c r="F148" s="6">
        <v>760</v>
      </c>
      <c r="G148" s="6" t="s">
        <v>913</v>
      </c>
      <c r="H148" s="44" t="s">
        <v>95</v>
      </c>
      <c r="I148" s="44" t="s">
        <v>96</v>
      </c>
    </row>
    <row r="149" spans="1:9" ht="45" x14ac:dyDescent="0.25">
      <c r="A149" s="44" t="s">
        <v>88</v>
      </c>
      <c r="B149" s="6">
        <v>2111011</v>
      </c>
      <c r="C149" s="44" t="s">
        <v>911</v>
      </c>
      <c r="D149" s="44" t="s">
        <v>915</v>
      </c>
      <c r="E149" s="6">
        <v>4</v>
      </c>
      <c r="F149" s="6">
        <v>760</v>
      </c>
      <c r="G149" s="6" t="s">
        <v>913</v>
      </c>
      <c r="H149" s="44" t="s">
        <v>95</v>
      </c>
      <c r="I149" s="44" t="s">
        <v>96</v>
      </c>
    </row>
    <row r="150" spans="1:9" ht="60" x14ac:dyDescent="0.25">
      <c r="A150" s="44" t="s">
        <v>136</v>
      </c>
      <c r="B150" s="6">
        <v>2111011</v>
      </c>
      <c r="C150" s="44" t="s">
        <v>911</v>
      </c>
      <c r="D150" s="44" t="s">
        <v>916</v>
      </c>
      <c r="E150" s="6">
        <v>1</v>
      </c>
      <c r="F150" s="6">
        <v>760</v>
      </c>
      <c r="G150" s="6">
        <v>760</v>
      </c>
      <c r="H150" s="44" t="s">
        <v>144</v>
      </c>
      <c r="I150" s="44" t="s">
        <v>145</v>
      </c>
    </row>
    <row r="151" spans="1:9" ht="60" x14ac:dyDescent="0.25">
      <c r="A151" s="44" t="s">
        <v>88</v>
      </c>
      <c r="B151" s="6">
        <v>2111048</v>
      </c>
      <c r="C151" s="44" t="s">
        <v>917</v>
      </c>
      <c r="D151" s="44" t="s">
        <v>918</v>
      </c>
      <c r="E151" s="6">
        <v>3</v>
      </c>
      <c r="F151" s="6" t="s">
        <v>800</v>
      </c>
      <c r="G151" s="6" t="s">
        <v>796</v>
      </c>
      <c r="H151" s="44" t="s">
        <v>95</v>
      </c>
      <c r="I151" s="44" t="s">
        <v>96</v>
      </c>
    </row>
    <row r="152" spans="1:9" ht="45" x14ac:dyDescent="0.25">
      <c r="A152" s="44" t="s">
        <v>136</v>
      </c>
      <c r="B152" s="6">
        <v>2111048</v>
      </c>
      <c r="C152" s="44" t="s">
        <v>917</v>
      </c>
      <c r="D152" s="44" t="s">
        <v>919</v>
      </c>
      <c r="E152" s="6">
        <v>1</v>
      </c>
      <c r="F152" s="6" t="s">
        <v>800</v>
      </c>
      <c r="G152" s="6" t="s">
        <v>800</v>
      </c>
      <c r="H152" s="44" t="s">
        <v>142</v>
      </c>
      <c r="I152" s="44" t="s">
        <v>143</v>
      </c>
    </row>
    <row r="153" spans="1:9" ht="75" x14ac:dyDescent="0.25">
      <c r="A153" s="44" t="s">
        <v>281</v>
      </c>
      <c r="B153" s="6">
        <v>2111048</v>
      </c>
      <c r="C153" s="44" t="s">
        <v>917</v>
      </c>
      <c r="D153" s="44" t="s">
        <v>920</v>
      </c>
      <c r="E153" s="6">
        <v>3</v>
      </c>
      <c r="F153" s="6" t="s">
        <v>800</v>
      </c>
      <c r="G153" s="6" t="s">
        <v>796</v>
      </c>
      <c r="H153" s="44" t="s">
        <v>284</v>
      </c>
      <c r="I153" s="44" t="s">
        <v>285</v>
      </c>
    </row>
    <row r="154" spans="1:9" ht="30" x14ac:dyDescent="0.25">
      <c r="A154" s="44" t="s">
        <v>247</v>
      </c>
      <c r="B154" s="6"/>
      <c r="C154" s="44" t="s">
        <v>921</v>
      </c>
      <c r="D154" s="44" t="s">
        <v>922</v>
      </c>
      <c r="E154" s="6">
        <v>2</v>
      </c>
      <c r="F154" s="6">
        <v>600</v>
      </c>
      <c r="G154" s="6" t="s">
        <v>923</v>
      </c>
      <c r="H154" s="44" t="s">
        <v>250</v>
      </c>
      <c r="I154" s="44" t="s">
        <v>251</v>
      </c>
    </row>
    <row r="155" spans="1:9" ht="45" x14ac:dyDescent="0.25">
      <c r="A155" s="44" t="s">
        <v>209</v>
      </c>
      <c r="B155" s="6">
        <v>1201001</v>
      </c>
      <c r="C155" s="44" t="s">
        <v>924</v>
      </c>
      <c r="D155" s="44" t="s">
        <v>925</v>
      </c>
      <c r="E155" s="6">
        <v>12</v>
      </c>
      <c r="F155" s="6">
        <v>3</v>
      </c>
      <c r="G155" s="6">
        <v>36</v>
      </c>
      <c r="H155" s="44" t="s">
        <v>210</v>
      </c>
      <c r="I155" s="44" t="s">
        <v>209</v>
      </c>
    </row>
    <row r="156" spans="1:9" ht="45" x14ac:dyDescent="0.25">
      <c r="A156" s="44" t="s">
        <v>70</v>
      </c>
      <c r="B156" s="6"/>
      <c r="C156" s="44" t="s">
        <v>926</v>
      </c>
      <c r="D156" s="44" t="s">
        <v>927</v>
      </c>
      <c r="E156" s="6">
        <v>2</v>
      </c>
      <c r="F156" s="6">
        <v>100</v>
      </c>
      <c r="G156" s="6">
        <v>200</v>
      </c>
      <c r="H156" s="44" t="s">
        <v>73</v>
      </c>
      <c r="I156" s="44" t="s">
        <v>74</v>
      </c>
    </row>
    <row r="157" spans="1:9" ht="45" x14ac:dyDescent="0.25">
      <c r="A157" s="44" t="s">
        <v>70</v>
      </c>
      <c r="B157" s="6"/>
      <c r="C157" s="44" t="s">
        <v>926</v>
      </c>
      <c r="D157" s="44" t="s">
        <v>928</v>
      </c>
      <c r="E157" s="6">
        <v>1</v>
      </c>
      <c r="F157" s="6">
        <v>60</v>
      </c>
      <c r="G157" s="6">
        <v>60</v>
      </c>
      <c r="H157" s="44" t="s">
        <v>73</v>
      </c>
      <c r="I157" s="44" t="s">
        <v>74</v>
      </c>
    </row>
    <row r="158" spans="1:9" ht="45" x14ac:dyDescent="0.25">
      <c r="A158" s="44" t="s">
        <v>136</v>
      </c>
      <c r="B158" s="6"/>
      <c r="C158" s="44" t="s">
        <v>926</v>
      </c>
      <c r="D158" s="44" t="s">
        <v>929</v>
      </c>
      <c r="E158" s="6">
        <v>24</v>
      </c>
      <c r="F158" s="6">
        <v>30</v>
      </c>
      <c r="G158" s="6">
        <v>720</v>
      </c>
      <c r="H158" s="44" t="s">
        <v>142</v>
      </c>
      <c r="I158" s="44" t="s">
        <v>143</v>
      </c>
    </row>
    <row r="159" spans="1:9" ht="45" x14ac:dyDescent="0.25">
      <c r="A159" s="44" t="s">
        <v>136</v>
      </c>
      <c r="B159" s="6"/>
      <c r="C159" s="44" t="s">
        <v>926</v>
      </c>
      <c r="D159" s="44" t="s">
        <v>930</v>
      </c>
      <c r="E159" s="6">
        <v>36</v>
      </c>
      <c r="F159" s="6">
        <v>40</v>
      </c>
      <c r="G159" s="6" t="s">
        <v>931</v>
      </c>
      <c r="H159" s="44" t="s">
        <v>142</v>
      </c>
      <c r="I159" s="44" t="s">
        <v>143</v>
      </c>
    </row>
    <row r="160" spans="1:9" ht="45" x14ac:dyDescent="0.25">
      <c r="A160" s="44" t="s">
        <v>136</v>
      </c>
      <c r="B160" s="6"/>
      <c r="C160" s="44" t="s">
        <v>926</v>
      </c>
      <c r="D160" s="44" t="s">
        <v>932</v>
      </c>
      <c r="E160" s="6">
        <v>36</v>
      </c>
      <c r="F160" s="6">
        <v>40</v>
      </c>
      <c r="G160" s="6" t="s">
        <v>931</v>
      </c>
      <c r="H160" s="44" t="s">
        <v>142</v>
      </c>
      <c r="I160" s="44" t="s">
        <v>143</v>
      </c>
    </row>
    <row r="161" spans="1:9" ht="75" x14ac:dyDescent="0.25">
      <c r="A161" s="44" t="s">
        <v>148</v>
      </c>
      <c r="B161" s="6"/>
      <c r="C161" s="44" t="s">
        <v>926</v>
      </c>
      <c r="D161" s="44" t="s">
        <v>933</v>
      </c>
      <c r="E161" s="6">
        <v>30</v>
      </c>
      <c r="F161" s="6">
        <v>10</v>
      </c>
      <c r="G161" s="6">
        <v>300</v>
      </c>
      <c r="H161" s="44" t="s">
        <v>154</v>
      </c>
      <c r="I161" s="44" t="s">
        <v>155</v>
      </c>
    </row>
    <row r="162" spans="1:9" ht="75" x14ac:dyDescent="0.25">
      <c r="A162" s="44" t="s">
        <v>148</v>
      </c>
      <c r="B162" s="6"/>
      <c r="C162" s="44" t="s">
        <v>926</v>
      </c>
      <c r="D162" s="44" t="s">
        <v>934</v>
      </c>
      <c r="E162" s="6">
        <v>10</v>
      </c>
      <c r="F162" s="6">
        <v>300</v>
      </c>
      <c r="G162" s="6" t="s">
        <v>736</v>
      </c>
      <c r="H162" s="44" t="s">
        <v>154</v>
      </c>
      <c r="I162" s="44" t="s">
        <v>155</v>
      </c>
    </row>
    <row r="163" spans="1:9" ht="45" x14ac:dyDescent="0.25">
      <c r="A163" s="44" t="s">
        <v>286</v>
      </c>
      <c r="B163" s="6"/>
      <c r="C163" s="44" t="s">
        <v>926</v>
      </c>
      <c r="D163" s="44" t="s">
        <v>935</v>
      </c>
      <c r="E163" s="6">
        <v>8</v>
      </c>
      <c r="F163" s="6">
        <v>20</v>
      </c>
      <c r="G163" s="6">
        <v>160</v>
      </c>
      <c r="H163" s="44" t="s">
        <v>289</v>
      </c>
      <c r="I163" s="44" t="s">
        <v>290</v>
      </c>
    </row>
    <row r="164" spans="1:9" ht="75" x14ac:dyDescent="0.25">
      <c r="A164" s="44" t="s">
        <v>148</v>
      </c>
      <c r="B164" s="6"/>
      <c r="C164" s="44" t="s">
        <v>936</v>
      </c>
      <c r="D164" s="44"/>
      <c r="E164" s="6">
        <v>10</v>
      </c>
      <c r="F164" s="6">
        <v>10</v>
      </c>
      <c r="G164" s="6">
        <v>100</v>
      </c>
      <c r="H164" s="44" t="s">
        <v>154</v>
      </c>
      <c r="I164" s="44" t="s">
        <v>155</v>
      </c>
    </row>
    <row r="165" spans="1:9" ht="45" x14ac:dyDescent="0.25">
      <c r="A165" s="44" t="s">
        <v>207</v>
      </c>
      <c r="B165" s="6">
        <v>10490028</v>
      </c>
      <c r="C165" s="44" t="s">
        <v>937</v>
      </c>
      <c r="D165" s="44" t="s">
        <v>938</v>
      </c>
      <c r="E165" s="6">
        <v>5</v>
      </c>
      <c r="F165" s="6">
        <v>27.952000000000002</v>
      </c>
      <c r="G165" s="6">
        <v>139.76</v>
      </c>
      <c r="H165" s="44" t="s">
        <v>208</v>
      </c>
      <c r="I165" s="44" t="s">
        <v>207</v>
      </c>
    </row>
    <row r="166" spans="1:9" ht="45" x14ac:dyDescent="0.25">
      <c r="A166" s="44" t="s">
        <v>136</v>
      </c>
      <c r="B166" s="6"/>
      <c r="C166" s="44" t="s">
        <v>939</v>
      </c>
      <c r="D166" s="44"/>
      <c r="E166" s="6">
        <v>3</v>
      </c>
      <c r="F166" s="6">
        <v>900</v>
      </c>
      <c r="G166" s="6" t="s">
        <v>940</v>
      </c>
      <c r="H166" s="44" t="s">
        <v>142</v>
      </c>
      <c r="I166" s="44" t="s">
        <v>143</v>
      </c>
    </row>
    <row r="167" spans="1:9" ht="45" x14ac:dyDescent="0.25">
      <c r="A167" s="44" t="s">
        <v>207</v>
      </c>
      <c r="B167" s="6">
        <v>10060002</v>
      </c>
      <c r="C167" s="44" t="s">
        <v>941</v>
      </c>
      <c r="D167" s="44"/>
      <c r="E167" s="6">
        <v>4</v>
      </c>
      <c r="F167" s="6">
        <v>339</v>
      </c>
      <c r="G167" s="6">
        <v>1.3560000000000001</v>
      </c>
      <c r="H167" s="44" t="s">
        <v>208</v>
      </c>
      <c r="I167" s="44" t="s">
        <v>207</v>
      </c>
    </row>
    <row r="168" spans="1:9" ht="75" x14ac:dyDescent="0.25">
      <c r="A168" s="44" t="s">
        <v>166</v>
      </c>
      <c r="B168" s="6">
        <v>100500002</v>
      </c>
      <c r="C168" s="44" t="s">
        <v>942</v>
      </c>
      <c r="D168" s="44" t="s">
        <v>943</v>
      </c>
      <c r="E168" s="6">
        <v>200</v>
      </c>
      <c r="F168" s="6">
        <v>1.482</v>
      </c>
      <c r="G168" s="6">
        <v>296.39999999999998</v>
      </c>
      <c r="H168" s="44" t="s">
        <v>169</v>
      </c>
      <c r="I168" s="44" t="s">
        <v>170</v>
      </c>
    </row>
    <row r="169" spans="1:9" ht="60" x14ac:dyDescent="0.25">
      <c r="A169" s="44" t="s">
        <v>136</v>
      </c>
      <c r="B169" s="6">
        <v>2275001</v>
      </c>
      <c r="C169" s="44" t="s">
        <v>944</v>
      </c>
      <c r="D169" s="44" t="s">
        <v>945</v>
      </c>
      <c r="E169" s="6">
        <v>70</v>
      </c>
      <c r="F169" s="6">
        <v>50</v>
      </c>
      <c r="G169" s="6" t="s">
        <v>946</v>
      </c>
      <c r="H169" s="44" t="s">
        <v>144</v>
      </c>
      <c r="I169" s="44" t="s">
        <v>145</v>
      </c>
    </row>
    <row r="170" spans="1:9" ht="60" x14ac:dyDescent="0.25">
      <c r="A170" s="44" t="s">
        <v>136</v>
      </c>
      <c r="B170" s="6">
        <v>2275001</v>
      </c>
      <c r="C170" s="44" t="s">
        <v>944</v>
      </c>
      <c r="D170" s="44" t="s">
        <v>947</v>
      </c>
      <c r="E170" s="6">
        <v>60</v>
      </c>
      <c r="F170" s="6">
        <v>120</v>
      </c>
      <c r="G170" s="6" t="s">
        <v>948</v>
      </c>
      <c r="H170" s="44" t="s">
        <v>142</v>
      </c>
      <c r="I170" s="44" t="s">
        <v>143</v>
      </c>
    </row>
    <row r="171" spans="1:9" ht="45" x14ac:dyDescent="0.25">
      <c r="A171" s="44" t="s">
        <v>291</v>
      </c>
      <c r="B171" s="6">
        <v>2275001</v>
      </c>
      <c r="C171" s="44" t="s">
        <v>944</v>
      </c>
      <c r="D171" s="44" t="s">
        <v>949</v>
      </c>
      <c r="E171" s="6">
        <v>10</v>
      </c>
      <c r="F171" s="6">
        <v>100</v>
      </c>
      <c r="G171" s="6" t="s">
        <v>726</v>
      </c>
      <c r="H171" s="44" t="s">
        <v>294</v>
      </c>
      <c r="I171" s="44" t="s">
        <v>295</v>
      </c>
    </row>
    <row r="172" spans="1:9" ht="45" x14ac:dyDescent="0.25">
      <c r="A172" s="44" t="s">
        <v>291</v>
      </c>
      <c r="B172" s="6">
        <v>2275001</v>
      </c>
      <c r="C172" s="44" t="s">
        <v>944</v>
      </c>
      <c r="D172" s="44" t="s">
        <v>950</v>
      </c>
      <c r="E172" s="6">
        <v>12</v>
      </c>
      <c r="F172" s="6">
        <v>100</v>
      </c>
      <c r="G172" s="6" t="s">
        <v>923</v>
      </c>
      <c r="H172" s="44" t="s">
        <v>294</v>
      </c>
      <c r="I172" s="44" t="s">
        <v>295</v>
      </c>
    </row>
    <row r="173" spans="1:9" ht="45" x14ac:dyDescent="0.25">
      <c r="A173" s="44" t="s">
        <v>291</v>
      </c>
      <c r="B173" s="6">
        <v>2275001</v>
      </c>
      <c r="C173" s="44" t="s">
        <v>944</v>
      </c>
      <c r="D173" s="44" t="s">
        <v>951</v>
      </c>
      <c r="E173" s="6">
        <v>10</v>
      </c>
      <c r="F173" s="6">
        <v>100</v>
      </c>
      <c r="G173" s="6" t="s">
        <v>726</v>
      </c>
      <c r="H173" s="44" t="s">
        <v>294</v>
      </c>
      <c r="I173" s="44" t="s">
        <v>295</v>
      </c>
    </row>
    <row r="174" spans="1:9" ht="45" x14ac:dyDescent="0.25">
      <c r="A174" s="44" t="s">
        <v>291</v>
      </c>
      <c r="B174" s="6">
        <v>2275001</v>
      </c>
      <c r="C174" s="44" t="s">
        <v>944</v>
      </c>
      <c r="D174" s="44" t="s">
        <v>952</v>
      </c>
      <c r="E174" s="6">
        <v>10</v>
      </c>
      <c r="F174" s="6">
        <v>100</v>
      </c>
      <c r="G174" s="6" t="s">
        <v>726</v>
      </c>
      <c r="H174" s="44" t="s">
        <v>294</v>
      </c>
      <c r="I174" s="44" t="s">
        <v>295</v>
      </c>
    </row>
    <row r="175" spans="1:9" ht="75" x14ac:dyDescent="0.25">
      <c r="A175" s="44" t="s">
        <v>148</v>
      </c>
      <c r="B175" s="6"/>
      <c r="C175" s="44" t="s">
        <v>953</v>
      </c>
      <c r="D175" s="44" t="s">
        <v>954</v>
      </c>
      <c r="E175" s="6">
        <v>30</v>
      </c>
      <c r="F175" s="6">
        <v>4</v>
      </c>
      <c r="G175" s="6">
        <v>120</v>
      </c>
      <c r="H175" s="44" t="s">
        <v>154</v>
      </c>
      <c r="I175" s="44" t="s">
        <v>155</v>
      </c>
    </row>
    <row r="176" spans="1:9" ht="75" x14ac:dyDescent="0.25">
      <c r="A176" s="44" t="s">
        <v>148</v>
      </c>
      <c r="B176" s="6"/>
      <c r="C176" s="44" t="s">
        <v>953</v>
      </c>
      <c r="D176" s="44" t="s">
        <v>955</v>
      </c>
      <c r="E176" s="6">
        <v>10</v>
      </c>
      <c r="F176" s="6">
        <v>20</v>
      </c>
      <c r="G176" s="6">
        <v>200</v>
      </c>
      <c r="H176" s="44" t="s">
        <v>154</v>
      </c>
      <c r="I176" s="44" t="s">
        <v>155</v>
      </c>
    </row>
    <row r="177" spans="1:9" ht="75" x14ac:dyDescent="0.25">
      <c r="A177" s="44" t="s">
        <v>148</v>
      </c>
      <c r="B177" s="6"/>
      <c r="C177" s="44" t="s">
        <v>953</v>
      </c>
      <c r="D177" s="44" t="s">
        <v>956</v>
      </c>
      <c r="E177" s="6">
        <v>10</v>
      </c>
      <c r="F177" s="6">
        <v>20</v>
      </c>
      <c r="G177" s="6">
        <v>200</v>
      </c>
      <c r="H177" s="44" t="s">
        <v>154</v>
      </c>
      <c r="I177" s="44" t="s">
        <v>155</v>
      </c>
    </row>
    <row r="178" spans="1:9" ht="75" x14ac:dyDescent="0.25">
      <c r="A178" s="44" t="s">
        <v>148</v>
      </c>
      <c r="B178" s="6"/>
      <c r="C178" s="44" t="s">
        <v>953</v>
      </c>
      <c r="D178" s="44" t="s">
        <v>957</v>
      </c>
      <c r="E178" s="6">
        <v>10</v>
      </c>
      <c r="F178" s="6">
        <v>60</v>
      </c>
      <c r="G178" s="6">
        <v>600</v>
      </c>
      <c r="H178" s="44" t="s">
        <v>154</v>
      </c>
      <c r="I178" s="44" t="s">
        <v>155</v>
      </c>
    </row>
    <row r="179" spans="1:9" ht="75" x14ac:dyDescent="0.25">
      <c r="A179" s="44" t="s">
        <v>148</v>
      </c>
      <c r="B179" s="6"/>
      <c r="C179" s="44" t="s">
        <v>953</v>
      </c>
      <c r="D179" s="44" t="s">
        <v>958</v>
      </c>
      <c r="E179" s="6">
        <v>10</v>
      </c>
      <c r="F179" s="6">
        <v>70</v>
      </c>
      <c r="G179" s="6">
        <v>700</v>
      </c>
      <c r="H179" s="44" t="s">
        <v>154</v>
      </c>
      <c r="I179" s="44" t="s">
        <v>155</v>
      </c>
    </row>
    <row r="180" spans="1:9" ht="45" x14ac:dyDescent="0.25">
      <c r="A180" s="44" t="s">
        <v>286</v>
      </c>
      <c r="B180" s="6"/>
      <c r="C180" s="44" t="s">
        <v>953</v>
      </c>
      <c r="D180" s="44" t="s">
        <v>959</v>
      </c>
      <c r="E180" s="6">
        <v>1</v>
      </c>
      <c r="F180" s="6">
        <v>135</v>
      </c>
      <c r="G180" s="6">
        <v>135</v>
      </c>
      <c r="H180" s="44" t="s">
        <v>289</v>
      </c>
      <c r="I180" s="44" t="s">
        <v>290</v>
      </c>
    </row>
    <row r="181" spans="1:9" ht="75" x14ac:dyDescent="0.25">
      <c r="A181" s="44" t="s">
        <v>148</v>
      </c>
      <c r="B181" s="6">
        <v>1274009</v>
      </c>
      <c r="C181" s="44" t="s">
        <v>960</v>
      </c>
      <c r="D181" s="44" t="s">
        <v>961</v>
      </c>
      <c r="E181" s="6">
        <v>10</v>
      </c>
      <c r="F181" s="6">
        <v>600</v>
      </c>
      <c r="G181" s="6" t="s">
        <v>678</v>
      </c>
      <c r="H181" s="44" t="s">
        <v>154</v>
      </c>
      <c r="I181" s="44" t="s">
        <v>155</v>
      </c>
    </row>
    <row r="182" spans="1:9" ht="75" x14ac:dyDescent="0.25">
      <c r="A182" s="44" t="s">
        <v>148</v>
      </c>
      <c r="B182" s="6">
        <v>1274009</v>
      </c>
      <c r="C182" s="44" t="s">
        <v>960</v>
      </c>
      <c r="D182" s="44" t="s">
        <v>962</v>
      </c>
      <c r="E182" s="6">
        <v>20</v>
      </c>
      <c r="F182" s="6">
        <v>46.8</v>
      </c>
      <c r="G182" s="6">
        <v>936</v>
      </c>
      <c r="H182" s="44" t="s">
        <v>154</v>
      </c>
      <c r="I182" s="44" t="s">
        <v>155</v>
      </c>
    </row>
    <row r="183" spans="1:9" ht="75" x14ac:dyDescent="0.25">
      <c r="A183" s="44" t="s">
        <v>148</v>
      </c>
      <c r="B183" s="6">
        <v>1274009</v>
      </c>
      <c r="C183" s="44" t="s">
        <v>960</v>
      </c>
      <c r="D183" s="44" t="s">
        <v>963</v>
      </c>
      <c r="E183" s="6">
        <v>15</v>
      </c>
      <c r="F183" s="6">
        <v>26</v>
      </c>
      <c r="G183" s="6">
        <v>390</v>
      </c>
      <c r="H183" s="44" t="s">
        <v>154</v>
      </c>
      <c r="I183" s="44" t="s">
        <v>155</v>
      </c>
    </row>
    <row r="184" spans="1:9" ht="75" x14ac:dyDescent="0.25">
      <c r="A184" s="44" t="s">
        <v>148</v>
      </c>
      <c r="B184" s="6">
        <v>1274009</v>
      </c>
      <c r="C184" s="44" t="s">
        <v>960</v>
      </c>
      <c r="D184" s="44" t="s">
        <v>964</v>
      </c>
      <c r="E184" s="6">
        <v>15</v>
      </c>
      <c r="F184" s="6">
        <v>31.2</v>
      </c>
      <c r="G184" s="6">
        <v>468</v>
      </c>
      <c r="H184" s="44" t="s">
        <v>154</v>
      </c>
      <c r="I184" s="44" t="s">
        <v>155</v>
      </c>
    </row>
    <row r="185" spans="1:9" ht="75" x14ac:dyDescent="0.25">
      <c r="A185" s="44" t="s">
        <v>148</v>
      </c>
      <c r="B185" s="6">
        <v>1274009</v>
      </c>
      <c r="C185" s="44" t="s">
        <v>960</v>
      </c>
      <c r="D185" s="44" t="s">
        <v>965</v>
      </c>
      <c r="E185" s="6">
        <v>20</v>
      </c>
      <c r="F185" s="6">
        <v>45.5</v>
      </c>
      <c r="G185" s="6">
        <v>910</v>
      </c>
      <c r="H185" s="44" t="s">
        <v>154</v>
      </c>
      <c r="I185" s="44" t="s">
        <v>155</v>
      </c>
    </row>
    <row r="186" spans="1:9" ht="75" x14ac:dyDescent="0.25">
      <c r="A186" s="44" t="s">
        <v>148</v>
      </c>
      <c r="B186" s="6">
        <v>1274009</v>
      </c>
      <c r="C186" s="44" t="s">
        <v>960</v>
      </c>
      <c r="D186" s="44" t="s">
        <v>966</v>
      </c>
      <c r="E186" s="6">
        <v>15</v>
      </c>
      <c r="F186" s="6">
        <v>31.2</v>
      </c>
      <c r="G186" s="6">
        <v>468</v>
      </c>
      <c r="H186" s="44" t="s">
        <v>154</v>
      </c>
      <c r="I186" s="44" t="s">
        <v>155</v>
      </c>
    </row>
    <row r="187" spans="1:9" ht="75" x14ac:dyDescent="0.25">
      <c r="A187" s="44" t="s">
        <v>148</v>
      </c>
      <c r="B187" s="6">
        <v>1274009</v>
      </c>
      <c r="C187" s="44" t="s">
        <v>960</v>
      </c>
      <c r="D187" s="44" t="s">
        <v>967</v>
      </c>
      <c r="E187" s="6">
        <v>10</v>
      </c>
      <c r="F187" s="6">
        <v>70</v>
      </c>
      <c r="G187" s="6">
        <v>700</v>
      </c>
      <c r="H187" s="44" t="s">
        <v>154</v>
      </c>
      <c r="I187" s="44" t="s">
        <v>155</v>
      </c>
    </row>
    <row r="188" spans="1:9" ht="75" x14ac:dyDescent="0.25">
      <c r="A188" s="44" t="s">
        <v>148</v>
      </c>
      <c r="B188" s="6">
        <v>1274009</v>
      </c>
      <c r="C188" s="44" t="s">
        <v>960</v>
      </c>
      <c r="D188" s="44" t="s">
        <v>968</v>
      </c>
      <c r="E188" s="6">
        <v>15</v>
      </c>
      <c r="F188" s="6">
        <v>33.799999999999997</v>
      </c>
      <c r="G188" s="6">
        <v>507</v>
      </c>
      <c r="H188" s="44" t="s">
        <v>154</v>
      </c>
      <c r="I188" s="44" t="s">
        <v>155</v>
      </c>
    </row>
    <row r="189" spans="1:9" ht="75" x14ac:dyDescent="0.25">
      <c r="A189" s="44" t="s">
        <v>148</v>
      </c>
      <c r="B189" s="6">
        <v>1274009</v>
      </c>
      <c r="C189" s="44" t="s">
        <v>960</v>
      </c>
      <c r="D189" s="44" t="s">
        <v>969</v>
      </c>
      <c r="E189" s="6">
        <v>20</v>
      </c>
      <c r="F189" s="6">
        <v>24.35</v>
      </c>
      <c r="G189" s="6">
        <v>487</v>
      </c>
      <c r="H189" s="44" t="s">
        <v>154</v>
      </c>
      <c r="I189" s="44" t="s">
        <v>155</v>
      </c>
    </row>
    <row r="190" spans="1:9" ht="75" x14ac:dyDescent="0.25">
      <c r="A190" s="44" t="s">
        <v>148</v>
      </c>
      <c r="B190" s="6">
        <v>1274009</v>
      </c>
      <c r="C190" s="44" t="s">
        <v>960</v>
      </c>
      <c r="D190" s="44" t="s">
        <v>970</v>
      </c>
      <c r="E190" s="6">
        <v>20</v>
      </c>
      <c r="F190" s="6">
        <v>46.8</v>
      </c>
      <c r="G190" s="6">
        <v>936</v>
      </c>
      <c r="H190" s="44" t="s">
        <v>154</v>
      </c>
      <c r="I190" s="44" t="s">
        <v>155</v>
      </c>
    </row>
    <row r="191" spans="1:9" ht="75" x14ac:dyDescent="0.25">
      <c r="A191" s="44" t="s">
        <v>148</v>
      </c>
      <c r="B191" s="6">
        <v>1274009</v>
      </c>
      <c r="C191" s="44" t="s">
        <v>960</v>
      </c>
      <c r="D191" s="44" t="s">
        <v>971</v>
      </c>
      <c r="E191" s="6">
        <v>25</v>
      </c>
      <c r="F191" s="6">
        <v>16.25</v>
      </c>
      <c r="G191" s="6">
        <v>406.25</v>
      </c>
      <c r="H191" s="44" t="s">
        <v>154</v>
      </c>
      <c r="I191" s="44" t="s">
        <v>155</v>
      </c>
    </row>
    <row r="192" spans="1:9" ht="75" x14ac:dyDescent="0.25">
      <c r="A192" s="44" t="s">
        <v>148</v>
      </c>
      <c r="B192" s="6">
        <v>1274009</v>
      </c>
      <c r="C192" s="44" t="s">
        <v>960</v>
      </c>
      <c r="D192" s="44" t="s">
        <v>972</v>
      </c>
      <c r="E192" s="6">
        <v>20</v>
      </c>
      <c r="F192" s="6">
        <v>39</v>
      </c>
      <c r="G192" s="6">
        <v>780</v>
      </c>
      <c r="H192" s="44" t="s">
        <v>154</v>
      </c>
      <c r="I192" s="44" t="s">
        <v>155</v>
      </c>
    </row>
    <row r="193" spans="1:9" ht="75" x14ac:dyDescent="0.25">
      <c r="A193" s="44" t="s">
        <v>148</v>
      </c>
      <c r="B193" s="6">
        <v>1274009</v>
      </c>
      <c r="C193" s="44" t="s">
        <v>960</v>
      </c>
      <c r="D193" s="44" t="s">
        <v>973</v>
      </c>
      <c r="E193" s="6">
        <v>15</v>
      </c>
      <c r="F193" s="6">
        <v>31.2</v>
      </c>
      <c r="G193" s="6">
        <v>468</v>
      </c>
      <c r="H193" s="44" t="s">
        <v>154</v>
      </c>
      <c r="I193" s="44" t="s">
        <v>155</v>
      </c>
    </row>
    <row r="194" spans="1:9" ht="75" x14ac:dyDescent="0.25">
      <c r="A194" s="44" t="s">
        <v>148</v>
      </c>
      <c r="B194" s="6">
        <v>1274009</v>
      </c>
      <c r="C194" s="44" t="s">
        <v>960</v>
      </c>
      <c r="D194" s="44" t="s">
        <v>974</v>
      </c>
      <c r="E194" s="6">
        <v>15</v>
      </c>
      <c r="F194" s="6">
        <v>5.0999999999999996</v>
      </c>
      <c r="G194" s="6">
        <v>76.5</v>
      </c>
      <c r="H194" s="44" t="s">
        <v>154</v>
      </c>
      <c r="I194" s="44" t="s">
        <v>155</v>
      </c>
    </row>
    <row r="195" spans="1:9" ht="75" x14ac:dyDescent="0.25">
      <c r="A195" s="44" t="s">
        <v>148</v>
      </c>
      <c r="B195" s="6">
        <v>1274009</v>
      </c>
      <c r="C195" s="44" t="s">
        <v>960</v>
      </c>
      <c r="D195" s="44" t="s">
        <v>975</v>
      </c>
      <c r="E195" s="6">
        <v>20</v>
      </c>
      <c r="F195" s="6">
        <v>46.8</v>
      </c>
      <c r="G195" s="6">
        <v>936</v>
      </c>
      <c r="H195" s="44" t="s">
        <v>154</v>
      </c>
      <c r="I195" s="44" t="s">
        <v>155</v>
      </c>
    </row>
    <row r="196" spans="1:9" ht="45" x14ac:dyDescent="0.25">
      <c r="A196" s="44" t="s">
        <v>207</v>
      </c>
      <c r="B196" s="6"/>
      <c r="C196" s="44" t="s">
        <v>976</v>
      </c>
      <c r="D196" s="44"/>
      <c r="E196" s="6">
        <v>1</v>
      </c>
      <c r="F196" s="6">
        <v>20</v>
      </c>
      <c r="G196" s="6">
        <v>20</v>
      </c>
      <c r="H196" s="44" t="s">
        <v>208</v>
      </c>
      <c r="I196" s="44" t="s">
        <v>207</v>
      </c>
    </row>
    <row r="197" spans="1:9" ht="45" x14ac:dyDescent="0.25">
      <c r="A197" s="44" t="s">
        <v>136</v>
      </c>
      <c r="B197" s="6">
        <v>2164002</v>
      </c>
      <c r="C197" s="44" t="s">
        <v>977</v>
      </c>
      <c r="D197" s="44" t="s">
        <v>978</v>
      </c>
      <c r="E197" s="6">
        <v>10</v>
      </c>
      <c r="F197" s="6">
        <v>38</v>
      </c>
      <c r="G197" s="6">
        <v>380</v>
      </c>
      <c r="H197" s="44" t="s">
        <v>142</v>
      </c>
      <c r="I197" s="44" t="s">
        <v>143</v>
      </c>
    </row>
    <row r="198" spans="1:9" ht="75" x14ac:dyDescent="0.25">
      <c r="A198" s="44" t="s">
        <v>148</v>
      </c>
      <c r="B198" s="6"/>
      <c r="C198" s="44" t="s">
        <v>979</v>
      </c>
      <c r="D198" s="44" t="s">
        <v>980</v>
      </c>
      <c r="E198" s="6">
        <v>4</v>
      </c>
      <c r="F198" s="6" t="s">
        <v>981</v>
      </c>
      <c r="G198" s="6" t="s">
        <v>982</v>
      </c>
      <c r="H198" s="44" t="s">
        <v>154</v>
      </c>
      <c r="I198" s="44" t="s">
        <v>155</v>
      </c>
    </row>
    <row r="199" spans="1:9" ht="75" x14ac:dyDescent="0.25">
      <c r="A199" s="44" t="s">
        <v>148</v>
      </c>
      <c r="B199" s="6"/>
      <c r="C199" s="44" t="s">
        <v>979</v>
      </c>
      <c r="D199" s="44" t="s">
        <v>983</v>
      </c>
      <c r="E199" s="6">
        <v>5</v>
      </c>
      <c r="F199" s="6" t="s">
        <v>796</v>
      </c>
      <c r="G199" s="6" t="s">
        <v>984</v>
      </c>
      <c r="H199" s="44" t="s">
        <v>154</v>
      </c>
      <c r="I199" s="44" t="s">
        <v>155</v>
      </c>
    </row>
    <row r="200" spans="1:9" ht="30" x14ac:dyDescent="0.25">
      <c r="A200" s="44" t="s">
        <v>247</v>
      </c>
      <c r="B200" s="6"/>
      <c r="C200" s="44" t="s">
        <v>979</v>
      </c>
      <c r="D200" s="44" t="s">
        <v>985</v>
      </c>
      <c r="E200" s="6">
        <v>2</v>
      </c>
      <c r="F200" s="6">
        <v>500</v>
      </c>
      <c r="G200" s="6" t="s">
        <v>726</v>
      </c>
      <c r="H200" s="44" t="s">
        <v>250</v>
      </c>
      <c r="I200" s="44" t="s">
        <v>251</v>
      </c>
    </row>
    <row r="201" spans="1:9" ht="30" x14ac:dyDescent="0.25">
      <c r="A201" s="44" t="s">
        <v>247</v>
      </c>
      <c r="B201" s="6"/>
      <c r="C201" s="44" t="s">
        <v>979</v>
      </c>
      <c r="D201" s="44" t="s">
        <v>986</v>
      </c>
      <c r="E201" s="6">
        <v>1</v>
      </c>
      <c r="F201" s="6" t="s">
        <v>987</v>
      </c>
      <c r="G201" s="6" t="s">
        <v>987</v>
      </c>
      <c r="H201" s="44" t="s">
        <v>250</v>
      </c>
      <c r="I201" s="44" t="s">
        <v>251</v>
      </c>
    </row>
    <row r="202" spans="1:9" ht="30" x14ac:dyDescent="0.25">
      <c r="A202" s="44" t="s">
        <v>247</v>
      </c>
      <c r="B202" s="6"/>
      <c r="C202" s="44" t="s">
        <v>979</v>
      </c>
      <c r="D202" s="44" t="s">
        <v>988</v>
      </c>
      <c r="E202" s="6">
        <v>2</v>
      </c>
      <c r="F202" s="6">
        <v>500</v>
      </c>
      <c r="G202" s="6" t="s">
        <v>726</v>
      </c>
      <c r="H202" s="44" t="s">
        <v>250</v>
      </c>
      <c r="I202" s="44" t="s">
        <v>251</v>
      </c>
    </row>
    <row r="203" spans="1:9" ht="30" x14ac:dyDescent="0.25">
      <c r="A203" s="44" t="s">
        <v>247</v>
      </c>
      <c r="B203" s="6"/>
      <c r="C203" s="44" t="s">
        <v>979</v>
      </c>
      <c r="D203" s="44" t="s">
        <v>989</v>
      </c>
      <c r="E203" s="6">
        <v>1</v>
      </c>
      <c r="F203" s="6" t="s">
        <v>990</v>
      </c>
      <c r="G203" s="6" t="s">
        <v>990</v>
      </c>
      <c r="H203" s="44" t="s">
        <v>250</v>
      </c>
      <c r="I203" s="44" t="s">
        <v>251</v>
      </c>
    </row>
    <row r="204" spans="1:9" ht="30" x14ac:dyDescent="0.25">
      <c r="A204" s="44" t="s">
        <v>247</v>
      </c>
      <c r="B204" s="6"/>
      <c r="C204" s="44" t="s">
        <v>979</v>
      </c>
      <c r="D204" s="44" t="s">
        <v>991</v>
      </c>
      <c r="E204" s="6">
        <v>2</v>
      </c>
      <c r="F204" s="6">
        <v>500</v>
      </c>
      <c r="G204" s="6" t="s">
        <v>726</v>
      </c>
      <c r="H204" s="44" t="s">
        <v>250</v>
      </c>
      <c r="I204" s="44" t="s">
        <v>251</v>
      </c>
    </row>
    <row r="205" spans="1:9" ht="45" x14ac:dyDescent="0.25">
      <c r="A205" s="44" t="s">
        <v>281</v>
      </c>
      <c r="B205" s="6"/>
      <c r="C205" s="44" t="s">
        <v>979</v>
      </c>
      <c r="D205" s="44" t="s">
        <v>992</v>
      </c>
      <c r="E205" s="6">
        <v>1</v>
      </c>
      <c r="F205" s="6" t="s">
        <v>993</v>
      </c>
      <c r="G205" s="6" t="s">
        <v>993</v>
      </c>
      <c r="H205" s="44" t="s">
        <v>284</v>
      </c>
      <c r="I205" s="44" t="s">
        <v>285</v>
      </c>
    </row>
    <row r="206" spans="1:9" ht="75" x14ac:dyDescent="0.25">
      <c r="A206" s="44" t="s">
        <v>286</v>
      </c>
      <c r="B206" s="6"/>
      <c r="C206" s="44" t="s">
        <v>979</v>
      </c>
      <c r="D206" s="44" t="s">
        <v>994</v>
      </c>
      <c r="E206" s="6">
        <v>1</v>
      </c>
      <c r="F206" s="6" t="s">
        <v>995</v>
      </c>
      <c r="G206" s="6" t="s">
        <v>995</v>
      </c>
      <c r="H206" s="44" t="s">
        <v>289</v>
      </c>
      <c r="I206" s="44" t="s">
        <v>290</v>
      </c>
    </row>
    <row r="207" spans="1:9" ht="45" x14ac:dyDescent="0.25">
      <c r="A207" s="44" t="s">
        <v>136</v>
      </c>
      <c r="B207" s="6">
        <v>2206001</v>
      </c>
      <c r="C207" s="44" t="s">
        <v>996</v>
      </c>
      <c r="D207" s="44" t="s">
        <v>997</v>
      </c>
      <c r="E207" s="6">
        <v>4</v>
      </c>
      <c r="F207" s="6">
        <v>400</v>
      </c>
      <c r="G207" s="6" t="s">
        <v>723</v>
      </c>
      <c r="H207" s="44" t="s">
        <v>142</v>
      </c>
      <c r="I207" s="44" t="s">
        <v>143</v>
      </c>
    </row>
    <row r="208" spans="1:9" ht="75" x14ac:dyDescent="0.25">
      <c r="A208" s="44" t="s">
        <v>148</v>
      </c>
      <c r="B208" s="6">
        <v>2206001</v>
      </c>
      <c r="C208" s="44" t="s">
        <v>996</v>
      </c>
      <c r="D208" s="44" t="s">
        <v>998</v>
      </c>
      <c r="E208" s="6">
        <v>2</v>
      </c>
      <c r="F208" s="6" t="s">
        <v>987</v>
      </c>
      <c r="G208" s="6" t="s">
        <v>999</v>
      </c>
      <c r="H208" s="44" t="s">
        <v>154</v>
      </c>
      <c r="I208" s="44" t="s">
        <v>155</v>
      </c>
    </row>
    <row r="209" spans="1:9" ht="75" x14ac:dyDescent="0.25">
      <c r="A209" s="44" t="s">
        <v>148</v>
      </c>
      <c r="B209" s="6">
        <v>2206001</v>
      </c>
      <c r="C209" s="44" t="s">
        <v>996</v>
      </c>
      <c r="D209" s="44" t="s">
        <v>1000</v>
      </c>
      <c r="E209" s="6">
        <v>2</v>
      </c>
      <c r="F209" s="6" t="s">
        <v>987</v>
      </c>
      <c r="G209" s="6" t="s">
        <v>999</v>
      </c>
      <c r="H209" s="44" t="s">
        <v>154</v>
      </c>
      <c r="I209" s="44" t="s">
        <v>155</v>
      </c>
    </row>
    <row r="210" spans="1:9" ht="75" x14ac:dyDescent="0.25">
      <c r="A210" s="44" t="s">
        <v>148</v>
      </c>
      <c r="B210" s="6">
        <v>2206001</v>
      </c>
      <c r="C210" s="44" t="s">
        <v>996</v>
      </c>
      <c r="D210" s="44" t="s">
        <v>1001</v>
      </c>
      <c r="E210" s="6">
        <v>3</v>
      </c>
      <c r="F210" s="6" t="s">
        <v>838</v>
      </c>
      <c r="G210" s="6" t="s">
        <v>1002</v>
      </c>
      <c r="H210" s="44" t="s">
        <v>154</v>
      </c>
      <c r="I210" s="44" t="s">
        <v>155</v>
      </c>
    </row>
    <row r="211" spans="1:9" ht="75" x14ac:dyDescent="0.25">
      <c r="A211" s="44" t="s">
        <v>148</v>
      </c>
      <c r="B211" s="6">
        <v>2206001</v>
      </c>
      <c r="C211" s="44" t="s">
        <v>996</v>
      </c>
      <c r="D211" s="44" t="s">
        <v>1003</v>
      </c>
      <c r="E211" s="6">
        <v>5</v>
      </c>
      <c r="F211" s="6" t="s">
        <v>796</v>
      </c>
      <c r="G211" s="6" t="s">
        <v>984</v>
      </c>
      <c r="H211" s="44" t="s">
        <v>154</v>
      </c>
      <c r="I211" s="44" t="s">
        <v>155</v>
      </c>
    </row>
    <row r="212" spans="1:9" ht="75" x14ac:dyDescent="0.25">
      <c r="A212" s="44" t="s">
        <v>148</v>
      </c>
      <c r="B212" s="6">
        <v>2206001</v>
      </c>
      <c r="C212" s="44" t="s">
        <v>996</v>
      </c>
      <c r="D212" s="44" t="s">
        <v>1004</v>
      </c>
      <c r="E212" s="6">
        <v>5</v>
      </c>
      <c r="F212" s="6" t="s">
        <v>946</v>
      </c>
      <c r="G212" s="6" t="s">
        <v>1005</v>
      </c>
      <c r="H212" s="44" t="s">
        <v>154</v>
      </c>
      <c r="I212" s="44" t="s">
        <v>155</v>
      </c>
    </row>
    <row r="213" spans="1:9" ht="60" x14ac:dyDescent="0.25">
      <c r="A213" s="44" t="s">
        <v>158</v>
      </c>
      <c r="B213" s="6">
        <v>2206001</v>
      </c>
      <c r="C213" s="44" t="s">
        <v>996</v>
      </c>
      <c r="D213" s="44"/>
      <c r="E213" s="6">
        <v>1</v>
      </c>
      <c r="F213" s="6">
        <v>800</v>
      </c>
      <c r="G213" s="6">
        <v>800</v>
      </c>
      <c r="H213" s="44" t="s">
        <v>161</v>
      </c>
      <c r="I213" s="44" t="s">
        <v>162</v>
      </c>
    </row>
    <row r="214" spans="1:9" ht="60" x14ac:dyDescent="0.25">
      <c r="A214" s="44" t="s">
        <v>166</v>
      </c>
      <c r="B214" s="6">
        <v>2206001</v>
      </c>
      <c r="C214" s="44" t="s">
        <v>996</v>
      </c>
      <c r="D214" s="44" t="s">
        <v>1006</v>
      </c>
      <c r="E214" s="6">
        <v>6</v>
      </c>
      <c r="F214" s="6" t="s">
        <v>814</v>
      </c>
      <c r="G214" s="6" t="s">
        <v>838</v>
      </c>
      <c r="H214" s="44" t="s">
        <v>172</v>
      </c>
      <c r="I214" s="44" t="s">
        <v>173</v>
      </c>
    </row>
    <row r="215" spans="1:9" ht="105" x14ac:dyDescent="0.25">
      <c r="A215" s="44" t="s">
        <v>166</v>
      </c>
      <c r="B215" s="6">
        <v>2206001</v>
      </c>
      <c r="C215" s="44" t="s">
        <v>996</v>
      </c>
      <c r="D215" s="44" t="s">
        <v>1007</v>
      </c>
      <c r="E215" s="6">
        <v>7</v>
      </c>
      <c r="F215" s="6" t="s">
        <v>814</v>
      </c>
      <c r="G215" s="6" t="s">
        <v>993</v>
      </c>
      <c r="H215" s="44" t="s">
        <v>169</v>
      </c>
      <c r="I215" s="44" t="s">
        <v>170</v>
      </c>
    </row>
    <row r="216" spans="1:9" ht="30" x14ac:dyDescent="0.25">
      <c r="A216" s="44" t="s">
        <v>247</v>
      </c>
      <c r="B216" s="6">
        <v>2206001</v>
      </c>
      <c r="C216" s="44" t="s">
        <v>996</v>
      </c>
      <c r="D216" s="44"/>
      <c r="E216" s="6">
        <v>2</v>
      </c>
      <c r="F216" s="6" t="s">
        <v>923</v>
      </c>
      <c r="G216" s="6" t="s">
        <v>867</v>
      </c>
      <c r="H216" s="44" t="s">
        <v>250</v>
      </c>
      <c r="I216" s="44" t="s">
        <v>251</v>
      </c>
    </row>
    <row r="217" spans="1:9" ht="45" x14ac:dyDescent="0.25">
      <c r="A217" s="44" t="s">
        <v>296</v>
      </c>
      <c r="B217" s="6">
        <v>2206001</v>
      </c>
      <c r="C217" s="44" t="s">
        <v>996</v>
      </c>
      <c r="D217" s="44" t="s">
        <v>1008</v>
      </c>
      <c r="E217" s="6">
        <v>1</v>
      </c>
      <c r="F217" s="6" t="s">
        <v>814</v>
      </c>
      <c r="G217" s="6" t="s">
        <v>814</v>
      </c>
      <c r="H217" s="44" t="s">
        <v>299</v>
      </c>
      <c r="I217" s="44" t="s">
        <v>300</v>
      </c>
    </row>
    <row r="218" spans="1:9" ht="75" x14ac:dyDescent="0.25">
      <c r="A218" s="44" t="s">
        <v>148</v>
      </c>
      <c r="B218" s="6">
        <v>2516001</v>
      </c>
      <c r="C218" s="44" t="s">
        <v>1009</v>
      </c>
      <c r="D218" s="44" t="s">
        <v>1010</v>
      </c>
      <c r="E218" s="6">
        <v>10</v>
      </c>
      <c r="F218" s="6">
        <v>600</v>
      </c>
      <c r="G218" s="6" t="s">
        <v>678</v>
      </c>
      <c r="H218" s="44" t="s">
        <v>154</v>
      </c>
      <c r="I218" s="44" t="s">
        <v>155</v>
      </c>
    </row>
    <row r="219" spans="1:9" ht="75" x14ac:dyDescent="0.25">
      <c r="A219" s="44" t="s">
        <v>148</v>
      </c>
      <c r="B219" s="6">
        <v>2516001</v>
      </c>
      <c r="C219" s="44" t="s">
        <v>1009</v>
      </c>
      <c r="D219" s="44" t="s">
        <v>1011</v>
      </c>
      <c r="E219" s="6">
        <v>10</v>
      </c>
      <c r="F219" s="6">
        <v>950</v>
      </c>
      <c r="G219" s="6" t="s">
        <v>1012</v>
      </c>
      <c r="H219" s="44" t="s">
        <v>154</v>
      </c>
      <c r="I219" s="44" t="s">
        <v>155</v>
      </c>
    </row>
    <row r="220" spans="1:9" ht="75" x14ac:dyDescent="0.25">
      <c r="A220" s="44" t="s">
        <v>148</v>
      </c>
      <c r="B220" s="6">
        <v>2516001</v>
      </c>
      <c r="C220" s="44" t="s">
        <v>1009</v>
      </c>
      <c r="D220" s="44" t="s">
        <v>1013</v>
      </c>
      <c r="E220" s="6">
        <v>10</v>
      </c>
      <c r="F220" s="6">
        <v>950</v>
      </c>
      <c r="G220" s="6" t="s">
        <v>1012</v>
      </c>
      <c r="H220" s="44" t="s">
        <v>154</v>
      </c>
      <c r="I220" s="44" t="s">
        <v>155</v>
      </c>
    </row>
    <row r="221" spans="1:9" ht="60" x14ac:dyDescent="0.25">
      <c r="A221" s="44" t="s">
        <v>158</v>
      </c>
      <c r="B221" s="6">
        <v>2516001</v>
      </c>
      <c r="C221" s="44" t="s">
        <v>1009</v>
      </c>
      <c r="D221" s="44"/>
      <c r="E221" s="6">
        <v>1</v>
      </c>
      <c r="F221" s="6">
        <v>300</v>
      </c>
      <c r="G221" s="6">
        <v>300</v>
      </c>
      <c r="H221" s="44" t="s">
        <v>161</v>
      </c>
      <c r="I221" s="44" t="s">
        <v>162</v>
      </c>
    </row>
    <row r="222" spans="1:9" ht="90" x14ac:dyDescent="0.25">
      <c r="A222" s="44" t="s">
        <v>166</v>
      </c>
      <c r="B222" s="6">
        <v>2516001</v>
      </c>
      <c r="C222" s="44" t="s">
        <v>1009</v>
      </c>
      <c r="D222" s="44" t="s">
        <v>1014</v>
      </c>
      <c r="E222" s="6">
        <v>7</v>
      </c>
      <c r="F222" s="6" t="s">
        <v>726</v>
      </c>
      <c r="G222" s="6" t="s">
        <v>849</v>
      </c>
      <c r="H222" s="44" t="s">
        <v>169</v>
      </c>
      <c r="I222" s="44" t="s">
        <v>170</v>
      </c>
    </row>
    <row r="223" spans="1:9" ht="60" x14ac:dyDescent="0.25">
      <c r="A223" s="44" t="s">
        <v>166</v>
      </c>
      <c r="B223" s="6">
        <v>2516001</v>
      </c>
      <c r="C223" s="44" t="s">
        <v>1009</v>
      </c>
      <c r="D223" s="44" t="s">
        <v>1015</v>
      </c>
      <c r="E223" s="6">
        <v>4</v>
      </c>
      <c r="F223" s="6" t="s">
        <v>726</v>
      </c>
      <c r="G223" s="6" t="s">
        <v>845</v>
      </c>
      <c r="H223" s="44" t="s">
        <v>172</v>
      </c>
      <c r="I223" s="44" t="s">
        <v>173</v>
      </c>
    </row>
    <row r="224" spans="1:9" ht="30" x14ac:dyDescent="0.25">
      <c r="A224" s="44" t="s">
        <v>247</v>
      </c>
      <c r="B224" s="6">
        <v>2516001</v>
      </c>
      <c r="C224" s="44" t="s">
        <v>1009</v>
      </c>
      <c r="D224" s="44"/>
      <c r="E224" s="6">
        <v>2</v>
      </c>
      <c r="F224" s="6" t="s">
        <v>726</v>
      </c>
      <c r="G224" s="6" t="s">
        <v>814</v>
      </c>
      <c r="H224" s="44" t="s">
        <v>250</v>
      </c>
      <c r="I224" s="44" t="s">
        <v>251</v>
      </c>
    </row>
    <row r="225" spans="1:9" ht="45" x14ac:dyDescent="0.25">
      <c r="A225" s="44" t="s">
        <v>136</v>
      </c>
      <c r="B225" s="6">
        <v>2307001</v>
      </c>
      <c r="C225" s="44" t="s">
        <v>1016</v>
      </c>
      <c r="D225" s="44" t="s">
        <v>1017</v>
      </c>
      <c r="E225" s="6">
        <v>4</v>
      </c>
      <c r="F225" s="6">
        <v>250</v>
      </c>
      <c r="G225" s="6" t="s">
        <v>726</v>
      </c>
      <c r="H225" s="44" t="s">
        <v>142</v>
      </c>
      <c r="I225" s="44" t="s">
        <v>143</v>
      </c>
    </row>
    <row r="226" spans="1:9" ht="45" x14ac:dyDescent="0.25">
      <c r="A226" s="44" t="s">
        <v>136</v>
      </c>
      <c r="B226" s="6">
        <v>2307001</v>
      </c>
      <c r="C226" s="44" t="s">
        <v>1016</v>
      </c>
      <c r="D226" s="44" t="s">
        <v>1018</v>
      </c>
      <c r="E226" s="6">
        <v>2</v>
      </c>
      <c r="F226" s="6">
        <v>200</v>
      </c>
      <c r="G226" s="6">
        <v>400</v>
      </c>
      <c r="H226" s="44" t="s">
        <v>142</v>
      </c>
      <c r="I226" s="44" t="s">
        <v>143</v>
      </c>
    </row>
    <row r="227" spans="1:9" ht="45" x14ac:dyDescent="0.25">
      <c r="A227" s="44" t="s">
        <v>207</v>
      </c>
      <c r="B227" s="6">
        <v>2190001</v>
      </c>
      <c r="C227" s="44" t="s">
        <v>1019</v>
      </c>
      <c r="D227" s="44"/>
      <c r="E227" s="6">
        <v>1</v>
      </c>
      <c r="F227" s="6">
        <v>400</v>
      </c>
      <c r="G227" s="6">
        <v>400</v>
      </c>
      <c r="H227" s="44" t="s">
        <v>208</v>
      </c>
      <c r="I227" s="44" t="s">
        <v>207</v>
      </c>
    </row>
    <row r="228" spans="1:9" ht="45" x14ac:dyDescent="0.25">
      <c r="A228" s="44" t="s">
        <v>136</v>
      </c>
      <c r="B228" s="6">
        <v>1270003</v>
      </c>
      <c r="C228" s="44" t="s">
        <v>1020</v>
      </c>
      <c r="D228" s="44" t="s">
        <v>1021</v>
      </c>
      <c r="E228" s="6">
        <v>72</v>
      </c>
      <c r="F228" s="6">
        <v>25</v>
      </c>
      <c r="G228" s="6" t="s">
        <v>861</v>
      </c>
      <c r="H228" s="44" t="s">
        <v>142</v>
      </c>
      <c r="I228" s="44" t="s">
        <v>143</v>
      </c>
    </row>
    <row r="229" spans="1:9" ht="45" x14ac:dyDescent="0.25">
      <c r="A229" s="44" t="s">
        <v>70</v>
      </c>
      <c r="B229" s="6">
        <v>6010402</v>
      </c>
      <c r="C229" s="44" t="s">
        <v>1022</v>
      </c>
      <c r="D229" s="44" t="s">
        <v>1023</v>
      </c>
      <c r="E229" s="6">
        <v>1</v>
      </c>
      <c r="F229" s="6">
        <v>500</v>
      </c>
      <c r="G229" s="6">
        <v>500</v>
      </c>
      <c r="H229" s="44" t="s">
        <v>73</v>
      </c>
      <c r="I229" s="44" t="s">
        <v>74</v>
      </c>
    </row>
    <row r="230" spans="1:9" ht="45" x14ac:dyDescent="0.25">
      <c r="A230" s="44" t="s">
        <v>274</v>
      </c>
      <c r="B230" s="6">
        <v>2352001</v>
      </c>
      <c r="C230" s="44" t="s">
        <v>1024</v>
      </c>
      <c r="D230" s="44" t="s">
        <v>1025</v>
      </c>
      <c r="E230" s="6">
        <v>6</v>
      </c>
      <c r="F230" s="6">
        <v>400</v>
      </c>
      <c r="G230" s="6" t="s">
        <v>867</v>
      </c>
      <c r="H230" s="44" t="s">
        <v>277</v>
      </c>
      <c r="I230" s="44" t="s">
        <v>278</v>
      </c>
    </row>
    <row r="231" spans="1:9" ht="60" x14ac:dyDescent="0.25">
      <c r="A231" s="44" t="s">
        <v>207</v>
      </c>
      <c r="B231" s="6">
        <v>12610007</v>
      </c>
      <c r="C231" s="44" t="s">
        <v>1026</v>
      </c>
      <c r="D231" s="44"/>
      <c r="E231" s="6">
        <v>40</v>
      </c>
      <c r="F231" s="6">
        <v>236</v>
      </c>
      <c r="G231" s="6">
        <v>9.44</v>
      </c>
      <c r="H231" s="44" t="s">
        <v>208</v>
      </c>
      <c r="I231" s="44" t="s">
        <v>207</v>
      </c>
    </row>
    <row r="232" spans="1:9" ht="90" x14ac:dyDescent="0.25">
      <c r="A232" s="44" t="s">
        <v>207</v>
      </c>
      <c r="B232" s="6">
        <v>100900003</v>
      </c>
      <c r="C232" s="44" t="s">
        <v>1027</v>
      </c>
      <c r="D232" s="44"/>
      <c r="E232" s="6">
        <v>30</v>
      </c>
      <c r="F232" s="6">
        <v>974</v>
      </c>
      <c r="G232" s="6">
        <v>29.22</v>
      </c>
      <c r="H232" s="44" t="s">
        <v>208</v>
      </c>
      <c r="I232" s="44" t="s">
        <v>207</v>
      </c>
    </row>
    <row r="233" spans="1:9" ht="90" x14ac:dyDescent="0.25">
      <c r="A233" s="44" t="s">
        <v>207</v>
      </c>
      <c r="B233" s="6">
        <v>1019024</v>
      </c>
      <c r="C233" s="44" t="s">
        <v>1028</v>
      </c>
      <c r="D233" s="44" t="s">
        <v>1029</v>
      </c>
      <c r="E233" s="6">
        <v>3</v>
      </c>
      <c r="F233" s="6">
        <v>111.998</v>
      </c>
      <c r="G233" s="6">
        <v>335.99400000000003</v>
      </c>
      <c r="H233" s="44" t="s">
        <v>208</v>
      </c>
      <c r="I233" s="44" t="s">
        <v>207</v>
      </c>
    </row>
    <row r="234" spans="1:9" ht="75" x14ac:dyDescent="0.25">
      <c r="A234" s="44" t="s">
        <v>88</v>
      </c>
      <c r="B234" s="6">
        <v>1019036</v>
      </c>
      <c r="C234" s="44" t="s">
        <v>1030</v>
      </c>
      <c r="D234" s="44" t="s">
        <v>1031</v>
      </c>
      <c r="E234" s="6">
        <v>4</v>
      </c>
      <c r="F234" s="6">
        <v>110.444</v>
      </c>
      <c r="G234" s="6">
        <v>441.77600000000001</v>
      </c>
      <c r="H234" s="44" t="s">
        <v>95</v>
      </c>
      <c r="I234" s="44" t="s">
        <v>96</v>
      </c>
    </row>
    <row r="235" spans="1:9" ht="75" x14ac:dyDescent="0.25">
      <c r="A235" s="44" t="s">
        <v>88</v>
      </c>
      <c r="B235" s="6">
        <v>1019036</v>
      </c>
      <c r="C235" s="44" t="s">
        <v>1030</v>
      </c>
      <c r="D235" s="44" t="s">
        <v>1032</v>
      </c>
      <c r="E235" s="6">
        <v>3</v>
      </c>
      <c r="F235" s="6">
        <v>110.444</v>
      </c>
      <c r="G235" s="6">
        <v>331.33199999999999</v>
      </c>
      <c r="H235" s="44" t="s">
        <v>93</v>
      </c>
      <c r="I235" s="44" t="s">
        <v>94</v>
      </c>
    </row>
    <row r="236" spans="1:9" ht="75" x14ac:dyDescent="0.25">
      <c r="A236" s="44" t="s">
        <v>88</v>
      </c>
      <c r="B236" s="6">
        <v>1019036</v>
      </c>
      <c r="C236" s="44" t="s">
        <v>1030</v>
      </c>
      <c r="D236" s="44" t="s">
        <v>1033</v>
      </c>
      <c r="E236" s="6">
        <v>3</v>
      </c>
      <c r="F236" s="6">
        <v>110.444</v>
      </c>
      <c r="G236" s="6">
        <v>331.33199999999999</v>
      </c>
      <c r="H236" s="44" t="s">
        <v>97</v>
      </c>
      <c r="I236" s="44" t="s">
        <v>98</v>
      </c>
    </row>
    <row r="237" spans="1:9" ht="75" x14ac:dyDescent="0.25">
      <c r="A237" s="44" t="s">
        <v>88</v>
      </c>
      <c r="B237" s="6">
        <v>1019036</v>
      </c>
      <c r="C237" s="44" t="s">
        <v>1030</v>
      </c>
      <c r="D237" s="44" t="s">
        <v>1033</v>
      </c>
      <c r="E237" s="6">
        <v>3</v>
      </c>
      <c r="F237" s="6">
        <v>110.444</v>
      </c>
      <c r="G237" s="6">
        <v>331.33199999999999</v>
      </c>
      <c r="H237" s="44" t="s">
        <v>91</v>
      </c>
      <c r="I237" s="44" t="s">
        <v>92</v>
      </c>
    </row>
    <row r="238" spans="1:9" ht="75" x14ac:dyDescent="0.25">
      <c r="A238" s="44" t="s">
        <v>148</v>
      </c>
      <c r="B238" s="6">
        <v>142200055</v>
      </c>
      <c r="C238" s="44" t="s">
        <v>1034</v>
      </c>
      <c r="D238" s="44"/>
      <c r="E238" s="6">
        <v>15</v>
      </c>
      <c r="F238" s="6">
        <v>83.655000000000001</v>
      </c>
      <c r="G238" s="6" t="s">
        <v>1035</v>
      </c>
      <c r="H238" s="44" t="s">
        <v>154</v>
      </c>
      <c r="I238" s="44" t="s">
        <v>155</v>
      </c>
    </row>
    <row r="239" spans="1:9" ht="75" x14ac:dyDescent="0.25">
      <c r="A239" s="44" t="s">
        <v>166</v>
      </c>
      <c r="B239" s="6">
        <v>142200055</v>
      </c>
      <c r="C239" s="44" t="s">
        <v>1034</v>
      </c>
      <c r="D239" s="44" t="s">
        <v>1036</v>
      </c>
      <c r="E239" s="6">
        <v>5</v>
      </c>
      <c r="F239" s="6">
        <v>83.655000000000001</v>
      </c>
      <c r="G239" s="6">
        <v>418.27499999999998</v>
      </c>
      <c r="H239" s="44" t="s">
        <v>169</v>
      </c>
      <c r="I239" s="44" t="s">
        <v>170</v>
      </c>
    </row>
    <row r="240" spans="1:9" ht="75" x14ac:dyDescent="0.25">
      <c r="A240" s="44" t="s">
        <v>148</v>
      </c>
      <c r="B240" s="6">
        <v>142200221</v>
      </c>
      <c r="C240" s="44" t="s">
        <v>1037</v>
      </c>
      <c r="D240" s="44"/>
      <c r="E240" s="6">
        <v>15</v>
      </c>
      <c r="F240" s="6">
        <v>124.18600000000001</v>
      </c>
      <c r="G240" s="6" t="s">
        <v>1038</v>
      </c>
      <c r="H240" s="44" t="s">
        <v>154</v>
      </c>
      <c r="I240" s="44" t="s">
        <v>155</v>
      </c>
    </row>
    <row r="241" spans="1:9" ht="45" x14ac:dyDescent="0.25">
      <c r="A241" s="44" t="s">
        <v>207</v>
      </c>
      <c r="B241" s="6">
        <v>142200089</v>
      </c>
      <c r="C241" s="44" t="s">
        <v>1039</v>
      </c>
      <c r="D241" s="44" t="s">
        <v>835</v>
      </c>
      <c r="E241" s="6">
        <v>12</v>
      </c>
      <c r="F241" s="6">
        <v>1</v>
      </c>
      <c r="G241" s="6">
        <v>12</v>
      </c>
      <c r="H241" s="44" t="s">
        <v>208</v>
      </c>
      <c r="I241" s="44" t="s">
        <v>207</v>
      </c>
    </row>
    <row r="242" spans="1:9" ht="45" x14ac:dyDescent="0.25">
      <c r="A242" s="44" t="s">
        <v>274</v>
      </c>
      <c r="B242" s="6">
        <v>1366001</v>
      </c>
      <c r="C242" s="44" t="s">
        <v>1040</v>
      </c>
      <c r="D242" s="44" t="s">
        <v>1041</v>
      </c>
      <c r="E242" s="6">
        <v>2</v>
      </c>
      <c r="F242" s="6">
        <v>3</v>
      </c>
      <c r="G242" s="6">
        <v>6</v>
      </c>
      <c r="H242" s="44" t="s">
        <v>277</v>
      </c>
      <c r="I242" s="44" t="s">
        <v>278</v>
      </c>
    </row>
    <row r="243" spans="1:9" ht="45" x14ac:dyDescent="0.25">
      <c r="A243" s="44" t="s">
        <v>247</v>
      </c>
      <c r="B243" s="6">
        <v>14120002</v>
      </c>
      <c r="C243" s="44" t="s">
        <v>1042</v>
      </c>
      <c r="D243" s="44" t="s">
        <v>1043</v>
      </c>
      <c r="E243" s="6">
        <v>10</v>
      </c>
      <c r="F243" s="6">
        <v>10</v>
      </c>
      <c r="G243" s="6">
        <v>100</v>
      </c>
      <c r="H243" s="44" t="s">
        <v>250</v>
      </c>
      <c r="I243" s="44" t="s">
        <v>251</v>
      </c>
    </row>
    <row r="244" spans="1:9" ht="75" x14ac:dyDescent="0.25">
      <c r="A244" s="44" t="s">
        <v>148</v>
      </c>
      <c r="B244" s="6">
        <v>14120002</v>
      </c>
      <c r="C244" s="44" t="s">
        <v>1044</v>
      </c>
      <c r="D244" s="44"/>
      <c r="E244" s="6">
        <v>13</v>
      </c>
      <c r="F244" s="6">
        <v>50</v>
      </c>
      <c r="G244" s="6">
        <v>650</v>
      </c>
      <c r="H244" s="44" t="s">
        <v>154</v>
      </c>
      <c r="I244" s="44" t="s">
        <v>155</v>
      </c>
    </row>
    <row r="245" spans="1:9" ht="45" x14ac:dyDescent="0.25">
      <c r="A245" s="44" t="s">
        <v>247</v>
      </c>
      <c r="B245" s="6">
        <v>26060001</v>
      </c>
      <c r="C245" s="44" t="s">
        <v>1045</v>
      </c>
      <c r="D245" s="44" t="s">
        <v>1046</v>
      </c>
      <c r="E245" s="6">
        <v>1</v>
      </c>
      <c r="F245" s="6" t="s">
        <v>946</v>
      </c>
      <c r="G245" s="6" t="s">
        <v>946</v>
      </c>
      <c r="H245" s="44" t="s">
        <v>250</v>
      </c>
      <c r="I245" s="44" t="s">
        <v>251</v>
      </c>
    </row>
    <row r="246" spans="1:9" ht="30" x14ac:dyDescent="0.25">
      <c r="A246" s="44" t="s">
        <v>247</v>
      </c>
      <c r="B246" s="6">
        <v>26060001</v>
      </c>
      <c r="C246" s="44" t="s">
        <v>1045</v>
      </c>
      <c r="D246" s="44" t="s">
        <v>1047</v>
      </c>
      <c r="E246" s="6">
        <v>1</v>
      </c>
      <c r="F246" s="6" t="s">
        <v>814</v>
      </c>
      <c r="G246" s="6" t="s">
        <v>814</v>
      </c>
      <c r="H246" s="44" t="s">
        <v>250</v>
      </c>
      <c r="I246" s="44" t="s">
        <v>251</v>
      </c>
    </row>
    <row r="247" spans="1:9" ht="30" x14ac:dyDescent="0.25">
      <c r="A247" s="44" t="s">
        <v>247</v>
      </c>
      <c r="B247" s="6">
        <v>26060001</v>
      </c>
      <c r="C247" s="44" t="s">
        <v>1045</v>
      </c>
      <c r="D247" s="44" t="s">
        <v>1048</v>
      </c>
      <c r="E247" s="6">
        <v>1</v>
      </c>
      <c r="F247" s="6" t="s">
        <v>814</v>
      </c>
      <c r="G247" s="6" t="s">
        <v>814</v>
      </c>
      <c r="H247" s="44" t="s">
        <v>250</v>
      </c>
      <c r="I247" s="44" t="s">
        <v>251</v>
      </c>
    </row>
    <row r="248" spans="1:9" ht="75" x14ac:dyDescent="0.25">
      <c r="A248" s="44" t="s">
        <v>166</v>
      </c>
      <c r="B248" s="6">
        <v>10080002</v>
      </c>
      <c r="C248" s="44" t="s">
        <v>1049</v>
      </c>
      <c r="D248" s="44" t="s">
        <v>1050</v>
      </c>
      <c r="E248" s="6">
        <v>10</v>
      </c>
      <c r="F248" s="6">
        <v>841</v>
      </c>
      <c r="G248" s="6">
        <v>8.41</v>
      </c>
      <c r="H248" s="44" t="s">
        <v>169</v>
      </c>
      <c r="I248" s="44" t="s">
        <v>170</v>
      </c>
    </row>
    <row r="249" spans="1:9" ht="60" x14ac:dyDescent="0.25">
      <c r="A249" s="44" t="s">
        <v>286</v>
      </c>
      <c r="B249" s="6">
        <v>23080003</v>
      </c>
      <c r="C249" s="44" t="s">
        <v>1051</v>
      </c>
      <c r="D249" s="44" t="s">
        <v>1052</v>
      </c>
      <c r="E249" s="6">
        <v>4</v>
      </c>
      <c r="F249" s="6">
        <v>0</v>
      </c>
      <c r="G249" s="6">
        <v>0</v>
      </c>
      <c r="H249" s="44" t="s">
        <v>289</v>
      </c>
      <c r="I249" s="44" t="s">
        <v>290</v>
      </c>
    </row>
    <row r="250" spans="1:9" ht="45" x14ac:dyDescent="0.25">
      <c r="A250" s="44" t="s">
        <v>136</v>
      </c>
      <c r="B250" s="6"/>
      <c r="C250" s="44" t="s">
        <v>1053</v>
      </c>
      <c r="D250" s="44" t="s">
        <v>1054</v>
      </c>
      <c r="E250" s="6">
        <v>3</v>
      </c>
      <c r="F250" s="6">
        <v>60</v>
      </c>
      <c r="G250" s="6">
        <v>180</v>
      </c>
      <c r="H250" s="44" t="s">
        <v>142</v>
      </c>
      <c r="I250" s="44" t="s">
        <v>143</v>
      </c>
    </row>
    <row r="251" spans="1:9" ht="45" x14ac:dyDescent="0.25">
      <c r="A251" s="44" t="s">
        <v>136</v>
      </c>
      <c r="B251" s="6"/>
      <c r="C251" s="44" t="s">
        <v>1053</v>
      </c>
      <c r="D251" s="44" t="s">
        <v>1055</v>
      </c>
      <c r="E251" s="6">
        <v>6</v>
      </c>
      <c r="F251" s="6">
        <v>15</v>
      </c>
      <c r="G251" s="6">
        <v>90</v>
      </c>
      <c r="H251" s="44" t="s">
        <v>142</v>
      </c>
      <c r="I251" s="44" t="s">
        <v>143</v>
      </c>
    </row>
    <row r="252" spans="1:9" ht="45" x14ac:dyDescent="0.25">
      <c r="A252" s="44" t="s">
        <v>274</v>
      </c>
      <c r="B252" s="6"/>
      <c r="C252" s="44" t="s">
        <v>1053</v>
      </c>
      <c r="D252" s="44" t="s">
        <v>1056</v>
      </c>
      <c r="E252" s="6">
        <v>50</v>
      </c>
      <c r="F252" s="6">
        <v>60</v>
      </c>
      <c r="G252" s="6" t="s">
        <v>736</v>
      </c>
      <c r="H252" s="44" t="s">
        <v>277</v>
      </c>
      <c r="I252" s="44" t="s">
        <v>278</v>
      </c>
    </row>
    <row r="253" spans="1:9" ht="75" x14ac:dyDescent="0.25">
      <c r="A253" s="44" t="s">
        <v>148</v>
      </c>
      <c r="B253" s="6">
        <v>1076004</v>
      </c>
      <c r="C253" s="44" t="s">
        <v>1057</v>
      </c>
      <c r="D253" s="44" t="s">
        <v>1058</v>
      </c>
      <c r="E253" s="6">
        <v>5</v>
      </c>
      <c r="F253" s="6">
        <v>3.5</v>
      </c>
      <c r="G253" s="6">
        <v>17.5</v>
      </c>
      <c r="H253" s="44" t="s">
        <v>154</v>
      </c>
      <c r="I253" s="44" t="s">
        <v>155</v>
      </c>
    </row>
    <row r="254" spans="1:9" ht="75" x14ac:dyDescent="0.25">
      <c r="A254" s="44" t="s">
        <v>148</v>
      </c>
      <c r="B254" s="6"/>
      <c r="C254" s="44" t="s">
        <v>1059</v>
      </c>
      <c r="D254" s="44" t="s">
        <v>1060</v>
      </c>
      <c r="E254" s="6">
        <v>100</v>
      </c>
      <c r="F254" s="6">
        <v>20</v>
      </c>
      <c r="G254" s="6" t="s">
        <v>814</v>
      </c>
      <c r="H254" s="44" t="s">
        <v>154</v>
      </c>
      <c r="I254" s="44" t="s">
        <v>155</v>
      </c>
    </row>
    <row r="255" spans="1:9" ht="75" x14ac:dyDescent="0.25">
      <c r="A255" s="44" t="s">
        <v>148</v>
      </c>
      <c r="B255" s="6"/>
      <c r="C255" s="44" t="s">
        <v>1059</v>
      </c>
      <c r="D255" s="44" t="s">
        <v>1061</v>
      </c>
      <c r="E255" s="6">
        <v>200</v>
      </c>
      <c r="F255" s="6">
        <v>25</v>
      </c>
      <c r="G255" s="6" t="s">
        <v>747</v>
      </c>
      <c r="H255" s="44" t="s">
        <v>154</v>
      </c>
      <c r="I255" s="44" t="s">
        <v>155</v>
      </c>
    </row>
    <row r="256" spans="1:9" ht="75" x14ac:dyDescent="0.25">
      <c r="A256" s="44" t="s">
        <v>148</v>
      </c>
      <c r="B256" s="6"/>
      <c r="C256" s="44" t="s">
        <v>1059</v>
      </c>
      <c r="D256" s="44" t="s">
        <v>1062</v>
      </c>
      <c r="E256" s="6">
        <v>100</v>
      </c>
      <c r="F256" s="6">
        <v>10</v>
      </c>
      <c r="G256" s="6" t="s">
        <v>726</v>
      </c>
      <c r="H256" s="44" t="s">
        <v>154</v>
      </c>
      <c r="I256" s="44" t="s">
        <v>155</v>
      </c>
    </row>
    <row r="257" spans="1:9" ht="45" x14ac:dyDescent="0.25">
      <c r="A257" s="44" t="s">
        <v>274</v>
      </c>
      <c r="B257" s="6">
        <v>1241001</v>
      </c>
      <c r="C257" s="44" t="s">
        <v>1063</v>
      </c>
      <c r="D257" s="44" t="s">
        <v>1064</v>
      </c>
      <c r="E257" s="6">
        <v>25</v>
      </c>
      <c r="F257" s="6">
        <v>350</v>
      </c>
      <c r="G257" s="6" t="s">
        <v>1065</v>
      </c>
      <c r="H257" s="44" t="s">
        <v>277</v>
      </c>
      <c r="I257" s="44" t="s">
        <v>278</v>
      </c>
    </row>
    <row r="258" spans="1:9" ht="45" x14ac:dyDescent="0.25">
      <c r="A258" s="44" t="s">
        <v>70</v>
      </c>
      <c r="B258" s="6">
        <v>2490001</v>
      </c>
      <c r="C258" s="44" t="s">
        <v>1066</v>
      </c>
      <c r="D258" s="44" t="s">
        <v>1067</v>
      </c>
      <c r="E258" s="6">
        <v>2</v>
      </c>
      <c r="F258" s="6">
        <v>500</v>
      </c>
      <c r="G258" s="6" t="s">
        <v>726</v>
      </c>
      <c r="H258" s="44" t="s">
        <v>73</v>
      </c>
      <c r="I258" s="44" t="s">
        <v>74</v>
      </c>
    </row>
    <row r="259" spans="1:9" ht="45" x14ac:dyDescent="0.25">
      <c r="A259" s="44" t="s">
        <v>70</v>
      </c>
      <c r="B259" s="6">
        <v>2490001</v>
      </c>
      <c r="C259" s="44" t="s">
        <v>1066</v>
      </c>
      <c r="D259" s="44" t="s">
        <v>1068</v>
      </c>
      <c r="E259" s="6">
        <v>2</v>
      </c>
      <c r="F259" s="6" t="s">
        <v>726</v>
      </c>
      <c r="G259" s="6" t="s">
        <v>814</v>
      </c>
      <c r="H259" s="44" t="s">
        <v>73</v>
      </c>
      <c r="I259" s="44" t="s">
        <v>74</v>
      </c>
    </row>
    <row r="260" spans="1:9" ht="45" x14ac:dyDescent="0.25">
      <c r="A260" s="44" t="s">
        <v>281</v>
      </c>
      <c r="B260" s="6">
        <v>6011902</v>
      </c>
      <c r="C260" s="44" t="s">
        <v>1069</v>
      </c>
      <c r="D260" s="44" t="s">
        <v>1070</v>
      </c>
      <c r="E260" s="6">
        <v>15</v>
      </c>
      <c r="F260" s="6">
        <v>6</v>
      </c>
      <c r="G260" s="6">
        <v>90</v>
      </c>
      <c r="H260" s="44" t="s">
        <v>284</v>
      </c>
      <c r="I260" s="44" t="s">
        <v>285</v>
      </c>
    </row>
    <row r="261" spans="1:9" ht="45" x14ac:dyDescent="0.25">
      <c r="A261" s="44" t="s">
        <v>281</v>
      </c>
      <c r="B261" s="6">
        <v>6011902</v>
      </c>
      <c r="C261" s="44" t="s">
        <v>1069</v>
      </c>
      <c r="D261" s="44" t="s">
        <v>1071</v>
      </c>
      <c r="E261" s="6">
        <v>100</v>
      </c>
      <c r="F261" s="6">
        <v>7.35</v>
      </c>
      <c r="G261" s="6">
        <v>735</v>
      </c>
      <c r="H261" s="44" t="s">
        <v>284</v>
      </c>
      <c r="I261" s="44" t="s">
        <v>285</v>
      </c>
    </row>
    <row r="262" spans="1:9" ht="45" x14ac:dyDescent="0.25">
      <c r="A262" s="44" t="s">
        <v>281</v>
      </c>
      <c r="B262" s="6">
        <v>6011902</v>
      </c>
      <c r="C262" s="44" t="s">
        <v>1069</v>
      </c>
      <c r="D262" s="44" t="s">
        <v>1072</v>
      </c>
      <c r="E262" s="6">
        <v>10</v>
      </c>
      <c r="F262" s="6">
        <v>335</v>
      </c>
      <c r="G262" s="6" t="s">
        <v>1073</v>
      </c>
      <c r="H262" s="44" t="s">
        <v>284</v>
      </c>
      <c r="I262" s="44" t="s">
        <v>285</v>
      </c>
    </row>
    <row r="263" spans="1:9" ht="45" x14ac:dyDescent="0.25">
      <c r="A263" s="44" t="s">
        <v>274</v>
      </c>
      <c r="B263" s="6">
        <v>24820002</v>
      </c>
      <c r="C263" s="44" t="s">
        <v>1074</v>
      </c>
      <c r="D263" s="44"/>
      <c r="E263" s="6">
        <v>1</v>
      </c>
      <c r="F263" s="6">
        <v>200</v>
      </c>
      <c r="G263" s="6">
        <v>200</v>
      </c>
      <c r="H263" s="44" t="s">
        <v>277</v>
      </c>
      <c r="I263" s="44" t="s">
        <v>278</v>
      </c>
    </row>
    <row r="264" spans="1:9" ht="180" x14ac:dyDescent="0.25">
      <c r="A264" s="44" t="s">
        <v>30</v>
      </c>
      <c r="B264" s="6">
        <v>2056001</v>
      </c>
      <c r="C264" s="44" t="s">
        <v>1075</v>
      </c>
      <c r="D264" s="44" t="s">
        <v>1076</v>
      </c>
      <c r="E264" s="6">
        <v>2</v>
      </c>
      <c r="F264" s="6" t="s">
        <v>1077</v>
      </c>
      <c r="G264" s="6" t="s">
        <v>1078</v>
      </c>
      <c r="H264" s="44" t="s">
        <v>33</v>
      </c>
      <c r="I264" s="44" t="s">
        <v>34</v>
      </c>
    </row>
    <row r="265" spans="1:9" ht="45" x14ac:dyDescent="0.25">
      <c r="A265" s="44" t="s">
        <v>88</v>
      </c>
      <c r="B265" s="6">
        <v>2056001</v>
      </c>
      <c r="C265" s="44" t="s">
        <v>1075</v>
      </c>
      <c r="D265" s="44" t="s">
        <v>1079</v>
      </c>
      <c r="E265" s="6">
        <v>20</v>
      </c>
      <c r="F265" s="6" t="s">
        <v>1077</v>
      </c>
      <c r="G265" s="6" t="s">
        <v>1080</v>
      </c>
      <c r="H265" s="44" t="s">
        <v>99</v>
      </c>
      <c r="I265" s="44" t="s">
        <v>100</v>
      </c>
    </row>
    <row r="266" spans="1:9" ht="45" x14ac:dyDescent="0.25">
      <c r="A266" s="44" t="s">
        <v>88</v>
      </c>
      <c r="B266" s="6">
        <v>2056001</v>
      </c>
      <c r="C266" s="44" t="s">
        <v>1075</v>
      </c>
      <c r="D266" s="44" t="s">
        <v>1079</v>
      </c>
      <c r="E266" s="6">
        <v>20</v>
      </c>
      <c r="F266" s="6" t="s">
        <v>1077</v>
      </c>
      <c r="G266" s="6" t="s">
        <v>1080</v>
      </c>
      <c r="H266" s="44" t="s">
        <v>101</v>
      </c>
      <c r="I266" s="44" t="s">
        <v>102</v>
      </c>
    </row>
    <row r="267" spans="1:9" ht="45" x14ac:dyDescent="0.25">
      <c r="A267" s="44" t="s">
        <v>88</v>
      </c>
      <c r="B267" s="6">
        <v>2056001</v>
      </c>
      <c r="C267" s="44" t="s">
        <v>1075</v>
      </c>
      <c r="D267" s="44" t="s">
        <v>1081</v>
      </c>
      <c r="E267" s="6">
        <v>4</v>
      </c>
      <c r="F267" s="6" t="s">
        <v>1077</v>
      </c>
      <c r="G267" s="6" t="s">
        <v>1082</v>
      </c>
      <c r="H267" s="44" t="s">
        <v>95</v>
      </c>
      <c r="I267" s="44" t="s">
        <v>96</v>
      </c>
    </row>
    <row r="268" spans="1:9" ht="45" x14ac:dyDescent="0.25">
      <c r="A268" s="44" t="s">
        <v>88</v>
      </c>
      <c r="B268" s="6">
        <v>2056001</v>
      </c>
      <c r="C268" s="44" t="s">
        <v>1075</v>
      </c>
      <c r="D268" s="44" t="s">
        <v>1083</v>
      </c>
      <c r="E268" s="6">
        <v>2</v>
      </c>
      <c r="F268" s="6" t="s">
        <v>1077</v>
      </c>
      <c r="G268" s="6" t="s">
        <v>1078</v>
      </c>
      <c r="H268" s="44" t="s">
        <v>95</v>
      </c>
      <c r="I268" s="44" t="s">
        <v>96</v>
      </c>
    </row>
    <row r="269" spans="1:9" ht="45" x14ac:dyDescent="0.25">
      <c r="A269" s="44" t="s">
        <v>88</v>
      </c>
      <c r="B269" s="6">
        <v>2056001</v>
      </c>
      <c r="C269" s="44" t="s">
        <v>1075</v>
      </c>
      <c r="D269" s="44" t="s">
        <v>1084</v>
      </c>
      <c r="E269" s="6">
        <v>3</v>
      </c>
      <c r="F269" s="6" t="s">
        <v>1077</v>
      </c>
      <c r="G269" s="6" t="s">
        <v>1085</v>
      </c>
      <c r="H269" s="44" t="s">
        <v>95</v>
      </c>
      <c r="I269" s="44" t="s">
        <v>96</v>
      </c>
    </row>
    <row r="270" spans="1:9" ht="45" x14ac:dyDescent="0.25">
      <c r="A270" s="44" t="s">
        <v>88</v>
      </c>
      <c r="B270" s="6">
        <v>2056001</v>
      </c>
      <c r="C270" s="44" t="s">
        <v>1075</v>
      </c>
      <c r="D270" s="44" t="s">
        <v>1079</v>
      </c>
      <c r="E270" s="6">
        <v>20</v>
      </c>
      <c r="F270" s="6" t="s">
        <v>1077</v>
      </c>
      <c r="G270" s="6" t="s">
        <v>1080</v>
      </c>
      <c r="H270" s="44" t="s">
        <v>103</v>
      </c>
      <c r="I270" s="44" t="s">
        <v>104</v>
      </c>
    </row>
    <row r="271" spans="1:9" ht="45" x14ac:dyDescent="0.25">
      <c r="A271" s="44" t="s">
        <v>88</v>
      </c>
      <c r="B271" s="6">
        <v>2056001</v>
      </c>
      <c r="C271" s="44" t="s">
        <v>1075</v>
      </c>
      <c r="D271" s="44" t="s">
        <v>1079</v>
      </c>
      <c r="E271" s="6">
        <v>20</v>
      </c>
      <c r="F271" s="6" t="s">
        <v>1077</v>
      </c>
      <c r="G271" s="6" t="s">
        <v>1080</v>
      </c>
      <c r="H271" s="44" t="s">
        <v>95</v>
      </c>
      <c r="I271" s="44" t="s">
        <v>96</v>
      </c>
    </row>
    <row r="272" spans="1:9" ht="45" x14ac:dyDescent="0.25">
      <c r="A272" s="44" t="s">
        <v>88</v>
      </c>
      <c r="B272" s="6">
        <v>2056001</v>
      </c>
      <c r="C272" s="44" t="s">
        <v>1075</v>
      </c>
      <c r="D272" s="44" t="s">
        <v>1086</v>
      </c>
      <c r="E272" s="6">
        <v>3</v>
      </c>
      <c r="F272" s="6" t="s">
        <v>1077</v>
      </c>
      <c r="G272" s="6" t="s">
        <v>1085</v>
      </c>
      <c r="H272" s="44" t="s">
        <v>95</v>
      </c>
      <c r="I272" s="44" t="s">
        <v>96</v>
      </c>
    </row>
    <row r="273" spans="1:9" ht="90" x14ac:dyDescent="0.25">
      <c r="A273" s="44" t="s">
        <v>88</v>
      </c>
      <c r="B273" s="6">
        <v>2056001</v>
      </c>
      <c r="C273" s="44" t="s">
        <v>1075</v>
      </c>
      <c r="D273" s="44" t="s">
        <v>1087</v>
      </c>
      <c r="E273" s="6">
        <v>10</v>
      </c>
      <c r="F273" s="6" t="s">
        <v>1077</v>
      </c>
      <c r="G273" s="6" t="s">
        <v>1088</v>
      </c>
      <c r="H273" s="44" t="s">
        <v>95</v>
      </c>
      <c r="I273" s="44" t="s">
        <v>96</v>
      </c>
    </row>
    <row r="274" spans="1:9" ht="45" x14ac:dyDescent="0.25">
      <c r="A274" s="44" t="s">
        <v>88</v>
      </c>
      <c r="B274" s="6">
        <v>2056001</v>
      </c>
      <c r="C274" s="44" t="s">
        <v>1075</v>
      </c>
      <c r="D274" s="44" t="s">
        <v>1089</v>
      </c>
      <c r="E274" s="6">
        <v>40</v>
      </c>
      <c r="F274" s="6" t="s">
        <v>1077</v>
      </c>
      <c r="G274" s="6" t="s">
        <v>1090</v>
      </c>
      <c r="H274" s="44" t="s">
        <v>95</v>
      </c>
      <c r="I274" s="44" t="s">
        <v>96</v>
      </c>
    </row>
    <row r="275" spans="1:9" ht="45" x14ac:dyDescent="0.25">
      <c r="A275" s="44" t="s">
        <v>88</v>
      </c>
      <c r="B275" s="6">
        <v>2056001</v>
      </c>
      <c r="C275" s="44" t="s">
        <v>1075</v>
      </c>
      <c r="D275" s="44" t="s">
        <v>1091</v>
      </c>
      <c r="E275" s="6">
        <v>3</v>
      </c>
      <c r="F275" s="6" t="s">
        <v>1077</v>
      </c>
      <c r="G275" s="6" t="s">
        <v>1085</v>
      </c>
      <c r="H275" s="44" t="s">
        <v>95</v>
      </c>
      <c r="I275" s="44" t="s">
        <v>96</v>
      </c>
    </row>
    <row r="276" spans="1:9" ht="45" x14ac:dyDescent="0.25">
      <c r="A276" s="44" t="s">
        <v>88</v>
      </c>
      <c r="B276" s="6">
        <v>2056001</v>
      </c>
      <c r="C276" s="44" t="s">
        <v>1075</v>
      </c>
      <c r="D276" s="44" t="s">
        <v>1092</v>
      </c>
      <c r="E276" s="6">
        <v>4</v>
      </c>
      <c r="F276" s="6" t="s">
        <v>1077</v>
      </c>
      <c r="G276" s="6" t="s">
        <v>1082</v>
      </c>
      <c r="H276" s="44" t="s">
        <v>95</v>
      </c>
      <c r="I276" s="44" t="s">
        <v>96</v>
      </c>
    </row>
    <row r="277" spans="1:9" ht="45" x14ac:dyDescent="0.25">
      <c r="A277" s="44" t="s">
        <v>136</v>
      </c>
      <c r="B277" s="6">
        <v>2056001</v>
      </c>
      <c r="C277" s="44" t="s">
        <v>1075</v>
      </c>
      <c r="D277" s="44" t="s">
        <v>1093</v>
      </c>
      <c r="E277" s="6">
        <v>1</v>
      </c>
      <c r="F277" s="6" t="s">
        <v>1077</v>
      </c>
      <c r="G277" s="6" t="s">
        <v>1077</v>
      </c>
      <c r="H277" s="44" t="s">
        <v>144</v>
      </c>
      <c r="I277" s="44" t="s">
        <v>145</v>
      </c>
    </row>
    <row r="278" spans="1:9" ht="60" x14ac:dyDescent="0.25">
      <c r="A278" s="44" t="s">
        <v>136</v>
      </c>
      <c r="B278" s="6">
        <v>2056001</v>
      </c>
      <c r="C278" s="44" t="s">
        <v>1075</v>
      </c>
      <c r="D278" s="44" t="s">
        <v>1094</v>
      </c>
      <c r="E278" s="6">
        <v>5</v>
      </c>
      <c r="F278" s="6" t="s">
        <v>1077</v>
      </c>
      <c r="G278" s="6" t="s">
        <v>1095</v>
      </c>
      <c r="H278" s="44" t="s">
        <v>144</v>
      </c>
      <c r="I278" s="44" t="s">
        <v>145</v>
      </c>
    </row>
    <row r="279" spans="1:9" ht="75" x14ac:dyDescent="0.25">
      <c r="A279" s="44" t="s">
        <v>136</v>
      </c>
      <c r="B279" s="6">
        <v>2056001</v>
      </c>
      <c r="C279" s="44" t="s">
        <v>1075</v>
      </c>
      <c r="D279" s="44" t="s">
        <v>1096</v>
      </c>
      <c r="E279" s="6">
        <v>20</v>
      </c>
      <c r="F279" s="6" t="s">
        <v>1077</v>
      </c>
      <c r="G279" s="6" t="s">
        <v>1080</v>
      </c>
      <c r="H279" s="44" t="s">
        <v>139</v>
      </c>
      <c r="I279" s="44" t="s">
        <v>140</v>
      </c>
    </row>
    <row r="280" spans="1:9" ht="45" x14ac:dyDescent="0.25">
      <c r="A280" s="44" t="s">
        <v>136</v>
      </c>
      <c r="B280" s="6">
        <v>2056001</v>
      </c>
      <c r="C280" s="44" t="s">
        <v>1075</v>
      </c>
      <c r="D280" s="44" t="s">
        <v>1097</v>
      </c>
      <c r="E280" s="6">
        <v>4</v>
      </c>
      <c r="F280" s="6" t="s">
        <v>1077</v>
      </c>
      <c r="G280" s="6" t="s">
        <v>1082</v>
      </c>
      <c r="H280" s="44" t="s">
        <v>146</v>
      </c>
      <c r="I280" s="44" t="s">
        <v>147</v>
      </c>
    </row>
    <row r="281" spans="1:9" ht="75" x14ac:dyDescent="0.25">
      <c r="A281" s="44" t="s">
        <v>136</v>
      </c>
      <c r="B281" s="6">
        <v>2056001</v>
      </c>
      <c r="C281" s="44" t="s">
        <v>1075</v>
      </c>
      <c r="D281" s="44" t="s">
        <v>1098</v>
      </c>
      <c r="E281" s="6">
        <v>1</v>
      </c>
      <c r="F281" s="6" t="s">
        <v>1077</v>
      </c>
      <c r="G281" s="6" t="s">
        <v>1077</v>
      </c>
      <c r="H281" s="44" t="s">
        <v>142</v>
      </c>
      <c r="I281" s="44" t="s">
        <v>143</v>
      </c>
    </row>
    <row r="282" spans="1:9" ht="75" x14ac:dyDescent="0.25">
      <c r="A282" s="44" t="s">
        <v>148</v>
      </c>
      <c r="B282" s="6">
        <v>2056001</v>
      </c>
      <c r="C282" s="44" t="s">
        <v>1075</v>
      </c>
      <c r="D282" s="44"/>
      <c r="E282" s="6">
        <v>2</v>
      </c>
      <c r="F282" s="6" t="s">
        <v>1077</v>
      </c>
      <c r="G282" s="6" t="s">
        <v>1078</v>
      </c>
      <c r="H282" s="44" t="s">
        <v>154</v>
      </c>
      <c r="I282" s="44" t="s">
        <v>155</v>
      </c>
    </row>
    <row r="283" spans="1:9" ht="75" x14ac:dyDescent="0.25">
      <c r="A283" s="44" t="s">
        <v>148</v>
      </c>
      <c r="B283" s="6">
        <v>2056001</v>
      </c>
      <c r="C283" s="44" t="s">
        <v>1075</v>
      </c>
      <c r="D283" s="44" t="s">
        <v>1099</v>
      </c>
      <c r="E283" s="6">
        <v>1</v>
      </c>
      <c r="F283" s="6" t="s">
        <v>1077</v>
      </c>
      <c r="G283" s="6" t="s">
        <v>1077</v>
      </c>
      <c r="H283" s="44" t="s">
        <v>154</v>
      </c>
      <c r="I283" s="44" t="s">
        <v>155</v>
      </c>
    </row>
    <row r="284" spans="1:9" ht="75" x14ac:dyDescent="0.25">
      <c r="A284" s="44" t="s">
        <v>148</v>
      </c>
      <c r="B284" s="6">
        <v>2056001</v>
      </c>
      <c r="C284" s="44" t="s">
        <v>1075</v>
      </c>
      <c r="D284" s="44" t="s">
        <v>1100</v>
      </c>
      <c r="E284" s="6">
        <v>2</v>
      </c>
      <c r="F284" s="6" t="s">
        <v>1077</v>
      </c>
      <c r="G284" s="6" t="s">
        <v>1078</v>
      </c>
      <c r="H284" s="44" t="s">
        <v>154</v>
      </c>
      <c r="I284" s="44" t="s">
        <v>155</v>
      </c>
    </row>
    <row r="285" spans="1:9" ht="90" x14ac:dyDescent="0.25">
      <c r="A285" s="44" t="s">
        <v>148</v>
      </c>
      <c r="B285" s="6">
        <v>2056001</v>
      </c>
      <c r="C285" s="44" t="s">
        <v>1075</v>
      </c>
      <c r="D285" s="44" t="s">
        <v>1101</v>
      </c>
      <c r="E285" s="6">
        <v>25</v>
      </c>
      <c r="F285" s="6" t="s">
        <v>1077</v>
      </c>
      <c r="G285" s="6" t="s">
        <v>1102</v>
      </c>
      <c r="H285" s="44" t="s">
        <v>151</v>
      </c>
      <c r="I285" s="44" t="s">
        <v>152</v>
      </c>
    </row>
    <row r="286" spans="1:9" ht="75" x14ac:dyDescent="0.25">
      <c r="A286" s="44" t="s">
        <v>148</v>
      </c>
      <c r="B286" s="6">
        <v>2056001</v>
      </c>
      <c r="C286" s="44" t="s">
        <v>1075</v>
      </c>
      <c r="D286" s="44" t="s">
        <v>1103</v>
      </c>
      <c r="E286" s="6">
        <v>3</v>
      </c>
      <c r="F286" s="6" t="s">
        <v>1077</v>
      </c>
      <c r="G286" s="6" t="s">
        <v>1085</v>
      </c>
      <c r="H286" s="44" t="s">
        <v>154</v>
      </c>
      <c r="I286" s="44" t="s">
        <v>155</v>
      </c>
    </row>
    <row r="287" spans="1:9" ht="75" x14ac:dyDescent="0.25">
      <c r="A287" s="44" t="s">
        <v>148</v>
      </c>
      <c r="B287" s="6">
        <v>2056001</v>
      </c>
      <c r="C287" s="44" t="s">
        <v>1075</v>
      </c>
      <c r="D287" s="44"/>
      <c r="E287" s="6">
        <v>1</v>
      </c>
      <c r="F287" s="6" t="s">
        <v>1077</v>
      </c>
      <c r="G287" s="6" t="s">
        <v>1077</v>
      </c>
      <c r="H287" s="44" t="s">
        <v>154</v>
      </c>
      <c r="I287" s="44" t="s">
        <v>155</v>
      </c>
    </row>
    <row r="288" spans="1:9" ht="75" x14ac:dyDescent="0.25">
      <c r="A288" s="44" t="s">
        <v>148</v>
      </c>
      <c r="B288" s="6">
        <v>2056001</v>
      </c>
      <c r="C288" s="44" t="s">
        <v>1075</v>
      </c>
      <c r="D288" s="44"/>
      <c r="E288" s="6">
        <v>5</v>
      </c>
      <c r="F288" s="6" t="s">
        <v>1077</v>
      </c>
      <c r="G288" s="6" t="s">
        <v>1095</v>
      </c>
      <c r="H288" s="44" t="s">
        <v>154</v>
      </c>
      <c r="I288" s="44" t="s">
        <v>155</v>
      </c>
    </row>
    <row r="289" spans="1:9" ht="30" x14ac:dyDescent="0.25">
      <c r="A289" s="44" t="s">
        <v>158</v>
      </c>
      <c r="B289" s="6">
        <v>2056001</v>
      </c>
      <c r="C289" s="44" t="s">
        <v>1075</v>
      </c>
      <c r="D289" s="44"/>
      <c r="E289" s="6">
        <v>6</v>
      </c>
      <c r="F289" s="6" t="s">
        <v>1077</v>
      </c>
      <c r="G289" s="6" t="s">
        <v>1104</v>
      </c>
      <c r="H289" s="44" t="s">
        <v>164</v>
      </c>
      <c r="I289" s="44" t="s">
        <v>165</v>
      </c>
    </row>
    <row r="290" spans="1:9" ht="75" x14ac:dyDescent="0.25">
      <c r="A290" s="44" t="s">
        <v>166</v>
      </c>
      <c r="B290" s="6">
        <v>2056001</v>
      </c>
      <c r="C290" s="44" t="s">
        <v>1075</v>
      </c>
      <c r="D290" s="44" t="s">
        <v>1105</v>
      </c>
      <c r="E290" s="6">
        <v>40</v>
      </c>
      <c r="F290" s="6" t="s">
        <v>1077</v>
      </c>
      <c r="G290" s="6" t="s">
        <v>1090</v>
      </c>
      <c r="H290" s="44" t="s">
        <v>169</v>
      </c>
      <c r="I290" s="44" t="s">
        <v>170</v>
      </c>
    </row>
    <row r="291" spans="1:9" ht="60" x14ac:dyDescent="0.25">
      <c r="A291" s="44" t="s">
        <v>166</v>
      </c>
      <c r="B291" s="6">
        <v>2056001</v>
      </c>
      <c r="C291" s="44" t="s">
        <v>1075</v>
      </c>
      <c r="D291" s="44" t="s">
        <v>1106</v>
      </c>
      <c r="E291" s="6">
        <v>50</v>
      </c>
      <c r="F291" s="6" t="s">
        <v>1077</v>
      </c>
      <c r="G291" s="6" t="s">
        <v>1107</v>
      </c>
      <c r="H291" s="44" t="s">
        <v>172</v>
      </c>
      <c r="I291" s="44" t="s">
        <v>173</v>
      </c>
    </row>
    <row r="292" spans="1:9" ht="75" x14ac:dyDescent="0.25">
      <c r="A292" s="44" t="s">
        <v>166</v>
      </c>
      <c r="B292" s="6">
        <v>2056001</v>
      </c>
      <c r="C292" s="44" t="s">
        <v>1075</v>
      </c>
      <c r="D292" s="44" t="s">
        <v>1105</v>
      </c>
      <c r="E292" s="6">
        <v>102</v>
      </c>
      <c r="F292" s="6" t="s">
        <v>1077</v>
      </c>
      <c r="G292" s="6" t="s">
        <v>1108</v>
      </c>
      <c r="H292" s="44" t="s">
        <v>169</v>
      </c>
      <c r="I292" s="44" t="s">
        <v>170</v>
      </c>
    </row>
    <row r="293" spans="1:9" ht="60" x14ac:dyDescent="0.25">
      <c r="A293" s="44" t="s">
        <v>166</v>
      </c>
      <c r="B293" s="6">
        <v>2056001</v>
      </c>
      <c r="C293" s="44" t="s">
        <v>1075</v>
      </c>
      <c r="D293" s="44" t="s">
        <v>1109</v>
      </c>
      <c r="E293" s="6">
        <v>30</v>
      </c>
      <c r="F293" s="6" t="s">
        <v>1077</v>
      </c>
      <c r="G293" s="6" t="s">
        <v>1110</v>
      </c>
      <c r="H293" s="44" t="s">
        <v>172</v>
      </c>
      <c r="I293" s="44" t="s">
        <v>173</v>
      </c>
    </row>
    <row r="294" spans="1:9" ht="60" x14ac:dyDescent="0.25">
      <c r="A294" s="44" t="s">
        <v>166</v>
      </c>
      <c r="B294" s="6">
        <v>2056001</v>
      </c>
      <c r="C294" s="44" t="s">
        <v>1075</v>
      </c>
      <c r="D294" s="44" t="s">
        <v>1111</v>
      </c>
      <c r="E294" s="6">
        <v>50</v>
      </c>
      <c r="F294" s="6" t="s">
        <v>1077</v>
      </c>
      <c r="G294" s="6" t="s">
        <v>1107</v>
      </c>
      <c r="H294" s="44" t="s">
        <v>172</v>
      </c>
      <c r="I294" s="44" t="s">
        <v>173</v>
      </c>
    </row>
    <row r="295" spans="1:9" ht="60" x14ac:dyDescent="0.25">
      <c r="A295" s="44" t="s">
        <v>166</v>
      </c>
      <c r="B295" s="6">
        <v>2056001</v>
      </c>
      <c r="C295" s="44" t="s">
        <v>1075</v>
      </c>
      <c r="D295" s="44" t="s">
        <v>1112</v>
      </c>
      <c r="E295" s="6">
        <v>60</v>
      </c>
      <c r="F295" s="6" t="s">
        <v>1077</v>
      </c>
      <c r="G295" s="6" t="s">
        <v>1113</v>
      </c>
      <c r="H295" s="44" t="s">
        <v>172</v>
      </c>
      <c r="I295" s="44" t="s">
        <v>173</v>
      </c>
    </row>
    <row r="296" spans="1:9" ht="60" x14ac:dyDescent="0.25">
      <c r="A296" s="44" t="s">
        <v>166</v>
      </c>
      <c r="B296" s="6">
        <v>2056001</v>
      </c>
      <c r="C296" s="44" t="s">
        <v>1075</v>
      </c>
      <c r="D296" s="44" t="s">
        <v>1114</v>
      </c>
      <c r="E296" s="6">
        <v>102</v>
      </c>
      <c r="F296" s="6" t="s">
        <v>1077</v>
      </c>
      <c r="G296" s="6" t="s">
        <v>1108</v>
      </c>
      <c r="H296" s="44" t="s">
        <v>172</v>
      </c>
      <c r="I296" s="44" t="s">
        <v>173</v>
      </c>
    </row>
    <row r="297" spans="1:9" ht="120" x14ac:dyDescent="0.25">
      <c r="A297" s="44" t="s">
        <v>182</v>
      </c>
      <c r="B297" s="6">
        <v>2056001</v>
      </c>
      <c r="C297" s="44" t="s">
        <v>1075</v>
      </c>
      <c r="D297" s="44" t="s">
        <v>1115</v>
      </c>
      <c r="E297" s="6">
        <v>12</v>
      </c>
      <c r="F297" s="6" t="s">
        <v>1077</v>
      </c>
      <c r="G297" s="6" t="s">
        <v>1116</v>
      </c>
      <c r="H297" s="44" t="s">
        <v>188</v>
      </c>
      <c r="I297" s="44" t="s">
        <v>189</v>
      </c>
    </row>
    <row r="298" spans="1:9" ht="30" x14ac:dyDescent="0.25">
      <c r="A298" s="44" t="s">
        <v>202</v>
      </c>
      <c r="B298" s="6">
        <v>2056001</v>
      </c>
      <c r="C298" s="44" t="s">
        <v>1075</v>
      </c>
      <c r="D298" s="44" t="s">
        <v>1117</v>
      </c>
      <c r="E298" s="6">
        <v>2</v>
      </c>
      <c r="F298" s="6" t="s">
        <v>1077</v>
      </c>
      <c r="G298" s="6" t="s">
        <v>1078</v>
      </c>
      <c r="H298" s="44" t="s">
        <v>203</v>
      </c>
      <c r="I298" s="44" t="s">
        <v>204</v>
      </c>
    </row>
    <row r="299" spans="1:9" ht="45" x14ac:dyDescent="0.25">
      <c r="A299" s="44" t="s">
        <v>205</v>
      </c>
      <c r="B299" s="6">
        <v>2056001</v>
      </c>
      <c r="C299" s="44" t="s">
        <v>1075</v>
      </c>
      <c r="D299" s="44" t="s">
        <v>1118</v>
      </c>
      <c r="E299" s="6">
        <v>1</v>
      </c>
      <c r="F299" s="6" t="s">
        <v>1077</v>
      </c>
      <c r="G299" s="6" t="s">
        <v>1077</v>
      </c>
      <c r="H299" s="44" t="s">
        <v>206</v>
      </c>
      <c r="I299" s="44" t="s">
        <v>205</v>
      </c>
    </row>
    <row r="300" spans="1:9" ht="45" x14ac:dyDescent="0.25">
      <c r="A300" s="44" t="s">
        <v>281</v>
      </c>
      <c r="B300" s="6">
        <v>2056001</v>
      </c>
      <c r="C300" s="44" t="s">
        <v>1075</v>
      </c>
      <c r="D300" s="44" t="s">
        <v>1119</v>
      </c>
      <c r="E300" s="6">
        <v>10</v>
      </c>
      <c r="F300" s="6" t="s">
        <v>1077</v>
      </c>
      <c r="G300" s="6" t="s">
        <v>1088</v>
      </c>
      <c r="H300" s="44" t="s">
        <v>284</v>
      </c>
      <c r="I300" s="44" t="s">
        <v>285</v>
      </c>
    </row>
    <row r="301" spans="1:9" ht="45" x14ac:dyDescent="0.25">
      <c r="A301" s="44" t="s">
        <v>281</v>
      </c>
      <c r="B301" s="6">
        <v>2056001</v>
      </c>
      <c r="C301" s="44" t="s">
        <v>1075</v>
      </c>
      <c r="D301" s="44" t="s">
        <v>1120</v>
      </c>
      <c r="E301" s="6">
        <v>1</v>
      </c>
      <c r="F301" s="6" t="s">
        <v>1077</v>
      </c>
      <c r="G301" s="6" t="s">
        <v>1077</v>
      </c>
      <c r="H301" s="44" t="s">
        <v>284</v>
      </c>
      <c r="I301" s="44" t="s">
        <v>285</v>
      </c>
    </row>
    <row r="302" spans="1:9" ht="45" x14ac:dyDescent="0.25">
      <c r="A302" s="44" t="s">
        <v>281</v>
      </c>
      <c r="B302" s="6">
        <v>2056001</v>
      </c>
      <c r="C302" s="44" t="s">
        <v>1075</v>
      </c>
      <c r="D302" s="44" t="s">
        <v>1121</v>
      </c>
      <c r="E302" s="6">
        <v>2</v>
      </c>
      <c r="F302" s="6" t="s">
        <v>1077</v>
      </c>
      <c r="G302" s="6" t="s">
        <v>1078</v>
      </c>
      <c r="H302" s="44" t="s">
        <v>284</v>
      </c>
      <c r="I302" s="44" t="s">
        <v>285</v>
      </c>
    </row>
    <row r="303" spans="1:9" ht="60" x14ac:dyDescent="0.25">
      <c r="A303" s="44" t="s">
        <v>281</v>
      </c>
      <c r="B303" s="6">
        <v>2056001</v>
      </c>
      <c r="C303" s="44" t="s">
        <v>1075</v>
      </c>
      <c r="D303" s="44" t="s">
        <v>1122</v>
      </c>
      <c r="E303" s="6">
        <v>20</v>
      </c>
      <c r="F303" s="6" t="s">
        <v>1077</v>
      </c>
      <c r="G303" s="6" t="s">
        <v>1080</v>
      </c>
      <c r="H303" s="44" t="s">
        <v>284</v>
      </c>
      <c r="I303" s="44" t="s">
        <v>285</v>
      </c>
    </row>
    <row r="304" spans="1:9" ht="45" x14ac:dyDescent="0.25">
      <c r="A304" s="44" t="s">
        <v>291</v>
      </c>
      <c r="B304" s="6">
        <v>2056001</v>
      </c>
      <c r="C304" s="44" t="s">
        <v>1075</v>
      </c>
      <c r="D304" s="44" t="s">
        <v>1123</v>
      </c>
      <c r="E304" s="6">
        <v>20</v>
      </c>
      <c r="F304" s="6" t="s">
        <v>1077</v>
      </c>
      <c r="G304" s="6" t="s">
        <v>1080</v>
      </c>
      <c r="H304" s="44" t="s">
        <v>294</v>
      </c>
      <c r="I304" s="44" t="s">
        <v>295</v>
      </c>
    </row>
    <row r="305" spans="1:9" ht="45" x14ac:dyDescent="0.25">
      <c r="A305" s="44" t="s">
        <v>291</v>
      </c>
      <c r="B305" s="6">
        <v>2056001</v>
      </c>
      <c r="C305" s="44" t="s">
        <v>1075</v>
      </c>
      <c r="D305" s="44" t="s">
        <v>1124</v>
      </c>
      <c r="E305" s="6">
        <v>20</v>
      </c>
      <c r="F305" s="6" t="s">
        <v>1077</v>
      </c>
      <c r="G305" s="6" t="s">
        <v>1080</v>
      </c>
      <c r="H305" s="44" t="s">
        <v>294</v>
      </c>
      <c r="I305" s="44" t="s">
        <v>295</v>
      </c>
    </row>
    <row r="306" spans="1:9" ht="30" x14ac:dyDescent="0.25">
      <c r="A306" s="44" t="s">
        <v>296</v>
      </c>
      <c r="B306" s="6">
        <v>2056001</v>
      </c>
      <c r="C306" s="44" t="s">
        <v>1075</v>
      </c>
      <c r="D306" s="44"/>
      <c r="E306" s="6">
        <v>10</v>
      </c>
      <c r="F306" s="6" t="s">
        <v>1077</v>
      </c>
      <c r="G306" s="6" t="s">
        <v>1088</v>
      </c>
      <c r="H306" s="44" t="s">
        <v>299</v>
      </c>
      <c r="I306" s="44" t="s">
        <v>300</v>
      </c>
    </row>
    <row r="307" spans="1:9" ht="105" x14ac:dyDescent="0.25">
      <c r="A307" s="44" t="s">
        <v>30</v>
      </c>
      <c r="B307" s="6">
        <v>2060010</v>
      </c>
      <c r="C307" s="44" t="s">
        <v>1125</v>
      </c>
      <c r="D307" s="44" t="s">
        <v>1126</v>
      </c>
      <c r="E307" s="6">
        <v>6</v>
      </c>
      <c r="F307" s="6" t="s">
        <v>751</v>
      </c>
      <c r="G307" s="6" t="s">
        <v>1127</v>
      </c>
      <c r="H307" s="44" t="s">
        <v>33</v>
      </c>
      <c r="I307" s="44" t="s">
        <v>34</v>
      </c>
    </row>
    <row r="308" spans="1:9" ht="45" x14ac:dyDescent="0.25">
      <c r="A308" s="44" t="s">
        <v>88</v>
      </c>
      <c r="B308" s="6">
        <v>2060010</v>
      </c>
      <c r="C308" s="44" t="s">
        <v>1125</v>
      </c>
      <c r="D308" s="44" t="s">
        <v>1128</v>
      </c>
      <c r="E308" s="6">
        <v>4</v>
      </c>
      <c r="F308" s="6" t="s">
        <v>751</v>
      </c>
      <c r="G308" s="6" t="s">
        <v>754</v>
      </c>
      <c r="H308" s="44" t="s">
        <v>95</v>
      </c>
      <c r="I308" s="44" t="s">
        <v>96</v>
      </c>
    </row>
    <row r="309" spans="1:9" ht="45" x14ac:dyDescent="0.25">
      <c r="A309" s="44" t="s">
        <v>88</v>
      </c>
      <c r="B309" s="6">
        <v>2060010</v>
      </c>
      <c r="C309" s="44" t="s">
        <v>1125</v>
      </c>
      <c r="D309" s="44" t="s">
        <v>1129</v>
      </c>
      <c r="E309" s="6">
        <v>10</v>
      </c>
      <c r="F309" s="6" t="s">
        <v>751</v>
      </c>
      <c r="G309" s="6" t="s">
        <v>1130</v>
      </c>
      <c r="H309" s="44" t="s">
        <v>95</v>
      </c>
      <c r="I309" s="44" t="s">
        <v>96</v>
      </c>
    </row>
    <row r="310" spans="1:9" ht="45" x14ac:dyDescent="0.25">
      <c r="A310" s="44" t="s">
        <v>88</v>
      </c>
      <c r="B310" s="6">
        <v>2060010</v>
      </c>
      <c r="C310" s="44" t="s">
        <v>1125</v>
      </c>
      <c r="D310" s="44" t="s">
        <v>1131</v>
      </c>
      <c r="E310" s="6">
        <v>15</v>
      </c>
      <c r="F310" s="6" t="s">
        <v>751</v>
      </c>
      <c r="G310" s="6" t="s">
        <v>1132</v>
      </c>
      <c r="H310" s="44" t="s">
        <v>95</v>
      </c>
      <c r="I310" s="44" t="s">
        <v>96</v>
      </c>
    </row>
    <row r="311" spans="1:9" ht="45" x14ac:dyDescent="0.25">
      <c r="A311" s="44" t="s">
        <v>88</v>
      </c>
      <c r="B311" s="6">
        <v>2060010</v>
      </c>
      <c r="C311" s="44" t="s">
        <v>1125</v>
      </c>
      <c r="D311" s="44"/>
      <c r="E311" s="6">
        <v>2</v>
      </c>
      <c r="F311" s="6" t="s">
        <v>751</v>
      </c>
      <c r="G311" s="6" t="s">
        <v>752</v>
      </c>
      <c r="H311" s="44" t="s">
        <v>95</v>
      </c>
      <c r="I311" s="44" t="s">
        <v>96</v>
      </c>
    </row>
    <row r="312" spans="1:9" ht="45" x14ac:dyDescent="0.25">
      <c r="A312" s="44" t="s">
        <v>88</v>
      </c>
      <c r="B312" s="6">
        <v>2060010</v>
      </c>
      <c r="C312" s="44" t="s">
        <v>1125</v>
      </c>
      <c r="D312" s="44"/>
      <c r="E312" s="6">
        <v>4</v>
      </c>
      <c r="F312" s="6" t="s">
        <v>751</v>
      </c>
      <c r="G312" s="6" t="s">
        <v>754</v>
      </c>
      <c r="H312" s="44" t="s">
        <v>95</v>
      </c>
      <c r="I312" s="44" t="s">
        <v>96</v>
      </c>
    </row>
    <row r="313" spans="1:9" ht="45" x14ac:dyDescent="0.25">
      <c r="A313" s="44" t="s">
        <v>88</v>
      </c>
      <c r="B313" s="6">
        <v>2060010</v>
      </c>
      <c r="C313" s="44" t="s">
        <v>1125</v>
      </c>
      <c r="D313" s="44"/>
      <c r="E313" s="6">
        <v>4</v>
      </c>
      <c r="F313" s="6" t="s">
        <v>751</v>
      </c>
      <c r="G313" s="6" t="s">
        <v>754</v>
      </c>
      <c r="H313" s="44" t="s">
        <v>95</v>
      </c>
      <c r="I313" s="44" t="s">
        <v>96</v>
      </c>
    </row>
    <row r="314" spans="1:9" ht="45" x14ac:dyDescent="0.25">
      <c r="A314" s="44" t="s">
        <v>88</v>
      </c>
      <c r="B314" s="6">
        <v>2060010</v>
      </c>
      <c r="C314" s="44" t="s">
        <v>1125</v>
      </c>
      <c r="D314" s="44" t="s">
        <v>1133</v>
      </c>
      <c r="E314" s="6">
        <v>27</v>
      </c>
      <c r="F314" s="6" t="s">
        <v>751</v>
      </c>
      <c r="G314" s="6" t="s">
        <v>1134</v>
      </c>
      <c r="H314" s="44" t="s">
        <v>95</v>
      </c>
      <c r="I314" s="44" t="s">
        <v>96</v>
      </c>
    </row>
    <row r="315" spans="1:9" ht="45" x14ac:dyDescent="0.25">
      <c r="A315" s="44" t="s">
        <v>88</v>
      </c>
      <c r="B315" s="6">
        <v>2060010</v>
      </c>
      <c r="C315" s="44" t="s">
        <v>1125</v>
      </c>
      <c r="D315" s="44" t="s">
        <v>1135</v>
      </c>
      <c r="E315" s="6">
        <v>4</v>
      </c>
      <c r="F315" s="6" t="s">
        <v>751</v>
      </c>
      <c r="G315" s="6" t="s">
        <v>754</v>
      </c>
      <c r="H315" s="44" t="s">
        <v>95</v>
      </c>
      <c r="I315" s="44" t="s">
        <v>96</v>
      </c>
    </row>
    <row r="316" spans="1:9" ht="45" x14ac:dyDescent="0.25">
      <c r="A316" s="44" t="s">
        <v>88</v>
      </c>
      <c r="B316" s="6">
        <v>2060010</v>
      </c>
      <c r="C316" s="44" t="s">
        <v>1125</v>
      </c>
      <c r="D316" s="44"/>
      <c r="E316" s="6">
        <v>4</v>
      </c>
      <c r="F316" s="6" t="s">
        <v>751</v>
      </c>
      <c r="G316" s="6" t="s">
        <v>754</v>
      </c>
      <c r="H316" s="44" t="s">
        <v>95</v>
      </c>
      <c r="I316" s="44" t="s">
        <v>96</v>
      </c>
    </row>
    <row r="317" spans="1:9" ht="60" x14ac:dyDescent="0.25">
      <c r="A317" s="44" t="s">
        <v>88</v>
      </c>
      <c r="B317" s="6">
        <v>2060010</v>
      </c>
      <c r="C317" s="44" t="s">
        <v>1125</v>
      </c>
      <c r="D317" s="44" t="s">
        <v>1136</v>
      </c>
      <c r="E317" s="6">
        <v>5</v>
      </c>
      <c r="F317" s="6">
        <v>0</v>
      </c>
      <c r="G317" s="6">
        <v>0</v>
      </c>
      <c r="H317" s="44" t="s">
        <v>95</v>
      </c>
      <c r="I317" s="44" t="s">
        <v>96</v>
      </c>
    </row>
    <row r="318" spans="1:9" ht="60" x14ac:dyDescent="0.25">
      <c r="A318" s="44" t="s">
        <v>88</v>
      </c>
      <c r="B318" s="6">
        <v>2060010</v>
      </c>
      <c r="C318" s="44" t="s">
        <v>1125</v>
      </c>
      <c r="D318" s="44" t="s">
        <v>1137</v>
      </c>
      <c r="E318" s="6">
        <v>5</v>
      </c>
      <c r="F318" s="6" t="s">
        <v>751</v>
      </c>
      <c r="G318" s="6" t="s">
        <v>1138</v>
      </c>
      <c r="H318" s="44" t="s">
        <v>103</v>
      </c>
      <c r="I318" s="44" t="s">
        <v>104</v>
      </c>
    </row>
    <row r="319" spans="1:9" ht="60" x14ac:dyDescent="0.25">
      <c r="A319" s="44" t="s">
        <v>88</v>
      </c>
      <c r="B319" s="6">
        <v>2060010</v>
      </c>
      <c r="C319" s="44" t="s">
        <v>1125</v>
      </c>
      <c r="D319" s="44" t="s">
        <v>1137</v>
      </c>
      <c r="E319" s="6">
        <v>5</v>
      </c>
      <c r="F319" s="6">
        <v>0</v>
      </c>
      <c r="G319" s="6">
        <v>0</v>
      </c>
      <c r="H319" s="44" t="s">
        <v>101</v>
      </c>
      <c r="I319" s="44" t="s">
        <v>102</v>
      </c>
    </row>
    <row r="320" spans="1:9" ht="60" x14ac:dyDescent="0.25">
      <c r="A320" s="44" t="s">
        <v>88</v>
      </c>
      <c r="B320" s="6">
        <v>2060010</v>
      </c>
      <c r="C320" s="44" t="s">
        <v>1125</v>
      </c>
      <c r="D320" s="44" t="s">
        <v>1137</v>
      </c>
      <c r="E320" s="6">
        <v>5</v>
      </c>
      <c r="F320" s="6" t="s">
        <v>751</v>
      </c>
      <c r="G320" s="6" t="s">
        <v>1138</v>
      </c>
      <c r="H320" s="44" t="s">
        <v>99</v>
      </c>
      <c r="I320" s="44" t="s">
        <v>100</v>
      </c>
    </row>
    <row r="321" spans="1:9" ht="45" x14ac:dyDescent="0.25">
      <c r="A321" s="44" t="s">
        <v>88</v>
      </c>
      <c r="B321" s="6">
        <v>2060010</v>
      </c>
      <c r="C321" s="44" t="s">
        <v>1125</v>
      </c>
      <c r="D321" s="44"/>
      <c r="E321" s="6">
        <v>3</v>
      </c>
      <c r="F321" s="6" t="s">
        <v>751</v>
      </c>
      <c r="G321" s="6" t="s">
        <v>759</v>
      </c>
      <c r="H321" s="44" t="s">
        <v>95</v>
      </c>
      <c r="I321" s="44" t="s">
        <v>96</v>
      </c>
    </row>
    <row r="322" spans="1:9" ht="45" x14ac:dyDescent="0.25">
      <c r="A322" s="44" t="s">
        <v>88</v>
      </c>
      <c r="B322" s="6">
        <v>2060010</v>
      </c>
      <c r="C322" s="44" t="s">
        <v>1125</v>
      </c>
      <c r="D322" s="44"/>
      <c r="E322" s="6">
        <v>16</v>
      </c>
      <c r="F322" s="6" t="s">
        <v>751</v>
      </c>
      <c r="G322" s="6" t="s">
        <v>1139</v>
      </c>
      <c r="H322" s="44" t="s">
        <v>95</v>
      </c>
      <c r="I322" s="44" t="s">
        <v>96</v>
      </c>
    </row>
    <row r="323" spans="1:9" ht="90" x14ac:dyDescent="0.25">
      <c r="A323" s="44" t="s">
        <v>136</v>
      </c>
      <c r="B323" s="6">
        <v>2060010</v>
      </c>
      <c r="C323" s="44" t="s">
        <v>1125</v>
      </c>
      <c r="D323" s="44" t="s">
        <v>1140</v>
      </c>
      <c r="E323" s="6">
        <v>1</v>
      </c>
      <c r="F323" s="6" t="s">
        <v>751</v>
      </c>
      <c r="G323" s="6" t="s">
        <v>751</v>
      </c>
      <c r="H323" s="44" t="s">
        <v>142</v>
      </c>
      <c r="I323" s="44" t="s">
        <v>143</v>
      </c>
    </row>
    <row r="324" spans="1:9" ht="75" x14ac:dyDescent="0.25">
      <c r="A324" s="44" t="s">
        <v>136</v>
      </c>
      <c r="B324" s="6">
        <v>2060010</v>
      </c>
      <c r="C324" s="44" t="s">
        <v>1125</v>
      </c>
      <c r="D324" s="44" t="s">
        <v>1141</v>
      </c>
      <c r="E324" s="6">
        <v>4</v>
      </c>
      <c r="F324" s="6" t="s">
        <v>751</v>
      </c>
      <c r="G324" s="6" t="s">
        <v>754</v>
      </c>
      <c r="H324" s="44" t="s">
        <v>139</v>
      </c>
      <c r="I324" s="44" t="s">
        <v>140</v>
      </c>
    </row>
    <row r="325" spans="1:9" ht="45" x14ac:dyDescent="0.25">
      <c r="A325" s="44" t="s">
        <v>136</v>
      </c>
      <c r="B325" s="6">
        <v>2060010</v>
      </c>
      <c r="C325" s="44" t="s">
        <v>1125</v>
      </c>
      <c r="D325" s="44" t="s">
        <v>1142</v>
      </c>
      <c r="E325" s="6">
        <v>2</v>
      </c>
      <c r="F325" s="6" t="s">
        <v>751</v>
      </c>
      <c r="G325" s="6" t="s">
        <v>752</v>
      </c>
      <c r="H325" s="44" t="s">
        <v>146</v>
      </c>
      <c r="I325" s="44" t="s">
        <v>147</v>
      </c>
    </row>
    <row r="326" spans="1:9" ht="30" x14ac:dyDescent="0.25">
      <c r="A326" s="44" t="s">
        <v>158</v>
      </c>
      <c r="B326" s="6">
        <v>2060010</v>
      </c>
      <c r="C326" s="44" t="s">
        <v>1125</v>
      </c>
      <c r="D326" s="44" t="s">
        <v>1143</v>
      </c>
      <c r="E326" s="6">
        <v>3</v>
      </c>
      <c r="F326" s="6" t="s">
        <v>751</v>
      </c>
      <c r="G326" s="6" t="s">
        <v>759</v>
      </c>
      <c r="H326" s="44" t="s">
        <v>164</v>
      </c>
      <c r="I326" s="44" t="s">
        <v>165</v>
      </c>
    </row>
    <row r="327" spans="1:9" ht="60" x14ac:dyDescent="0.25">
      <c r="A327" s="44" t="s">
        <v>158</v>
      </c>
      <c r="B327" s="6">
        <v>2060010</v>
      </c>
      <c r="C327" s="44" t="s">
        <v>1125</v>
      </c>
      <c r="D327" s="44"/>
      <c r="E327" s="6">
        <v>2</v>
      </c>
      <c r="F327" s="6" t="s">
        <v>751</v>
      </c>
      <c r="G327" s="6" t="s">
        <v>752</v>
      </c>
      <c r="H327" s="44" t="s">
        <v>161</v>
      </c>
      <c r="I327" s="44" t="s">
        <v>162</v>
      </c>
    </row>
    <row r="328" spans="1:9" ht="75" x14ac:dyDescent="0.25">
      <c r="A328" s="44" t="s">
        <v>166</v>
      </c>
      <c r="B328" s="6">
        <v>2060010</v>
      </c>
      <c r="C328" s="44" t="s">
        <v>1125</v>
      </c>
      <c r="D328" s="44" t="s">
        <v>1144</v>
      </c>
      <c r="E328" s="6">
        <v>40</v>
      </c>
      <c r="F328" s="6" t="s">
        <v>751</v>
      </c>
      <c r="G328" s="6" t="s">
        <v>763</v>
      </c>
      <c r="H328" s="44" t="s">
        <v>169</v>
      </c>
      <c r="I328" s="44" t="s">
        <v>170</v>
      </c>
    </row>
    <row r="329" spans="1:9" ht="60" x14ac:dyDescent="0.25">
      <c r="A329" s="44" t="s">
        <v>166</v>
      </c>
      <c r="B329" s="6">
        <v>2060010</v>
      </c>
      <c r="C329" s="44" t="s">
        <v>1125</v>
      </c>
      <c r="D329" s="44" t="s">
        <v>1145</v>
      </c>
      <c r="E329" s="6">
        <v>40</v>
      </c>
      <c r="F329" s="6" t="s">
        <v>751</v>
      </c>
      <c r="G329" s="6" t="s">
        <v>763</v>
      </c>
      <c r="H329" s="44" t="s">
        <v>172</v>
      </c>
      <c r="I329" s="44" t="s">
        <v>173</v>
      </c>
    </row>
    <row r="330" spans="1:9" ht="45" x14ac:dyDescent="0.25">
      <c r="A330" s="44" t="s">
        <v>281</v>
      </c>
      <c r="B330" s="6">
        <v>2060010</v>
      </c>
      <c r="C330" s="44" t="s">
        <v>1125</v>
      </c>
      <c r="D330" s="44" t="s">
        <v>817</v>
      </c>
      <c r="E330" s="6">
        <v>1</v>
      </c>
      <c r="F330" s="6" t="s">
        <v>751</v>
      </c>
      <c r="G330" s="6" t="s">
        <v>751</v>
      </c>
      <c r="H330" s="44" t="s">
        <v>284</v>
      </c>
      <c r="I330" s="44" t="s">
        <v>285</v>
      </c>
    </row>
    <row r="331" spans="1:9" ht="60" x14ac:dyDescent="0.25">
      <c r="A331" s="44" t="s">
        <v>286</v>
      </c>
      <c r="B331" s="6">
        <v>2060010</v>
      </c>
      <c r="C331" s="44" t="s">
        <v>1125</v>
      </c>
      <c r="D331" s="44" t="s">
        <v>1146</v>
      </c>
      <c r="E331" s="6">
        <v>1</v>
      </c>
      <c r="F331" s="6" t="s">
        <v>751</v>
      </c>
      <c r="G331" s="6" t="s">
        <v>751</v>
      </c>
      <c r="H331" s="44" t="s">
        <v>289</v>
      </c>
      <c r="I331" s="44" t="s">
        <v>290</v>
      </c>
    </row>
    <row r="332" spans="1:9" ht="30" x14ac:dyDescent="0.25">
      <c r="A332" s="44" t="s">
        <v>296</v>
      </c>
      <c r="B332" s="6">
        <v>2060010</v>
      </c>
      <c r="C332" s="44" t="s">
        <v>1125</v>
      </c>
      <c r="D332" s="44"/>
      <c r="E332" s="6">
        <v>4</v>
      </c>
      <c r="F332" s="6" t="s">
        <v>751</v>
      </c>
      <c r="G332" s="6" t="s">
        <v>754</v>
      </c>
      <c r="H332" s="44" t="s">
        <v>299</v>
      </c>
      <c r="I332" s="44" t="s">
        <v>300</v>
      </c>
    </row>
    <row r="333" spans="1:9" ht="135" x14ac:dyDescent="0.25">
      <c r="A333" s="44" t="s">
        <v>30</v>
      </c>
      <c r="B333" s="6">
        <v>2080001</v>
      </c>
      <c r="C333" s="44" t="s">
        <v>1147</v>
      </c>
      <c r="D333" s="44" t="s">
        <v>1148</v>
      </c>
      <c r="E333" s="6">
        <v>3</v>
      </c>
      <c r="F333" s="6" t="s">
        <v>1149</v>
      </c>
      <c r="G333" s="6" t="s">
        <v>676</v>
      </c>
      <c r="H333" s="44" t="s">
        <v>33</v>
      </c>
      <c r="I333" s="44" t="s">
        <v>34</v>
      </c>
    </row>
    <row r="334" spans="1:9" ht="165" x14ac:dyDescent="0.25">
      <c r="A334" s="44" t="s">
        <v>88</v>
      </c>
      <c r="B334" s="6">
        <v>2080001</v>
      </c>
      <c r="C334" s="44" t="s">
        <v>1147</v>
      </c>
      <c r="D334" s="44" t="s">
        <v>1150</v>
      </c>
      <c r="E334" s="6">
        <v>4</v>
      </c>
      <c r="F334" s="6" t="s">
        <v>838</v>
      </c>
      <c r="G334" s="6" t="s">
        <v>1151</v>
      </c>
      <c r="H334" s="44" t="s">
        <v>97</v>
      </c>
      <c r="I334" s="44" t="s">
        <v>98</v>
      </c>
    </row>
    <row r="335" spans="1:9" ht="75" x14ac:dyDescent="0.25">
      <c r="A335" s="44" t="s">
        <v>148</v>
      </c>
      <c r="B335" s="6">
        <v>1233002</v>
      </c>
      <c r="C335" s="44" t="s">
        <v>1152</v>
      </c>
      <c r="D335" s="44" t="s">
        <v>1153</v>
      </c>
      <c r="E335" s="6">
        <v>25</v>
      </c>
      <c r="F335" s="6">
        <v>2.6</v>
      </c>
      <c r="G335" s="6">
        <v>65</v>
      </c>
      <c r="H335" s="44" t="s">
        <v>154</v>
      </c>
      <c r="I335" s="44" t="s">
        <v>155</v>
      </c>
    </row>
    <row r="336" spans="1:9" ht="75" x14ac:dyDescent="0.25">
      <c r="A336" s="44" t="s">
        <v>148</v>
      </c>
      <c r="B336" s="6">
        <v>1233002</v>
      </c>
      <c r="C336" s="44" t="s">
        <v>1152</v>
      </c>
      <c r="D336" s="44" t="s">
        <v>1154</v>
      </c>
      <c r="E336" s="6">
        <v>25</v>
      </c>
      <c r="F336" s="6">
        <v>2.6</v>
      </c>
      <c r="G336" s="6">
        <v>65</v>
      </c>
      <c r="H336" s="44" t="s">
        <v>154</v>
      </c>
      <c r="I336" s="44" t="s">
        <v>155</v>
      </c>
    </row>
    <row r="337" spans="1:9" ht="75" x14ac:dyDescent="0.25">
      <c r="A337" s="44" t="s">
        <v>148</v>
      </c>
      <c r="B337" s="6">
        <v>1233002</v>
      </c>
      <c r="C337" s="44" t="s">
        <v>1152</v>
      </c>
      <c r="D337" s="44" t="s">
        <v>1155</v>
      </c>
      <c r="E337" s="6">
        <v>25</v>
      </c>
      <c r="F337" s="6">
        <v>2.6</v>
      </c>
      <c r="G337" s="6">
        <v>65</v>
      </c>
      <c r="H337" s="44" t="s">
        <v>154</v>
      </c>
      <c r="I337" s="44" t="s">
        <v>155</v>
      </c>
    </row>
    <row r="338" spans="1:9" ht="75" x14ac:dyDescent="0.25">
      <c r="A338" s="44" t="s">
        <v>148</v>
      </c>
      <c r="B338" s="6">
        <v>1233002</v>
      </c>
      <c r="C338" s="44" t="s">
        <v>1152</v>
      </c>
      <c r="D338" s="44" t="s">
        <v>1156</v>
      </c>
      <c r="E338" s="6">
        <v>25</v>
      </c>
      <c r="F338" s="6">
        <v>2.6</v>
      </c>
      <c r="G338" s="6">
        <v>65</v>
      </c>
      <c r="H338" s="44" t="s">
        <v>154</v>
      </c>
      <c r="I338" s="44" t="s">
        <v>155</v>
      </c>
    </row>
    <row r="339" spans="1:9" ht="75" x14ac:dyDescent="0.25">
      <c r="A339" s="44" t="s">
        <v>136</v>
      </c>
      <c r="B339" s="6">
        <v>6060001</v>
      </c>
      <c r="C339" s="44" t="s">
        <v>1157</v>
      </c>
      <c r="D339" s="44" t="s">
        <v>1158</v>
      </c>
      <c r="E339" s="6">
        <v>1</v>
      </c>
      <c r="F339" s="6" t="s">
        <v>680</v>
      </c>
      <c r="G339" s="6" t="s">
        <v>680</v>
      </c>
      <c r="H339" s="44" t="s">
        <v>139</v>
      </c>
      <c r="I339" s="44" t="s">
        <v>140</v>
      </c>
    </row>
    <row r="340" spans="1:9" ht="90" x14ac:dyDescent="0.25">
      <c r="A340" s="44" t="s">
        <v>166</v>
      </c>
      <c r="B340" s="6">
        <v>24610002</v>
      </c>
      <c r="C340" s="44" t="s">
        <v>1159</v>
      </c>
      <c r="D340" s="44" t="s">
        <v>1160</v>
      </c>
      <c r="E340" s="6">
        <v>1</v>
      </c>
      <c r="F340" s="6" t="s">
        <v>707</v>
      </c>
      <c r="G340" s="6" t="s">
        <v>707</v>
      </c>
      <c r="H340" s="44" t="s">
        <v>172</v>
      </c>
      <c r="I340" s="44" t="s">
        <v>173</v>
      </c>
    </row>
    <row r="341" spans="1:9" ht="75" x14ac:dyDescent="0.25">
      <c r="A341" s="44" t="s">
        <v>166</v>
      </c>
      <c r="B341" s="6">
        <v>24610002</v>
      </c>
      <c r="C341" s="44" t="s">
        <v>1159</v>
      </c>
      <c r="D341" s="44" t="s">
        <v>1161</v>
      </c>
      <c r="E341" s="6">
        <v>1</v>
      </c>
      <c r="F341" s="6" t="s">
        <v>999</v>
      </c>
      <c r="G341" s="6" t="s">
        <v>999</v>
      </c>
      <c r="H341" s="44" t="s">
        <v>169</v>
      </c>
      <c r="I341" s="44" t="s">
        <v>170</v>
      </c>
    </row>
    <row r="342" spans="1:9" ht="75" x14ac:dyDescent="0.25">
      <c r="A342" s="44" t="s">
        <v>148</v>
      </c>
      <c r="B342" s="6">
        <v>2083001</v>
      </c>
      <c r="C342" s="44" t="s">
        <v>1162</v>
      </c>
      <c r="D342" s="44" t="s">
        <v>1163</v>
      </c>
      <c r="E342" s="6">
        <v>2</v>
      </c>
      <c r="F342" s="6" t="s">
        <v>747</v>
      </c>
      <c r="G342" s="6" t="s">
        <v>680</v>
      </c>
      <c r="H342" s="44" t="s">
        <v>154</v>
      </c>
      <c r="I342" s="44" t="s">
        <v>155</v>
      </c>
    </row>
    <row r="343" spans="1:9" ht="60" x14ac:dyDescent="0.25">
      <c r="A343" s="44" t="s">
        <v>158</v>
      </c>
      <c r="B343" s="6">
        <v>2083001</v>
      </c>
      <c r="C343" s="44" t="s">
        <v>1162</v>
      </c>
      <c r="D343" s="44"/>
      <c r="E343" s="6">
        <v>1</v>
      </c>
      <c r="F343" s="6" t="s">
        <v>726</v>
      </c>
      <c r="G343" s="6" t="s">
        <v>726</v>
      </c>
      <c r="H343" s="44" t="s">
        <v>161</v>
      </c>
      <c r="I343" s="44" t="s">
        <v>162</v>
      </c>
    </row>
    <row r="344" spans="1:9" ht="75" x14ac:dyDescent="0.25">
      <c r="A344" s="44" t="s">
        <v>148</v>
      </c>
      <c r="B344" s="6"/>
      <c r="C344" s="44" t="s">
        <v>1164</v>
      </c>
      <c r="D344" s="44" t="s">
        <v>1165</v>
      </c>
      <c r="E344" s="6">
        <v>20</v>
      </c>
      <c r="F344" s="6">
        <v>3.5</v>
      </c>
      <c r="G344" s="6">
        <v>70</v>
      </c>
      <c r="H344" s="44" t="s">
        <v>154</v>
      </c>
      <c r="I344" s="44" t="s">
        <v>155</v>
      </c>
    </row>
    <row r="345" spans="1:9" ht="75" x14ac:dyDescent="0.25">
      <c r="A345" s="44" t="s">
        <v>148</v>
      </c>
      <c r="B345" s="6"/>
      <c r="C345" s="44" t="s">
        <v>1164</v>
      </c>
      <c r="D345" s="44" t="s">
        <v>1166</v>
      </c>
      <c r="E345" s="6">
        <v>20</v>
      </c>
      <c r="F345" s="6">
        <v>3</v>
      </c>
      <c r="G345" s="6">
        <v>60</v>
      </c>
      <c r="H345" s="44" t="s">
        <v>154</v>
      </c>
      <c r="I345" s="44" t="s">
        <v>155</v>
      </c>
    </row>
    <row r="346" spans="1:9" ht="75" x14ac:dyDescent="0.25">
      <c r="A346" s="44" t="s">
        <v>148</v>
      </c>
      <c r="B346" s="6"/>
      <c r="C346" s="44" t="s">
        <v>1164</v>
      </c>
      <c r="D346" s="44" t="s">
        <v>1167</v>
      </c>
      <c r="E346" s="6">
        <v>20</v>
      </c>
      <c r="F346" s="6">
        <v>3</v>
      </c>
      <c r="G346" s="6">
        <v>60</v>
      </c>
      <c r="H346" s="44" t="s">
        <v>154</v>
      </c>
      <c r="I346" s="44" t="s">
        <v>155</v>
      </c>
    </row>
    <row r="347" spans="1:9" ht="75" x14ac:dyDescent="0.25">
      <c r="A347" s="44" t="s">
        <v>148</v>
      </c>
      <c r="B347" s="6"/>
      <c r="C347" s="44" t="s">
        <v>1164</v>
      </c>
      <c r="D347" s="44" t="s">
        <v>1168</v>
      </c>
      <c r="E347" s="6">
        <v>20</v>
      </c>
      <c r="F347" s="6">
        <v>3.5</v>
      </c>
      <c r="G347" s="6">
        <v>70</v>
      </c>
      <c r="H347" s="44" t="s">
        <v>154</v>
      </c>
      <c r="I347" s="44" t="s">
        <v>155</v>
      </c>
    </row>
    <row r="348" spans="1:9" ht="75" x14ac:dyDescent="0.25">
      <c r="A348" s="44" t="s">
        <v>148</v>
      </c>
      <c r="B348" s="6"/>
      <c r="C348" s="44" t="s">
        <v>1169</v>
      </c>
      <c r="D348" s="44" t="s">
        <v>1170</v>
      </c>
      <c r="E348" s="6">
        <v>20</v>
      </c>
      <c r="F348" s="6">
        <v>3</v>
      </c>
      <c r="G348" s="6">
        <v>60</v>
      </c>
      <c r="H348" s="44" t="s">
        <v>154</v>
      </c>
      <c r="I348" s="44" t="s">
        <v>155</v>
      </c>
    </row>
    <row r="349" spans="1:9" ht="75" x14ac:dyDescent="0.25">
      <c r="A349" s="44" t="s">
        <v>148</v>
      </c>
      <c r="B349" s="6"/>
      <c r="C349" s="44" t="s">
        <v>1169</v>
      </c>
      <c r="D349" s="44" t="s">
        <v>1171</v>
      </c>
      <c r="E349" s="6">
        <v>20</v>
      </c>
      <c r="F349" s="6">
        <v>2</v>
      </c>
      <c r="G349" s="6">
        <v>40</v>
      </c>
      <c r="H349" s="44" t="s">
        <v>154</v>
      </c>
      <c r="I349" s="44" t="s">
        <v>155</v>
      </c>
    </row>
    <row r="350" spans="1:9" ht="75" x14ac:dyDescent="0.25">
      <c r="A350" s="44" t="s">
        <v>148</v>
      </c>
      <c r="B350" s="6"/>
      <c r="C350" s="44" t="s">
        <v>1169</v>
      </c>
      <c r="D350" s="44" t="s">
        <v>1172</v>
      </c>
      <c r="E350" s="6">
        <v>20</v>
      </c>
      <c r="F350" s="6">
        <v>2</v>
      </c>
      <c r="G350" s="6">
        <v>40</v>
      </c>
      <c r="H350" s="44" t="s">
        <v>154</v>
      </c>
      <c r="I350" s="44" t="s">
        <v>155</v>
      </c>
    </row>
    <row r="351" spans="1:9" ht="60" x14ac:dyDescent="0.25">
      <c r="A351" s="44" t="s">
        <v>281</v>
      </c>
      <c r="B351" s="6">
        <v>1276007</v>
      </c>
      <c r="C351" s="44" t="s">
        <v>1173</v>
      </c>
      <c r="D351" s="44" t="s">
        <v>1174</v>
      </c>
      <c r="E351" s="6">
        <v>24</v>
      </c>
      <c r="F351" s="6">
        <v>29.12</v>
      </c>
      <c r="G351" s="6">
        <v>698.88</v>
      </c>
      <c r="H351" s="44" t="s">
        <v>284</v>
      </c>
      <c r="I351" s="44" t="s">
        <v>285</v>
      </c>
    </row>
    <row r="352" spans="1:9" ht="75" x14ac:dyDescent="0.25">
      <c r="A352" s="44" t="s">
        <v>166</v>
      </c>
      <c r="B352" s="6">
        <v>119800003</v>
      </c>
      <c r="C352" s="44" t="s">
        <v>1175</v>
      </c>
      <c r="D352" s="44" t="s">
        <v>1176</v>
      </c>
      <c r="E352" s="6">
        <v>30</v>
      </c>
      <c r="F352" s="6">
        <v>2.0960000000000001</v>
      </c>
      <c r="G352" s="6">
        <v>62.88</v>
      </c>
      <c r="H352" s="44" t="s">
        <v>169</v>
      </c>
      <c r="I352" s="44" t="s">
        <v>170</v>
      </c>
    </row>
    <row r="353" spans="1:9" ht="60" x14ac:dyDescent="0.25">
      <c r="A353" s="44" t="s">
        <v>136</v>
      </c>
      <c r="B353" s="6">
        <v>2149036</v>
      </c>
      <c r="C353" s="44" t="s">
        <v>1177</v>
      </c>
      <c r="D353" s="44" t="s">
        <v>1178</v>
      </c>
      <c r="E353" s="6">
        <v>1</v>
      </c>
      <c r="F353" s="6" t="s">
        <v>923</v>
      </c>
      <c r="G353" s="6" t="s">
        <v>923</v>
      </c>
      <c r="H353" s="44" t="s">
        <v>144</v>
      </c>
      <c r="I353" s="44" t="s">
        <v>145</v>
      </c>
    </row>
    <row r="354" spans="1:9" ht="60" x14ac:dyDescent="0.25">
      <c r="A354" s="44" t="s">
        <v>158</v>
      </c>
      <c r="B354" s="6">
        <v>2149036</v>
      </c>
      <c r="C354" s="44" t="s">
        <v>1177</v>
      </c>
      <c r="D354" s="44" t="s">
        <v>1179</v>
      </c>
      <c r="E354" s="6">
        <v>100</v>
      </c>
      <c r="F354" s="6">
        <v>30</v>
      </c>
      <c r="G354" s="6" t="s">
        <v>736</v>
      </c>
      <c r="H354" s="44" t="s">
        <v>164</v>
      </c>
      <c r="I354" s="44" t="s">
        <v>165</v>
      </c>
    </row>
    <row r="355" spans="1:9" ht="60" x14ac:dyDescent="0.25">
      <c r="A355" s="44" t="s">
        <v>158</v>
      </c>
      <c r="B355" s="6">
        <v>2149036</v>
      </c>
      <c r="C355" s="44" t="s">
        <v>1177</v>
      </c>
      <c r="D355" s="44" t="s">
        <v>1180</v>
      </c>
      <c r="E355" s="6">
        <v>10</v>
      </c>
      <c r="F355" s="6">
        <v>30</v>
      </c>
      <c r="G355" s="6">
        <v>300</v>
      </c>
      <c r="H355" s="44" t="s">
        <v>161</v>
      </c>
      <c r="I355" s="44" t="s">
        <v>162</v>
      </c>
    </row>
    <row r="356" spans="1:9" ht="75" x14ac:dyDescent="0.25">
      <c r="A356" s="44" t="s">
        <v>166</v>
      </c>
      <c r="B356" s="6">
        <v>2149036</v>
      </c>
      <c r="C356" s="44" t="s">
        <v>1177</v>
      </c>
      <c r="D356" s="44" t="s">
        <v>1181</v>
      </c>
      <c r="E356" s="6">
        <v>80</v>
      </c>
      <c r="F356" s="6">
        <v>500</v>
      </c>
      <c r="G356" s="6" t="s">
        <v>681</v>
      </c>
      <c r="H356" s="44" t="s">
        <v>169</v>
      </c>
      <c r="I356" s="44" t="s">
        <v>170</v>
      </c>
    </row>
    <row r="357" spans="1:9" ht="60" x14ac:dyDescent="0.25">
      <c r="A357" s="44" t="s">
        <v>166</v>
      </c>
      <c r="B357" s="6">
        <v>2149036</v>
      </c>
      <c r="C357" s="44" t="s">
        <v>1177</v>
      </c>
      <c r="D357" s="44" t="s">
        <v>1182</v>
      </c>
      <c r="E357" s="6">
        <v>80</v>
      </c>
      <c r="F357" s="6" t="s">
        <v>726</v>
      </c>
      <c r="G357" s="6" t="s">
        <v>1183</v>
      </c>
      <c r="H357" s="44" t="s">
        <v>172</v>
      </c>
      <c r="I357" s="44" t="s">
        <v>173</v>
      </c>
    </row>
    <row r="358" spans="1:9" ht="75" x14ac:dyDescent="0.25">
      <c r="A358" s="44" t="s">
        <v>166</v>
      </c>
      <c r="B358" s="6">
        <v>14460023</v>
      </c>
      <c r="C358" s="44" t="s">
        <v>1184</v>
      </c>
      <c r="D358" s="44" t="s">
        <v>1185</v>
      </c>
      <c r="E358" s="6">
        <v>40</v>
      </c>
      <c r="F358" s="6">
        <v>500</v>
      </c>
      <c r="G358" s="6" t="s">
        <v>883</v>
      </c>
      <c r="H358" s="44" t="s">
        <v>169</v>
      </c>
      <c r="I358" s="44" t="s">
        <v>170</v>
      </c>
    </row>
    <row r="359" spans="1:9" ht="75" x14ac:dyDescent="0.25">
      <c r="A359" s="44" t="s">
        <v>166</v>
      </c>
      <c r="B359" s="6">
        <v>14400001</v>
      </c>
      <c r="C359" s="44" t="s">
        <v>1186</v>
      </c>
      <c r="D359" s="44" t="s">
        <v>1187</v>
      </c>
      <c r="E359" s="6">
        <v>10</v>
      </c>
      <c r="F359" s="6">
        <v>22.361000000000001</v>
      </c>
      <c r="G359" s="6">
        <v>223.61</v>
      </c>
      <c r="H359" s="44" t="s">
        <v>169</v>
      </c>
      <c r="I359" s="44" t="s">
        <v>170</v>
      </c>
    </row>
    <row r="360" spans="1:9" ht="405" x14ac:dyDescent="0.25">
      <c r="A360" s="44" t="s">
        <v>136</v>
      </c>
      <c r="B360" s="6"/>
      <c r="C360" s="44" t="s">
        <v>1188</v>
      </c>
      <c r="D360" s="44" t="s">
        <v>1189</v>
      </c>
      <c r="E360" s="6">
        <v>1</v>
      </c>
      <c r="F360" s="6" t="s">
        <v>987</v>
      </c>
      <c r="G360" s="6" t="s">
        <v>987</v>
      </c>
      <c r="H360" s="44" t="s">
        <v>146</v>
      </c>
      <c r="I360" s="44" t="s">
        <v>147</v>
      </c>
    </row>
    <row r="361" spans="1:9" ht="225" x14ac:dyDescent="0.25">
      <c r="A361" s="44" t="s">
        <v>136</v>
      </c>
      <c r="B361" s="6"/>
      <c r="C361" s="44" t="s">
        <v>1188</v>
      </c>
      <c r="D361" s="44" t="s">
        <v>1190</v>
      </c>
      <c r="E361" s="6">
        <v>1</v>
      </c>
      <c r="F361" s="6" t="s">
        <v>987</v>
      </c>
      <c r="G361" s="6" t="s">
        <v>987</v>
      </c>
      <c r="H361" s="44" t="s">
        <v>146</v>
      </c>
      <c r="I361" s="44" t="s">
        <v>147</v>
      </c>
    </row>
    <row r="362" spans="1:9" ht="30" x14ac:dyDescent="0.25">
      <c r="A362" s="44" t="s">
        <v>247</v>
      </c>
      <c r="B362" s="6">
        <v>160200003</v>
      </c>
      <c r="C362" s="44" t="s">
        <v>1191</v>
      </c>
      <c r="D362" s="44"/>
      <c r="E362" s="6">
        <v>1</v>
      </c>
      <c r="F362" s="6">
        <v>40</v>
      </c>
      <c r="G362" s="6">
        <v>40</v>
      </c>
      <c r="H362" s="44" t="s">
        <v>250</v>
      </c>
      <c r="I362" s="44" t="s">
        <v>251</v>
      </c>
    </row>
    <row r="363" spans="1:9" ht="45" x14ac:dyDescent="0.25">
      <c r="A363" s="44" t="s">
        <v>274</v>
      </c>
      <c r="B363" s="6">
        <v>160200003</v>
      </c>
      <c r="C363" s="44" t="s">
        <v>1191</v>
      </c>
      <c r="D363" s="44" t="s">
        <v>1192</v>
      </c>
      <c r="E363" s="6">
        <v>15</v>
      </c>
      <c r="F363" s="6">
        <v>40</v>
      </c>
      <c r="G363" s="6">
        <v>600</v>
      </c>
      <c r="H363" s="44" t="s">
        <v>277</v>
      </c>
      <c r="I363" s="44" t="s">
        <v>278</v>
      </c>
    </row>
    <row r="364" spans="1:9" ht="75" x14ac:dyDescent="0.25">
      <c r="A364" s="44" t="s">
        <v>166</v>
      </c>
      <c r="B364" s="6">
        <v>2397009</v>
      </c>
      <c r="C364" s="44" t="s">
        <v>1193</v>
      </c>
      <c r="D364" s="44" t="s">
        <v>1194</v>
      </c>
      <c r="E364" s="6">
        <v>40</v>
      </c>
      <c r="F364" s="6">
        <v>500</v>
      </c>
      <c r="G364" s="6" t="s">
        <v>883</v>
      </c>
      <c r="H364" s="44" t="s">
        <v>169</v>
      </c>
      <c r="I364" s="44" t="s">
        <v>170</v>
      </c>
    </row>
    <row r="365" spans="1:9" ht="60" x14ac:dyDescent="0.25">
      <c r="A365" s="44" t="s">
        <v>166</v>
      </c>
      <c r="B365" s="6">
        <v>2397009</v>
      </c>
      <c r="C365" s="44" t="s">
        <v>1193</v>
      </c>
      <c r="D365" s="44" t="s">
        <v>1195</v>
      </c>
      <c r="E365" s="6">
        <v>40</v>
      </c>
      <c r="F365" s="6">
        <v>500</v>
      </c>
      <c r="G365" s="6" t="s">
        <v>883</v>
      </c>
      <c r="H365" s="44" t="s">
        <v>172</v>
      </c>
      <c r="I365" s="44" t="s">
        <v>173</v>
      </c>
    </row>
    <row r="366" spans="1:9" ht="45" x14ac:dyDescent="0.25">
      <c r="A366" s="44" t="s">
        <v>207</v>
      </c>
      <c r="B366" s="6">
        <v>14300005</v>
      </c>
      <c r="C366" s="44" t="s">
        <v>1196</v>
      </c>
      <c r="D366" s="44"/>
      <c r="E366" s="6">
        <v>3</v>
      </c>
      <c r="F366" s="6">
        <v>80</v>
      </c>
      <c r="G366" s="6">
        <v>240</v>
      </c>
      <c r="H366" s="44" t="s">
        <v>208</v>
      </c>
      <c r="I366" s="44" t="s">
        <v>207</v>
      </c>
    </row>
    <row r="367" spans="1:9" ht="45" x14ac:dyDescent="0.25">
      <c r="A367" s="44" t="s">
        <v>281</v>
      </c>
      <c r="B367" s="6">
        <v>2113001</v>
      </c>
      <c r="C367" s="44" t="s">
        <v>1197</v>
      </c>
      <c r="D367" s="44" t="s">
        <v>1198</v>
      </c>
      <c r="E367" s="6">
        <v>1</v>
      </c>
      <c r="F367" s="6" t="s">
        <v>800</v>
      </c>
      <c r="G367" s="6" t="s">
        <v>800</v>
      </c>
      <c r="H367" s="44" t="s">
        <v>284</v>
      </c>
      <c r="I367" s="44" t="s">
        <v>285</v>
      </c>
    </row>
    <row r="368" spans="1:9" ht="45" x14ac:dyDescent="0.25">
      <c r="A368" s="44" t="s">
        <v>281</v>
      </c>
      <c r="B368" s="6">
        <v>2113001</v>
      </c>
      <c r="C368" s="44" t="s">
        <v>1197</v>
      </c>
      <c r="D368" s="44" t="s">
        <v>1199</v>
      </c>
      <c r="E368" s="6">
        <v>1</v>
      </c>
      <c r="F368" s="6" t="s">
        <v>800</v>
      </c>
      <c r="G368" s="6" t="s">
        <v>800</v>
      </c>
      <c r="H368" s="44" t="s">
        <v>284</v>
      </c>
      <c r="I368" s="44" t="s">
        <v>285</v>
      </c>
    </row>
    <row r="369" spans="1:9" ht="45" x14ac:dyDescent="0.25">
      <c r="A369" s="44" t="s">
        <v>158</v>
      </c>
      <c r="B369" s="6">
        <v>22710003</v>
      </c>
      <c r="C369" s="44" t="s">
        <v>1200</v>
      </c>
      <c r="D369" s="44" t="s">
        <v>827</v>
      </c>
      <c r="E369" s="6">
        <v>1</v>
      </c>
      <c r="F369" s="6">
        <v>600</v>
      </c>
      <c r="G369" s="6">
        <v>600</v>
      </c>
      <c r="H369" s="44" t="s">
        <v>164</v>
      </c>
      <c r="I369" s="44" t="s">
        <v>165</v>
      </c>
    </row>
    <row r="370" spans="1:9" ht="45" x14ac:dyDescent="0.25">
      <c r="A370" s="44" t="s">
        <v>88</v>
      </c>
      <c r="B370" s="6">
        <v>1354003</v>
      </c>
      <c r="C370" s="44" t="s">
        <v>1201</v>
      </c>
      <c r="D370" s="44" t="s">
        <v>1202</v>
      </c>
      <c r="E370" s="6">
        <v>1</v>
      </c>
      <c r="F370" s="6" t="s">
        <v>680</v>
      </c>
      <c r="G370" s="6" t="s">
        <v>680</v>
      </c>
      <c r="H370" s="44" t="s">
        <v>103</v>
      </c>
      <c r="I370" s="44" t="s">
        <v>104</v>
      </c>
    </row>
    <row r="371" spans="1:9" ht="45" x14ac:dyDescent="0.25">
      <c r="A371" s="44" t="s">
        <v>88</v>
      </c>
      <c r="B371" s="6">
        <v>1354003</v>
      </c>
      <c r="C371" s="44" t="s">
        <v>1201</v>
      </c>
      <c r="D371" s="44" t="s">
        <v>1202</v>
      </c>
      <c r="E371" s="6">
        <v>1</v>
      </c>
      <c r="F371" s="6" t="s">
        <v>680</v>
      </c>
      <c r="G371" s="6" t="s">
        <v>680</v>
      </c>
      <c r="H371" s="44" t="s">
        <v>99</v>
      </c>
      <c r="I371" s="44" t="s">
        <v>100</v>
      </c>
    </row>
    <row r="372" spans="1:9" ht="45" x14ac:dyDescent="0.25">
      <c r="A372" s="44" t="s">
        <v>88</v>
      </c>
      <c r="B372" s="6">
        <v>1354003</v>
      </c>
      <c r="C372" s="44" t="s">
        <v>1201</v>
      </c>
      <c r="D372" s="44" t="s">
        <v>1202</v>
      </c>
      <c r="E372" s="6">
        <v>1</v>
      </c>
      <c r="F372" s="6" t="s">
        <v>680</v>
      </c>
      <c r="G372" s="6" t="s">
        <v>680</v>
      </c>
      <c r="H372" s="44" t="s">
        <v>101</v>
      </c>
      <c r="I372" s="44" t="s">
        <v>102</v>
      </c>
    </row>
    <row r="373" spans="1:9" ht="45" x14ac:dyDescent="0.25">
      <c r="A373" s="44" t="s">
        <v>88</v>
      </c>
      <c r="B373" s="6">
        <v>1354003</v>
      </c>
      <c r="C373" s="44" t="s">
        <v>1201</v>
      </c>
      <c r="D373" s="44" t="s">
        <v>1202</v>
      </c>
      <c r="E373" s="6">
        <v>1</v>
      </c>
      <c r="F373" s="6" t="s">
        <v>680</v>
      </c>
      <c r="G373" s="6" t="s">
        <v>680</v>
      </c>
      <c r="H373" s="44" t="s">
        <v>95</v>
      </c>
      <c r="I373" s="44" t="s">
        <v>96</v>
      </c>
    </row>
    <row r="374" spans="1:9" ht="30" x14ac:dyDescent="0.25">
      <c r="A374" s="44" t="s">
        <v>247</v>
      </c>
      <c r="B374" s="6"/>
      <c r="C374" s="44" t="s">
        <v>1203</v>
      </c>
      <c r="D374" s="44" t="s">
        <v>1204</v>
      </c>
      <c r="E374" s="6">
        <v>2</v>
      </c>
      <c r="F374" s="6">
        <v>200</v>
      </c>
      <c r="G374" s="6">
        <v>400</v>
      </c>
      <c r="H374" s="44" t="s">
        <v>250</v>
      </c>
      <c r="I374" s="44" t="s">
        <v>251</v>
      </c>
    </row>
    <row r="375" spans="1:9" ht="45" x14ac:dyDescent="0.25">
      <c r="A375" s="44" t="s">
        <v>207</v>
      </c>
      <c r="B375" s="6">
        <v>1280001</v>
      </c>
      <c r="C375" s="44" t="s">
        <v>1205</v>
      </c>
      <c r="D375" s="44" t="s">
        <v>1206</v>
      </c>
      <c r="E375" s="6">
        <v>4</v>
      </c>
      <c r="F375" s="6">
        <v>42</v>
      </c>
      <c r="G375" s="6">
        <v>168</v>
      </c>
      <c r="H375" s="44" t="s">
        <v>208</v>
      </c>
      <c r="I375" s="44" t="s">
        <v>207</v>
      </c>
    </row>
    <row r="376" spans="1:9" ht="45" x14ac:dyDescent="0.25">
      <c r="A376" s="44" t="s">
        <v>274</v>
      </c>
      <c r="B376" s="6">
        <v>163300014</v>
      </c>
      <c r="C376" s="44" t="s">
        <v>1207</v>
      </c>
      <c r="D376" s="44" t="s">
        <v>1208</v>
      </c>
      <c r="E376" s="6">
        <v>30</v>
      </c>
      <c r="F376" s="6">
        <v>2</v>
      </c>
      <c r="G376" s="6">
        <v>60</v>
      </c>
      <c r="H376" s="44" t="s">
        <v>277</v>
      </c>
      <c r="I376" s="44" t="s">
        <v>278</v>
      </c>
    </row>
    <row r="377" spans="1:9" ht="45" x14ac:dyDescent="0.25">
      <c r="A377" s="44" t="s">
        <v>274</v>
      </c>
      <c r="B377" s="6">
        <v>163300014</v>
      </c>
      <c r="C377" s="44" t="s">
        <v>1207</v>
      </c>
      <c r="D377" s="44" t="s">
        <v>1209</v>
      </c>
      <c r="E377" s="6">
        <v>36</v>
      </c>
      <c r="F377" s="6">
        <v>120</v>
      </c>
      <c r="G377" s="6" t="s">
        <v>685</v>
      </c>
      <c r="H377" s="44" t="s">
        <v>277</v>
      </c>
      <c r="I377" s="44" t="s">
        <v>278</v>
      </c>
    </row>
    <row r="378" spans="1:9" ht="45" x14ac:dyDescent="0.25">
      <c r="A378" s="44" t="s">
        <v>274</v>
      </c>
      <c r="B378" s="6">
        <v>163300014</v>
      </c>
      <c r="C378" s="44" t="s">
        <v>1207</v>
      </c>
      <c r="D378" s="44" t="s">
        <v>1210</v>
      </c>
      <c r="E378" s="6">
        <v>30</v>
      </c>
      <c r="F378" s="6">
        <v>120</v>
      </c>
      <c r="G378" s="6" t="s">
        <v>880</v>
      </c>
      <c r="H378" s="44" t="s">
        <v>277</v>
      </c>
      <c r="I378" s="44" t="s">
        <v>278</v>
      </c>
    </row>
    <row r="379" spans="1:9" ht="45" x14ac:dyDescent="0.25">
      <c r="A379" s="44" t="s">
        <v>274</v>
      </c>
      <c r="B379" s="6">
        <v>163300014</v>
      </c>
      <c r="C379" s="44" t="s">
        <v>1207</v>
      </c>
      <c r="D379" s="44" t="s">
        <v>1211</v>
      </c>
      <c r="E379" s="6">
        <v>2</v>
      </c>
      <c r="F379" s="6" t="s">
        <v>1212</v>
      </c>
      <c r="G379" s="6" t="s">
        <v>1213</v>
      </c>
      <c r="H379" s="44" t="s">
        <v>277</v>
      </c>
      <c r="I379" s="44" t="s">
        <v>278</v>
      </c>
    </row>
    <row r="380" spans="1:9" ht="45" x14ac:dyDescent="0.25">
      <c r="A380" s="44" t="s">
        <v>274</v>
      </c>
      <c r="B380" s="6">
        <v>163300014</v>
      </c>
      <c r="C380" s="44" t="s">
        <v>1207</v>
      </c>
      <c r="D380" s="44" t="s">
        <v>1214</v>
      </c>
      <c r="E380" s="6">
        <v>2</v>
      </c>
      <c r="F380" s="6">
        <v>25</v>
      </c>
      <c r="G380" s="6">
        <v>50</v>
      </c>
      <c r="H380" s="44" t="s">
        <v>277</v>
      </c>
      <c r="I380" s="44" t="s">
        <v>278</v>
      </c>
    </row>
    <row r="381" spans="1:9" ht="45" x14ac:dyDescent="0.25">
      <c r="A381" s="44" t="s">
        <v>274</v>
      </c>
      <c r="B381" s="6">
        <v>163300014</v>
      </c>
      <c r="C381" s="44" t="s">
        <v>1207</v>
      </c>
      <c r="D381" s="44" t="s">
        <v>1215</v>
      </c>
      <c r="E381" s="6">
        <v>50</v>
      </c>
      <c r="F381" s="6">
        <v>15</v>
      </c>
      <c r="G381" s="6">
        <v>750</v>
      </c>
      <c r="H381" s="44" t="s">
        <v>277</v>
      </c>
      <c r="I381" s="44" t="s">
        <v>278</v>
      </c>
    </row>
    <row r="382" spans="1:9" ht="45" x14ac:dyDescent="0.25">
      <c r="A382" s="44" t="s">
        <v>274</v>
      </c>
      <c r="B382" s="6">
        <v>163300014</v>
      </c>
      <c r="C382" s="44" t="s">
        <v>1207</v>
      </c>
      <c r="D382" s="44" t="s">
        <v>1216</v>
      </c>
      <c r="E382" s="6">
        <v>4</v>
      </c>
      <c r="F382" s="6">
        <v>250</v>
      </c>
      <c r="G382" s="6" t="s">
        <v>726</v>
      </c>
      <c r="H382" s="44" t="s">
        <v>277</v>
      </c>
      <c r="I382" s="44" t="s">
        <v>278</v>
      </c>
    </row>
    <row r="383" spans="1:9" ht="45" x14ac:dyDescent="0.25">
      <c r="A383" s="44" t="s">
        <v>274</v>
      </c>
      <c r="B383" s="6">
        <v>163300014</v>
      </c>
      <c r="C383" s="44" t="s">
        <v>1207</v>
      </c>
      <c r="D383" s="44" t="s">
        <v>1217</v>
      </c>
      <c r="E383" s="6">
        <v>30</v>
      </c>
      <c r="F383" s="6">
        <v>10</v>
      </c>
      <c r="G383" s="6">
        <v>300</v>
      </c>
      <c r="H383" s="44" t="s">
        <v>277</v>
      </c>
      <c r="I383" s="44" t="s">
        <v>278</v>
      </c>
    </row>
    <row r="384" spans="1:9" ht="45" x14ac:dyDescent="0.25">
      <c r="A384" s="44" t="s">
        <v>274</v>
      </c>
      <c r="B384" s="6">
        <v>163300014</v>
      </c>
      <c r="C384" s="44" t="s">
        <v>1207</v>
      </c>
      <c r="D384" s="44" t="s">
        <v>1218</v>
      </c>
      <c r="E384" s="6">
        <v>5</v>
      </c>
      <c r="F384" s="6">
        <v>800</v>
      </c>
      <c r="G384" s="6" t="s">
        <v>845</v>
      </c>
      <c r="H384" s="44" t="s">
        <v>277</v>
      </c>
      <c r="I384" s="44" t="s">
        <v>278</v>
      </c>
    </row>
    <row r="385" spans="1:9" ht="45" x14ac:dyDescent="0.25">
      <c r="A385" s="44" t="s">
        <v>274</v>
      </c>
      <c r="B385" s="6">
        <v>163300014</v>
      </c>
      <c r="C385" s="44" t="s">
        <v>1207</v>
      </c>
      <c r="D385" s="44" t="s">
        <v>1219</v>
      </c>
      <c r="E385" s="6">
        <v>50</v>
      </c>
      <c r="F385" s="6">
        <v>2</v>
      </c>
      <c r="G385" s="6">
        <v>100</v>
      </c>
      <c r="H385" s="44" t="s">
        <v>277</v>
      </c>
      <c r="I385" s="44" t="s">
        <v>278</v>
      </c>
    </row>
    <row r="386" spans="1:9" ht="45" x14ac:dyDescent="0.25">
      <c r="A386" s="44" t="s">
        <v>274</v>
      </c>
      <c r="B386" s="6">
        <v>163300014</v>
      </c>
      <c r="C386" s="44" t="s">
        <v>1207</v>
      </c>
      <c r="D386" s="44" t="s">
        <v>1220</v>
      </c>
      <c r="E386" s="6">
        <v>30</v>
      </c>
      <c r="F386" s="6">
        <v>10</v>
      </c>
      <c r="G386" s="6">
        <v>300</v>
      </c>
      <c r="H386" s="44" t="s">
        <v>277</v>
      </c>
      <c r="I386" s="44" t="s">
        <v>278</v>
      </c>
    </row>
    <row r="387" spans="1:9" ht="45" x14ac:dyDescent="0.25">
      <c r="A387" s="44" t="s">
        <v>274</v>
      </c>
      <c r="B387" s="6">
        <v>163300014</v>
      </c>
      <c r="C387" s="44" t="s">
        <v>1207</v>
      </c>
      <c r="D387" s="44" t="s">
        <v>1221</v>
      </c>
      <c r="E387" s="6">
        <v>50</v>
      </c>
      <c r="F387" s="6">
        <v>5</v>
      </c>
      <c r="G387" s="6">
        <v>250</v>
      </c>
      <c r="H387" s="44" t="s">
        <v>277</v>
      </c>
      <c r="I387" s="44" t="s">
        <v>278</v>
      </c>
    </row>
    <row r="388" spans="1:9" ht="45" x14ac:dyDescent="0.25">
      <c r="A388" s="44" t="s">
        <v>274</v>
      </c>
      <c r="B388" s="6">
        <v>163300014</v>
      </c>
      <c r="C388" s="44" t="s">
        <v>1207</v>
      </c>
      <c r="D388" s="44" t="s">
        <v>1222</v>
      </c>
      <c r="E388" s="6">
        <v>100</v>
      </c>
      <c r="F388" s="6">
        <v>3</v>
      </c>
      <c r="G388" s="6">
        <v>300</v>
      </c>
      <c r="H388" s="44" t="s">
        <v>277</v>
      </c>
      <c r="I388" s="44" t="s">
        <v>278</v>
      </c>
    </row>
    <row r="389" spans="1:9" ht="45" x14ac:dyDescent="0.25">
      <c r="A389" s="44" t="s">
        <v>274</v>
      </c>
      <c r="B389" s="6">
        <v>163300014</v>
      </c>
      <c r="C389" s="44" t="s">
        <v>1207</v>
      </c>
      <c r="D389" s="44" t="s">
        <v>1223</v>
      </c>
      <c r="E389" s="6">
        <v>30</v>
      </c>
      <c r="F389" s="6">
        <v>3</v>
      </c>
      <c r="G389" s="6">
        <v>90</v>
      </c>
      <c r="H389" s="44" t="s">
        <v>277</v>
      </c>
      <c r="I389" s="44" t="s">
        <v>278</v>
      </c>
    </row>
    <row r="390" spans="1:9" ht="45" x14ac:dyDescent="0.25">
      <c r="A390" s="44" t="s">
        <v>274</v>
      </c>
      <c r="B390" s="6">
        <v>163300014</v>
      </c>
      <c r="C390" s="44" t="s">
        <v>1207</v>
      </c>
      <c r="D390" s="44" t="s">
        <v>1224</v>
      </c>
      <c r="E390" s="6">
        <v>1</v>
      </c>
      <c r="F390" s="6" t="s">
        <v>1225</v>
      </c>
      <c r="G390" s="6" t="s">
        <v>1225</v>
      </c>
      <c r="H390" s="44" t="s">
        <v>277</v>
      </c>
      <c r="I390" s="44" t="s">
        <v>278</v>
      </c>
    </row>
    <row r="391" spans="1:9" ht="45" x14ac:dyDescent="0.25">
      <c r="A391" s="44" t="s">
        <v>274</v>
      </c>
      <c r="B391" s="6">
        <v>163300014</v>
      </c>
      <c r="C391" s="44" t="s">
        <v>1207</v>
      </c>
      <c r="D391" s="44" t="s">
        <v>1226</v>
      </c>
      <c r="E391" s="6">
        <v>20</v>
      </c>
      <c r="F391" s="6">
        <v>10</v>
      </c>
      <c r="G391" s="6">
        <v>200</v>
      </c>
      <c r="H391" s="44" t="s">
        <v>277</v>
      </c>
      <c r="I391" s="44" t="s">
        <v>278</v>
      </c>
    </row>
    <row r="392" spans="1:9" ht="45" x14ac:dyDescent="0.25">
      <c r="A392" s="44" t="s">
        <v>274</v>
      </c>
      <c r="B392" s="6">
        <v>163300014</v>
      </c>
      <c r="C392" s="44" t="s">
        <v>1207</v>
      </c>
      <c r="D392" s="44" t="s">
        <v>1227</v>
      </c>
      <c r="E392" s="6">
        <v>3</v>
      </c>
      <c r="F392" s="6">
        <v>500</v>
      </c>
      <c r="G392" s="6" t="s">
        <v>800</v>
      </c>
      <c r="H392" s="44" t="s">
        <v>277</v>
      </c>
      <c r="I392" s="44" t="s">
        <v>278</v>
      </c>
    </row>
    <row r="393" spans="1:9" ht="45" x14ac:dyDescent="0.25">
      <c r="A393" s="44" t="s">
        <v>274</v>
      </c>
      <c r="B393" s="6">
        <v>163300014</v>
      </c>
      <c r="C393" s="44" t="s">
        <v>1207</v>
      </c>
      <c r="D393" s="44" t="s">
        <v>1228</v>
      </c>
      <c r="E393" s="6">
        <v>30</v>
      </c>
      <c r="F393" s="6">
        <v>5</v>
      </c>
      <c r="G393" s="6">
        <v>150</v>
      </c>
      <c r="H393" s="44" t="s">
        <v>277</v>
      </c>
      <c r="I393" s="44" t="s">
        <v>278</v>
      </c>
    </row>
    <row r="394" spans="1:9" ht="45" x14ac:dyDescent="0.25">
      <c r="A394" s="44" t="s">
        <v>274</v>
      </c>
      <c r="B394" s="6">
        <v>163300014</v>
      </c>
      <c r="C394" s="44" t="s">
        <v>1207</v>
      </c>
      <c r="D394" s="44" t="s">
        <v>1229</v>
      </c>
      <c r="E394" s="6">
        <v>30</v>
      </c>
      <c r="F394" s="6">
        <v>8</v>
      </c>
      <c r="G394" s="6">
        <v>240</v>
      </c>
      <c r="H394" s="44" t="s">
        <v>277</v>
      </c>
      <c r="I394" s="44" t="s">
        <v>278</v>
      </c>
    </row>
    <row r="395" spans="1:9" ht="45" x14ac:dyDescent="0.25">
      <c r="A395" s="44" t="s">
        <v>274</v>
      </c>
      <c r="B395" s="6">
        <v>163300014</v>
      </c>
      <c r="C395" s="44" t="s">
        <v>1207</v>
      </c>
      <c r="D395" s="44" t="s">
        <v>1230</v>
      </c>
      <c r="E395" s="6">
        <v>2</v>
      </c>
      <c r="F395" s="6">
        <v>20</v>
      </c>
      <c r="G395" s="6">
        <v>40</v>
      </c>
      <c r="H395" s="44" t="s">
        <v>277</v>
      </c>
      <c r="I395" s="44" t="s">
        <v>278</v>
      </c>
    </row>
    <row r="396" spans="1:9" ht="45" x14ac:dyDescent="0.25">
      <c r="A396" s="44" t="s">
        <v>70</v>
      </c>
      <c r="B396" s="6"/>
      <c r="C396" s="44" t="s">
        <v>1231</v>
      </c>
      <c r="D396" s="44" t="s">
        <v>1232</v>
      </c>
      <c r="E396" s="6">
        <v>5</v>
      </c>
      <c r="F396" s="6">
        <v>20</v>
      </c>
      <c r="G396" s="6">
        <v>100</v>
      </c>
      <c r="H396" s="44" t="s">
        <v>73</v>
      </c>
      <c r="I396" s="44" t="s">
        <v>74</v>
      </c>
    </row>
    <row r="397" spans="1:9" ht="45" x14ac:dyDescent="0.25">
      <c r="A397" s="44" t="s">
        <v>205</v>
      </c>
      <c r="B397" s="6"/>
      <c r="C397" s="44" t="s">
        <v>1231</v>
      </c>
      <c r="D397" s="44" t="s">
        <v>1233</v>
      </c>
      <c r="E397" s="6">
        <v>1</v>
      </c>
      <c r="F397" s="6" t="s">
        <v>736</v>
      </c>
      <c r="G397" s="6" t="s">
        <v>736</v>
      </c>
      <c r="H397" s="44" t="s">
        <v>206</v>
      </c>
      <c r="I397" s="44" t="s">
        <v>205</v>
      </c>
    </row>
    <row r="398" spans="1:9" ht="45" x14ac:dyDescent="0.25">
      <c r="A398" s="44" t="s">
        <v>247</v>
      </c>
      <c r="B398" s="6"/>
      <c r="C398" s="44" t="s">
        <v>1231</v>
      </c>
      <c r="D398" s="44" t="s">
        <v>1234</v>
      </c>
      <c r="E398" s="6">
        <v>1</v>
      </c>
      <c r="F398" s="6" t="s">
        <v>736</v>
      </c>
      <c r="G398" s="6" t="s">
        <v>736</v>
      </c>
      <c r="H398" s="44" t="s">
        <v>250</v>
      </c>
      <c r="I398" s="44" t="s">
        <v>251</v>
      </c>
    </row>
    <row r="399" spans="1:9" ht="45" x14ac:dyDescent="0.25">
      <c r="A399" s="44" t="s">
        <v>281</v>
      </c>
      <c r="B399" s="6"/>
      <c r="C399" s="44" t="s">
        <v>1231</v>
      </c>
      <c r="D399" s="44" t="s">
        <v>1235</v>
      </c>
      <c r="E399" s="6">
        <v>15</v>
      </c>
      <c r="F399" s="6">
        <v>300</v>
      </c>
      <c r="G399" s="6" t="s">
        <v>796</v>
      </c>
      <c r="H399" s="44" t="s">
        <v>284</v>
      </c>
      <c r="I399" s="44" t="s">
        <v>285</v>
      </c>
    </row>
    <row r="400" spans="1:9" ht="45" x14ac:dyDescent="0.25">
      <c r="A400" s="44" t="s">
        <v>281</v>
      </c>
      <c r="B400" s="6"/>
      <c r="C400" s="44" t="s">
        <v>1231</v>
      </c>
      <c r="D400" s="44" t="s">
        <v>1236</v>
      </c>
      <c r="E400" s="6">
        <v>5</v>
      </c>
      <c r="F400" s="6">
        <v>35</v>
      </c>
      <c r="G400" s="6">
        <v>175</v>
      </c>
      <c r="H400" s="44" t="s">
        <v>284</v>
      </c>
      <c r="I400" s="44" t="s">
        <v>285</v>
      </c>
    </row>
    <row r="401" spans="1:9" ht="45" x14ac:dyDescent="0.25">
      <c r="A401" s="44" t="s">
        <v>281</v>
      </c>
      <c r="B401" s="6"/>
      <c r="C401" s="44" t="s">
        <v>1231</v>
      </c>
      <c r="D401" s="44" t="s">
        <v>1237</v>
      </c>
      <c r="E401" s="6">
        <v>1</v>
      </c>
      <c r="F401" s="6">
        <v>180</v>
      </c>
      <c r="G401" s="6">
        <v>180</v>
      </c>
      <c r="H401" s="44" t="s">
        <v>284</v>
      </c>
      <c r="I401" s="44" t="s">
        <v>285</v>
      </c>
    </row>
    <row r="402" spans="1:9" ht="45" x14ac:dyDescent="0.25">
      <c r="A402" s="44" t="s">
        <v>281</v>
      </c>
      <c r="B402" s="6"/>
      <c r="C402" s="44" t="s">
        <v>1231</v>
      </c>
      <c r="D402" s="44" t="s">
        <v>1238</v>
      </c>
      <c r="E402" s="6">
        <v>5</v>
      </c>
      <c r="F402" s="6">
        <v>30</v>
      </c>
      <c r="G402" s="6">
        <v>150</v>
      </c>
      <c r="H402" s="44" t="s">
        <v>284</v>
      </c>
      <c r="I402" s="44" t="s">
        <v>285</v>
      </c>
    </row>
    <row r="403" spans="1:9" ht="45" x14ac:dyDescent="0.25">
      <c r="A403" s="44" t="s">
        <v>281</v>
      </c>
      <c r="B403" s="6"/>
      <c r="C403" s="44" t="s">
        <v>1231</v>
      </c>
      <c r="D403" s="44" t="s">
        <v>1239</v>
      </c>
      <c r="E403" s="6">
        <v>4</v>
      </c>
      <c r="F403" s="6">
        <v>200</v>
      </c>
      <c r="G403" s="6">
        <v>800</v>
      </c>
      <c r="H403" s="44" t="s">
        <v>284</v>
      </c>
      <c r="I403" s="44" t="s">
        <v>285</v>
      </c>
    </row>
    <row r="404" spans="1:9" ht="45" x14ac:dyDescent="0.25">
      <c r="A404" s="44" t="s">
        <v>281</v>
      </c>
      <c r="B404" s="6"/>
      <c r="C404" s="44" t="s">
        <v>1231</v>
      </c>
      <c r="D404" s="44" t="s">
        <v>1240</v>
      </c>
      <c r="E404" s="6">
        <v>10</v>
      </c>
      <c r="F404" s="6">
        <v>65</v>
      </c>
      <c r="G404" s="6">
        <v>650</v>
      </c>
      <c r="H404" s="44" t="s">
        <v>284</v>
      </c>
      <c r="I404" s="44" t="s">
        <v>285</v>
      </c>
    </row>
    <row r="405" spans="1:9" ht="45" x14ac:dyDescent="0.25">
      <c r="A405" s="44" t="s">
        <v>281</v>
      </c>
      <c r="B405" s="6"/>
      <c r="C405" s="44" t="s">
        <v>1231</v>
      </c>
      <c r="D405" s="44" t="s">
        <v>1241</v>
      </c>
      <c r="E405" s="6">
        <v>10</v>
      </c>
      <c r="F405" s="6" t="s">
        <v>814</v>
      </c>
      <c r="G405" s="6" t="s">
        <v>883</v>
      </c>
      <c r="H405" s="44" t="s">
        <v>284</v>
      </c>
      <c r="I405" s="44" t="s">
        <v>285</v>
      </c>
    </row>
    <row r="406" spans="1:9" ht="45" x14ac:dyDescent="0.25">
      <c r="A406" s="44" t="s">
        <v>281</v>
      </c>
      <c r="B406" s="6"/>
      <c r="C406" s="44" t="s">
        <v>1231</v>
      </c>
      <c r="D406" s="44" t="s">
        <v>1242</v>
      </c>
      <c r="E406" s="6">
        <v>15</v>
      </c>
      <c r="F406" s="6">
        <v>750</v>
      </c>
      <c r="G406" s="6" t="s">
        <v>1243</v>
      </c>
      <c r="H406" s="44" t="s">
        <v>284</v>
      </c>
      <c r="I406" s="44" t="s">
        <v>285</v>
      </c>
    </row>
    <row r="407" spans="1:9" ht="45" x14ac:dyDescent="0.25">
      <c r="A407" s="44" t="s">
        <v>281</v>
      </c>
      <c r="B407" s="6"/>
      <c r="C407" s="44" t="s">
        <v>1231</v>
      </c>
      <c r="D407" s="44" t="s">
        <v>1244</v>
      </c>
      <c r="E407" s="6">
        <v>20</v>
      </c>
      <c r="F407" s="6">
        <v>160</v>
      </c>
      <c r="G407" s="6" t="s">
        <v>1245</v>
      </c>
      <c r="H407" s="44" t="s">
        <v>284</v>
      </c>
      <c r="I407" s="44" t="s">
        <v>285</v>
      </c>
    </row>
    <row r="408" spans="1:9" ht="45" x14ac:dyDescent="0.25">
      <c r="A408" s="44" t="s">
        <v>281</v>
      </c>
      <c r="B408" s="6"/>
      <c r="C408" s="44" t="s">
        <v>1231</v>
      </c>
      <c r="D408" s="44" t="s">
        <v>1246</v>
      </c>
      <c r="E408" s="6">
        <v>2</v>
      </c>
      <c r="F408" s="6" t="s">
        <v>814</v>
      </c>
      <c r="G408" s="6" t="s">
        <v>845</v>
      </c>
      <c r="H408" s="44" t="s">
        <v>284</v>
      </c>
      <c r="I408" s="44" t="s">
        <v>285</v>
      </c>
    </row>
    <row r="409" spans="1:9" ht="45" x14ac:dyDescent="0.25">
      <c r="A409" s="44" t="s">
        <v>281</v>
      </c>
      <c r="B409" s="6"/>
      <c r="C409" s="44" t="s">
        <v>1231</v>
      </c>
      <c r="D409" s="44" t="s">
        <v>1247</v>
      </c>
      <c r="E409" s="6">
        <v>15</v>
      </c>
      <c r="F409" s="6" t="s">
        <v>800</v>
      </c>
      <c r="G409" s="6" t="s">
        <v>984</v>
      </c>
      <c r="H409" s="44" t="s">
        <v>284</v>
      </c>
      <c r="I409" s="44" t="s">
        <v>285</v>
      </c>
    </row>
    <row r="410" spans="1:9" ht="45" x14ac:dyDescent="0.25">
      <c r="A410" s="44" t="s">
        <v>281</v>
      </c>
      <c r="B410" s="6"/>
      <c r="C410" s="44" t="s">
        <v>1231</v>
      </c>
      <c r="D410" s="44" t="s">
        <v>1248</v>
      </c>
      <c r="E410" s="6">
        <v>2</v>
      </c>
      <c r="F410" s="6">
        <v>450</v>
      </c>
      <c r="G410" s="6">
        <v>900</v>
      </c>
      <c r="H410" s="44" t="s">
        <v>284</v>
      </c>
      <c r="I410" s="44" t="s">
        <v>285</v>
      </c>
    </row>
    <row r="411" spans="1:9" ht="45" x14ac:dyDescent="0.25">
      <c r="A411" s="44" t="s">
        <v>281</v>
      </c>
      <c r="B411" s="6"/>
      <c r="C411" s="44" t="s">
        <v>1231</v>
      </c>
      <c r="D411" s="44" t="s">
        <v>1249</v>
      </c>
      <c r="E411" s="6">
        <v>10</v>
      </c>
      <c r="F411" s="6">
        <v>100</v>
      </c>
      <c r="G411" s="6" t="s">
        <v>726</v>
      </c>
      <c r="H411" s="44" t="s">
        <v>284</v>
      </c>
      <c r="I411" s="44" t="s">
        <v>285</v>
      </c>
    </row>
    <row r="412" spans="1:9" ht="45" x14ac:dyDescent="0.25">
      <c r="A412" s="44" t="s">
        <v>281</v>
      </c>
      <c r="B412" s="6"/>
      <c r="C412" s="44" t="s">
        <v>1231</v>
      </c>
      <c r="D412" s="44" t="s">
        <v>1250</v>
      </c>
      <c r="E412" s="6">
        <v>10</v>
      </c>
      <c r="F412" s="6">
        <v>65</v>
      </c>
      <c r="G412" s="6">
        <v>650</v>
      </c>
      <c r="H412" s="44" t="s">
        <v>284</v>
      </c>
      <c r="I412" s="44" t="s">
        <v>285</v>
      </c>
    </row>
    <row r="413" spans="1:9" ht="45" x14ac:dyDescent="0.25">
      <c r="A413" s="44" t="s">
        <v>281</v>
      </c>
      <c r="B413" s="6"/>
      <c r="C413" s="44" t="s">
        <v>1231</v>
      </c>
      <c r="D413" s="44" t="s">
        <v>1251</v>
      </c>
      <c r="E413" s="6">
        <v>10</v>
      </c>
      <c r="F413" s="6">
        <v>100</v>
      </c>
      <c r="G413" s="6" t="s">
        <v>726</v>
      </c>
      <c r="H413" s="44" t="s">
        <v>284</v>
      </c>
      <c r="I413" s="44" t="s">
        <v>285</v>
      </c>
    </row>
    <row r="414" spans="1:9" ht="45" x14ac:dyDescent="0.25">
      <c r="A414" s="44" t="s">
        <v>281</v>
      </c>
      <c r="B414" s="6"/>
      <c r="C414" s="44" t="s">
        <v>1231</v>
      </c>
      <c r="D414" s="44" t="s">
        <v>1252</v>
      </c>
      <c r="E414" s="6">
        <v>1</v>
      </c>
      <c r="F414" s="6" t="s">
        <v>923</v>
      </c>
      <c r="G414" s="6" t="s">
        <v>923</v>
      </c>
      <c r="H414" s="44" t="s">
        <v>284</v>
      </c>
      <c r="I414" s="44" t="s">
        <v>285</v>
      </c>
    </row>
    <row r="415" spans="1:9" ht="45" x14ac:dyDescent="0.25">
      <c r="A415" s="44" t="s">
        <v>281</v>
      </c>
      <c r="B415" s="6"/>
      <c r="C415" s="44" t="s">
        <v>1231</v>
      </c>
      <c r="D415" s="44" t="s">
        <v>1253</v>
      </c>
      <c r="E415" s="6">
        <v>15</v>
      </c>
      <c r="F415" s="6">
        <v>90</v>
      </c>
      <c r="G415" s="6" t="s">
        <v>1254</v>
      </c>
      <c r="H415" s="44" t="s">
        <v>284</v>
      </c>
      <c r="I415" s="44" t="s">
        <v>285</v>
      </c>
    </row>
    <row r="416" spans="1:9" ht="45" x14ac:dyDescent="0.25">
      <c r="A416" s="44" t="s">
        <v>281</v>
      </c>
      <c r="B416" s="6"/>
      <c r="C416" s="44" t="s">
        <v>1231</v>
      </c>
      <c r="D416" s="44" t="s">
        <v>1255</v>
      </c>
      <c r="E416" s="6">
        <v>5</v>
      </c>
      <c r="F416" s="6" t="s">
        <v>845</v>
      </c>
      <c r="G416" s="6" t="s">
        <v>883</v>
      </c>
      <c r="H416" s="44" t="s">
        <v>284</v>
      </c>
      <c r="I416" s="44" t="s">
        <v>285</v>
      </c>
    </row>
    <row r="417" spans="1:9" ht="45" x14ac:dyDescent="0.25">
      <c r="A417" s="44" t="s">
        <v>281</v>
      </c>
      <c r="B417" s="6"/>
      <c r="C417" s="44" t="s">
        <v>1231</v>
      </c>
      <c r="D417" s="44" t="s">
        <v>1256</v>
      </c>
      <c r="E417" s="6">
        <v>10</v>
      </c>
      <c r="F417" s="6">
        <v>800</v>
      </c>
      <c r="G417" s="6" t="s">
        <v>990</v>
      </c>
      <c r="H417" s="44" t="s">
        <v>284</v>
      </c>
      <c r="I417" s="44" t="s">
        <v>285</v>
      </c>
    </row>
    <row r="418" spans="1:9" ht="45" x14ac:dyDescent="0.25">
      <c r="A418" s="44" t="s">
        <v>281</v>
      </c>
      <c r="B418" s="6"/>
      <c r="C418" s="44" t="s">
        <v>1231</v>
      </c>
      <c r="D418" s="44" t="s">
        <v>1257</v>
      </c>
      <c r="E418" s="6">
        <v>1</v>
      </c>
      <c r="F418" s="6" t="s">
        <v>861</v>
      </c>
      <c r="G418" s="6" t="s">
        <v>861</v>
      </c>
      <c r="H418" s="44" t="s">
        <v>284</v>
      </c>
      <c r="I418" s="44" t="s">
        <v>285</v>
      </c>
    </row>
    <row r="419" spans="1:9" ht="45" x14ac:dyDescent="0.25">
      <c r="A419" s="44" t="s">
        <v>281</v>
      </c>
      <c r="B419" s="6"/>
      <c r="C419" s="44" t="s">
        <v>1231</v>
      </c>
      <c r="D419" s="44" t="s">
        <v>1258</v>
      </c>
      <c r="E419" s="6">
        <v>1</v>
      </c>
      <c r="F419" s="6" t="s">
        <v>1259</v>
      </c>
      <c r="G419" s="6" t="s">
        <v>1259</v>
      </c>
      <c r="H419" s="44" t="s">
        <v>284</v>
      </c>
      <c r="I419" s="44" t="s">
        <v>285</v>
      </c>
    </row>
    <row r="420" spans="1:9" ht="45" x14ac:dyDescent="0.25">
      <c r="A420" s="44" t="s">
        <v>281</v>
      </c>
      <c r="B420" s="6"/>
      <c r="C420" s="44" t="s">
        <v>1231</v>
      </c>
      <c r="D420" s="44" t="s">
        <v>1260</v>
      </c>
      <c r="E420" s="6">
        <v>1</v>
      </c>
      <c r="F420" s="6" t="s">
        <v>800</v>
      </c>
      <c r="G420" s="6" t="s">
        <v>800</v>
      </c>
      <c r="H420" s="44" t="s">
        <v>284</v>
      </c>
      <c r="I420" s="44" t="s">
        <v>285</v>
      </c>
    </row>
    <row r="421" spans="1:9" ht="45" x14ac:dyDescent="0.25">
      <c r="A421" s="44" t="s">
        <v>281</v>
      </c>
      <c r="B421" s="6"/>
      <c r="C421" s="44" t="s">
        <v>1231</v>
      </c>
      <c r="D421" s="44" t="s">
        <v>1261</v>
      </c>
      <c r="E421" s="6">
        <v>5</v>
      </c>
      <c r="F421" s="6">
        <v>300</v>
      </c>
      <c r="G421" s="6" t="s">
        <v>800</v>
      </c>
      <c r="H421" s="44" t="s">
        <v>284</v>
      </c>
      <c r="I421" s="44" t="s">
        <v>285</v>
      </c>
    </row>
    <row r="422" spans="1:9" ht="60" x14ac:dyDescent="0.25">
      <c r="A422" s="44" t="s">
        <v>281</v>
      </c>
      <c r="B422" s="6"/>
      <c r="C422" s="44" t="s">
        <v>1231</v>
      </c>
      <c r="D422" s="44" t="s">
        <v>1262</v>
      </c>
      <c r="E422" s="6">
        <v>1</v>
      </c>
      <c r="F422" s="6">
        <v>13.5</v>
      </c>
      <c r="G422" s="6">
        <v>13.5</v>
      </c>
      <c r="H422" s="44" t="s">
        <v>284</v>
      </c>
      <c r="I422" s="44" t="s">
        <v>285</v>
      </c>
    </row>
    <row r="423" spans="1:9" ht="45" x14ac:dyDescent="0.25">
      <c r="A423" s="44" t="s">
        <v>281</v>
      </c>
      <c r="B423" s="6"/>
      <c r="C423" s="44" t="s">
        <v>1231</v>
      </c>
      <c r="D423" s="44" t="s">
        <v>1263</v>
      </c>
      <c r="E423" s="6">
        <v>1</v>
      </c>
      <c r="F423" s="6">
        <v>300</v>
      </c>
      <c r="G423" s="6">
        <v>300</v>
      </c>
      <c r="H423" s="44" t="s">
        <v>284</v>
      </c>
      <c r="I423" s="44" t="s">
        <v>285</v>
      </c>
    </row>
    <row r="424" spans="1:9" ht="45" x14ac:dyDescent="0.25">
      <c r="A424" s="44" t="s">
        <v>281</v>
      </c>
      <c r="B424" s="6"/>
      <c r="C424" s="44" t="s">
        <v>1231</v>
      </c>
      <c r="D424" s="44" t="s">
        <v>1264</v>
      </c>
      <c r="E424" s="6">
        <v>1</v>
      </c>
      <c r="F424" s="6" t="s">
        <v>736</v>
      </c>
      <c r="G424" s="6" t="s">
        <v>736</v>
      </c>
      <c r="H424" s="44" t="s">
        <v>284</v>
      </c>
      <c r="I424" s="44" t="s">
        <v>285</v>
      </c>
    </row>
    <row r="425" spans="1:9" ht="45" x14ac:dyDescent="0.25">
      <c r="A425" s="44" t="s">
        <v>281</v>
      </c>
      <c r="B425" s="6"/>
      <c r="C425" s="44" t="s">
        <v>1231</v>
      </c>
      <c r="D425" s="44" t="s">
        <v>1265</v>
      </c>
      <c r="E425" s="6">
        <v>1</v>
      </c>
      <c r="F425" s="6">
        <v>150</v>
      </c>
      <c r="G425" s="6">
        <v>150</v>
      </c>
      <c r="H425" s="44" t="s">
        <v>284</v>
      </c>
      <c r="I425" s="44" t="s">
        <v>285</v>
      </c>
    </row>
    <row r="426" spans="1:9" ht="45" x14ac:dyDescent="0.25">
      <c r="A426" s="44" t="s">
        <v>281</v>
      </c>
      <c r="B426" s="6"/>
      <c r="C426" s="44" t="s">
        <v>1231</v>
      </c>
      <c r="D426" s="44" t="s">
        <v>1266</v>
      </c>
      <c r="E426" s="6">
        <v>5</v>
      </c>
      <c r="F426" s="6" t="s">
        <v>814</v>
      </c>
      <c r="G426" s="6" t="s">
        <v>680</v>
      </c>
      <c r="H426" s="44" t="s">
        <v>284</v>
      </c>
      <c r="I426" s="44" t="s">
        <v>285</v>
      </c>
    </row>
    <row r="427" spans="1:9" ht="45" x14ac:dyDescent="0.25">
      <c r="A427" s="44" t="s">
        <v>281</v>
      </c>
      <c r="B427" s="6"/>
      <c r="C427" s="44" t="s">
        <v>1231</v>
      </c>
      <c r="D427" s="44" t="s">
        <v>1267</v>
      </c>
      <c r="E427" s="6">
        <v>1</v>
      </c>
      <c r="F427" s="6">
        <v>0</v>
      </c>
      <c r="G427" s="6">
        <v>0</v>
      </c>
      <c r="H427" s="44" t="s">
        <v>284</v>
      </c>
      <c r="I427" s="44" t="s">
        <v>285</v>
      </c>
    </row>
    <row r="428" spans="1:9" ht="45" x14ac:dyDescent="0.25">
      <c r="A428" s="44" t="s">
        <v>281</v>
      </c>
      <c r="B428" s="6"/>
      <c r="C428" s="44" t="s">
        <v>1231</v>
      </c>
      <c r="D428" s="44" t="s">
        <v>1268</v>
      </c>
      <c r="E428" s="6">
        <v>8</v>
      </c>
      <c r="F428" s="6">
        <v>500</v>
      </c>
      <c r="G428" s="6" t="s">
        <v>845</v>
      </c>
      <c r="H428" s="44" t="s">
        <v>284</v>
      </c>
      <c r="I428" s="44" t="s">
        <v>285</v>
      </c>
    </row>
    <row r="429" spans="1:9" ht="45" x14ac:dyDescent="0.25">
      <c r="A429" s="44" t="s">
        <v>281</v>
      </c>
      <c r="B429" s="6"/>
      <c r="C429" s="44" t="s">
        <v>1231</v>
      </c>
      <c r="D429" s="44" t="s">
        <v>1269</v>
      </c>
      <c r="E429" s="6">
        <v>1</v>
      </c>
      <c r="F429" s="6" t="s">
        <v>726</v>
      </c>
      <c r="G429" s="6" t="s">
        <v>726</v>
      </c>
      <c r="H429" s="44" t="s">
        <v>284</v>
      </c>
      <c r="I429" s="44" t="s">
        <v>285</v>
      </c>
    </row>
    <row r="430" spans="1:9" ht="45" x14ac:dyDescent="0.25">
      <c r="A430" s="44" t="s">
        <v>281</v>
      </c>
      <c r="B430" s="6"/>
      <c r="C430" s="44" t="s">
        <v>1231</v>
      </c>
      <c r="D430" s="44" t="s">
        <v>1270</v>
      </c>
      <c r="E430" s="6">
        <v>1</v>
      </c>
      <c r="F430" s="6" t="s">
        <v>814</v>
      </c>
      <c r="G430" s="6" t="s">
        <v>814</v>
      </c>
      <c r="H430" s="44" t="s">
        <v>284</v>
      </c>
      <c r="I430" s="44" t="s">
        <v>285</v>
      </c>
    </row>
    <row r="431" spans="1:9" ht="45" x14ac:dyDescent="0.25">
      <c r="A431" s="44" t="s">
        <v>281</v>
      </c>
      <c r="B431" s="6"/>
      <c r="C431" s="44" t="s">
        <v>1231</v>
      </c>
      <c r="D431" s="44" t="s">
        <v>1271</v>
      </c>
      <c r="E431" s="6">
        <v>10</v>
      </c>
      <c r="F431" s="6">
        <v>45</v>
      </c>
      <c r="G431" s="6">
        <v>450</v>
      </c>
      <c r="H431" s="44" t="s">
        <v>284</v>
      </c>
      <c r="I431" s="44" t="s">
        <v>285</v>
      </c>
    </row>
    <row r="432" spans="1:9" ht="45" x14ac:dyDescent="0.25">
      <c r="A432" s="44" t="s">
        <v>281</v>
      </c>
      <c r="B432" s="6"/>
      <c r="C432" s="44" t="s">
        <v>1231</v>
      </c>
      <c r="D432" s="44" t="s">
        <v>1272</v>
      </c>
      <c r="E432" s="6">
        <v>1</v>
      </c>
      <c r="F432" s="6" t="s">
        <v>883</v>
      </c>
      <c r="G432" s="6" t="s">
        <v>883</v>
      </c>
      <c r="H432" s="44" t="s">
        <v>284</v>
      </c>
      <c r="I432" s="44" t="s">
        <v>285</v>
      </c>
    </row>
    <row r="433" spans="1:9" ht="60" x14ac:dyDescent="0.25">
      <c r="A433" s="44" t="s">
        <v>353</v>
      </c>
      <c r="B433" s="6"/>
      <c r="C433" s="44" t="s">
        <v>1231</v>
      </c>
      <c r="D433" s="44"/>
      <c r="E433" s="6">
        <v>5</v>
      </c>
      <c r="F433" s="6" t="s">
        <v>999</v>
      </c>
      <c r="G433" s="6" t="s">
        <v>676</v>
      </c>
      <c r="H433" s="44" t="s">
        <v>360</v>
      </c>
      <c r="I433" s="44" t="s">
        <v>361</v>
      </c>
    </row>
    <row r="434" spans="1:9" ht="45" x14ac:dyDescent="0.25">
      <c r="A434" s="44" t="s">
        <v>70</v>
      </c>
      <c r="B434" s="6"/>
      <c r="C434" s="44" t="s">
        <v>1273</v>
      </c>
      <c r="D434" s="44" t="s">
        <v>1274</v>
      </c>
      <c r="E434" s="6">
        <v>1</v>
      </c>
      <c r="F434" s="6" t="s">
        <v>999</v>
      </c>
      <c r="G434" s="6" t="s">
        <v>999</v>
      </c>
      <c r="H434" s="44" t="s">
        <v>73</v>
      </c>
      <c r="I434" s="44" t="s">
        <v>74</v>
      </c>
    </row>
    <row r="435" spans="1:9" ht="45" x14ac:dyDescent="0.25">
      <c r="A435" s="44" t="s">
        <v>70</v>
      </c>
      <c r="B435" s="6"/>
      <c r="C435" s="44" t="s">
        <v>1273</v>
      </c>
      <c r="D435" s="44" t="s">
        <v>986</v>
      </c>
      <c r="E435" s="6">
        <v>1</v>
      </c>
      <c r="F435" s="6" t="s">
        <v>1275</v>
      </c>
      <c r="G435" s="6" t="s">
        <v>1275</v>
      </c>
      <c r="H435" s="44" t="s">
        <v>73</v>
      </c>
      <c r="I435" s="44" t="s">
        <v>74</v>
      </c>
    </row>
    <row r="436" spans="1:9" ht="45" x14ac:dyDescent="0.25">
      <c r="A436" s="44" t="s">
        <v>70</v>
      </c>
      <c r="B436" s="6"/>
      <c r="C436" s="44" t="s">
        <v>1273</v>
      </c>
      <c r="D436" s="44" t="s">
        <v>1276</v>
      </c>
      <c r="E436" s="6">
        <v>13</v>
      </c>
      <c r="F436" s="6">
        <v>50</v>
      </c>
      <c r="G436" s="6">
        <v>650</v>
      </c>
      <c r="H436" s="44" t="s">
        <v>73</v>
      </c>
      <c r="I436" s="44" t="s">
        <v>74</v>
      </c>
    </row>
    <row r="437" spans="1:9" ht="45" x14ac:dyDescent="0.25">
      <c r="A437" s="44" t="s">
        <v>70</v>
      </c>
      <c r="B437" s="6"/>
      <c r="C437" s="44" t="s">
        <v>1273</v>
      </c>
      <c r="D437" s="44" t="s">
        <v>1277</v>
      </c>
      <c r="E437" s="6">
        <v>1</v>
      </c>
      <c r="F437" s="6" t="s">
        <v>794</v>
      </c>
      <c r="G437" s="6" t="s">
        <v>794</v>
      </c>
      <c r="H437" s="44" t="s">
        <v>73</v>
      </c>
      <c r="I437" s="44" t="s">
        <v>74</v>
      </c>
    </row>
    <row r="438" spans="1:9" ht="45" x14ac:dyDescent="0.25">
      <c r="A438" s="44" t="s">
        <v>136</v>
      </c>
      <c r="B438" s="6"/>
      <c r="C438" s="44" t="s">
        <v>1273</v>
      </c>
      <c r="D438" s="44" t="s">
        <v>1278</v>
      </c>
      <c r="E438" s="6">
        <v>2</v>
      </c>
      <c r="F438" s="6">
        <v>650</v>
      </c>
      <c r="G438" s="6" t="s">
        <v>1279</v>
      </c>
      <c r="H438" s="44" t="s">
        <v>142</v>
      </c>
      <c r="I438" s="44" t="s">
        <v>143</v>
      </c>
    </row>
    <row r="439" spans="1:9" ht="45" x14ac:dyDescent="0.25">
      <c r="A439" s="44" t="s">
        <v>136</v>
      </c>
      <c r="B439" s="6"/>
      <c r="C439" s="44" t="s">
        <v>1273</v>
      </c>
      <c r="D439" s="44" t="s">
        <v>1280</v>
      </c>
      <c r="E439" s="6">
        <v>1</v>
      </c>
      <c r="F439" s="6" t="s">
        <v>1281</v>
      </c>
      <c r="G439" s="6" t="s">
        <v>1281</v>
      </c>
      <c r="H439" s="44" t="s">
        <v>144</v>
      </c>
      <c r="I439" s="44" t="s">
        <v>145</v>
      </c>
    </row>
    <row r="440" spans="1:9" ht="75" x14ac:dyDescent="0.25">
      <c r="A440" s="44" t="s">
        <v>148</v>
      </c>
      <c r="B440" s="6"/>
      <c r="C440" s="44" t="s">
        <v>1273</v>
      </c>
      <c r="D440" s="44" t="s">
        <v>1282</v>
      </c>
      <c r="E440" s="6">
        <v>1</v>
      </c>
      <c r="F440" s="6" t="s">
        <v>838</v>
      </c>
      <c r="G440" s="6" t="s">
        <v>838</v>
      </c>
      <c r="H440" s="44" t="s">
        <v>154</v>
      </c>
      <c r="I440" s="44" t="s">
        <v>155</v>
      </c>
    </row>
    <row r="441" spans="1:9" ht="75" x14ac:dyDescent="0.25">
      <c r="A441" s="44" t="s">
        <v>148</v>
      </c>
      <c r="B441" s="6"/>
      <c r="C441" s="44" t="s">
        <v>1273</v>
      </c>
      <c r="D441" s="44" t="s">
        <v>1283</v>
      </c>
      <c r="E441" s="6">
        <v>3</v>
      </c>
      <c r="F441" s="6" t="s">
        <v>736</v>
      </c>
      <c r="G441" s="6" t="s">
        <v>1284</v>
      </c>
      <c r="H441" s="44" t="s">
        <v>154</v>
      </c>
      <c r="I441" s="44" t="s">
        <v>155</v>
      </c>
    </row>
    <row r="442" spans="1:9" ht="75" x14ac:dyDescent="0.25">
      <c r="A442" s="44" t="s">
        <v>166</v>
      </c>
      <c r="B442" s="6"/>
      <c r="C442" s="44" t="s">
        <v>1273</v>
      </c>
      <c r="D442" s="44" t="s">
        <v>1285</v>
      </c>
      <c r="E442" s="6">
        <v>1</v>
      </c>
      <c r="F442" s="6" t="s">
        <v>883</v>
      </c>
      <c r="G442" s="6" t="s">
        <v>883</v>
      </c>
      <c r="H442" s="44" t="s">
        <v>172</v>
      </c>
      <c r="I442" s="44" t="s">
        <v>173</v>
      </c>
    </row>
    <row r="443" spans="1:9" ht="45" x14ac:dyDescent="0.25">
      <c r="A443" s="44" t="s">
        <v>274</v>
      </c>
      <c r="B443" s="6"/>
      <c r="C443" s="44" t="s">
        <v>1273</v>
      </c>
      <c r="D443" s="44" t="s">
        <v>1286</v>
      </c>
      <c r="E443" s="6">
        <v>20</v>
      </c>
      <c r="F443" s="6">
        <v>150</v>
      </c>
      <c r="G443" s="6" t="s">
        <v>736</v>
      </c>
      <c r="H443" s="44" t="s">
        <v>277</v>
      </c>
      <c r="I443" s="44" t="s">
        <v>278</v>
      </c>
    </row>
    <row r="444" spans="1:9" ht="45" x14ac:dyDescent="0.25">
      <c r="A444" s="44" t="s">
        <v>274</v>
      </c>
      <c r="B444" s="6"/>
      <c r="C444" s="44" t="s">
        <v>1273</v>
      </c>
      <c r="D444" s="44" t="s">
        <v>1287</v>
      </c>
      <c r="E444" s="6">
        <v>1</v>
      </c>
      <c r="F444" s="6" t="s">
        <v>981</v>
      </c>
      <c r="G444" s="6" t="s">
        <v>981</v>
      </c>
      <c r="H444" s="44" t="s">
        <v>277</v>
      </c>
      <c r="I444" s="44" t="s">
        <v>278</v>
      </c>
    </row>
    <row r="445" spans="1:9" ht="45" x14ac:dyDescent="0.25">
      <c r="A445" s="44" t="s">
        <v>274</v>
      </c>
      <c r="B445" s="6"/>
      <c r="C445" s="44" t="s">
        <v>1273</v>
      </c>
      <c r="D445" s="44" t="s">
        <v>1288</v>
      </c>
      <c r="E445" s="6">
        <v>20</v>
      </c>
      <c r="F445" s="6">
        <v>150</v>
      </c>
      <c r="G445" s="6" t="s">
        <v>736</v>
      </c>
      <c r="H445" s="44" t="s">
        <v>277</v>
      </c>
      <c r="I445" s="44" t="s">
        <v>278</v>
      </c>
    </row>
    <row r="446" spans="1:9" ht="45" x14ac:dyDescent="0.25">
      <c r="A446" s="44" t="s">
        <v>274</v>
      </c>
      <c r="B446" s="6"/>
      <c r="C446" s="44" t="s">
        <v>1273</v>
      </c>
      <c r="D446" s="44" t="s">
        <v>1289</v>
      </c>
      <c r="E446" s="6">
        <v>5</v>
      </c>
      <c r="F446" s="6" t="s">
        <v>678</v>
      </c>
      <c r="G446" s="6" t="s">
        <v>999</v>
      </c>
      <c r="H446" s="44" t="s">
        <v>277</v>
      </c>
      <c r="I446" s="44" t="s">
        <v>278</v>
      </c>
    </row>
    <row r="447" spans="1:9" ht="45" x14ac:dyDescent="0.25">
      <c r="A447" s="44" t="s">
        <v>274</v>
      </c>
      <c r="B447" s="6"/>
      <c r="C447" s="44" t="s">
        <v>1273</v>
      </c>
      <c r="D447" s="44" t="s">
        <v>1290</v>
      </c>
      <c r="E447" s="6">
        <v>1</v>
      </c>
      <c r="F447" s="6" t="s">
        <v>736</v>
      </c>
      <c r="G447" s="6" t="s">
        <v>736</v>
      </c>
      <c r="H447" s="44" t="s">
        <v>277</v>
      </c>
      <c r="I447" s="44" t="s">
        <v>278</v>
      </c>
    </row>
    <row r="448" spans="1:9" ht="45" x14ac:dyDescent="0.25">
      <c r="A448" s="44" t="s">
        <v>274</v>
      </c>
      <c r="B448" s="6"/>
      <c r="C448" s="44" t="s">
        <v>1273</v>
      </c>
      <c r="D448" s="44" t="s">
        <v>1291</v>
      </c>
      <c r="E448" s="6">
        <v>5</v>
      </c>
      <c r="F448" s="6" t="s">
        <v>845</v>
      </c>
      <c r="G448" s="6" t="s">
        <v>883</v>
      </c>
      <c r="H448" s="44" t="s">
        <v>277</v>
      </c>
      <c r="I448" s="44" t="s">
        <v>278</v>
      </c>
    </row>
    <row r="449" spans="1:9" ht="45" x14ac:dyDescent="0.25">
      <c r="A449" s="44" t="s">
        <v>274</v>
      </c>
      <c r="B449" s="6"/>
      <c r="C449" s="44" t="s">
        <v>1273</v>
      </c>
      <c r="D449" s="44" t="s">
        <v>1292</v>
      </c>
      <c r="E449" s="6">
        <v>1</v>
      </c>
      <c r="F449" s="6" t="s">
        <v>726</v>
      </c>
      <c r="G449" s="6" t="s">
        <v>726</v>
      </c>
      <c r="H449" s="44" t="s">
        <v>277</v>
      </c>
      <c r="I449" s="44" t="s">
        <v>278</v>
      </c>
    </row>
    <row r="450" spans="1:9" ht="45" x14ac:dyDescent="0.25">
      <c r="A450" s="44" t="s">
        <v>274</v>
      </c>
      <c r="B450" s="6"/>
      <c r="C450" s="44" t="s">
        <v>1273</v>
      </c>
      <c r="D450" s="44" t="s">
        <v>1293</v>
      </c>
      <c r="E450" s="6">
        <v>1</v>
      </c>
      <c r="F450" s="6" t="s">
        <v>987</v>
      </c>
      <c r="G450" s="6" t="s">
        <v>987</v>
      </c>
      <c r="H450" s="44" t="s">
        <v>277</v>
      </c>
      <c r="I450" s="44" t="s">
        <v>278</v>
      </c>
    </row>
    <row r="451" spans="1:9" ht="45" x14ac:dyDescent="0.25">
      <c r="A451" s="44" t="s">
        <v>274</v>
      </c>
      <c r="B451" s="6"/>
      <c r="C451" s="44" t="s">
        <v>1273</v>
      </c>
      <c r="D451" s="44" t="s">
        <v>1294</v>
      </c>
      <c r="E451" s="6">
        <v>5</v>
      </c>
      <c r="F451" s="6" t="s">
        <v>845</v>
      </c>
      <c r="G451" s="6" t="s">
        <v>883</v>
      </c>
      <c r="H451" s="44" t="s">
        <v>277</v>
      </c>
      <c r="I451" s="44" t="s">
        <v>278</v>
      </c>
    </row>
    <row r="452" spans="1:9" ht="45" x14ac:dyDescent="0.25">
      <c r="A452" s="44" t="s">
        <v>274</v>
      </c>
      <c r="B452" s="6"/>
      <c r="C452" s="44" t="s">
        <v>1273</v>
      </c>
      <c r="D452" s="44" t="s">
        <v>1286</v>
      </c>
      <c r="E452" s="6">
        <v>20</v>
      </c>
      <c r="F452" s="6" t="s">
        <v>736</v>
      </c>
      <c r="G452" s="6" t="s">
        <v>1295</v>
      </c>
      <c r="H452" s="44" t="s">
        <v>277</v>
      </c>
      <c r="I452" s="44" t="s">
        <v>278</v>
      </c>
    </row>
    <row r="453" spans="1:9" ht="135" x14ac:dyDescent="0.25">
      <c r="A453" s="44" t="s">
        <v>274</v>
      </c>
      <c r="B453" s="6"/>
      <c r="C453" s="44" t="s">
        <v>1273</v>
      </c>
      <c r="D453" s="44" t="s">
        <v>1296</v>
      </c>
      <c r="E453" s="6">
        <v>10</v>
      </c>
      <c r="F453" s="6" t="s">
        <v>796</v>
      </c>
      <c r="G453" s="6" t="s">
        <v>981</v>
      </c>
      <c r="H453" s="44" t="s">
        <v>277</v>
      </c>
      <c r="I453" s="44" t="s">
        <v>278</v>
      </c>
    </row>
    <row r="454" spans="1:9" ht="45" x14ac:dyDescent="0.25">
      <c r="A454" s="44" t="s">
        <v>274</v>
      </c>
      <c r="B454" s="6"/>
      <c r="C454" s="44" t="s">
        <v>1273</v>
      </c>
      <c r="D454" s="44" t="s">
        <v>1297</v>
      </c>
      <c r="E454" s="6">
        <v>2</v>
      </c>
      <c r="F454" s="6" t="s">
        <v>1298</v>
      </c>
      <c r="G454" s="6" t="s">
        <v>987</v>
      </c>
      <c r="H454" s="44" t="s">
        <v>277</v>
      </c>
      <c r="I454" s="44" t="s">
        <v>278</v>
      </c>
    </row>
    <row r="455" spans="1:9" ht="45" x14ac:dyDescent="0.25">
      <c r="A455" s="44" t="s">
        <v>274</v>
      </c>
      <c r="B455" s="6"/>
      <c r="C455" s="44" t="s">
        <v>1273</v>
      </c>
      <c r="D455" s="44" t="s">
        <v>1299</v>
      </c>
      <c r="E455" s="6">
        <v>4</v>
      </c>
      <c r="F455" s="6" t="s">
        <v>1298</v>
      </c>
      <c r="G455" s="6" t="s">
        <v>999</v>
      </c>
      <c r="H455" s="44" t="s">
        <v>277</v>
      </c>
      <c r="I455" s="44" t="s">
        <v>278</v>
      </c>
    </row>
    <row r="456" spans="1:9" ht="45" x14ac:dyDescent="0.25">
      <c r="A456" s="44" t="s">
        <v>274</v>
      </c>
      <c r="B456" s="6"/>
      <c r="C456" s="44" t="s">
        <v>1273</v>
      </c>
      <c r="D456" s="44" t="s">
        <v>1300</v>
      </c>
      <c r="E456" s="6">
        <v>1</v>
      </c>
      <c r="F456" s="6" t="s">
        <v>883</v>
      </c>
      <c r="G456" s="6" t="s">
        <v>883</v>
      </c>
      <c r="H456" s="44" t="s">
        <v>277</v>
      </c>
      <c r="I456" s="44" t="s">
        <v>278</v>
      </c>
    </row>
    <row r="457" spans="1:9" ht="45" x14ac:dyDescent="0.25">
      <c r="A457" s="44" t="s">
        <v>274</v>
      </c>
      <c r="B457" s="6"/>
      <c r="C457" s="44" t="s">
        <v>1273</v>
      </c>
      <c r="D457" s="44" t="s">
        <v>1301</v>
      </c>
      <c r="E457" s="6">
        <v>10</v>
      </c>
      <c r="F457" s="6" t="s">
        <v>726</v>
      </c>
      <c r="G457" s="6" t="s">
        <v>680</v>
      </c>
      <c r="H457" s="44" t="s">
        <v>277</v>
      </c>
      <c r="I457" s="44" t="s">
        <v>278</v>
      </c>
    </row>
    <row r="458" spans="1:9" ht="90" x14ac:dyDescent="0.25">
      <c r="A458" s="44" t="s">
        <v>281</v>
      </c>
      <c r="B458" s="6"/>
      <c r="C458" s="44" t="s">
        <v>1273</v>
      </c>
      <c r="D458" s="44" t="s">
        <v>1302</v>
      </c>
      <c r="E458" s="6">
        <v>1</v>
      </c>
      <c r="F458" s="6" t="s">
        <v>712</v>
      </c>
      <c r="G458" s="6" t="s">
        <v>712</v>
      </c>
      <c r="H458" s="44" t="s">
        <v>284</v>
      </c>
      <c r="I458" s="44" t="s">
        <v>285</v>
      </c>
    </row>
    <row r="459" spans="1:9" ht="75" x14ac:dyDescent="0.25">
      <c r="A459" s="44" t="s">
        <v>281</v>
      </c>
      <c r="B459" s="6"/>
      <c r="C459" s="44" t="s">
        <v>1273</v>
      </c>
      <c r="D459" s="44" t="s">
        <v>1303</v>
      </c>
      <c r="E459" s="6">
        <v>1</v>
      </c>
      <c r="F459" s="6">
        <v>20</v>
      </c>
      <c r="G459" s="6">
        <v>20</v>
      </c>
      <c r="H459" s="44" t="s">
        <v>284</v>
      </c>
      <c r="I459" s="44" t="s">
        <v>285</v>
      </c>
    </row>
    <row r="460" spans="1:9" ht="45" x14ac:dyDescent="0.25">
      <c r="A460" s="44" t="s">
        <v>281</v>
      </c>
      <c r="B460" s="6"/>
      <c r="C460" s="44" t="s">
        <v>1273</v>
      </c>
      <c r="D460" s="44" t="s">
        <v>1304</v>
      </c>
      <c r="E460" s="6">
        <v>10</v>
      </c>
      <c r="F460" s="6">
        <v>300</v>
      </c>
      <c r="G460" s="6" t="s">
        <v>736</v>
      </c>
      <c r="H460" s="44" t="s">
        <v>284</v>
      </c>
      <c r="I460" s="44" t="s">
        <v>285</v>
      </c>
    </row>
    <row r="461" spans="1:9" ht="45" x14ac:dyDescent="0.25">
      <c r="A461" s="44" t="s">
        <v>281</v>
      </c>
      <c r="B461" s="6"/>
      <c r="C461" s="44" t="s">
        <v>1273</v>
      </c>
      <c r="D461" s="44" t="s">
        <v>1305</v>
      </c>
      <c r="E461" s="6">
        <v>2</v>
      </c>
      <c r="F461" s="6" t="s">
        <v>736</v>
      </c>
      <c r="G461" s="6" t="s">
        <v>678</v>
      </c>
      <c r="H461" s="44" t="s">
        <v>284</v>
      </c>
      <c r="I461" s="44" t="s">
        <v>285</v>
      </c>
    </row>
    <row r="462" spans="1:9" ht="45" x14ac:dyDescent="0.25">
      <c r="A462" s="44" t="s">
        <v>281</v>
      </c>
      <c r="B462" s="6"/>
      <c r="C462" s="44" t="s">
        <v>1273</v>
      </c>
      <c r="D462" s="44" t="s">
        <v>1306</v>
      </c>
      <c r="E462" s="6">
        <v>2</v>
      </c>
      <c r="F462" s="6" t="s">
        <v>800</v>
      </c>
      <c r="G462" s="6" t="s">
        <v>736</v>
      </c>
      <c r="H462" s="44" t="s">
        <v>284</v>
      </c>
      <c r="I462" s="44" t="s">
        <v>285</v>
      </c>
    </row>
    <row r="463" spans="1:9" ht="45" x14ac:dyDescent="0.25">
      <c r="A463" s="44" t="s">
        <v>305</v>
      </c>
      <c r="B463" s="6"/>
      <c r="C463" s="44" t="s">
        <v>1273</v>
      </c>
      <c r="D463" s="44" t="s">
        <v>1307</v>
      </c>
      <c r="E463" s="6">
        <v>6</v>
      </c>
      <c r="F463" s="6">
        <v>40.799999999999997</v>
      </c>
      <c r="G463" s="6">
        <v>244.8</v>
      </c>
      <c r="H463" s="44" t="s">
        <v>308</v>
      </c>
      <c r="I463" s="44" t="s">
        <v>309</v>
      </c>
    </row>
    <row r="464" spans="1:9" ht="45" x14ac:dyDescent="0.25">
      <c r="A464" s="44" t="s">
        <v>305</v>
      </c>
      <c r="B464" s="6"/>
      <c r="C464" s="44" t="s">
        <v>1273</v>
      </c>
      <c r="D464" s="44" t="s">
        <v>1308</v>
      </c>
      <c r="E464" s="6">
        <v>6</v>
      </c>
      <c r="F464" s="6" t="s">
        <v>814</v>
      </c>
      <c r="G464" s="6" t="s">
        <v>838</v>
      </c>
      <c r="H464" s="44" t="s">
        <v>308</v>
      </c>
      <c r="I464" s="44" t="s">
        <v>309</v>
      </c>
    </row>
    <row r="465" spans="1:9" ht="45" x14ac:dyDescent="0.25">
      <c r="A465" s="44" t="s">
        <v>305</v>
      </c>
      <c r="B465" s="6"/>
      <c r="C465" s="44" t="s">
        <v>1273</v>
      </c>
      <c r="D465" s="44" t="s">
        <v>1309</v>
      </c>
      <c r="E465" s="6">
        <v>5</v>
      </c>
      <c r="F465" s="6">
        <v>33.799999999999997</v>
      </c>
      <c r="G465" s="6">
        <v>169</v>
      </c>
      <c r="H465" s="44" t="s">
        <v>308</v>
      </c>
      <c r="I465" s="44" t="s">
        <v>309</v>
      </c>
    </row>
    <row r="466" spans="1:9" ht="60" x14ac:dyDescent="0.25">
      <c r="A466" s="44" t="s">
        <v>305</v>
      </c>
      <c r="B466" s="6"/>
      <c r="C466" s="44" t="s">
        <v>1273</v>
      </c>
      <c r="D466" s="44" t="s">
        <v>1310</v>
      </c>
      <c r="E466" s="6">
        <v>2</v>
      </c>
      <c r="F466" s="6">
        <v>129.30000000000001</v>
      </c>
      <c r="G466" s="6">
        <v>258.60000000000002</v>
      </c>
      <c r="H466" s="44" t="s">
        <v>308</v>
      </c>
      <c r="I466" s="44" t="s">
        <v>309</v>
      </c>
    </row>
    <row r="467" spans="1:9" ht="75" x14ac:dyDescent="0.25">
      <c r="A467" s="44" t="s">
        <v>305</v>
      </c>
      <c r="B467" s="6"/>
      <c r="C467" s="44" t="s">
        <v>1273</v>
      </c>
      <c r="D467" s="44" t="s">
        <v>1311</v>
      </c>
      <c r="E467" s="6">
        <v>1</v>
      </c>
      <c r="F467" s="6" t="s">
        <v>993</v>
      </c>
      <c r="G467" s="6" t="s">
        <v>993</v>
      </c>
      <c r="H467" s="44" t="s">
        <v>308</v>
      </c>
      <c r="I467" s="44" t="s">
        <v>309</v>
      </c>
    </row>
    <row r="468" spans="1:9" ht="45" x14ac:dyDescent="0.25">
      <c r="A468" s="44" t="s">
        <v>305</v>
      </c>
      <c r="B468" s="6"/>
      <c r="C468" s="44" t="s">
        <v>1273</v>
      </c>
      <c r="D468" s="44" t="s">
        <v>1312</v>
      </c>
      <c r="E468" s="6">
        <v>3</v>
      </c>
      <c r="F468" s="6">
        <v>180</v>
      </c>
      <c r="G468" s="6">
        <v>540</v>
      </c>
      <c r="H468" s="44" t="s">
        <v>308</v>
      </c>
      <c r="I468" s="44" t="s">
        <v>309</v>
      </c>
    </row>
    <row r="469" spans="1:9" ht="45" x14ac:dyDescent="0.25">
      <c r="A469" s="44" t="s">
        <v>305</v>
      </c>
      <c r="B469" s="6"/>
      <c r="C469" s="44" t="s">
        <v>1273</v>
      </c>
      <c r="D469" s="44" t="s">
        <v>1313</v>
      </c>
      <c r="E469" s="6">
        <v>2</v>
      </c>
      <c r="F469" s="6">
        <v>90</v>
      </c>
      <c r="G469" s="6">
        <v>180</v>
      </c>
      <c r="H469" s="44" t="s">
        <v>308</v>
      </c>
      <c r="I469" s="44" t="s">
        <v>309</v>
      </c>
    </row>
    <row r="470" spans="1:9" ht="210" x14ac:dyDescent="0.25">
      <c r="A470" s="44" t="s">
        <v>305</v>
      </c>
      <c r="B470" s="6"/>
      <c r="C470" s="44" t="s">
        <v>1273</v>
      </c>
      <c r="D470" s="44" t="s">
        <v>1314</v>
      </c>
      <c r="E470" s="6">
        <v>1</v>
      </c>
      <c r="F470" s="6" t="s">
        <v>1315</v>
      </c>
      <c r="G470" s="6" t="s">
        <v>1315</v>
      </c>
      <c r="H470" s="44" t="s">
        <v>308</v>
      </c>
      <c r="I470" s="44" t="s">
        <v>309</v>
      </c>
    </row>
    <row r="471" spans="1:9" ht="45" x14ac:dyDescent="0.25">
      <c r="A471" s="44" t="s">
        <v>305</v>
      </c>
      <c r="B471" s="6"/>
      <c r="C471" s="44" t="s">
        <v>1273</v>
      </c>
      <c r="D471" s="44" t="s">
        <v>1316</v>
      </c>
      <c r="E471" s="6">
        <v>1</v>
      </c>
      <c r="F471" s="6" t="s">
        <v>1317</v>
      </c>
      <c r="G471" s="6" t="s">
        <v>1317</v>
      </c>
      <c r="H471" s="44" t="s">
        <v>308</v>
      </c>
      <c r="I471" s="44" t="s">
        <v>309</v>
      </c>
    </row>
    <row r="472" spans="1:9" ht="45" x14ac:dyDescent="0.25">
      <c r="A472" s="44" t="s">
        <v>305</v>
      </c>
      <c r="B472" s="6"/>
      <c r="C472" s="44" t="s">
        <v>1273</v>
      </c>
      <c r="D472" s="44" t="s">
        <v>1318</v>
      </c>
      <c r="E472" s="6">
        <v>8</v>
      </c>
      <c r="F472" s="6">
        <v>300</v>
      </c>
      <c r="G472" s="6" t="s">
        <v>867</v>
      </c>
      <c r="H472" s="44" t="s">
        <v>308</v>
      </c>
      <c r="I472" s="44" t="s">
        <v>309</v>
      </c>
    </row>
    <row r="473" spans="1:9" ht="45" x14ac:dyDescent="0.25">
      <c r="A473" s="44" t="s">
        <v>305</v>
      </c>
      <c r="B473" s="6"/>
      <c r="C473" s="44" t="s">
        <v>1273</v>
      </c>
      <c r="D473" s="44" t="s">
        <v>1319</v>
      </c>
      <c r="E473" s="6">
        <v>1</v>
      </c>
      <c r="F473" s="6">
        <v>250</v>
      </c>
      <c r="G473" s="6">
        <v>250</v>
      </c>
      <c r="H473" s="44" t="s">
        <v>308</v>
      </c>
      <c r="I473" s="44" t="s">
        <v>309</v>
      </c>
    </row>
    <row r="474" spans="1:9" ht="45" x14ac:dyDescent="0.25">
      <c r="A474" s="44" t="s">
        <v>305</v>
      </c>
      <c r="B474" s="6"/>
      <c r="C474" s="44" t="s">
        <v>1273</v>
      </c>
      <c r="D474" s="44" t="s">
        <v>1320</v>
      </c>
      <c r="E474" s="6">
        <v>9</v>
      </c>
      <c r="F474" s="6" t="s">
        <v>814</v>
      </c>
      <c r="G474" s="6" t="s">
        <v>820</v>
      </c>
      <c r="H474" s="44" t="s">
        <v>308</v>
      </c>
      <c r="I474" s="44" t="s">
        <v>309</v>
      </c>
    </row>
    <row r="475" spans="1:9" ht="45" x14ac:dyDescent="0.25">
      <c r="A475" s="44" t="s">
        <v>305</v>
      </c>
      <c r="B475" s="6"/>
      <c r="C475" s="44" t="s">
        <v>1273</v>
      </c>
      <c r="D475" s="44" t="s">
        <v>1321</v>
      </c>
      <c r="E475" s="6">
        <v>8</v>
      </c>
      <c r="F475" s="6">
        <v>300</v>
      </c>
      <c r="G475" s="6" t="s">
        <v>867</v>
      </c>
      <c r="H475" s="44" t="s">
        <v>308</v>
      </c>
      <c r="I475" s="44" t="s">
        <v>309</v>
      </c>
    </row>
    <row r="476" spans="1:9" ht="45" x14ac:dyDescent="0.25">
      <c r="A476" s="44" t="s">
        <v>305</v>
      </c>
      <c r="B476" s="6"/>
      <c r="C476" s="44" t="s">
        <v>1273</v>
      </c>
      <c r="D476" s="44" t="s">
        <v>1322</v>
      </c>
      <c r="E476" s="6">
        <v>6</v>
      </c>
      <c r="F476" s="6" t="s">
        <v>845</v>
      </c>
      <c r="G476" s="6" t="s">
        <v>1323</v>
      </c>
      <c r="H476" s="44" t="s">
        <v>308</v>
      </c>
      <c r="I476" s="44" t="s">
        <v>309</v>
      </c>
    </row>
    <row r="477" spans="1:9" ht="45" x14ac:dyDescent="0.25">
      <c r="A477" s="44" t="s">
        <v>136</v>
      </c>
      <c r="B477" s="6">
        <v>2286002</v>
      </c>
      <c r="C477" s="44" t="s">
        <v>1324</v>
      </c>
      <c r="D477" s="44" t="s">
        <v>1325</v>
      </c>
      <c r="E477" s="6">
        <v>1</v>
      </c>
      <c r="F477" s="6" t="s">
        <v>1245</v>
      </c>
      <c r="G477" s="6" t="s">
        <v>1245</v>
      </c>
      <c r="H477" s="44" t="s">
        <v>142</v>
      </c>
      <c r="I477" s="44" t="s">
        <v>143</v>
      </c>
    </row>
    <row r="478" spans="1:9" ht="75" x14ac:dyDescent="0.25">
      <c r="A478" s="44" t="s">
        <v>148</v>
      </c>
      <c r="B478" s="6"/>
      <c r="C478" s="44" t="s">
        <v>1326</v>
      </c>
      <c r="D478" s="44" t="s">
        <v>1327</v>
      </c>
      <c r="E478" s="6">
        <v>5</v>
      </c>
      <c r="F478" s="6" t="s">
        <v>1284</v>
      </c>
      <c r="G478" s="6" t="s">
        <v>981</v>
      </c>
      <c r="H478" s="44" t="s">
        <v>154</v>
      </c>
      <c r="I478" s="44" t="s">
        <v>155</v>
      </c>
    </row>
    <row r="479" spans="1:9" ht="195" x14ac:dyDescent="0.25">
      <c r="A479" s="44" t="s">
        <v>148</v>
      </c>
      <c r="B479" s="6"/>
      <c r="C479" s="44" t="s">
        <v>1326</v>
      </c>
      <c r="D479" s="44" t="s">
        <v>1328</v>
      </c>
      <c r="E479" s="6">
        <v>1</v>
      </c>
      <c r="F479" s="6" t="s">
        <v>814</v>
      </c>
      <c r="G479" s="6" t="s">
        <v>814</v>
      </c>
      <c r="H479" s="44" t="s">
        <v>154</v>
      </c>
      <c r="I479" s="44" t="s">
        <v>155</v>
      </c>
    </row>
    <row r="480" spans="1:9" ht="75" x14ac:dyDescent="0.25">
      <c r="A480" s="44" t="s">
        <v>148</v>
      </c>
      <c r="B480" s="6"/>
      <c r="C480" s="44" t="s">
        <v>1326</v>
      </c>
      <c r="D480" s="44" t="s">
        <v>1329</v>
      </c>
      <c r="E480" s="6">
        <v>4</v>
      </c>
      <c r="F480" s="6" t="s">
        <v>1330</v>
      </c>
      <c r="G480" s="6" t="s">
        <v>1331</v>
      </c>
      <c r="H480" s="44" t="s">
        <v>154</v>
      </c>
      <c r="I480" s="44" t="s">
        <v>155</v>
      </c>
    </row>
    <row r="481" spans="1:9" ht="165" x14ac:dyDescent="0.25">
      <c r="A481" s="44" t="s">
        <v>148</v>
      </c>
      <c r="B481" s="6"/>
      <c r="C481" s="44" t="s">
        <v>1326</v>
      </c>
      <c r="D481" s="44" t="s">
        <v>1332</v>
      </c>
      <c r="E481" s="6">
        <v>1</v>
      </c>
      <c r="F481" s="6" t="s">
        <v>1333</v>
      </c>
      <c r="G481" s="6" t="s">
        <v>1333</v>
      </c>
      <c r="H481" s="44" t="s">
        <v>154</v>
      </c>
      <c r="I481" s="44" t="s">
        <v>155</v>
      </c>
    </row>
    <row r="482" spans="1:9" ht="75" x14ac:dyDescent="0.25">
      <c r="A482" s="44" t="s">
        <v>148</v>
      </c>
      <c r="B482" s="6"/>
      <c r="C482" s="44" t="s">
        <v>1326</v>
      </c>
      <c r="D482" s="44" t="s">
        <v>1334</v>
      </c>
      <c r="E482" s="6">
        <v>2</v>
      </c>
      <c r="F482" s="6" t="s">
        <v>1225</v>
      </c>
      <c r="G482" s="6" t="s">
        <v>1335</v>
      </c>
      <c r="H482" s="44" t="s">
        <v>154</v>
      </c>
      <c r="I482" s="44" t="s">
        <v>155</v>
      </c>
    </row>
    <row r="483" spans="1:9" ht="75" x14ac:dyDescent="0.25">
      <c r="A483" s="44" t="s">
        <v>148</v>
      </c>
      <c r="B483" s="6"/>
      <c r="C483" s="44" t="s">
        <v>1326</v>
      </c>
      <c r="D483" s="44" t="s">
        <v>1336</v>
      </c>
      <c r="E483" s="6">
        <v>4</v>
      </c>
      <c r="F483" s="6" t="s">
        <v>742</v>
      </c>
      <c r="G483" s="6" t="s">
        <v>680</v>
      </c>
      <c r="H483" s="44" t="s">
        <v>154</v>
      </c>
      <c r="I483" s="44" t="s">
        <v>155</v>
      </c>
    </row>
    <row r="484" spans="1:9" ht="75" x14ac:dyDescent="0.25">
      <c r="A484" s="44" t="s">
        <v>148</v>
      </c>
      <c r="B484" s="6"/>
      <c r="C484" s="44" t="s">
        <v>1326</v>
      </c>
      <c r="D484" s="44" t="s">
        <v>1337</v>
      </c>
      <c r="E484" s="6">
        <v>1</v>
      </c>
      <c r="F484" s="6" t="s">
        <v>990</v>
      </c>
      <c r="G484" s="6" t="s">
        <v>990</v>
      </c>
      <c r="H484" s="44" t="s">
        <v>154</v>
      </c>
      <c r="I484" s="44" t="s">
        <v>155</v>
      </c>
    </row>
    <row r="485" spans="1:9" ht="75" x14ac:dyDescent="0.25">
      <c r="A485" s="44" t="s">
        <v>148</v>
      </c>
      <c r="B485" s="6"/>
      <c r="C485" s="44" t="s">
        <v>1326</v>
      </c>
      <c r="D485" s="44" t="s">
        <v>1338</v>
      </c>
      <c r="E485" s="6">
        <v>8</v>
      </c>
      <c r="F485" s="6" t="s">
        <v>849</v>
      </c>
      <c r="G485" s="6" t="s">
        <v>1339</v>
      </c>
      <c r="H485" s="44" t="s">
        <v>154</v>
      </c>
      <c r="I485" s="44" t="s">
        <v>155</v>
      </c>
    </row>
    <row r="486" spans="1:9" ht="75" x14ac:dyDescent="0.25">
      <c r="A486" s="44" t="s">
        <v>148</v>
      </c>
      <c r="B486" s="6"/>
      <c r="C486" s="44" t="s">
        <v>1326</v>
      </c>
      <c r="D486" s="44" t="s">
        <v>1340</v>
      </c>
      <c r="E486" s="6">
        <v>2</v>
      </c>
      <c r="F486" s="6" t="s">
        <v>678</v>
      </c>
      <c r="G486" s="6" t="s">
        <v>838</v>
      </c>
      <c r="H486" s="44" t="s">
        <v>154</v>
      </c>
      <c r="I486" s="44" t="s">
        <v>155</v>
      </c>
    </row>
    <row r="487" spans="1:9" ht="75" x14ac:dyDescent="0.25">
      <c r="A487" s="44" t="s">
        <v>158</v>
      </c>
      <c r="B487" s="6">
        <v>267600001</v>
      </c>
      <c r="C487" s="44" t="s">
        <v>1341</v>
      </c>
      <c r="D487" s="44"/>
      <c r="E487" s="6">
        <v>1</v>
      </c>
      <c r="F487" s="6">
        <v>900</v>
      </c>
      <c r="G487" s="6">
        <v>900</v>
      </c>
      <c r="H487" s="44" t="s">
        <v>161</v>
      </c>
      <c r="I487" s="44" t="s">
        <v>162</v>
      </c>
    </row>
    <row r="488" spans="1:9" ht="75" x14ac:dyDescent="0.25">
      <c r="A488" s="44" t="s">
        <v>166</v>
      </c>
      <c r="B488" s="6">
        <v>267600001</v>
      </c>
      <c r="C488" s="44" t="s">
        <v>1341</v>
      </c>
      <c r="D488" s="44" t="s">
        <v>1342</v>
      </c>
      <c r="E488" s="6">
        <v>3</v>
      </c>
      <c r="F488" s="6">
        <v>900</v>
      </c>
      <c r="G488" s="6" t="s">
        <v>940</v>
      </c>
      <c r="H488" s="44" t="s">
        <v>172</v>
      </c>
      <c r="I488" s="44" t="s">
        <v>173</v>
      </c>
    </row>
    <row r="489" spans="1:9" ht="45" x14ac:dyDescent="0.25">
      <c r="A489" s="44" t="s">
        <v>205</v>
      </c>
      <c r="B489" s="6">
        <v>223100337</v>
      </c>
      <c r="C489" s="44" t="s">
        <v>1343</v>
      </c>
      <c r="D489" s="44" t="s">
        <v>1344</v>
      </c>
      <c r="E489" s="6">
        <v>1</v>
      </c>
      <c r="F489" s="6" t="s">
        <v>820</v>
      </c>
      <c r="G489" s="6" t="s">
        <v>820</v>
      </c>
      <c r="H489" s="44" t="s">
        <v>206</v>
      </c>
      <c r="I489" s="44" t="s">
        <v>205</v>
      </c>
    </row>
    <row r="490" spans="1:9" ht="60" x14ac:dyDescent="0.25">
      <c r="A490" s="44" t="s">
        <v>205</v>
      </c>
      <c r="B490" s="6">
        <v>223100346</v>
      </c>
      <c r="C490" s="44" t="s">
        <v>1345</v>
      </c>
      <c r="D490" s="44" t="s">
        <v>1346</v>
      </c>
      <c r="E490" s="6">
        <v>1</v>
      </c>
      <c r="F490" s="6" t="s">
        <v>1347</v>
      </c>
      <c r="G490" s="6" t="s">
        <v>1347</v>
      </c>
      <c r="H490" s="44" t="s">
        <v>206</v>
      </c>
      <c r="I490" s="44" t="s">
        <v>205</v>
      </c>
    </row>
    <row r="491" spans="1:9" ht="45" x14ac:dyDescent="0.25">
      <c r="A491" s="44" t="s">
        <v>136</v>
      </c>
      <c r="B491" s="6">
        <v>26060001</v>
      </c>
      <c r="C491" s="44" t="s">
        <v>1348</v>
      </c>
      <c r="D491" s="44" t="s">
        <v>1349</v>
      </c>
      <c r="E491" s="6">
        <v>6</v>
      </c>
      <c r="F491" s="6">
        <v>14</v>
      </c>
      <c r="G491" s="6">
        <v>84</v>
      </c>
      <c r="H491" s="44" t="s">
        <v>146</v>
      </c>
      <c r="I491" s="44" t="s">
        <v>147</v>
      </c>
    </row>
    <row r="492" spans="1:9" ht="45" x14ac:dyDescent="0.25">
      <c r="A492" s="44" t="s">
        <v>136</v>
      </c>
      <c r="B492" s="6">
        <v>26060001</v>
      </c>
      <c r="C492" s="44" t="s">
        <v>1348</v>
      </c>
      <c r="D492" s="44" t="s">
        <v>1350</v>
      </c>
      <c r="E492" s="6">
        <v>6</v>
      </c>
      <c r="F492" s="6" t="s">
        <v>800</v>
      </c>
      <c r="G492" s="6" t="s">
        <v>1284</v>
      </c>
      <c r="H492" s="44" t="s">
        <v>146</v>
      </c>
      <c r="I492" s="44" t="s">
        <v>147</v>
      </c>
    </row>
    <row r="493" spans="1:9" ht="45" x14ac:dyDescent="0.25">
      <c r="A493" s="44" t="s">
        <v>136</v>
      </c>
      <c r="B493" s="6">
        <v>26060001</v>
      </c>
      <c r="C493" s="44" t="s">
        <v>1348</v>
      </c>
      <c r="D493" s="44" t="s">
        <v>1351</v>
      </c>
      <c r="E493" s="6">
        <v>6</v>
      </c>
      <c r="F493" s="6" t="s">
        <v>1352</v>
      </c>
      <c r="G493" s="6" t="s">
        <v>1353</v>
      </c>
      <c r="H493" s="44" t="s">
        <v>146</v>
      </c>
      <c r="I493" s="44" t="s">
        <v>147</v>
      </c>
    </row>
    <row r="494" spans="1:9" ht="45" x14ac:dyDescent="0.25">
      <c r="A494" s="44" t="s">
        <v>136</v>
      </c>
      <c r="B494" s="6">
        <v>26060001</v>
      </c>
      <c r="C494" s="44" t="s">
        <v>1348</v>
      </c>
      <c r="D494" s="44" t="s">
        <v>1354</v>
      </c>
      <c r="E494" s="6">
        <v>1</v>
      </c>
      <c r="F494" s="6" t="s">
        <v>1107</v>
      </c>
      <c r="G494" s="6" t="s">
        <v>1107</v>
      </c>
      <c r="H494" s="44" t="s">
        <v>146</v>
      </c>
      <c r="I494" s="44" t="s">
        <v>147</v>
      </c>
    </row>
    <row r="495" spans="1:9" ht="45" x14ac:dyDescent="0.25">
      <c r="A495" s="44" t="s">
        <v>136</v>
      </c>
      <c r="B495" s="6">
        <v>26060001</v>
      </c>
      <c r="C495" s="44" t="s">
        <v>1348</v>
      </c>
      <c r="D495" s="44" t="s">
        <v>1355</v>
      </c>
      <c r="E495" s="6">
        <v>1</v>
      </c>
      <c r="F495" s="6" t="s">
        <v>838</v>
      </c>
      <c r="G495" s="6" t="s">
        <v>838</v>
      </c>
      <c r="H495" s="44" t="s">
        <v>146</v>
      </c>
      <c r="I495" s="44" t="s">
        <v>147</v>
      </c>
    </row>
    <row r="496" spans="1:9" ht="45" x14ac:dyDescent="0.25">
      <c r="A496" s="44" t="s">
        <v>136</v>
      </c>
      <c r="B496" s="6">
        <v>26060001</v>
      </c>
      <c r="C496" s="44" t="s">
        <v>1348</v>
      </c>
      <c r="D496" s="44" t="s">
        <v>1356</v>
      </c>
      <c r="E496" s="6">
        <v>1</v>
      </c>
      <c r="F496" s="6" t="s">
        <v>707</v>
      </c>
      <c r="G496" s="6" t="s">
        <v>707</v>
      </c>
      <c r="H496" s="44" t="s">
        <v>146</v>
      </c>
      <c r="I496" s="44" t="s">
        <v>147</v>
      </c>
    </row>
    <row r="497" spans="1:9" ht="45" x14ac:dyDescent="0.25">
      <c r="A497" s="44" t="s">
        <v>136</v>
      </c>
      <c r="B497" s="6">
        <v>26060001</v>
      </c>
      <c r="C497" s="44" t="s">
        <v>1348</v>
      </c>
      <c r="D497" s="44" t="s">
        <v>1357</v>
      </c>
      <c r="E497" s="6">
        <v>1</v>
      </c>
      <c r="F497" s="6" t="s">
        <v>1183</v>
      </c>
      <c r="G497" s="6" t="s">
        <v>1183</v>
      </c>
      <c r="H497" s="44" t="s">
        <v>146</v>
      </c>
      <c r="I497" s="44" t="s">
        <v>147</v>
      </c>
    </row>
    <row r="498" spans="1:9" ht="45" x14ac:dyDescent="0.25">
      <c r="A498" s="44" t="s">
        <v>136</v>
      </c>
      <c r="B498" s="6">
        <v>26060001</v>
      </c>
      <c r="C498" s="44" t="s">
        <v>1348</v>
      </c>
      <c r="D498" s="44" t="s">
        <v>1358</v>
      </c>
      <c r="E498" s="6">
        <v>10</v>
      </c>
      <c r="F498" s="6" t="s">
        <v>814</v>
      </c>
      <c r="G498" s="6" t="s">
        <v>883</v>
      </c>
      <c r="H498" s="44" t="s">
        <v>146</v>
      </c>
      <c r="I498" s="44" t="s">
        <v>147</v>
      </c>
    </row>
    <row r="499" spans="1:9" ht="45" x14ac:dyDescent="0.25">
      <c r="A499" s="44" t="s">
        <v>136</v>
      </c>
      <c r="B499" s="6">
        <v>14880014</v>
      </c>
      <c r="C499" s="44" t="s">
        <v>1348</v>
      </c>
      <c r="D499" s="44" t="s">
        <v>1359</v>
      </c>
      <c r="E499" s="6">
        <v>3</v>
      </c>
      <c r="F499" s="6" t="s">
        <v>940</v>
      </c>
      <c r="G499" s="6" t="s">
        <v>1360</v>
      </c>
      <c r="H499" s="44" t="s">
        <v>146</v>
      </c>
      <c r="I499" s="44" t="s">
        <v>147</v>
      </c>
    </row>
    <row r="500" spans="1:9" ht="45" x14ac:dyDescent="0.25">
      <c r="A500" s="44" t="s">
        <v>136</v>
      </c>
      <c r="B500" s="6">
        <v>26060001</v>
      </c>
      <c r="C500" s="44" t="s">
        <v>1348</v>
      </c>
      <c r="D500" s="44" t="s">
        <v>1361</v>
      </c>
      <c r="E500" s="6">
        <v>4</v>
      </c>
      <c r="F500" s="6" t="s">
        <v>742</v>
      </c>
      <c r="G500" s="6" t="s">
        <v>680</v>
      </c>
      <c r="H500" s="44" t="s">
        <v>146</v>
      </c>
      <c r="I500" s="44" t="s">
        <v>147</v>
      </c>
    </row>
    <row r="501" spans="1:9" ht="45" x14ac:dyDescent="0.25">
      <c r="A501" s="44" t="s">
        <v>136</v>
      </c>
      <c r="B501" s="6">
        <v>26060001</v>
      </c>
      <c r="C501" s="44" t="s">
        <v>1348</v>
      </c>
      <c r="D501" s="44" t="s">
        <v>1362</v>
      </c>
      <c r="E501" s="6">
        <v>4</v>
      </c>
      <c r="F501" s="6" t="s">
        <v>742</v>
      </c>
      <c r="G501" s="6" t="s">
        <v>680</v>
      </c>
      <c r="H501" s="44" t="s">
        <v>146</v>
      </c>
      <c r="I501" s="44" t="s">
        <v>147</v>
      </c>
    </row>
    <row r="502" spans="1:9" ht="45" x14ac:dyDescent="0.25">
      <c r="A502" s="44" t="s">
        <v>136</v>
      </c>
      <c r="B502" s="6">
        <v>26060001</v>
      </c>
      <c r="C502" s="44" t="s">
        <v>1348</v>
      </c>
      <c r="D502" s="44" t="s">
        <v>1363</v>
      </c>
      <c r="E502" s="6">
        <v>20</v>
      </c>
      <c r="F502" s="6" t="s">
        <v>742</v>
      </c>
      <c r="G502" s="6" t="s">
        <v>1149</v>
      </c>
      <c r="H502" s="44" t="s">
        <v>146</v>
      </c>
      <c r="I502" s="44" t="s">
        <v>147</v>
      </c>
    </row>
    <row r="503" spans="1:9" ht="45" x14ac:dyDescent="0.25">
      <c r="A503" s="44" t="s">
        <v>136</v>
      </c>
      <c r="B503" s="6">
        <v>26060001</v>
      </c>
      <c r="C503" s="44" t="s">
        <v>1348</v>
      </c>
      <c r="D503" s="44" t="s">
        <v>1364</v>
      </c>
      <c r="E503" s="6">
        <v>6</v>
      </c>
      <c r="F503" s="6" t="s">
        <v>800</v>
      </c>
      <c r="G503" s="6" t="s">
        <v>1284</v>
      </c>
      <c r="H503" s="44" t="s">
        <v>146</v>
      </c>
      <c r="I503" s="44" t="s">
        <v>147</v>
      </c>
    </row>
    <row r="504" spans="1:9" ht="45" x14ac:dyDescent="0.25">
      <c r="A504" s="44" t="s">
        <v>136</v>
      </c>
      <c r="B504" s="6">
        <v>26060001</v>
      </c>
      <c r="C504" s="44" t="s">
        <v>1348</v>
      </c>
      <c r="D504" s="44" t="s">
        <v>1365</v>
      </c>
      <c r="E504" s="6">
        <v>10</v>
      </c>
      <c r="F504" s="6">
        <v>40</v>
      </c>
      <c r="G504" s="6">
        <v>400</v>
      </c>
      <c r="H504" s="44" t="s">
        <v>146</v>
      </c>
      <c r="I504" s="44" t="s">
        <v>147</v>
      </c>
    </row>
    <row r="505" spans="1:9" ht="45" x14ac:dyDescent="0.25">
      <c r="A505" s="44" t="s">
        <v>136</v>
      </c>
      <c r="B505" s="6">
        <v>26060001</v>
      </c>
      <c r="C505" s="44" t="s">
        <v>1348</v>
      </c>
      <c r="D505" s="44" t="s">
        <v>1366</v>
      </c>
      <c r="E505" s="6">
        <v>3</v>
      </c>
      <c r="F505" s="6" t="s">
        <v>680</v>
      </c>
      <c r="G505" s="6" t="s">
        <v>999</v>
      </c>
      <c r="H505" s="44" t="s">
        <v>146</v>
      </c>
      <c r="I505" s="44" t="s">
        <v>147</v>
      </c>
    </row>
    <row r="506" spans="1:9" ht="45" x14ac:dyDescent="0.25">
      <c r="A506" s="44" t="s">
        <v>136</v>
      </c>
      <c r="B506" s="6">
        <v>26060001</v>
      </c>
      <c r="C506" s="44" t="s">
        <v>1348</v>
      </c>
      <c r="D506" s="44" t="s">
        <v>1367</v>
      </c>
      <c r="E506" s="6">
        <v>2</v>
      </c>
      <c r="F506" s="6" t="s">
        <v>946</v>
      </c>
      <c r="G506" s="6" t="s">
        <v>849</v>
      </c>
      <c r="H506" s="44" t="s">
        <v>146</v>
      </c>
      <c r="I506" s="44" t="s">
        <v>147</v>
      </c>
    </row>
    <row r="507" spans="1:9" ht="45" x14ac:dyDescent="0.25">
      <c r="A507" s="44" t="s">
        <v>136</v>
      </c>
      <c r="B507" s="6">
        <v>26060001</v>
      </c>
      <c r="C507" s="44" t="s">
        <v>1348</v>
      </c>
      <c r="D507" s="44" t="s">
        <v>1368</v>
      </c>
      <c r="E507" s="6">
        <v>4</v>
      </c>
      <c r="F507" s="6" t="s">
        <v>800</v>
      </c>
      <c r="G507" s="6" t="s">
        <v>678</v>
      </c>
      <c r="H507" s="44" t="s">
        <v>146</v>
      </c>
      <c r="I507" s="44" t="s">
        <v>147</v>
      </c>
    </row>
    <row r="508" spans="1:9" ht="45" x14ac:dyDescent="0.25">
      <c r="A508" s="44" t="s">
        <v>136</v>
      </c>
      <c r="B508" s="6">
        <v>26060001</v>
      </c>
      <c r="C508" s="44" t="s">
        <v>1348</v>
      </c>
      <c r="D508" s="44" t="s">
        <v>1369</v>
      </c>
      <c r="E508" s="6">
        <v>140</v>
      </c>
      <c r="F508" s="6">
        <v>43</v>
      </c>
      <c r="G508" s="6" t="s">
        <v>1370</v>
      </c>
      <c r="H508" s="44" t="s">
        <v>146</v>
      </c>
      <c r="I508" s="44" t="s">
        <v>147</v>
      </c>
    </row>
    <row r="509" spans="1:9" ht="45" x14ac:dyDescent="0.25">
      <c r="A509" s="44" t="s">
        <v>136</v>
      </c>
      <c r="B509" s="6">
        <v>26060001</v>
      </c>
      <c r="C509" s="44" t="s">
        <v>1348</v>
      </c>
      <c r="D509" s="44" t="s">
        <v>1371</v>
      </c>
      <c r="E509" s="6">
        <v>4</v>
      </c>
      <c r="F509" s="6">
        <v>600</v>
      </c>
      <c r="G509" s="6" t="s">
        <v>867</v>
      </c>
      <c r="H509" s="44" t="s">
        <v>146</v>
      </c>
      <c r="I509" s="44" t="s">
        <v>147</v>
      </c>
    </row>
    <row r="510" spans="1:9" ht="120" x14ac:dyDescent="0.25">
      <c r="A510" s="44" t="s">
        <v>136</v>
      </c>
      <c r="B510" s="6">
        <v>14880014</v>
      </c>
      <c r="C510" s="44" t="s">
        <v>1348</v>
      </c>
      <c r="D510" s="44" t="s">
        <v>1372</v>
      </c>
      <c r="E510" s="6">
        <v>1</v>
      </c>
      <c r="F510" s="6" t="s">
        <v>742</v>
      </c>
      <c r="G510" s="6" t="s">
        <v>742</v>
      </c>
      <c r="H510" s="44" t="s">
        <v>146</v>
      </c>
      <c r="I510" s="44" t="s">
        <v>147</v>
      </c>
    </row>
    <row r="511" spans="1:9" ht="225" x14ac:dyDescent="0.25">
      <c r="A511" s="44" t="s">
        <v>136</v>
      </c>
      <c r="B511" s="6">
        <v>14880014</v>
      </c>
      <c r="C511" s="44" t="s">
        <v>1348</v>
      </c>
      <c r="D511" s="44" t="s">
        <v>1373</v>
      </c>
      <c r="E511" s="6">
        <v>1</v>
      </c>
      <c r="F511" s="6" t="s">
        <v>742</v>
      </c>
      <c r="G511" s="6" t="s">
        <v>742</v>
      </c>
      <c r="H511" s="44" t="s">
        <v>146</v>
      </c>
      <c r="I511" s="44" t="s">
        <v>147</v>
      </c>
    </row>
    <row r="512" spans="1:9" ht="45" x14ac:dyDescent="0.25">
      <c r="A512" s="44" t="s">
        <v>136</v>
      </c>
      <c r="B512" s="6">
        <v>26060001</v>
      </c>
      <c r="C512" s="44" t="s">
        <v>1348</v>
      </c>
      <c r="D512" s="44" t="s">
        <v>1374</v>
      </c>
      <c r="E512" s="6">
        <v>6</v>
      </c>
      <c r="F512" s="6" t="s">
        <v>736</v>
      </c>
      <c r="G512" s="6" t="s">
        <v>820</v>
      </c>
      <c r="H512" s="44" t="s">
        <v>146</v>
      </c>
      <c r="I512" s="44" t="s">
        <v>147</v>
      </c>
    </row>
    <row r="513" spans="1:9" ht="45" x14ac:dyDescent="0.25">
      <c r="A513" s="44" t="s">
        <v>136</v>
      </c>
      <c r="B513" s="6">
        <v>26060001</v>
      </c>
      <c r="C513" s="44" t="s">
        <v>1348</v>
      </c>
      <c r="D513" s="44" t="s">
        <v>1375</v>
      </c>
      <c r="E513" s="6">
        <v>6</v>
      </c>
      <c r="F513" s="6" t="s">
        <v>923</v>
      </c>
      <c r="G513" s="6" t="s">
        <v>948</v>
      </c>
      <c r="H513" s="44" t="s">
        <v>146</v>
      </c>
      <c r="I513" s="44" t="s">
        <v>147</v>
      </c>
    </row>
    <row r="514" spans="1:9" ht="135" x14ac:dyDescent="0.25">
      <c r="A514" s="44" t="s">
        <v>136</v>
      </c>
      <c r="B514" s="6">
        <v>14880014</v>
      </c>
      <c r="C514" s="44" t="s">
        <v>1348</v>
      </c>
      <c r="D514" s="44" t="s">
        <v>1376</v>
      </c>
      <c r="E514" s="6">
        <v>1</v>
      </c>
      <c r="F514" s="6" t="s">
        <v>736</v>
      </c>
      <c r="G514" s="6" t="s">
        <v>736</v>
      </c>
      <c r="H514" s="44" t="s">
        <v>146</v>
      </c>
      <c r="I514" s="44" t="s">
        <v>147</v>
      </c>
    </row>
    <row r="515" spans="1:9" ht="135" x14ac:dyDescent="0.25">
      <c r="A515" s="44" t="s">
        <v>136</v>
      </c>
      <c r="B515" s="6">
        <v>14880014</v>
      </c>
      <c r="C515" s="44" t="s">
        <v>1348</v>
      </c>
      <c r="D515" s="44" t="s">
        <v>1376</v>
      </c>
      <c r="E515" s="6">
        <v>1</v>
      </c>
      <c r="F515" s="6" t="s">
        <v>946</v>
      </c>
      <c r="G515" s="6" t="s">
        <v>946</v>
      </c>
      <c r="H515" s="44" t="s">
        <v>146</v>
      </c>
      <c r="I515" s="44" t="s">
        <v>147</v>
      </c>
    </row>
    <row r="516" spans="1:9" ht="45" x14ac:dyDescent="0.25">
      <c r="A516" s="44" t="s">
        <v>136</v>
      </c>
      <c r="B516" s="6">
        <v>26060001</v>
      </c>
      <c r="C516" s="44" t="s">
        <v>1348</v>
      </c>
      <c r="D516" s="44" t="s">
        <v>1377</v>
      </c>
      <c r="E516" s="6">
        <v>6</v>
      </c>
      <c r="F516" s="6" t="s">
        <v>800</v>
      </c>
      <c r="G516" s="6" t="s">
        <v>1284</v>
      </c>
      <c r="H516" s="44" t="s">
        <v>146</v>
      </c>
      <c r="I516" s="44" t="s">
        <v>147</v>
      </c>
    </row>
    <row r="517" spans="1:9" ht="45" x14ac:dyDescent="0.25">
      <c r="A517" s="44" t="s">
        <v>136</v>
      </c>
      <c r="B517" s="6">
        <v>26060001</v>
      </c>
      <c r="C517" s="44" t="s">
        <v>1348</v>
      </c>
      <c r="D517" s="44" t="s">
        <v>1378</v>
      </c>
      <c r="E517" s="6">
        <v>10</v>
      </c>
      <c r="F517" s="6">
        <v>40</v>
      </c>
      <c r="G517" s="6">
        <v>400</v>
      </c>
      <c r="H517" s="44" t="s">
        <v>146</v>
      </c>
      <c r="I517" s="44" t="s">
        <v>147</v>
      </c>
    </row>
    <row r="518" spans="1:9" ht="45" x14ac:dyDescent="0.25">
      <c r="A518" s="44" t="s">
        <v>136</v>
      </c>
      <c r="B518" s="6">
        <v>26060001</v>
      </c>
      <c r="C518" s="44" t="s">
        <v>1348</v>
      </c>
      <c r="D518" s="44" t="s">
        <v>1379</v>
      </c>
      <c r="E518" s="6">
        <v>1</v>
      </c>
      <c r="F518" s="6" t="s">
        <v>987</v>
      </c>
      <c r="G518" s="6" t="s">
        <v>987</v>
      </c>
      <c r="H518" s="44" t="s">
        <v>146</v>
      </c>
      <c r="I518" s="44" t="s">
        <v>147</v>
      </c>
    </row>
    <row r="519" spans="1:9" ht="120" x14ac:dyDescent="0.25">
      <c r="A519" s="44" t="s">
        <v>136</v>
      </c>
      <c r="B519" s="6">
        <v>26060001</v>
      </c>
      <c r="C519" s="44" t="s">
        <v>1348</v>
      </c>
      <c r="D519" s="44" t="s">
        <v>1380</v>
      </c>
      <c r="E519" s="6">
        <v>1</v>
      </c>
      <c r="F519" s="6">
        <v>300</v>
      </c>
      <c r="G519" s="6">
        <v>300</v>
      </c>
      <c r="H519" s="44" t="s">
        <v>146</v>
      </c>
      <c r="I519" s="44" t="s">
        <v>147</v>
      </c>
    </row>
    <row r="520" spans="1:9" ht="45" x14ac:dyDescent="0.25">
      <c r="A520" s="44" t="s">
        <v>136</v>
      </c>
      <c r="B520" s="6">
        <v>26060001</v>
      </c>
      <c r="C520" s="44" t="s">
        <v>1348</v>
      </c>
      <c r="D520" s="44" t="s">
        <v>1381</v>
      </c>
      <c r="E520" s="6">
        <v>2</v>
      </c>
      <c r="F520" s="6" t="s">
        <v>838</v>
      </c>
      <c r="G520" s="6" t="s">
        <v>1323</v>
      </c>
      <c r="H520" s="44" t="s">
        <v>146</v>
      </c>
      <c r="I520" s="44" t="s">
        <v>147</v>
      </c>
    </row>
    <row r="521" spans="1:9" ht="45" x14ac:dyDescent="0.25">
      <c r="A521" s="44" t="s">
        <v>136</v>
      </c>
      <c r="B521" s="6">
        <v>26060001</v>
      </c>
      <c r="C521" s="44" t="s">
        <v>1348</v>
      </c>
      <c r="D521" s="44" t="s">
        <v>1382</v>
      </c>
      <c r="E521" s="6">
        <v>2</v>
      </c>
      <c r="F521" s="6" t="s">
        <v>820</v>
      </c>
      <c r="G521" s="6" t="s">
        <v>1002</v>
      </c>
      <c r="H521" s="44" t="s">
        <v>146</v>
      </c>
      <c r="I521" s="44" t="s">
        <v>147</v>
      </c>
    </row>
    <row r="522" spans="1:9" ht="45" x14ac:dyDescent="0.25">
      <c r="A522" s="44" t="s">
        <v>136</v>
      </c>
      <c r="B522" s="6">
        <v>26060001</v>
      </c>
      <c r="C522" s="44" t="s">
        <v>1348</v>
      </c>
      <c r="D522" s="44" t="s">
        <v>1383</v>
      </c>
      <c r="E522" s="6">
        <v>4</v>
      </c>
      <c r="F522" s="6" t="s">
        <v>1384</v>
      </c>
      <c r="G522" s="6" t="s">
        <v>747</v>
      </c>
      <c r="H522" s="44" t="s">
        <v>146</v>
      </c>
      <c r="I522" s="44" t="s">
        <v>147</v>
      </c>
    </row>
    <row r="523" spans="1:9" ht="45" x14ac:dyDescent="0.25">
      <c r="A523" s="44" t="s">
        <v>136</v>
      </c>
      <c r="B523" s="6">
        <v>26060001</v>
      </c>
      <c r="C523" s="44" t="s">
        <v>1348</v>
      </c>
      <c r="D523" s="44" t="s">
        <v>1385</v>
      </c>
      <c r="E523" s="6">
        <v>20</v>
      </c>
      <c r="F523" s="6">
        <v>800</v>
      </c>
      <c r="G523" s="6" t="s">
        <v>683</v>
      </c>
      <c r="H523" s="44" t="s">
        <v>146</v>
      </c>
      <c r="I523" s="44" t="s">
        <v>147</v>
      </c>
    </row>
    <row r="524" spans="1:9" ht="45" x14ac:dyDescent="0.25">
      <c r="A524" s="44" t="s">
        <v>136</v>
      </c>
      <c r="B524" s="6">
        <v>26060001</v>
      </c>
      <c r="C524" s="44" t="s">
        <v>1348</v>
      </c>
      <c r="D524" s="44" t="s">
        <v>1386</v>
      </c>
      <c r="E524" s="6">
        <v>10</v>
      </c>
      <c r="F524" s="6">
        <v>50</v>
      </c>
      <c r="G524" s="6">
        <v>500</v>
      </c>
      <c r="H524" s="44" t="s">
        <v>146</v>
      </c>
      <c r="I524" s="44" t="s">
        <v>147</v>
      </c>
    </row>
    <row r="525" spans="1:9" ht="45" x14ac:dyDescent="0.25">
      <c r="A525" s="44" t="s">
        <v>136</v>
      </c>
      <c r="B525" s="6">
        <v>26060001</v>
      </c>
      <c r="C525" s="44" t="s">
        <v>1348</v>
      </c>
      <c r="D525" s="44" t="s">
        <v>1387</v>
      </c>
      <c r="E525" s="6">
        <v>1</v>
      </c>
      <c r="F525" s="6" t="s">
        <v>990</v>
      </c>
      <c r="G525" s="6" t="s">
        <v>990</v>
      </c>
      <c r="H525" s="44" t="s">
        <v>146</v>
      </c>
      <c r="I525" s="44" t="s">
        <v>147</v>
      </c>
    </row>
    <row r="526" spans="1:9" ht="45" x14ac:dyDescent="0.25">
      <c r="A526" s="44" t="s">
        <v>136</v>
      </c>
      <c r="B526" s="6">
        <v>26060001</v>
      </c>
      <c r="C526" s="44" t="s">
        <v>1348</v>
      </c>
      <c r="D526" s="44" t="s">
        <v>1388</v>
      </c>
      <c r="E526" s="6">
        <v>4</v>
      </c>
      <c r="F526" s="6" t="s">
        <v>726</v>
      </c>
      <c r="G526" s="6" t="s">
        <v>845</v>
      </c>
      <c r="H526" s="44" t="s">
        <v>146</v>
      </c>
      <c r="I526" s="44" t="s">
        <v>147</v>
      </c>
    </row>
    <row r="527" spans="1:9" ht="45" x14ac:dyDescent="0.25">
      <c r="A527" s="44" t="s">
        <v>136</v>
      </c>
      <c r="B527" s="6">
        <v>26060001</v>
      </c>
      <c r="C527" s="44" t="s">
        <v>1348</v>
      </c>
      <c r="D527" s="44" t="s">
        <v>1389</v>
      </c>
      <c r="E527" s="6">
        <v>3</v>
      </c>
      <c r="F527" s="6" t="s">
        <v>726</v>
      </c>
      <c r="G527" s="6" t="s">
        <v>736</v>
      </c>
      <c r="H527" s="44" t="s">
        <v>146</v>
      </c>
      <c r="I527" s="44" t="s">
        <v>147</v>
      </c>
    </row>
    <row r="528" spans="1:9" ht="45" x14ac:dyDescent="0.25">
      <c r="A528" s="44" t="s">
        <v>136</v>
      </c>
      <c r="B528" s="6">
        <v>26060001</v>
      </c>
      <c r="C528" s="44" t="s">
        <v>1348</v>
      </c>
      <c r="D528" s="44" t="s">
        <v>1390</v>
      </c>
      <c r="E528" s="6">
        <v>10</v>
      </c>
      <c r="F528" s="6">
        <v>30</v>
      </c>
      <c r="G528" s="6">
        <v>300</v>
      </c>
      <c r="H528" s="44" t="s">
        <v>146</v>
      </c>
      <c r="I528" s="44" t="s">
        <v>147</v>
      </c>
    </row>
    <row r="529" spans="1:9" ht="45" x14ac:dyDescent="0.25">
      <c r="A529" s="44" t="s">
        <v>136</v>
      </c>
      <c r="B529" s="6">
        <v>26060001</v>
      </c>
      <c r="C529" s="44" t="s">
        <v>1348</v>
      </c>
      <c r="D529" s="44" t="s">
        <v>1391</v>
      </c>
      <c r="E529" s="6">
        <v>1</v>
      </c>
      <c r="F529" s="6" t="s">
        <v>990</v>
      </c>
      <c r="G529" s="6" t="s">
        <v>990</v>
      </c>
      <c r="H529" s="44" t="s">
        <v>146</v>
      </c>
      <c r="I529" s="44" t="s">
        <v>147</v>
      </c>
    </row>
    <row r="530" spans="1:9" ht="45" x14ac:dyDescent="0.25">
      <c r="A530" s="44" t="s">
        <v>136</v>
      </c>
      <c r="B530" s="6">
        <v>26060001</v>
      </c>
      <c r="C530" s="44" t="s">
        <v>1348</v>
      </c>
      <c r="D530" s="44" t="s">
        <v>1392</v>
      </c>
      <c r="E530" s="6">
        <v>10</v>
      </c>
      <c r="F530" s="6" t="s">
        <v>736</v>
      </c>
      <c r="G530" s="6" t="s">
        <v>999</v>
      </c>
      <c r="H530" s="44" t="s">
        <v>146</v>
      </c>
      <c r="I530" s="44" t="s">
        <v>147</v>
      </c>
    </row>
    <row r="531" spans="1:9" ht="45" x14ac:dyDescent="0.25">
      <c r="A531" s="44" t="s">
        <v>136</v>
      </c>
      <c r="B531" s="6">
        <v>26060001</v>
      </c>
      <c r="C531" s="44" t="s">
        <v>1348</v>
      </c>
      <c r="D531" s="44" t="s">
        <v>1393</v>
      </c>
      <c r="E531" s="6">
        <v>3</v>
      </c>
      <c r="F531" s="6" t="s">
        <v>1394</v>
      </c>
      <c r="G531" s="6" t="s">
        <v>1395</v>
      </c>
      <c r="H531" s="44" t="s">
        <v>146</v>
      </c>
      <c r="I531" s="44" t="s">
        <v>147</v>
      </c>
    </row>
    <row r="532" spans="1:9" ht="45" x14ac:dyDescent="0.25">
      <c r="A532" s="44" t="s">
        <v>136</v>
      </c>
      <c r="B532" s="6">
        <v>26060001</v>
      </c>
      <c r="C532" s="44" t="s">
        <v>1348</v>
      </c>
      <c r="D532" s="44" t="s">
        <v>1396</v>
      </c>
      <c r="E532" s="6">
        <v>10</v>
      </c>
      <c r="F532" s="6" t="s">
        <v>742</v>
      </c>
      <c r="G532" s="6" t="s">
        <v>707</v>
      </c>
      <c r="H532" s="44" t="s">
        <v>146</v>
      </c>
      <c r="I532" s="44" t="s">
        <v>147</v>
      </c>
    </row>
    <row r="533" spans="1:9" ht="75" x14ac:dyDescent="0.25">
      <c r="A533" s="44" t="s">
        <v>136</v>
      </c>
      <c r="B533" s="6">
        <v>14880014</v>
      </c>
      <c r="C533" s="44" t="s">
        <v>1348</v>
      </c>
      <c r="D533" s="44" t="s">
        <v>1397</v>
      </c>
      <c r="E533" s="6">
        <v>2</v>
      </c>
      <c r="F533" s="6">
        <v>900</v>
      </c>
      <c r="G533" s="6" t="s">
        <v>861</v>
      </c>
      <c r="H533" s="44" t="s">
        <v>142</v>
      </c>
      <c r="I533" s="44" t="s">
        <v>143</v>
      </c>
    </row>
    <row r="534" spans="1:9" ht="45" x14ac:dyDescent="0.25">
      <c r="A534" s="44" t="s">
        <v>136</v>
      </c>
      <c r="B534" s="6">
        <v>26060001</v>
      </c>
      <c r="C534" s="44" t="s">
        <v>1348</v>
      </c>
      <c r="D534" s="44" t="s">
        <v>1398</v>
      </c>
      <c r="E534" s="6">
        <v>5</v>
      </c>
      <c r="F534" s="6" t="s">
        <v>1399</v>
      </c>
      <c r="G534" s="6" t="s">
        <v>1400</v>
      </c>
      <c r="H534" s="44" t="s">
        <v>146</v>
      </c>
      <c r="I534" s="44" t="s">
        <v>147</v>
      </c>
    </row>
    <row r="535" spans="1:9" ht="45" x14ac:dyDescent="0.25">
      <c r="A535" s="44" t="s">
        <v>136</v>
      </c>
      <c r="B535" s="6">
        <v>26060001</v>
      </c>
      <c r="C535" s="44" t="s">
        <v>1348</v>
      </c>
      <c r="D535" s="44" t="s">
        <v>1401</v>
      </c>
      <c r="E535" s="6">
        <v>6</v>
      </c>
      <c r="F535" s="6">
        <v>400</v>
      </c>
      <c r="G535" s="6" t="s">
        <v>867</v>
      </c>
      <c r="H535" s="44" t="s">
        <v>146</v>
      </c>
      <c r="I535" s="44" t="s">
        <v>147</v>
      </c>
    </row>
    <row r="536" spans="1:9" ht="45" x14ac:dyDescent="0.25">
      <c r="A536" s="44" t="s">
        <v>136</v>
      </c>
      <c r="B536" s="6">
        <v>26060001</v>
      </c>
      <c r="C536" s="44" t="s">
        <v>1348</v>
      </c>
      <c r="D536" s="44" t="s">
        <v>1402</v>
      </c>
      <c r="E536" s="6">
        <v>2</v>
      </c>
      <c r="F536" s="6">
        <v>350</v>
      </c>
      <c r="G536" s="6">
        <v>700</v>
      </c>
      <c r="H536" s="44" t="s">
        <v>146</v>
      </c>
      <c r="I536" s="44" t="s">
        <v>147</v>
      </c>
    </row>
    <row r="537" spans="1:9" ht="45" x14ac:dyDescent="0.25">
      <c r="A537" s="44" t="s">
        <v>136</v>
      </c>
      <c r="B537" s="6">
        <v>26060001</v>
      </c>
      <c r="C537" s="44" t="s">
        <v>1348</v>
      </c>
      <c r="D537" s="44" t="s">
        <v>1403</v>
      </c>
      <c r="E537" s="6">
        <v>4</v>
      </c>
      <c r="F537" s="6">
        <v>100</v>
      </c>
      <c r="G537" s="6">
        <v>400</v>
      </c>
      <c r="H537" s="44" t="s">
        <v>146</v>
      </c>
      <c r="I537" s="44" t="s">
        <v>147</v>
      </c>
    </row>
    <row r="538" spans="1:9" ht="45" x14ac:dyDescent="0.25">
      <c r="A538" s="44" t="s">
        <v>136</v>
      </c>
      <c r="B538" s="6">
        <v>26060001</v>
      </c>
      <c r="C538" s="44" t="s">
        <v>1348</v>
      </c>
      <c r="D538" s="44" t="s">
        <v>1404</v>
      </c>
      <c r="E538" s="6">
        <v>4</v>
      </c>
      <c r="F538" s="6">
        <v>800</v>
      </c>
      <c r="G538" s="6" t="s">
        <v>1245</v>
      </c>
      <c r="H538" s="44" t="s">
        <v>146</v>
      </c>
      <c r="I538" s="44" t="s">
        <v>147</v>
      </c>
    </row>
    <row r="539" spans="1:9" ht="45" x14ac:dyDescent="0.25">
      <c r="A539" s="44" t="s">
        <v>136</v>
      </c>
      <c r="B539" s="6">
        <v>26060001</v>
      </c>
      <c r="C539" s="44" t="s">
        <v>1348</v>
      </c>
      <c r="D539" s="44" t="s">
        <v>1405</v>
      </c>
      <c r="E539" s="6">
        <v>1</v>
      </c>
      <c r="F539" s="6">
        <v>500</v>
      </c>
      <c r="G539" s="6">
        <v>500</v>
      </c>
      <c r="H539" s="44" t="s">
        <v>146</v>
      </c>
      <c r="I539" s="44" t="s">
        <v>147</v>
      </c>
    </row>
    <row r="540" spans="1:9" ht="30" x14ac:dyDescent="0.25">
      <c r="A540" s="44" t="s">
        <v>205</v>
      </c>
      <c r="B540" s="6">
        <v>26060001</v>
      </c>
      <c r="C540" s="44" t="s">
        <v>1348</v>
      </c>
      <c r="D540" s="44" t="s">
        <v>1406</v>
      </c>
      <c r="E540" s="6">
        <v>1</v>
      </c>
      <c r="F540" s="6" t="s">
        <v>1323</v>
      </c>
      <c r="G540" s="6" t="s">
        <v>1323</v>
      </c>
      <c r="H540" s="44" t="s">
        <v>206</v>
      </c>
      <c r="I540" s="44" t="s">
        <v>205</v>
      </c>
    </row>
    <row r="541" spans="1:9" ht="45" x14ac:dyDescent="0.25">
      <c r="A541" s="44" t="s">
        <v>286</v>
      </c>
      <c r="B541" s="6">
        <v>26060001</v>
      </c>
      <c r="C541" s="44" t="s">
        <v>1348</v>
      </c>
      <c r="D541" s="44" t="s">
        <v>1407</v>
      </c>
      <c r="E541" s="6">
        <v>24</v>
      </c>
      <c r="F541" s="6">
        <v>25</v>
      </c>
      <c r="G541" s="6">
        <v>600</v>
      </c>
      <c r="H541" s="44" t="s">
        <v>289</v>
      </c>
      <c r="I541" s="44" t="s">
        <v>290</v>
      </c>
    </row>
    <row r="542" spans="1:9" ht="45" x14ac:dyDescent="0.25">
      <c r="A542" s="44" t="s">
        <v>286</v>
      </c>
      <c r="B542" s="6">
        <v>26060001</v>
      </c>
      <c r="C542" s="44" t="s">
        <v>1348</v>
      </c>
      <c r="D542" s="44" t="s">
        <v>1408</v>
      </c>
      <c r="E542" s="6">
        <v>1</v>
      </c>
      <c r="F542" s="6">
        <v>200</v>
      </c>
      <c r="G542" s="6">
        <v>200</v>
      </c>
      <c r="H542" s="44" t="s">
        <v>289</v>
      </c>
      <c r="I542" s="44" t="s">
        <v>290</v>
      </c>
    </row>
    <row r="543" spans="1:9" ht="45" x14ac:dyDescent="0.25">
      <c r="A543" s="44" t="s">
        <v>286</v>
      </c>
      <c r="B543" s="6">
        <v>26060001</v>
      </c>
      <c r="C543" s="44" t="s">
        <v>1348</v>
      </c>
      <c r="D543" s="44" t="s">
        <v>1409</v>
      </c>
      <c r="E543" s="6">
        <v>1</v>
      </c>
      <c r="F543" s="6" t="s">
        <v>1410</v>
      </c>
      <c r="G543" s="6" t="s">
        <v>1410</v>
      </c>
      <c r="H543" s="44" t="s">
        <v>289</v>
      </c>
      <c r="I543" s="44" t="s">
        <v>290</v>
      </c>
    </row>
    <row r="544" spans="1:9" ht="45" x14ac:dyDescent="0.25">
      <c r="A544" s="44" t="s">
        <v>286</v>
      </c>
      <c r="B544" s="6">
        <v>26060001</v>
      </c>
      <c r="C544" s="44" t="s">
        <v>1348</v>
      </c>
      <c r="D544" s="44" t="s">
        <v>1411</v>
      </c>
      <c r="E544" s="6">
        <v>2</v>
      </c>
      <c r="F544" s="6">
        <v>100</v>
      </c>
      <c r="G544" s="6">
        <v>200</v>
      </c>
      <c r="H544" s="44" t="s">
        <v>289</v>
      </c>
      <c r="I544" s="44" t="s">
        <v>290</v>
      </c>
    </row>
    <row r="545" spans="1:9" ht="45" x14ac:dyDescent="0.25">
      <c r="A545" s="44" t="s">
        <v>286</v>
      </c>
      <c r="B545" s="6">
        <v>26060001</v>
      </c>
      <c r="C545" s="44" t="s">
        <v>1348</v>
      </c>
      <c r="D545" s="44" t="s">
        <v>1412</v>
      </c>
      <c r="E545" s="6">
        <v>2</v>
      </c>
      <c r="F545" s="6">
        <v>100</v>
      </c>
      <c r="G545" s="6">
        <v>200</v>
      </c>
      <c r="H545" s="44" t="s">
        <v>289</v>
      </c>
      <c r="I545" s="44" t="s">
        <v>290</v>
      </c>
    </row>
    <row r="546" spans="1:9" ht="45" x14ac:dyDescent="0.25">
      <c r="A546" s="44" t="s">
        <v>286</v>
      </c>
      <c r="B546" s="6">
        <v>26060001</v>
      </c>
      <c r="C546" s="44" t="s">
        <v>1348</v>
      </c>
      <c r="D546" s="44" t="s">
        <v>1413</v>
      </c>
      <c r="E546" s="6">
        <v>1</v>
      </c>
      <c r="F546" s="6">
        <v>790</v>
      </c>
      <c r="G546" s="6">
        <v>790</v>
      </c>
      <c r="H546" s="44" t="s">
        <v>289</v>
      </c>
      <c r="I546" s="44" t="s">
        <v>290</v>
      </c>
    </row>
    <row r="547" spans="1:9" ht="45" x14ac:dyDescent="0.25">
      <c r="A547" s="44" t="s">
        <v>286</v>
      </c>
      <c r="B547" s="6">
        <v>26060001</v>
      </c>
      <c r="C547" s="44" t="s">
        <v>1348</v>
      </c>
      <c r="D547" s="44" t="s">
        <v>1414</v>
      </c>
      <c r="E547" s="6">
        <v>1</v>
      </c>
      <c r="F547" s="6" t="s">
        <v>726</v>
      </c>
      <c r="G547" s="6" t="s">
        <v>726</v>
      </c>
      <c r="H547" s="44" t="s">
        <v>289</v>
      </c>
      <c r="I547" s="44" t="s">
        <v>290</v>
      </c>
    </row>
    <row r="548" spans="1:9" ht="45" x14ac:dyDescent="0.25">
      <c r="A548" s="44" t="s">
        <v>286</v>
      </c>
      <c r="B548" s="6">
        <v>26060001</v>
      </c>
      <c r="C548" s="44" t="s">
        <v>1348</v>
      </c>
      <c r="D548" s="44" t="s">
        <v>1415</v>
      </c>
      <c r="E548" s="6">
        <v>1</v>
      </c>
      <c r="F548" s="6">
        <v>654</v>
      </c>
      <c r="G548" s="6">
        <v>654</v>
      </c>
      <c r="H548" s="44" t="s">
        <v>289</v>
      </c>
      <c r="I548" s="44" t="s">
        <v>290</v>
      </c>
    </row>
    <row r="549" spans="1:9" ht="60" x14ac:dyDescent="0.25">
      <c r="A549" s="44" t="s">
        <v>286</v>
      </c>
      <c r="B549" s="6">
        <v>26060001</v>
      </c>
      <c r="C549" s="44" t="s">
        <v>1348</v>
      </c>
      <c r="D549" s="44" t="s">
        <v>1416</v>
      </c>
      <c r="E549" s="6">
        <v>1</v>
      </c>
      <c r="F549" s="6">
        <v>800</v>
      </c>
      <c r="G549" s="6">
        <v>800</v>
      </c>
      <c r="H549" s="44" t="s">
        <v>289</v>
      </c>
      <c r="I549" s="44" t="s">
        <v>290</v>
      </c>
    </row>
    <row r="550" spans="1:9" ht="45" x14ac:dyDescent="0.25">
      <c r="A550" s="44" t="s">
        <v>286</v>
      </c>
      <c r="B550" s="6">
        <v>26060001</v>
      </c>
      <c r="C550" s="44" t="s">
        <v>1348</v>
      </c>
      <c r="D550" s="44" t="s">
        <v>1417</v>
      </c>
      <c r="E550" s="6">
        <v>12</v>
      </c>
      <c r="F550" s="6">
        <v>10</v>
      </c>
      <c r="G550" s="6">
        <v>120</v>
      </c>
      <c r="H550" s="44" t="s">
        <v>289</v>
      </c>
      <c r="I550" s="44" t="s">
        <v>290</v>
      </c>
    </row>
    <row r="551" spans="1:9" ht="45" x14ac:dyDescent="0.25">
      <c r="A551" s="44" t="s">
        <v>286</v>
      </c>
      <c r="B551" s="6">
        <v>26060001</v>
      </c>
      <c r="C551" s="44" t="s">
        <v>1348</v>
      </c>
      <c r="D551" s="44" t="s">
        <v>1418</v>
      </c>
      <c r="E551" s="6">
        <v>6</v>
      </c>
      <c r="F551" s="6">
        <v>27</v>
      </c>
      <c r="G551" s="6">
        <v>162</v>
      </c>
      <c r="H551" s="44" t="s">
        <v>289</v>
      </c>
      <c r="I551" s="44" t="s">
        <v>290</v>
      </c>
    </row>
    <row r="552" spans="1:9" ht="45" x14ac:dyDescent="0.25">
      <c r="A552" s="44" t="s">
        <v>286</v>
      </c>
      <c r="B552" s="6">
        <v>26060001</v>
      </c>
      <c r="C552" s="44" t="s">
        <v>1348</v>
      </c>
      <c r="D552" s="44" t="s">
        <v>1419</v>
      </c>
      <c r="E552" s="6">
        <v>1</v>
      </c>
      <c r="F552" s="6">
        <v>504.6</v>
      </c>
      <c r="G552" s="6">
        <v>504.6</v>
      </c>
      <c r="H552" s="44" t="s">
        <v>289</v>
      </c>
      <c r="I552" s="44" t="s">
        <v>290</v>
      </c>
    </row>
    <row r="553" spans="1:9" ht="45" x14ac:dyDescent="0.25">
      <c r="A553" s="44" t="s">
        <v>286</v>
      </c>
      <c r="B553" s="6">
        <v>26060001</v>
      </c>
      <c r="C553" s="44" t="s">
        <v>1348</v>
      </c>
      <c r="D553" s="44" t="s">
        <v>1420</v>
      </c>
      <c r="E553" s="6">
        <v>1</v>
      </c>
      <c r="F553" s="6" t="s">
        <v>1421</v>
      </c>
      <c r="G553" s="6" t="s">
        <v>1421</v>
      </c>
      <c r="H553" s="44" t="s">
        <v>289</v>
      </c>
      <c r="I553" s="44" t="s">
        <v>290</v>
      </c>
    </row>
    <row r="554" spans="1:9" ht="45" x14ac:dyDescent="0.25">
      <c r="A554" s="44" t="s">
        <v>286</v>
      </c>
      <c r="B554" s="6">
        <v>26060001</v>
      </c>
      <c r="C554" s="44" t="s">
        <v>1348</v>
      </c>
      <c r="D554" s="44" t="s">
        <v>1422</v>
      </c>
      <c r="E554" s="6">
        <v>1</v>
      </c>
      <c r="F554" s="6">
        <v>210</v>
      </c>
      <c r="G554" s="6">
        <v>210</v>
      </c>
      <c r="H554" s="44" t="s">
        <v>289</v>
      </c>
      <c r="I554" s="44" t="s">
        <v>290</v>
      </c>
    </row>
    <row r="555" spans="1:9" ht="45" x14ac:dyDescent="0.25">
      <c r="A555" s="44" t="s">
        <v>286</v>
      </c>
      <c r="B555" s="6">
        <v>26060001</v>
      </c>
      <c r="C555" s="44" t="s">
        <v>1348</v>
      </c>
      <c r="D555" s="44" t="s">
        <v>1423</v>
      </c>
      <c r="E555" s="6">
        <v>6</v>
      </c>
      <c r="F555" s="6">
        <v>28</v>
      </c>
      <c r="G555" s="6">
        <v>168</v>
      </c>
      <c r="H555" s="44" t="s">
        <v>289</v>
      </c>
      <c r="I555" s="44" t="s">
        <v>290</v>
      </c>
    </row>
    <row r="556" spans="1:9" ht="45" x14ac:dyDescent="0.25">
      <c r="A556" s="44" t="s">
        <v>286</v>
      </c>
      <c r="B556" s="6">
        <v>26060001</v>
      </c>
      <c r="C556" s="44" t="s">
        <v>1348</v>
      </c>
      <c r="D556" s="44" t="s">
        <v>1424</v>
      </c>
      <c r="E556" s="6">
        <v>1</v>
      </c>
      <c r="F556" s="6" t="s">
        <v>987</v>
      </c>
      <c r="G556" s="6" t="s">
        <v>987</v>
      </c>
      <c r="H556" s="44" t="s">
        <v>289</v>
      </c>
      <c r="I556" s="44" t="s">
        <v>290</v>
      </c>
    </row>
    <row r="557" spans="1:9" ht="45" x14ac:dyDescent="0.25">
      <c r="A557" s="44" t="s">
        <v>286</v>
      </c>
      <c r="B557" s="6">
        <v>26060001</v>
      </c>
      <c r="C557" s="44" t="s">
        <v>1348</v>
      </c>
      <c r="D557" s="44" t="s">
        <v>1425</v>
      </c>
      <c r="E557" s="6">
        <v>6</v>
      </c>
      <c r="F557" s="6">
        <v>110</v>
      </c>
      <c r="G557" s="6">
        <v>660</v>
      </c>
      <c r="H557" s="44" t="s">
        <v>289</v>
      </c>
      <c r="I557" s="44" t="s">
        <v>290</v>
      </c>
    </row>
    <row r="558" spans="1:9" ht="45" x14ac:dyDescent="0.25">
      <c r="A558" s="44" t="s">
        <v>286</v>
      </c>
      <c r="B558" s="6">
        <v>26060001</v>
      </c>
      <c r="C558" s="44" t="s">
        <v>1348</v>
      </c>
      <c r="D558" s="44" t="s">
        <v>1426</v>
      </c>
      <c r="E558" s="6">
        <v>6</v>
      </c>
      <c r="F558" s="6">
        <v>160</v>
      </c>
      <c r="G558" s="6">
        <v>960</v>
      </c>
      <c r="H558" s="44" t="s">
        <v>289</v>
      </c>
      <c r="I558" s="44" t="s">
        <v>290</v>
      </c>
    </row>
    <row r="559" spans="1:9" ht="180" x14ac:dyDescent="0.25">
      <c r="A559" s="44" t="s">
        <v>286</v>
      </c>
      <c r="B559" s="6">
        <v>26060001</v>
      </c>
      <c r="C559" s="44" t="s">
        <v>1348</v>
      </c>
      <c r="D559" s="44" t="s">
        <v>1427</v>
      </c>
      <c r="E559" s="6">
        <v>1</v>
      </c>
      <c r="F559" s="6" t="s">
        <v>1428</v>
      </c>
      <c r="G559" s="6" t="s">
        <v>1428</v>
      </c>
      <c r="H559" s="44" t="s">
        <v>289</v>
      </c>
      <c r="I559" s="44" t="s">
        <v>290</v>
      </c>
    </row>
    <row r="560" spans="1:9" ht="60" x14ac:dyDescent="0.25">
      <c r="A560" s="44" t="s">
        <v>286</v>
      </c>
      <c r="B560" s="6">
        <v>26060001</v>
      </c>
      <c r="C560" s="44" t="s">
        <v>1348</v>
      </c>
      <c r="D560" s="44" t="s">
        <v>1429</v>
      </c>
      <c r="E560" s="6">
        <v>1</v>
      </c>
      <c r="F560" s="6" t="s">
        <v>1430</v>
      </c>
      <c r="G560" s="6" t="s">
        <v>1430</v>
      </c>
      <c r="H560" s="44" t="s">
        <v>289</v>
      </c>
      <c r="I560" s="44" t="s">
        <v>290</v>
      </c>
    </row>
    <row r="561" spans="1:9" ht="45" x14ac:dyDescent="0.25">
      <c r="A561" s="44" t="s">
        <v>286</v>
      </c>
      <c r="B561" s="6">
        <v>26060001</v>
      </c>
      <c r="C561" s="44" t="s">
        <v>1348</v>
      </c>
      <c r="D561" s="44" t="s">
        <v>1431</v>
      </c>
      <c r="E561" s="6">
        <v>1</v>
      </c>
      <c r="F561" s="6">
        <v>504.6</v>
      </c>
      <c r="G561" s="6">
        <v>504.6</v>
      </c>
      <c r="H561" s="44" t="s">
        <v>289</v>
      </c>
      <c r="I561" s="44" t="s">
        <v>290</v>
      </c>
    </row>
    <row r="562" spans="1:9" ht="45" x14ac:dyDescent="0.25">
      <c r="A562" s="44" t="s">
        <v>286</v>
      </c>
      <c r="B562" s="6">
        <v>26060001</v>
      </c>
      <c r="C562" s="44" t="s">
        <v>1348</v>
      </c>
      <c r="D562" s="44" t="s">
        <v>1432</v>
      </c>
      <c r="E562" s="6">
        <v>6</v>
      </c>
      <c r="F562" s="6">
        <v>30</v>
      </c>
      <c r="G562" s="6">
        <v>180</v>
      </c>
      <c r="H562" s="44" t="s">
        <v>289</v>
      </c>
      <c r="I562" s="44" t="s">
        <v>290</v>
      </c>
    </row>
    <row r="563" spans="1:9" ht="60" x14ac:dyDescent="0.25">
      <c r="A563" s="44" t="s">
        <v>286</v>
      </c>
      <c r="B563" s="6">
        <v>26060001</v>
      </c>
      <c r="C563" s="44" t="s">
        <v>1348</v>
      </c>
      <c r="D563" s="44" t="s">
        <v>1433</v>
      </c>
      <c r="E563" s="6">
        <v>12</v>
      </c>
      <c r="F563" s="6">
        <v>125</v>
      </c>
      <c r="G563" s="6" t="s">
        <v>800</v>
      </c>
      <c r="H563" s="44" t="s">
        <v>289</v>
      </c>
      <c r="I563" s="44" t="s">
        <v>290</v>
      </c>
    </row>
    <row r="564" spans="1:9" ht="45" x14ac:dyDescent="0.25">
      <c r="A564" s="44" t="s">
        <v>286</v>
      </c>
      <c r="B564" s="6">
        <v>26060001</v>
      </c>
      <c r="C564" s="44" t="s">
        <v>1348</v>
      </c>
      <c r="D564" s="44" t="s">
        <v>1434</v>
      </c>
      <c r="E564" s="6">
        <v>1</v>
      </c>
      <c r="F564" s="6" t="s">
        <v>1435</v>
      </c>
      <c r="G564" s="6" t="s">
        <v>1435</v>
      </c>
      <c r="H564" s="44" t="s">
        <v>289</v>
      </c>
      <c r="I564" s="44" t="s">
        <v>290</v>
      </c>
    </row>
    <row r="565" spans="1:9" ht="45" x14ac:dyDescent="0.25">
      <c r="A565" s="44" t="s">
        <v>286</v>
      </c>
      <c r="B565" s="6">
        <v>26060001</v>
      </c>
      <c r="C565" s="44" t="s">
        <v>1348</v>
      </c>
      <c r="D565" s="44" t="s">
        <v>1436</v>
      </c>
      <c r="E565" s="6">
        <v>6</v>
      </c>
      <c r="F565" s="6">
        <v>650</v>
      </c>
      <c r="G565" s="6" t="s">
        <v>1437</v>
      </c>
      <c r="H565" s="44" t="s">
        <v>289</v>
      </c>
      <c r="I565" s="44" t="s">
        <v>290</v>
      </c>
    </row>
    <row r="566" spans="1:9" ht="45" x14ac:dyDescent="0.25">
      <c r="A566" s="44" t="s">
        <v>286</v>
      </c>
      <c r="B566" s="6">
        <v>26060001</v>
      </c>
      <c r="C566" s="44" t="s">
        <v>1348</v>
      </c>
      <c r="D566" s="44" t="s">
        <v>1438</v>
      </c>
      <c r="E566" s="6">
        <v>6</v>
      </c>
      <c r="F566" s="6">
        <v>33</v>
      </c>
      <c r="G566" s="6">
        <v>198</v>
      </c>
      <c r="H566" s="44" t="s">
        <v>289</v>
      </c>
      <c r="I566" s="44" t="s">
        <v>290</v>
      </c>
    </row>
    <row r="567" spans="1:9" ht="45" x14ac:dyDescent="0.25">
      <c r="A567" s="44" t="s">
        <v>286</v>
      </c>
      <c r="B567" s="6">
        <v>26060001</v>
      </c>
      <c r="C567" s="44" t="s">
        <v>1348</v>
      </c>
      <c r="D567" s="44" t="s">
        <v>1439</v>
      </c>
      <c r="E567" s="6">
        <v>3</v>
      </c>
      <c r="F567" s="6">
        <v>43.451999999999998</v>
      </c>
      <c r="G567" s="6">
        <v>130.35599999999999</v>
      </c>
      <c r="H567" s="44" t="s">
        <v>289</v>
      </c>
      <c r="I567" s="44" t="s">
        <v>290</v>
      </c>
    </row>
    <row r="568" spans="1:9" ht="45" x14ac:dyDescent="0.25">
      <c r="A568" s="44" t="s">
        <v>286</v>
      </c>
      <c r="B568" s="6">
        <v>26060001</v>
      </c>
      <c r="C568" s="44" t="s">
        <v>1348</v>
      </c>
      <c r="D568" s="44" t="s">
        <v>1440</v>
      </c>
      <c r="E568" s="6">
        <v>1</v>
      </c>
      <c r="F568" s="6" t="s">
        <v>1441</v>
      </c>
      <c r="G568" s="6" t="s">
        <v>1441</v>
      </c>
      <c r="H568" s="44" t="s">
        <v>289</v>
      </c>
      <c r="I568" s="44" t="s">
        <v>290</v>
      </c>
    </row>
    <row r="569" spans="1:9" ht="45" x14ac:dyDescent="0.25">
      <c r="A569" s="44" t="s">
        <v>286</v>
      </c>
      <c r="B569" s="6">
        <v>26060001</v>
      </c>
      <c r="C569" s="44" t="s">
        <v>1348</v>
      </c>
      <c r="D569" s="44" t="s">
        <v>1442</v>
      </c>
      <c r="E569" s="6">
        <v>12</v>
      </c>
      <c r="F569" s="6">
        <v>25</v>
      </c>
      <c r="G569" s="6">
        <v>300</v>
      </c>
      <c r="H569" s="44" t="s">
        <v>289</v>
      </c>
      <c r="I569" s="44" t="s">
        <v>290</v>
      </c>
    </row>
    <row r="570" spans="1:9" ht="45" x14ac:dyDescent="0.25">
      <c r="A570" s="44" t="s">
        <v>286</v>
      </c>
      <c r="B570" s="6">
        <v>14880014</v>
      </c>
      <c r="C570" s="44" t="s">
        <v>1348</v>
      </c>
      <c r="D570" s="44" t="s">
        <v>1443</v>
      </c>
      <c r="E570" s="6">
        <v>1</v>
      </c>
      <c r="F570" s="6" t="s">
        <v>990</v>
      </c>
      <c r="G570" s="6" t="s">
        <v>990</v>
      </c>
      <c r="H570" s="44" t="s">
        <v>289</v>
      </c>
      <c r="I570" s="44" t="s">
        <v>290</v>
      </c>
    </row>
    <row r="571" spans="1:9" ht="45" x14ac:dyDescent="0.25">
      <c r="A571" s="44" t="s">
        <v>286</v>
      </c>
      <c r="B571" s="6">
        <v>26060001</v>
      </c>
      <c r="C571" s="44" t="s">
        <v>1348</v>
      </c>
      <c r="D571" s="44" t="s">
        <v>1444</v>
      </c>
      <c r="E571" s="6">
        <v>12</v>
      </c>
      <c r="F571" s="6">
        <v>29</v>
      </c>
      <c r="G571" s="6">
        <v>348</v>
      </c>
      <c r="H571" s="44" t="s">
        <v>289</v>
      </c>
      <c r="I571" s="44" t="s">
        <v>290</v>
      </c>
    </row>
    <row r="572" spans="1:9" ht="45" x14ac:dyDescent="0.25">
      <c r="A572" s="44" t="s">
        <v>286</v>
      </c>
      <c r="B572" s="6">
        <v>26060001</v>
      </c>
      <c r="C572" s="44" t="s">
        <v>1348</v>
      </c>
      <c r="D572" s="44" t="s">
        <v>1445</v>
      </c>
      <c r="E572" s="6">
        <v>6</v>
      </c>
      <c r="F572" s="6">
        <v>23</v>
      </c>
      <c r="G572" s="6">
        <v>138</v>
      </c>
      <c r="H572" s="44" t="s">
        <v>289</v>
      </c>
      <c r="I572" s="44" t="s">
        <v>290</v>
      </c>
    </row>
    <row r="573" spans="1:9" ht="45" x14ac:dyDescent="0.25">
      <c r="A573" s="44" t="s">
        <v>286</v>
      </c>
      <c r="B573" s="6">
        <v>26060001</v>
      </c>
      <c r="C573" s="44" t="s">
        <v>1348</v>
      </c>
      <c r="D573" s="44" t="s">
        <v>1446</v>
      </c>
      <c r="E573" s="6">
        <v>12</v>
      </c>
      <c r="F573" s="6">
        <v>50</v>
      </c>
      <c r="G573" s="6">
        <v>600</v>
      </c>
      <c r="H573" s="44" t="s">
        <v>289</v>
      </c>
      <c r="I573" s="44" t="s">
        <v>290</v>
      </c>
    </row>
    <row r="574" spans="1:9" ht="45" x14ac:dyDescent="0.25">
      <c r="A574" s="44" t="s">
        <v>286</v>
      </c>
      <c r="B574" s="6">
        <v>26060001</v>
      </c>
      <c r="C574" s="44" t="s">
        <v>1348</v>
      </c>
      <c r="D574" s="44" t="s">
        <v>1447</v>
      </c>
      <c r="E574" s="6">
        <v>12</v>
      </c>
      <c r="F574" s="6">
        <v>8</v>
      </c>
      <c r="G574" s="6">
        <v>96</v>
      </c>
      <c r="H574" s="44" t="s">
        <v>289</v>
      </c>
      <c r="I574" s="44" t="s">
        <v>290</v>
      </c>
    </row>
    <row r="575" spans="1:9" ht="60" x14ac:dyDescent="0.25">
      <c r="A575" s="44" t="s">
        <v>286</v>
      </c>
      <c r="B575" s="6">
        <v>26060001</v>
      </c>
      <c r="C575" s="44" t="s">
        <v>1348</v>
      </c>
      <c r="D575" s="44" t="s">
        <v>1448</v>
      </c>
      <c r="E575" s="6">
        <v>1</v>
      </c>
      <c r="F575" s="6">
        <v>600</v>
      </c>
      <c r="G575" s="6">
        <v>600</v>
      </c>
      <c r="H575" s="44" t="s">
        <v>289</v>
      </c>
      <c r="I575" s="44" t="s">
        <v>290</v>
      </c>
    </row>
    <row r="576" spans="1:9" ht="45" x14ac:dyDescent="0.25">
      <c r="A576" s="44" t="s">
        <v>286</v>
      </c>
      <c r="B576" s="6">
        <v>26060001</v>
      </c>
      <c r="C576" s="44" t="s">
        <v>1348</v>
      </c>
      <c r="D576" s="44" t="s">
        <v>1449</v>
      </c>
      <c r="E576" s="6">
        <v>6</v>
      </c>
      <c r="F576" s="6">
        <v>25</v>
      </c>
      <c r="G576" s="6">
        <v>150</v>
      </c>
      <c r="H576" s="44" t="s">
        <v>289</v>
      </c>
      <c r="I576" s="44" t="s">
        <v>290</v>
      </c>
    </row>
    <row r="577" spans="1:9" ht="45" x14ac:dyDescent="0.25">
      <c r="A577" s="44" t="s">
        <v>286</v>
      </c>
      <c r="B577" s="6">
        <v>26060001</v>
      </c>
      <c r="C577" s="44" t="s">
        <v>1348</v>
      </c>
      <c r="D577" s="44" t="s">
        <v>1450</v>
      </c>
      <c r="E577" s="6">
        <v>12</v>
      </c>
      <c r="F577" s="6">
        <v>38</v>
      </c>
      <c r="G577" s="6">
        <v>456</v>
      </c>
      <c r="H577" s="44" t="s">
        <v>289</v>
      </c>
      <c r="I577" s="44" t="s">
        <v>290</v>
      </c>
    </row>
    <row r="578" spans="1:9" ht="45" x14ac:dyDescent="0.25">
      <c r="A578" s="44" t="s">
        <v>286</v>
      </c>
      <c r="B578" s="6">
        <v>26060001</v>
      </c>
      <c r="C578" s="44" t="s">
        <v>1348</v>
      </c>
      <c r="D578" s="44" t="s">
        <v>1451</v>
      </c>
      <c r="E578" s="6">
        <v>1</v>
      </c>
      <c r="F578" s="6" t="s">
        <v>1452</v>
      </c>
      <c r="G578" s="6" t="s">
        <v>1452</v>
      </c>
      <c r="H578" s="44" t="s">
        <v>289</v>
      </c>
      <c r="I578" s="44" t="s">
        <v>290</v>
      </c>
    </row>
    <row r="579" spans="1:9" ht="90" x14ac:dyDescent="0.25">
      <c r="A579" s="44" t="s">
        <v>286</v>
      </c>
      <c r="B579" s="6">
        <v>26060001</v>
      </c>
      <c r="C579" s="44" t="s">
        <v>1348</v>
      </c>
      <c r="D579" s="44" t="s">
        <v>1453</v>
      </c>
      <c r="E579" s="6">
        <v>3</v>
      </c>
      <c r="F579" s="6">
        <v>290.452</v>
      </c>
      <c r="G579" s="6">
        <v>871.35599999999999</v>
      </c>
      <c r="H579" s="44" t="s">
        <v>289</v>
      </c>
      <c r="I579" s="44" t="s">
        <v>290</v>
      </c>
    </row>
    <row r="580" spans="1:9" ht="75" x14ac:dyDescent="0.25">
      <c r="A580" s="44" t="s">
        <v>207</v>
      </c>
      <c r="B580" s="6">
        <v>2231026</v>
      </c>
      <c r="C580" s="44" t="s">
        <v>1454</v>
      </c>
      <c r="D580" s="44" t="s">
        <v>1455</v>
      </c>
      <c r="E580" s="6">
        <v>2</v>
      </c>
      <c r="F580" s="6">
        <v>550</v>
      </c>
      <c r="G580" s="6" t="s">
        <v>1225</v>
      </c>
      <c r="H580" s="44" t="s">
        <v>208</v>
      </c>
      <c r="I580" s="44" t="s">
        <v>207</v>
      </c>
    </row>
    <row r="581" spans="1:9" ht="45" x14ac:dyDescent="0.25">
      <c r="A581" s="44" t="s">
        <v>207</v>
      </c>
      <c r="B581" s="6">
        <v>2231010</v>
      </c>
      <c r="C581" s="44" t="s">
        <v>1456</v>
      </c>
      <c r="D581" s="44" t="s">
        <v>1457</v>
      </c>
      <c r="E581" s="6">
        <v>2</v>
      </c>
      <c r="F581" s="6">
        <v>550</v>
      </c>
      <c r="G581" s="6" t="s">
        <v>1225</v>
      </c>
      <c r="H581" s="44" t="s">
        <v>208</v>
      </c>
      <c r="I581" s="44" t="s">
        <v>207</v>
      </c>
    </row>
    <row r="582" spans="1:9" ht="75" x14ac:dyDescent="0.25">
      <c r="A582" s="44" t="s">
        <v>205</v>
      </c>
      <c r="B582" s="6">
        <v>2231030</v>
      </c>
      <c r="C582" s="44" t="s">
        <v>1458</v>
      </c>
      <c r="D582" s="44" t="s">
        <v>1459</v>
      </c>
      <c r="E582" s="6">
        <v>1</v>
      </c>
      <c r="F582" s="6" t="s">
        <v>883</v>
      </c>
      <c r="G582" s="6" t="s">
        <v>883</v>
      </c>
      <c r="H582" s="44" t="s">
        <v>206</v>
      </c>
      <c r="I582" s="44" t="s">
        <v>205</v>
      </c>
    </row>
    <row r="583" spans="1:9" ht="75" x14ac:dyDescent="0.25">
      <c r="A583" s="44" t="s">
        <v>205</v>
      </c>
      <c r="B583" s="6">
        <v>2231041</v>
      </c>
      <c r="C583" s="44" t="s">
        <v>1460</v>
      </c>
      <c r="D583" s="44" t="s">
        <v>1461</v>
      </c>
      <c r="E583" s="6">
        <v>1</v>
      </c>
      <c r="F583" s="6" t="s">
        <v>1462</v>
      </c>
      <c r="G583" s="6" t="s">
        <v>1462</v>
      </c>
      <c r="H583" s="44" t="s">
        <v>206</v>
      </c>
      <c r="I583" s="44" t="s">
        <v>205</v>
      </c>
    </row>
    <row r="584" spans="1:9" ht="75" x14ac:dyDescent="0.25">
      <c r="A584" s="44" t="s">
        <v>136</v>
      </c>
      <c r="B584" s="6">
        <v>2231051</v>
      </c>
      <c r="C584" s="44" t="s">
        <v>1463</v>
      </c>
      <c r="D584" s="44" t="s">
        <v>1464</v>
      </c>
      <c r="E584" s="6">
        <v>2</v>
      </c>
      <c r="F584" s="6" t="s">
        <v>867</v>
      </c>
      <c r="G584" s="6" t="s">
        <v>1465</v>
      </c>
      <c r="H584" s="44" t="s">
        <v>142</v>
      </c>
      <c r="I584" s="44" t="s">
        <v>143</v>
      </c>
    </row>
    <row r="585" spans="1:9" ht="75" x14ac:dyDescent="0.25">
      <c r="A585" s="44" t="s">
        <v>136</v>
      </c>
      <c r="B585" s="6">
        <v>2231051</v>
      </c>
      <c r="C585" s="44" t="s">
        <v>1463</v>
      </c>
      <c r="D585" s="44" t="s">
        <v>1466</v>
      </c>
      <c r="E585" s="6">
        <v>1</v>
      </c>
      <c r="F585" s="6" t="s">
        <v>1467</v>
      </c>
      <c r="G585" s="6" t="s">
        <v>1467</v>
      </c>
      <c r="H585" s="44" t="s">
        <v>146</v>
      </c>
      <c r="I585" s="44" t="s">
        <v>147</v>
      </c>
    </row>
    <row r="586" spans="1:9" ht="75" x14ac:dyDescent="0.25">
      <c r="A586" s="44" t="s">
        <v>281</v>
      </c>
      <c r="B586" s="6">
        <v>2231051</v>
      </c>
      <c r="C586" s="44" t="s">
        <v>1463</v>
      </c>
      <c r="D586" s="44" t="s">
        <v>1468</v>
      </c>
      <c r="E586" s="6">
        <v>2</v>
      </c>
      <c r="F586" s="6">
        <v>30</v>
      </c>
      <c r="G586" s="6">
        <v>60</v>
      </c>
      <c r="H586" s="44" t="s">
        <v>284</v>
      </c>
      <c r="I586" s="44" t="s">
        <v>285</v>
      </c>
    </row>
    <row r="587" spans="1:9" ht="75" x14ac:dyDescent="0.25">
      <c r="A587" s="44" t="s">
        <v>286</v>
      </c>
      <c r="B587" s="6">
        <v>2231051</v>
      </c>
      <c r="C587" s="44" t="s">
        <v>1463</v>
      </c>
      <c r="D587" s="44" t="s">
        <v>1469</v>
      </c>
      <c r="E587" s="6">
        <v>1</v>
      </c>
      <c r="F587" s="6" t="s">
        <v>1275</v>
      </c>
      <c r="G587" s="6" t="s">
        <v>1275</v>
      </c>
      <c r="H587" s="44" t="s">
        <v>289</v>
      </c>
      <c r="I587" s="44" t="s">
        <v>290</v>
      </c>
    </row>
    <row r="588" spans="1:9" ht="60" x14ac:dyDescent="0.25">
      <c r="A588" s="44" t="s">
        <v>166</v>
      </c>
      <c r="B588" s="6">
        <v>26050014</v>
      </c>
      <c r="C588" s="44" t="s">
        <v>1470</v>
      </c>
      <c r="D588" s="44" t="s">
        <v>1471</v>
      </c>
      <c r="E588" s="6">
        <v>3</v>
      </c>
      <c r="F588" s="6">
        <v>600</v>
      </c>
      <c r="G588" s="6" t="s">
        <v>861</v>
      </c>
      <c r="H588" s="44" t="s">
        <v>172</v>
      </c>
      <c r="I588" s="44" t="s">
        <v>173</v>
      </c>
    </row>
    <row r="589" spans="1:9" ht="75" x14ac:dyDescent="0.25">
      <c r="A589" s="44" t="s">
        <v>207</v>
      </c>
      <c r="B589" s="6">
        <v>218800025</v>
      </c>
      <c r="C589" s="44" t="s">
        <v>1472</v>
      </c>
      <c r="D589" s="44" t="s">
        <v>1473</v>
      </c>
      <c r="E589" s="6">
        <v>1</v>
      </c>
      <c r="F589" s="6" t="s">
        <v>678</v>
      </c>
      <c r="G589" s="6" t="s">
        <v>678</v>
      </c>
      <c r="H589" s="44" t="s">
        <v>208</v>
      </c>
      <c r="I589" s="44" t="s">
        <v>207</v>
      </c>
    </row>
    <row r="590" spans="1:9" ht="45" x14ac:dyDescent="0.25">
      <c r="A590" s="44" t="s">
        <v>88</v>
      </c>
      <c r="B590" s="6">
        <v>209200015</v>
      </c>
      <c r="C590" s="44" t="s">
        <v>1474</v>
      </c>
      <c r="D590" s="44"/>
      <c r="E590" s="6">
        <v>1</v>
      </c>
      <c r="F590" s="6">
        <v>280</v>
      </c>
      <c r="G590" s="6">
        <v>280</v>
      </c>
      <c r="H590" s="44" t="s">
        <v>91</v>
      </c>
      <c r="I590" s="44" t="s">
        <v>92</v>
      </c>
    </row>
    <row r="591" spans="1:9" ht="45" x14ac:dyDescent="0.25">
      <c r="A591" s="44" t="s">
        <v>88</v>
      </c>
      <c r="B591" s="6">
        <v>209200015</v>
      </c>
      <c r="C591" s="44" t="s">
        <v>1474</v>
      </c>
      <c r="D591" s="44"/>
      <c r="E591" s="6">
        <v>1</v>
      </c>
      <c r="F591" s="6">
        <v>280</v>
      </c>
      <c r="G591" s="6">
        <v>280</v>
      </c>
      <c r="H591" s="44" t="s">
        <v>97</v>
      </c>
      <c r="I591" s="44" t="s">
        <v>98</v>
      </c>
    </row>
    <row r="592" spans="1:9" ht="45" x14ac:dyDescent="0.25">
      <c r="A592" s="44" t="s">
        <v>88</v>
      </c>
      <c r="B592" s="6">
        <v>209200015</v>
      </c>
      <c r="C592" s="44" t="s">
        <v>1474</v>
      </c>
      <c r="D592" s="44"/>
      <c r="E592" s="6">
        <v>1</v>
      </c>
      <c r="F592" s="6">
        <v>280</v>
      </c>
      <c r="G592" s="6">
        <v>280</v>
      </c>
      <c r="H592" s="44" t="s">
        <v>93</v>
      </c>
      <c r="I592" s="44" t="s">
        <v>94</v>
      </c>
    </row>
    <row r="593" spans="1:9" ht="45" x14ac:dyDescent="0.25">
      <c r="A593" s="44" t="s">
        <v>88</v>
      </c>
      <c r="B593" s="6">
        <v>2036012</v>
      </c>
      <c r="C593" s="44" t="s">
        <v>1475</v>
      </c>
      <c r="D593" s="44" t="s">
        <v>1476</v>
      </c>
      <c r="E593" s="6">
        <v>3</v>
      </c>
      <c r="F593" s="6">
        <v>400</v>
      </c>
      <c r="G593" s="6" t="s">
        <v>923</v>
      </c>
      <c r="H593" s="44" t="s">
        <v>95</v>
      </c>
      <c r="I593" s="44" t="s">
        <v>96</v>
      </c>
    </row>
    <row r="594" spans="1:9" ht="75" x14ac:dyDescent="0.25">
      <c r="A594" s="44" t="s">
        <v>88</v>
      </c>
      <c r="B594" s="6">
        <v>2036012</v>
      </c>
      <c r="C594" s="44" t="s">
        <v>1475</v>
      </c>
      <c r="D594" s="44" t="s">
        <v>1477</v>
      </c>
      <c r="E594" s="6">
        <v>3</v>
      </c>
      <c r="F594" s="6">
        <v>400</v>
      </c>
      <c r="G594" s="6" t="s">
        <v>923</v>
      </c>
      <c r="H594" s="44" t="s">
        <v>95</v>
      </c>
      <c r="I594" s="44" t="s">
        <v>96</v>
      </c>
    </row>
    <row r="595" spans="1:9" ht="45" x14ac:dyDescent="0.25">
      <c r="A595" s="44" t="s">
        <v>88</v>
      </c>
      <c r="B595" s="6">
        <v>2036012</v>
      </c>
      <c r="C595" s="44" t="s">
        <v>1475</v>
      </c>
      <c r="D595" s="44" t="s">
        <v>1478</v>
      </c>
      <c r="E595" s="6">
        <v>30</v>
      </c>
      <c r="F595" s="6">
        <v>400</v>
      </c>
      <c r="G595" s="6" t="s">
        <v>838</v>
      </c>
      <c r="H595" s="44" t="s">
        <v>95</v>
      </c>
      <c r="I595" s="44" t="s">
        <v>96</v>
      </c>
    </row>
    <row r="596" spans="1:9" ht="45" x14ac:dyDescent="0.25">
      <c r="A596" s="44" t="s">
        <v>88</v>
      </c>
      <c r="B596" s="6">
        <v>2036012</v>
      </c>
      <c r="C596" s="44" t="s">
        <v>1475</v>
      </c>
      <c r="D596" s="44"/>
      <c r="E596" s="6">
        <v>5</v>
      </c>
      <c r="F596" s="6">
        <v>400</v>
      </c>
      <c r="G596" s="6" t="s">
        <v>814</v>
      </c>
      <c r="H596" s="44" t="s">
        <v>93</v>
      </c>
      <c r="I596" s="44" t="s">
        <v>94</v>
      </c>
    </row>
    <row r="597" spans="1:9" ht="45" x14ac:dyDescent="0.25">
      <c r="A597" s="44" t="s">
        <v>88</v>
      </c>
      <c r="B597" s="6">
        <v>2036012</v>
      </c>
      <c r="C597" s="44" t="s">
        <v>1475</v>
      </c>
      <c r="D597" s="44"/>
      <c r="E597" s="6">
        <v>5</v>
      </c>
      <c r="F597" s="6">
        <v>400</v>
      </c>
      <c r="G597" s="6" t="s">
        <v>814</v>
      </c>
      <c r="H597" s="44" t="s">
        <v>97</v>
      </c>
      <c r="I597" s="44" t="s">
        <v>98</v>
      </c>
    </row>
    <row r="598" spans="1:9" ht="45" x14ac:dyDescent="0.25">
      <c r="A598" s="44" t="s">
        <v>88</v>
      </c>
      <c r="B598" s="6">
        <v>2036012</v>
      </c>
      <c r="C598" s="44" t="s">
        <v>1475</v>
      </c>
      <c r="D598" s="44"/>
      <c r="E598" s="6">
        <v>5</v>
      </c>
      <c r="F598" s="6">
        <v>400</v>
      </c>
      <c r="G598" s="6" t="s">
        <v>814</v>
      </c>
      <c r="H598" s="44" t="s">
        <v>91</v>
      </c>
      <c r="I598" s="44" t="s">
        <v>92</v>
      </c>
    </row>
    <row r="599" spans="1:9" ht="45" x14ac:dyDescent="0.25">
      <c r="A599" s="44" t="s">
        <v>136</v>
      </c>
      <c r="B599" s="6">
        <v>2036012</v>
      </c>
      <c r="C599" s="44" t="s">
        <v>1475</v>
      </c>
      <c r="D599" s="44" t="s">
        <v>1479</v>
      </c>
      <c r="E599" s="6">
        <v>1</v>
      </c>
      <c r="F599" s="6">
        <v>400</v>
      </c>
      <c r="G599" s="6">
        <v>400</v>
      </c>
      <c r="H599" s="44" t="s">
        <v>142</v>
      </c>
      <c r="I599" s="44" t="s">
        <v>143</v>
      </c>
    </row>
    <row r="600" spans="1:9" ht="45" x14ac:dyDescent="0.25">
      <c r="A600" s="44" t="s">
        <v>136</v>
      </c>
      <c r="B600" s="6">
        <v>2036012</v>
      </c>
      <c r="C600" s="44" t="s">
        <v>1475</v>
      </c>
      <c r="D600" s="44" t="s">
        <v>1480</v>
      </c>
      <c r="E600" s="6">
        <v>1</v>
      </c>
      <c r="F600" s="6">
        <v>400</v>
      </c>
      <c r="G600" s="6">
        <v>400</v>
      </c>
      <c r="H600" s="44" t="s">
        <v>144</v>
      </c>
      <c r="I600" s="44" t="s">
        <v>145</v>
      </c>
    </row>
    <row r="601" spans="1:9" ht="45" x14ac:dyDescent="0.25">
      <c r="A601" s="44" t="s">
        <v>136</v>
      </c>
      <c r="B601" s="6">
        <v>2036012</v>
      </c>
      <c r="C601" s="44" t="s">
        <v>1475</v>
      </c>
      <c r="D601" s="44" t="s">
        <v>1481</v>
      </c>
      <c r="E601" s="6">
        <v>5</v>
      </c>
      <c r="F601" s="6">
        <v>400</v>
      </c>
      <c r="G601" s="6" t="s">
        <v>814</v>
      </c>
      <c r="H601" s="44" t="s">
        <v>146</v>
      </c>
      <c r="I601" s="44" t="s">
        <v>147</v>
      </c>
    </row>
    <row r="602" spans="1:9" ht="75" x14ac:dyDescent="0.25">
      <c r="A602" s="44" t="s">
        <v>136</v>
      </c>
      <c r="B602" s="6">
        <v>2036012</v>
      </c>
      <c r="C602" s="44" t="s">
        <v>1475</v>
      </c>
      <c r="D602" s="44" t="s">
        <v>1482</v>
      </c>
      <c r="E602" s="6">
        <v>4</v>
      </c>
      <c r="F602" s="6">
        <v>400</v>
      </c>
      <c r="G602" s="6" t="s">
        <v>723</v>
      </c>
      <c r="H602" s="44" t="s">
        <v>139</v>
      </c>
      <c r="I602" s="44" t="s">
        <v>140</v>
      </c>
    </row>
    <row r="603" spans="1:9" ht="75" x14ac:dyDescent="0.25">
      <c r="A603" s="44" t="s">
        <v>148</v>
      </c>
      <c r="B603" s="6">
        <v>2036012</v>
      </c>
      <c r="C603" s="44" t="s">
        <v>1475</v>
      </c>
      <c r="D603" s="44" t="s">
        <v>1483</v>
      </c>
      <c r="E603" s="6">
        <v>3</v>
      </c>
      <c r="F603" s="6">
        <v>400</v>
      </c>
      <c r="G603" s="6" t="s">
        <v>923</v>
      </c>
      <c r="H603" s="44" t="s">
        <v>154</v>
      </c>
      <c r="I603" s="44" t="s">
        <v>155</v>
      </c>
    </row>
    <row r="604" spans="1:9" ht="60" x14ac:dyDescent="0.25">
      <c r="A604" s="44" t="s">
        <v>158</v>
      </c>
      <c r="B604" s="6">
        <v>2036012</v>
      </c>
      <c r="C604" s="44" t="s">
        <v>1475</v>
      </c>
      <c r="D604" s="44"/>
      <c r="E604" s="6">
        <v>1</v>
      </c>
      <c r="F604" s="6">
        <v>400</v>
      </c>
      <c r="G604" s="6">
        <v>400</v>
      </c>
      <c r="H604" s="44" t="s">
        <v>161</v>
      </c>
      <c r="I604" s="44" t="s">
        <v>162</v>
      </c>
    </row>
    <row r="605" spans="1:9" ht="75" x14ac:dyDescent="0.25">
      <c r="A605" s="44" t="s">
        <v>166</v>
      </c>
      <c r="B605" s="6">
        <v>2036012</v>
      </c>
      <c r="C605" s="44" t="s">
        <v>1475</v>
      </c>
      <c r="D605" s="44" t="s">
        <v>1484</v>
      </c>
      <c r="E605" s="6">
        <v>20</v>
      </c>
      <c r="F605" s="6">
        <v>400</v>
      </c>
      <c r="G605" s="6" t="s">
        <v>990</v>
      </c>
      <c r="H605" s="44" t="s">
        <v>172</v>
      </c>
      <c r="I605" s="44" t="s">
        <v>173</v>
      </c>
    </row>
    <row r="606" spans="1:9" ht="75" x14ac:dyDescent="0.25">
      <c r="A606" s="44" t="s">
        <v>166</v>
      </c>
      <c r="B606" s="6">
        <v>2036012</v>
      </c>
      <c r="C606" s="44" t="s">
        <v>1475</v>
      </c>
      <c r="D606" s="44" t="s">
        <v>1485</v>
      </c>
      <c r="E606" s="6">
        <v>30</v>
      </c>
      <c r="F606" s="6">
        <v>400</v>
      </c>
      <c r="G606" s="6" t="s">
        <v>838</v>
      </c>
      <c r="H606" s="44" t="s">
        <v>169</v>
      </c>
      <c r="I606" s="44" t="s">
        <v>170</v>
      </c>
    </row>
    <row r="607" spans="1:9" ht="45" x14ac:dyDescent="0.25">
      <c r="A607" s="44" t="s">
        <v>207</v>
      </c>
      <c r="B607" s="6">
        <v>2036012</v>
      </c>
      <c r="C607" s="44" t="s">
        <v>1475</v>
      </c>
      <c r="D607" s="44"/>
      <c r="E607" s="6">
        <v>1</v>
      </c>
      <c r="F607" s="6">
        <v>400</v>
      </c>
      <c r="G607" s="6">
        <v>400</v>
      </c>
      <c r="H607" s="44" t="s">
        <v>208</v>
      </c>
      <c r="I607" s="44" t="s">
        <v>207</v>
      </c>
    </row>
    <row r="608" spans="1:9" ht="45" x14ac:dyDescent="0.25">
      <c r="A608" s="44" t="s">
        <v>209</v>
      </c>
      <c r="B608" s="6">
        <v>1203002</v>
      </c>
      <c r="C608" s="44" t="s">
        <v>1486</v>
      </c>
      <c r="D608" s="44" t="s">
        <v>1487</v>
      </c>
      <c r="E608" s="6">
        <v>5</v>
      </c>
      <c r="F608" s="6">
        <v>3.5</v>
      </c>
      <c r="G608" s="6">
        <v>17.5</v>
      </c>
      <c r="H608" s="44" t="s">
        <v>210</v>
      </c>
      <c r="I608" s="44" t="s">
        <v>209</v>
      </c>
    </row>
    <row r="609" spans="1:9" ht="45" x14ac:dyDescent="0.25">
      <c r="A609" s="44" t="s">
        <v>88</v>
      </c>
      <c r="B609" s="6">
        <v>2012006</v>
      </c>
      <c r="C609" s="44" t="s">
        <v>1488</v>
      </c>
      <c r="D609" s="44"/>
      <c r="E609" s="6">
        <v>25</v>
      </c>
      <c r="F609" s="6">
        <v>50</v>
      </c>
      <c r="G609" s="6" t="s">
        <v>1384</v>
      </c>
      <c r="H609" s="44" t="s">
        <v>93</v>
      </c>
      <c r="I609" s="44" t="s">
        <v>94</v>
      </c>
    </row>
    <row r="610" spans="1:9" ht="45" x14ac:dyDescent="0.25">
      <c r="A610" s="44" t="s">
        <v>136</v>
      </c>
      <c r="B610" s="6">
        <v>2012006</v>
      </c>
      <c r="C610" s="44" t="s">
        <v>1488</v>
      </c>
      <c r="D610" s="44" t="s">
        <v>1489</v>
      </c>
      <c r="E610" s="6">
        <v>20</v>
      </c>
      <c r="F610" s="6">
        <v>50</v>
      </c>
      <c r="G610" s="6" t="s">
        <v>726</v>
      </c>
      <c r="H610" s="44" t="s">
        <v>142</v>
      </c>
      <c r="I610" s="44" t="s">
        <v>143</v>
      </c>
    </row>
    <row r="611" spans="1:9" ht="45" x14ac:dyDescent="0.25">
      <c r="A611" s="44" t="s">
        <v>136</v>
      </c>
      <c r="B611" s="6">
        <v>2012006</v>
      </c>
      <c r="C611" s="44" t="s">
        <v>1488</v>
      </c>
      <c r="D611" s="44"/>
      <c r="E611" s="6">
        <v>10</v>
      </c>
      <c r="F611" s="6">
        <v>50</v>
      </c>
      <c r="G611" s="6">
        <v>500</v>
      </c>
      <c r="H611" s="44" t="s">
        <v>146</v>
      </c>
      <c r="I611" s="44" t="s">
        <v>147</v>
      </c>
    </row>
    <row r="612" spans="1:9" ht="60" x14ac:dyDescent="0.25">
      <c r="A612" s="44" t="s">
        <v>158</v>
      </c>
      <c r="B612" s="6">
        <v>2012006</v>
      </c>
      <c r="C612" s="44" t="s">
        <v>1488</v>
      </c>
      <c r="D612" s="44"/>
      <c r="E612" s="6">
        <v>2</v>
      </c>
      <c r="F612" s="6">
        <v>50</v>
      </c>
      <c r="G612" s="6">
        <v>100</v>
      </c>
      <c r="H612" s="44" t="s">
        <v>161</v>
      </c>
      <c r="I612" s="44" t="s">
        <v>162</v>
      </c>
    </row>
    <row r="613" spans="1:9" ht="60" x14ac:dyDescent="0.25">
      <c r="A613" s="44" t="s">
        <v>166</v>
      </c>
      <c r="B613" s="6">
        <v>2012006</v>
      </c>
      <c r="C613" s="44" t="s">
        <v>1488</v>
      </c>
      <c r="D613" s="44" t="s">
        <v>1490</v>
      </c>
      <c r="E613" s="6">
        <v>25</v>
      </c>
      <c r="F613" s="6">
        <v>50</v>
      </c>
      <c r="G613" s="6" t="s">
        <v>1384</v>
      </c>
      <c r="H613" s="44" t="s">
        <v>172</v>
      </c>
      <c r="I613" s="44" t="s">
        <v>173</v>
      </c>
    </row>
    <row r="614" spans="1:9" ht="60" x14ac:dyDescent="0.25">
      <c r="A614" s="44" t="s">
        <v>166</v>
      </c>
      <c r="B614" s="6">
        <v>2012006</v>
      </c>
      <c r="C614" s="44" t="s">
        <v>1488</v>
      </c>
      <c r="D614" s="44" t="s">
        <v>1491</v>
      </c>
      <c r="E614" s="6">
        <v>25</v>
      </c>
      <c r="F614" s="6">
        <v>50</v>
      </c>
      <c r="G614" s="6" t="s">
        <v>1384</v>
      </c>
      <c r="H614" s="44" t="s">
        <v>172</v>
      </c>
      <c r="I614" s="44" t="s">
        <v>173</v>
      </c>
    </row>
    <row r="615" spans="1:9" ht="60" x14ac:dyDescent="0.25">
      <c r="A615" s="44" t="s">
        <v>166</v>
      </c>
      <c r="B615" s="6">
        <v>2012006</v>
      </c>
      <c r="C615" s="44" t="s">
        <v>1488</v>
      </c>
      <c r="D615" s="44" t="s">
        <v>1492</v>
      </c>
      <c r="E615" s="6">
        <v>102</v>
      </c>
      <c r="F615" s="6">
        <v>50</v>
      </c>
      <c r="G615" s="6" t="s">
        <v>1493</v>
      </c>
      <c r="H615" s="44" t="s">
        <v>172</v>
      </c>
      <c r="I615" s="44" t="s">
        <v>173</v>
      </c>
    </row>
    <row r="616" spans="1:9" ht="75" x14ac:dyDescent="0.25">
      <c r="A616" s="44" t="s">
        <v>166</v>
      </c>
      <c r="B616" s="6">
        <v>2012006</v>
      </c>
      <c r="C616" s="44" t="s">
        <v>1488</v>
      </c>
      <c r="D616" s="44" t="s">
        <v>1494</v>
      </c>
      <c r="E616" s="6">
        <v>102</v>
      </c>
      <c r="F616" s="6">
        <v>50</v>
      </c>
      <c r="G616" s="6" t="s">
        <v>1493</v>
      </c>
      <c r="H616" s="44" t="s">
        <v>169</v>
      </c>
      <c r="I616" s="44" t="s">
        <v>170</v>
      </c>
    </row>
    <row r="617" spans="1:9" ht="60" x14ac:dyDescent="0.25">
      <c r="A617" s="44" t="s">
        <v>166</v>
      </c>
      <c r="B617" s="6">
        <v>2012006</v>
      </c>
      <c r="C617" s="44" t="s">
        <v>1488</v>
      </c>
      <c r="D617" s="44"/>
      <c r="E617" s="6">
        <v>60</v>
      </c>
      <c r="F617" s="6">
        <v>50</v>
      </c>
      <c r="G617" s="6" t="s">
        <v>736</v>
      </c>
      <c r="H617" s="44" t="s">
        <v>172</v>
      </c>
      <c r="I617" s="44" t="s">
        <v>173</v>
      </c>
    </row>
    <row r="618" spans="1:9" ht="30" x14ac:dyDescent="0.25">
      <c r="A618" s="44" t="s">
        <v>202</v>
      </c>
      <c r="B618" s="6">
        <v>2012006</v>
      </c>
      <c r="C618" s="44" t="s">
        <v>1488</v>
      </c>
      <c r="D618" s="44" t="s">
        <v>1495</v>
      </c>
      <c r="E618" s="6">
        <v>3</v>
      </c>
      <c r="F618" s="6">
        <v>50</v>
      </c>
      <c r="G618" s="6">
        <v>150</v>
      </c>
      <c r="H618" s="44" t="s">
        <v>203</v>
      </c>
      <c r="I618" s="44" t="s">
        <v>204</v>
      </c>
    </row>
    <row r="619" spans="1:9" ht="45" x14ac:dyDescent="0.25">
      <c r="A619" s="44" t="s">
        <v>207</v>
      </c>
      <c r="B619" s="6">
        <v>2012006</v>
      </c>
      <c r="C619" s="44" t="s">
        <v>1488</v>
      </c>
      <c r="D619" s="44"/>
      <c r="E619" s="6">
        <v>2</v>
      </c>
      <c r="F619" s="6">
        <v>50</v>
      </c>
      <c r="G619" s="6">
        <v>100</v>
      </c>
      <c r="H619" s="44" t="s">
        <v>208</v>
      </c>
      <c r="I619" s="44" t="s">
        <v>207</v>
      </c>
    </row>
    <row r="620" spans="1:9" ht="45" x14ac:dyDescent="0.25">
      <c r="A620" s="44" t="s">
        <v>88</v>
      </c>
      <c r="B620" s="6">
        <v>2117009</v>
      </c>
      <c r="C620" s="44" t="s">
        <v>1496</v>
      </c>
      <c r="D620" s="44"/>
      <c r="E620" s="6">
        <v>4</v>
      </c>
      <c r="F620" s="6">
        <v>800</v>
      </c>
      <c r="G620" s="6" t="s">
        <v>1245</v>
      </c>
      <c r="H620" s="44" t="s">
        <v>101</v>
      </c>
      <c r="I620" s="44" t="s">
        <v>102</v>
      </c>
    </row>
    <row r="621" spans="1:9" ht="45" x14ac:dyDescent="0.25">
      <c r="A621" s="44" t="s">
        <v>88</v>
      </c>
      <c r="B621" s="6">
        <v>2038001</v>
      </c>
      <c r="C621" s="44" t="s">
        <v>1497</v>
      </c>
      <c r="D621" s="44"/>
      <c r="E621" s="6">
        <v>30</v>
      </c>
      <c r="F621" s="6">
        <v>600</v>
      </c>
      <c r="G621" s="6" t="s">
        <v>820</v>
      </c>
      <c r="H621" s="44" t="s">
        <v>95</v>
      </c>
      <c r="I621" s="44" t="s">
        <v>96</v>
      </c>
    </row>
    <row r="622" spans="1:9" ht="45" x14ac:dyDescent="0.25">
      <c r="A622" s="44" t="s">
        <v>88</v>
      </c>
      <c r="B622" s="6">
        <v>2038001</v>
      </c>
      <c r="C622" s="44" t="s">
        <v>1497</v>
      </c>
      <c r="D622" s="44"/>
      <c r="E622" s="6">
        <v>4</v>
      </c>
      <c r="F622" s="6">
        <v>600</v>
      </c>
      <c r="G622" s="6" t="s">
        <v>867</v>
      </c>
      <c r="H622" s="44" t="s">
        <v>95</v>
      </c>
      <c r="I622" s="44" t="s">
        <v>96</v>
      </c>
    </row>
    <row r="623" spans="1:9" ht="45" x14ac:dyDescent="0.25">
      <c r="A623" s="44" t="s">
        <v>88</v>
      </c>
      <c r="B623" s="6">
        <v>2038001</v>
      </c>
      <c r="C623" s="44" t="s">
        <v>1497</v>
      </c>
      <c r="D623" s="44"/>
      <c r="E623" s="6">
        <v>4</v>
      </c>
      <c r="F623" s="6">
        <v>600</v>
      </c>
      <c r="G623" s="6" t="s">
        <v>867</v>
      </c>
      <c r="H623" s="44" t="s">
        <v>103</v>
      </c>
      <c r="I623" s="44" t="s">
        <v>104</v>
      </c>
    </row>
    <row r="624" spans="1:9" ht="45" x14ac:dyDescent="0.25">
      <c r="A624" s="44" t="s">
        <v>88</v>
      </c>
      <c r="B624" s="6">
        <v>2038001</v>
      </c>
      <c r="C624" s="44" t="s">
        <v>1497</v>
      </c>
      <c r="D624" s="44"/>
      <c r="E624" s="6">
        <v>4</v>
      </c>
      <c r="F624" s="6">
        <v>600</v>
      </c>
      <c r="G624" s="6" t="s">
        <v>867</v>
      </c>
      <c r="H624" s="44" t="s">
        <v>99</v>
      </c>
      <c r="I624" s="44" t="s">
        <v>100</v>
      </c>
    </row>
    <row r="625" spans="1:9" ht="90" x14ac:dyDescent="0.25">
      <c r="A625" s="44" t="s">
        <v>136</v>
      </c>
      <c r="B625" s="6">
        <v>2038001</v>
      </c>
      <c r="C625" s="44" t="s">
        <v>1497</v>
      </c>
      <c r="D625" s="44" t="s">
        <v>1498</v>
      </c>
      <c r="E625" s="6">
        <v>1</v>
      </c>
      <c r="F625" s="6">
        <v>600</v>
      </c>
      <c r="G625" s="6">
        <v>600</v>
      </c>
      <c r="H625" s="44" t="s">
        <v>142</v>
      </c>
      <c r="I625" s="44" t="s">
        <v>143</v>
      </c>
    </row>
    <row r="626" spans="1:9" ht="45" x14ac:dyDescent="0.25">
      <c r="A626" s="44" t="s">
        <v>136</v>
      </c>
      <c r="B626" s="6">
        <v>2038001</v>
      </c>
      <c r="C626" s="44" t="s">
        <v>1497</v>
      </c>
      <c r="D626" s="44" t="s">
        <v>1499</v>
      </c>
      <c r="E626" s="6">
        <v>10</v>
      </c>
      <c r="F626" s="6">
        <v>600</v>
      </c>
      <c r="G626" s="6" t="s">
        <v>678</v>
      </c>
      <c r="H626" s="44" t="s">
        <v>146</v>
      </c>
      <c r="I626" s="44" t="s">
        <v>147</v>
      </c>
    </row>
    <row r="627" spans="1:9" ht="75" x14ac:dyDescent="0.25">
      <c r="A627" s="44" t="s">
        <v>148</v>
      </c>
      <c r="B627" s="6">
        <v>2038001</v>
      </c>
      <c r="C627" s="44" t="s">
        <v>1497</v>
      </c>
      <c r="D627" s="44" t="s">
        <v>1500</v>
      </c>
      <c r="E627" s="6">
        <v>2</v>
      </c>
      <c r="F627" s="6">
        <v>600</v>
      </c>
      <c r="G627" s="6" t="s">
        <v>923</v>
      </c>
      <c r="H627" s="44" t="s">
        <v>154</v>
      </c>
      <c r="I627" s="44" t="s">
        <v>155</v>
      </c>
    </row>
    <row r="628" spans="1:9" ht="45" x14ac:dyDescent="0.25">
      <c r="A628" s="44" t="s">
        <v>158</v>
      </c>
      <c r="B628" s="6">
        <v>2038001</v>
      </c>
      <c r="C628" s="44" t="s">
        <v>1497</v>
      </c>
      <c r="D628" s="44"/>
      <c r="E628" s="6">
        <v>5</v>
      </c>
      <c r="F628" s="6">
        <v>600</v>
      </c>
      <c r="G628" s="6" t="s">
        <v>736</v>
      </c>
      <c r="H628" s="44" t="s">
        <v>164</v>
      </c>
      <c r="I628" s="44" t="s">
        <v>165</v>
      </c>
    </row>
    <row r="629" spans="1:9" ht="75" x14ac:dyDescent="0.25">
      <c r="A629" s="44" t="s">
        <v>166</v>
      </c>
      <c r="B629" s="6">
        <v>2038001</v>
      </c>
      <c r="C629" s="44" t="s">
        <v>1497</v>
      </c>
      <c r="D629" s="44" t="s">
        <v>1501</v>
      </c>
      <c r="E629" s="6">
        <v>30</v>
      </c>
      <c r="F629" s="6">
        <v>600</v>
      </c>
      <c r="G629" s="6" t="s">
        <v>820</v>
      </c>
      <c r="H629" s="44" t="s">
        <v>172</v>
      </c>
      <c r="I629" s="44" t="s">
        <v>173</v>
      </c>
    </row>
    <row r="630" spans="1:9" ht="75" x14ac:dyDescent="0.25">
      <c r="A630" s="44" t="s">
        <v>166</v>
      </c>
      <c r="B630" s="6">
        <v>2038001</v>
      </c>
      <c r="C630" s="44" t="s">
        <v>1497</v>
      </c>
      <c r="D630" s="44" t="s">
        <v>1502</v>
      </c>
      <c r="E630" s="6">
        <v>40</v>
      </c>
      <c r="F630" s="6">
        <v>600</v>
      </c>
      <c r="G630" s="6" t="s">
        <v>1323</v>
      </c>
      <c r="H630" s="44" t="s">
        <v>169</v>
      </c>
      <c r="I630" s="44" t="s">
        <v>170</v>
      </c>
    </row>
    <row r="631" spans="1:9" ht="45" x14ac:dyDescent="0.25">
      <c r="A631" s="44" t="s">
        <v>274</v>
      </c>
      <c r="B631" s="6">
        <v>2038001</v>
      </c>
      <c r="C631" s="44" t="s">
        <v>1497</v>
      </c>
      <c r="D631" s="44" t="s">
        <v>1503</v>
      </c>
      <c r="E631" s="6">
        <v>3</v>
      </c>
      <c r="F631" s="6">
        <v>600</v>
      </c>
      <c r="G631" s="6" t="s">
        <v>861</v>
      </c>
      <c r="H631" s="44" t="s">
        <v>277</v>
      </c>
      <c r="I631" s="44" t="s">
        <v>278</v>
      </c>
    </row>
    <row r="632" spans="1:9" ht="45" x14ac:dyDescent="0.25">
      <c r="A632" s="44" t="s">
        <v>281</v>
      </c>
      <c r="B632" s="6">
        <v>2038001</v>
      </c>
      <c r="C632" s="44" t="s">
        <v>1497</v>
      </c>
      <c r="D632" s="44" t="s">
        <v>1504</v>
      </c>
      <c r="E632" s="6">
        <v>6</v>
      </c>
      <c r="F632" s="6">
        <v>600</v>
      </c>
      <c r="G632" s="6" t="s">
        <v>880</v>
      </c>
      <c r="H632" s="44" t="s">
        <v>284</v>
      </c>
      <c r="I632" s="44" t="s">
        <v>285</v>
      </c>
    </row>
    <row r="633" spans="1:9" ht="45" x14ac:dyDescent="0.25">
      <c r="A633" s="44" t="s">
        <v>305</v>
      </c>
      <c r="B633" s="6">
        <v>2038001</v>
      </c>
      <c r="C633" s="44" t="s">
        <v>1497</v>
      </c>
      <c r="D633" s="44"/>
      <c r="E633" s="6">
        <v>2</v>
      </c>
      <c r="F633" s="6">
        <v>600</v>
      </c>
      <c r="G633" s="6" t="s">
        <v>923</v>
      </c>
      <c r="H633" s="44" t="s">
        <v>308</v>
      </c>
      <c r="I633" s="44" t="s">
        <v>309</v>
      </c>
    </row>
    <row r="634" spans="1:9" ht="45" x14ac:dyDescent="0.25">
      <c r="A634" s="44" t="s">
        <v>136</v>
      </c>
      <c r="B634" s="6"/>
      <c r="C634" s="44" t="s">
        <v>1505</v>
      </c>
      <c r="D634" s="44" t="s">
        <v>1506</v>
      </c>
      <c r="E634" s="6">
        <v>2</v>
      </c>
      <c r="F634" s="6" t="s">
        <v>678</v>
      </c>
      <c r="G634" s="6" t="s">
        <v>838</v>
      </c>
      <c r="H634" s="44" t="s">
        <v>142</v>
      </c>
      <c r="I634" s="44" t="s">
        <v>143</v>
      </c>
    </row>
    <row r="635" spans="1:9" ht="45" x14ac:dyDescent="0.25">
      <c r="A635" s="44" t="s">
        <v>136</v>
      </c>
      <c r="B635" s="6"/>
      <c r="C635" s="44" t="s">
        <v>1505</v>
      </c>
      <c r="D635" s="44" t="s">
        <v>1507</v>
      </c>
      <c r="E635" s="6">
        <v>1</v>
      </c>
      <c r="F635" s="6" t="s">
        <v>990</v>
      </c>
      <c r="G635" s="6" t="s">
        <v>990</v>
      </c>
      <c r="H635" s="44" t="s">
        <v>142</v>
      </c>
      <c r="I635" s="44" t="s">
        <v>143</v>
      </c>
    </row>
    <row r="636" spans="1:9" ht="45" x14ac:dyDescent="0.25">
      <c r="A636" s="44" t="s">
        <v>136</v>
      </c>
      <c r="B636" s="6"/>
      <c r="C636" s="44" t="s">
        <v>1505</v>
      </c>
      <c r="D636" s="44" t="s">
        <v>1508</v>
      </c>
      <c r="E636" s="6">
        <v>20</v>
      </c>
      <c r="F636" s="6" t="s">
        <v>742</v>
      </c>
      <c r="G636" s="6" t="s">
        <v>1149</v>
      </c>
      <c r="H636" s="44" t="s">
        <v>142</v>
      </c>
      <c r="I636" s="44" t="s">
        <v>143</v>
      </c>
    </row>
    <row r="637" spans="1:9" ht="30" x14ac:dyDescent="0.25">
      <c r="A637" s="44" t="s">
        <v>247</v>
      </c>
      <c r="B637" s="6"/>
      <c r="C637" s="44" t="s">
        <v>1505</v>
      </c>
      <c r="D637" s="44" t="s">
        <v>1509</v>
      </c>
      <c r="E637" s="6">
        <v>1</v>
      </c>
      <c r="F637" s="6" t="s">
        <v>990</v>
      </c>
      <c r="G637" s="6" t="s">
        <v>990</v>
      </c>
      <c r="H637" s="44" t="s">
        <v>250</v>
      </c>
      <c r="I637" s="44" t="s">
        <v>251</v>
      </c>
    </row>
    <row r="638" spans="1:9" ht="30" x14ac:dyDescent="0.25">
      <c r="A638" s="44" t="s">
        <v>247</v>
      </c>
      <c r="B638" s="6"/>
      <c r="C638" s="44" t="s">
        <v>1505</v>
      </c>
      <c r="D638" s="44" t="s">
        <v>1510</v>
      </c>
      <c r="E638" s="6">
        <v>1</v>
      </c>
      <c r="F638" s="6" t="s">
        <v>990</v>
      </c>
      <c r="G638" s="6" t="s">
        <v>990</v>
      </c>
      <c r="H638" s="44" t="s">
        <v>250</v>
      </c>
      <c r="I638" s="44" t="s">
        <v>251</v>
      </c>
    </row>
    <row r="639" spans="1:9" ht="75" x14ac:dyDescent="0.25">
      <c r="A639" s="44" t="s">
        <v>148</v>
      </c>
      <c r="B639" s="6"/>
      <c r="C639" s="44" t="s">
        <v>1511</v>
      </c>
      <c r="D639" s="44" t="s">
        <v>1512</v>
      </c>
      <c r="E639" s="6">
        <v>15</v>
      </c>
      <c r="F639" s="6">
        <v>80</v>
      </c>
      <c r="G639" s="6" t="s">
        <v>923</v>
      </c>
      <c r="H639" s="44" t="s">
        <v>154</v>
      </c>
      <c r="I639" s="44" t="s">
        <v>155</v>
      </c>
    </row>
    <row r="640" spans="1:9" ht="75" x14ac:dyDescent="0.25">
      <c r="A640" s="44" t="s">
        <v>148</v>
      </c>
      <c r="B640" s="6"/>
      <c r="C640" s="44" t="s">
        <v>1511</v>
      </c>
      <c r="D640" s="44" t="s">
        <v>1513</v>
      </c>
      <c r="E640" s="6">
        <v>10</v>
      </c>
      <c r="F640" s="6">
        <v>30</v>
      </c>
      <c r="G640" s="6">
        <v>300</v>
      </c>
      <c r="H640" s="44" t="s">
        <v>154</v>
      </c>
      <c r="I640" s="44" t="s">
        <v>155</v>
      </c>
    </row>
    <row r="641" spans="1:9" ht="45" x14ac:dyDescent="0.25">
      <c r="A641" s="44" t="s">
        <v>136</v>
      </c>
      <c r="B641" s="6">
        <v>2141001</v>
      </c>
      <c r="C641" s="44" t="s">
        <v>1514</v>
      </c>
      <c r="D641" s="44" t="s">
        <v>1515</v>
      </c>
      <c r="E641" s="6">
        <v>1</v>
      </c>
      <c r="F641" s="6" t="s">
        <v>747</v>
      </c>
      <c r="G641" s="6" t="s">
        <v>747</v>
      </c>
      <c r="H641" s="44" t="s">
        <v>142</v>
      </c>
      <c r="I641" s="44" t="s">
        <v>143</v>
      </c>
    </row>
    <row r="642" spans="1:9" ht="30" x14ac:dyDescent="0.25">
      <c r="A642" s="44" t="s">
        <v>247</v>
      </c>
      <c r="B642" s="6">
        <v>2141001</v>
      </c>
      <c r="C642" s="44" t="s">
        <v>1514</v>
      </c>
      <c r="D642" s="44" t="s">
        <v>1516</v>
      </c>
      <c r="E642" s="6">
        <v>1</v>
      </c>
      <c r="F642" s="6" t="s">
        <v>747</v>
      </c>
      <c r="G642" s="6" t="s">
        <v>747</v>
      </c>
      <c r="H642" s="44" t="s">
        <v>250</v>
      </c>
      <c r="I642" s="44" t="s">
        <v>251</v>
      </c>
    </row>
    <row r="643" spans="1:9" ht="75" x14ac:dyDescent="0.25">
      <c r="A643" s="44" t="s">
        <v>148</v>
      </c>
      <c r="B643" s="6">
        <v>1173001</v>
      </c>
      <c r="C643" s="44" t="s">
        <v>1517</v>
      </c>
      <c r="D643" s="44" t="s">
        <v>1518</v>
      </c>
      <c r="E643" s="6">
        <v>8</v>
      </c>
      <c r="F643" s="6">
        <v>28.6</v>
      </c>
      <c r="G643" s="6">
        <v>228.8</v>
      </c>
      <c r="H643" s="44" t="s">
        <v>154</v>
      </c>
      <c r="I643" s="44" t="s">
        <v>155</v>
      </c>
    </row>
    <row r="644" spans="1:9" ht="75" x14ac:dyDescent="0.25">
      <c r="A644" s="44" t="s">
        <v>148</v>
      </c>
      <c r="B644" s="6">
        <v>1173001</v>
      </c>
      <c r="C644" s="44" t="s">
        <v>1517</v>
      </c>
      <c r="D644" s="44" t="s">
        <v>1519</v>
      </c>
      <c r="E644" s="6">
        <v>5</v>
      </c>
      <c r="F644" s="6">
        <v>85</v>
      </c>
      <c r="G644" s="6">
        <v>425</v>
      </c>
      <c r="H644" s="44" t="s">
        <v>154</v>
      </c>
      <c r="I644" s="44" t="s">
        <v>155</v>
      </c>
    </row>
    <row r="645" spans="1:9" ht="45" x14ac:dyDescent="0.25">
      <c r="A645" s="44" t="s">
        <v>207</v>
      </c>
      <c r="B645" s="6">
        <v>1173001</v>
      </c>
      <c r="C645" s="44" t="s">
        <v>1517</v>
      </c>
      <c r="D645" s="44" t="s">
        <v>1520</v>
      </c>
      <c r="E645" s="6">
        <v>1</v>
      </c>
      <c r="F645" s="6">
        <v>10</v>
      </c>
      <c r="G645" s="6">
        <v>10</v>
      </c>
      <c r="H645" s="44" t="s">
        <v>208</v>
      </c>
      <c r="I645" s="44" t="s">
        <v>207</v>
      </c>
    </row>
    <row r="646" spans="1:9" ht="60" x14ac:dyDescent="0.25">
      <c r="A646" s="44" t="s">
        <v>166</v>
      </c>
      <c r="B646" s="6">
        <v>2039001</v>
      </c>
      <c r="C646" s="44" t="s">
        <v>1521</v>
      </c>
      <c r="D646" s="44" t="s">
        <v>1522</v>
      </c>
      <c r="E646" s="6">
        <v>30</v>
      </c>
      <c r="F646" s="6">
        <v>480</v>
      </c>
      <c r="G646" s="6" t="s">
        <v>1523</v>
      </c>
      <c r="H646" s="44" t="s">
        <v>172</v>
      </c>
      <c r="I646" s="44" t="s">
        <v>173</v>
      </c>
    </row>
    <row r="647" spans="1:9" ht="75" x14ac:dyDescent="0.25">
      <c r="A647" s="44" t="s">
        <v>166</v>
      </c>
      <c r="B647" s="6">
        <v>2118003</v>
      </c>
      <c r="C647" s="44" t="s">
        <v>1524</v>
      </c>
      <c r="D647" s="44" t="s">
        <v>1525</v>
      </c>
      <c r="E647" s="6">
        <v>20</v>
      </c>
      <c r="F647" s="6">
        <v>200</v>
      </c>
      <c r="G647" s="6" t="s">
        <v>845</v>
      </c>
      <c r="H647" s="44" t="s">
        <v>169</v>
      </c>
      <c r="I647" s="44" t="s">
        <v>170</v>
      </c>
    </row>
    <row r="648" spans="1:9" ht="45" x14ac:dyDescent="0.25">
      <c r="A648" s="44" t="s">
        <v>136</v>
      </c>
      <c r="B648" s="6">
        <v>2129006</v>
      </c>
      <c r="C648" s="44" t="s">
        <v>1526</v>
      </c>
      <c r="D648" s="44" t="s">
        <v>1527</v>
      </c>
      <c r="E648" s="6">
        <v>12</v>
      </c>
      <c r="F648" s="6">
        <v>130</v>
      </c>
      <c r="G648" s="6" t="s">
        <v>1528</v>
      </c>
      <c r="H648" s="44" t="s">
        <v>142</v>
      </c>
      <c r="I648" s="44" t="s">
        <v>143</v>
      </c>
    </row>
    <row r="649" spans="1:9" ht="45" x14ac:dyDescent="0.25">
      <c r="A649" s="44" t="s">
        <v>281</v>
      </c>
      <c r="B649" s="6">
        <v>2129006</v>
      </c>
      <c r="C649" s="44" t="s">
        <v>1526</v>
      </c>
      <c r="D649" s="44" t="s">
        <v>1529</v>
      </c>
      <c r="E649" s="6">
        <v>1</v>
      </c>
      <c r="F649" s="6">
        <v>35</v>
      </c>
      <c r="G649" s="6">
        <v>35</v>
      </c>
      <c r="H649" s="44" t="s">
        <v>284</v>
      </c>
      <c r="I649" s="44" t="s">
        <v>285</v>
      </c>
    </row>
    <row r="650" spans="1:9" ht="45" x14ac:dyDescent="0.25">
      <c r="A650" s="44" t="s">
        <v>281</v>
      </c>
      <c r="B650" s="6">
        <v>2129006</v>
      </c>
      <c r="C650" s="44" t="s">
        <v>1526</v>
      </c>
      <c r="D650" s="44" t="s">
        <v>1530</v>
      </c>
      <c r="E650" s="6">
        <v>1</v>
      </c>
      <c r="F650" s="6" t="s">
        <v>800</v>
      </c>
      <c r="G650" s="6" t="s">
        <v>800</v>
      </c>
      <c r="H650" s="44" t="s">
        <v>284</v>
      </c>
      <c r="I650" s="44" t="s">
        <v>285</v>
      </c>
    </row>
    <row r="651" spans="1:9" ht="45" x14ac:dyDescent="0.25">
      <c r="A651" s="44" t="s">
        <v>70</v>
      </c>
      <c r="B651" s="6">
        <v>1238003</v>
      </c>
      <c r="C651" s="44" t="s">
        <v>1531</v>
      </c>
      <c r="D651" s="44" t="s">
        <v>1532</v>
      </c>
      <c r="E651" s="6">
        <v>200</v>
      </c>
      <c r="F651" s="6">
        <v>0</v>
      </c>
      <c r="G651" s="6">
        <v>0</v>
      </c>
      <c r="H651" s="44" t="s">
        <v>73</v>
      </c>
      <c r="I651" s="44" t="s">
        <v>74</v>
      </c>
    </row>
    <row r="652" spans="1:9" ht="45" x14ac:dyDescent="0.25">
      <c r="A652" s="44" t="s">
        <v>207</v>
      </c>
      <c r="B652" s="6">
        <v>2356001</v>
      </c>
      <c r="C652" s="44" t="s">
        <v>1533</v>
      </c>
      <c r="D652" s="44" t="s">
        <v>1534</v>
      </c>
      <c r="E652" s="6">
        <v>1</v>
      </c>
      <c r="F652" s="6" t="s">
        <v>681</v>
      </c>
      <c r="G652" s="6" t="s">
        <v>681</v>
      </c>
      <c r="H652" s="44" t="s">
        <v>208</v>
      </c>
      <c r="I652" s="44" t="s">
        <v>207</v>
      </c>
    </row>
    <row r="653" spans="1:9" ht="45" x14ac:dyDescent="0.25">
      <c r="A653" s="44" t="s">
        <v>281</v>
      </c>
      <c r="B653" s="6">
        <v>10260003</v>
      </c>
      <c r="C653" s="44" t="s">
        <v>1535</v>
      </c>
      <c r="D653" s="44" t="s">
        <v>1536</v>
      </c>
      <c r="E653" s="6">
        <v>20</v>
      </c>
      <c r="F653" s="6">
        <v>379</v>
      </c>
      <c r="G653" s="6">
        <v>7.58</v>
      </c>
      <c r="H653" s="44" t="s">
        <v>284</v>
      </c>
      <c r="I653" s="44" t="s">
        <v>285</v>
      </c>
    </row>
    <row r="654" spans="1:9" ht="45" x14ac:dyDescent="0.25">
      <c r="A654" s="44" t="s">
        <v>207</v>
      </c>
      <c r="B654" s="6">
        <v>2319004</v>
      </c>
      <c r="C654" s="44" t="s">
        <v>1537</v>
      </c>
      <c r="D654" s="44"/>
      <c r="E654" s="6">
        <v>2</v>
      </c>
      <c r="F654" s="6">
        <v>300</v>
      </c>
      <c r="G654" s="6">
        <v>600</v>
      </c>
      <c r="H654" s="44" t="s">
        <v>208</v>
      </c>
      <c r="I654" s="44" t="s">
        <v>207</v>
      </c>
    </row>
    <row r="655" spans="1:9" ht="30" x14ac:dyDescent="0.25">
      <c r="A655" s="44" t="s">
        <v>158</v>
      </c>
      <c r="B655" s="6">
        <v>6010510</v>
      </c>
      <c r="C655" s="44" t="s">
        <v>1538</v>
      </c>
      <c r="D655" s="44" t="s">
        <v>827</v>
      </c>
      <c r="E655" s="6">
        <v>25000</v>
      </c>
      <c r="F655" s="6">
        <v>70</v>
      </c>
      <c r="G655" s="6" t="s">
        <v>1539</v>
      </c>
      <c r="H655" s="44" t="s">
        <v>164</v>
      </c>
      <c r="I655" s="44" t="s">
        <v>165</v>
      </c>
    </row>
    <row r="656" spans="1:9" ht="45" x14ac:dyDescent="0.25">
      <c r="A656" s="44" t="s">
        <v>136</v>
      </c>
      <c r="B656" s="6">
        <v>100100006</v>
      </c>
      <c r="C656" s="44" t="s">
        <v>1540</v>
      </c>
      <c r="D656" s="44" t="s">
        <v>1541</v>
      </c>
      <c r="E656" s="6">
        <v>445</v>
      </c>
      <c r="F656" s="6">
        <v>7</v>
      </c>
      <c r="G656" s="6" t="s">
        <v>1542</v>
      </c>
      <c r="H656" s="44" t="s">
        <v>142</v>
      </c>
      <c r="I656" s="44" t="s">
        <v>143</v>
      </c>
    </row>
    <row r="657" spans="1:9" ht="60" x14ac:dyDescent="0.25">
      <c r="A657" s="44" t="s">
        <v>136</v>
      </c>
      <c r="B657" s="6">
        <v>100100006</v>
      </c>
      <c r="C657" s="44" t="s">
        <v>1540</v>
      </c>
      <c r="D657" s="44" t="s">
        <v>1543</v>
      </c>
      <c r="E657" s="6">
        <v>297</v>
      </c>
      <c r="F657" s="6">
        <v>7</v>
      </c>
      <c r="G657" s="6" t="s">
        <v>1544</v>
      </c>
      <c r="H657" s="44" t="s">
        <v>142</v>
      </c>
      <c r="I657" s="44" t="s">
        <v>143</v>
      </c>
    </row>
    <row r="658" spans="1:9" ht="75" x14ac:dyDescent="0.25">
      <c r="A658" s="44" t="s">
        <v>136</v>
      </c>
      <c r="B658" s="6">
        <v>100100006</v>
      </c>
      <c r="C658" s="44" t="s">
        <v>1540</v>
      </c>
      <c r="D658" s="44" t="s">
        <v>1545</v>
      </c>
      <c r="E658" s="6">
        <v>260</v>
      </c>
      <c r="F658" s="6">
        <v>7</v>
      </c>
      <c r="G658" s="6" t="s">
        <v>1546</v>
      </c>
      <c r="H658" s="44" t="s">
        <v>142</v>
      </c>
      <c r="I658" s="44" t="s">
        <v>143</v>
      </c>
    </row>
    <row r="659" spans="1:9" ht="45" x14ac:dyDescent="0.25">
      <c r="A659" s="44" t="s">
        <v>136</v>
      </c>
      <c r="B659" s="6">
        <v>100100006</v>
      </c>
      <c r="C659" s="44" t="s">
        <v>1540</v>
      </c>
      <c r="D659" s="44" t="s">
        <v>1547</v>
      </c>
      <c r="E659" s="6">
        <v>174</v>
      </c>
      <c r="F659" s="6">
        <v>7</v>
      </c>
      <c r="G659" s="6" t="s">
        <v>1548</v>
      </c>
      <c r="H659" s="44" t="s">
        <v>142</v>
      </c>
      <c r="I659" s="44" t="s">
        <v>143</v>
      </c>
    </row>
    <row r="660" spans="1:9" ht="45" x14ac:dyDescent="0.25">
      <c r="A660" s="44" t="s">
        <v>136</v>
      </c>
      <c r="B660" s="6">
        <v>100100006</v>
      </c>
      <c r="C660" s="44" t="s">
        <v>1540</v>
      </c>
      <c r="D660" s="44" t="s">
        <v>1549</v>
      </c>
      <c r="E660" s="6">
        <v>446</v>
      </c>
      <c r="F660" s="6">
        <v>7</v>
      </c>
      <c r="G660" s="6" t="s">
        <v>1550</v>
      </c>
      <c r="H660" s="44" t="s">
        <v>142</v>
      </c>
      <c r="I660" s="44" t="s">
        <v>143</v>
      </c>
    </row>
    <row r="661" spans="1:9" ht="75" x14ac:dyDescent="0.25">
      <c r="A661" s="44" t="s">
        <v>166</v>
      </c>
      <c r="B661" s="6">
        <v>1023002</v>
      </c>
      <c r="C661" s="44" t="s">
        <v>1551</v>
      </c>
      <c r="D661" s="44">
        <v>20</v>
      </c>
      <c r="E661" s="6">
        <v>20</v>
      </c>
      <c r="F661" s="6">
        <v>497</v>
      </c>
      <c r="G661" s="6">
        <v>9.94</v>
      </c>
      <c r="H661" s="44" t="s">
        <v>169</v>
      </c>
      <c r="I661" s="44" t="s">
        <v>170</v>
      </c>
    </row>
    <row r="662" spans="1:9" ht="45" x14ac:dyDescent="0.25">
      <c r="A662" s="44" t="s">
        <v>207</v>
      </c>
      <c r="B662" s="6">
        <v>1023002</v>
      </c>
      <c r="C662" s="44" t="s">
        <v>1551</v>
      </c>
      <c r="D662" s="44"/>
      <c r="E662" s="6">
        <v>6</v>
      </c>
      <c r="F662" s="6">
        <v>497</v>
      </c>
      <c r="G662" s="6">
        <v>2.9820000000000002</v>
      </c>
      <c r="H662" s="44" t="s">
        <v>208</v>
      </c>
      <c r="I662" s="44" t="s">
        <v>207</v>
      </c>
    </row>
    <row r="663" spans="1:9" ht="45" x14ac:dyDescent="0.25">
      <c r="A663" s="44" t="s">
        <v>281</v>
      </c>
      <c r="B663" s="6">
        <v>12220004</v>
      </c>
      <c r="C663" s="44" t="s">
        <v>1552</v>
      </c>
      <c r="D663" s="44" t="s">
        <v>1553</v>
      </c>
      <c r="E663" s="6">
        <v>2</v>
      </c>
      <c r="F663" s="6">
        <v>5</v>
      </c>
      <c r="G663" s="6">
        <v>10</v>
      </c>
      <c r="H663" s="44" t="s">
        <v>284</v>
      </c>
      <c r="I663" s="44" t="s">
        <v>285</v>
      </c>
    </row>
    <row r="664" spans="1:9" ht="75" x14ac:dyDescent="0.25">
      <c r="A664" s="44" t="s">
        <v>166</v>
      </c>
      <c r="B664" s="6">
        <v>113400003</v>
      </c>
      <c r="C664" s="44" t="s">
        <v>1554</v>
      </c>
      <c r="D664" s="44" t="s">
        <v>1555</v>
      </c>
      <c r="E664" s="6">
        <v>20</v>
      </c>
      <c r="F664" s="6">
        <v>2.286</v>
      </c>
      <c r="G664" s="6">
        <v>45.72</v>
      </c>
      <c r="H664" s="44" t="s">
        <v>169</v>
      </c>
      <c r="I664" s="44" t="s">
        <v>170</v>
      </c>
    </row>
    <row r="665" spans="1:9" ht="45" x14ac:dyDescent="0.25">
      <c r="A665" s="44" t="s">
        <v>207</v>
      </c>
      <c r="B665" s="6">
        <v>113400003</v>
      </c>
      <c r="C665" s="44" t="s">
        <v>1554</v>
      </c>
      <c r="D665" s="44"/>
      <c r="E665" s="6">
        <v>4</v>
      </c>
      <c r="F665" s="6">
        <v>2.286</v>
      </c>
      <c r="G665" s="6">
        <v>9.1440000000000001</v>
      </c>
      <c r="H665" s="44" t="s">
        <v>208</v>
      </c>
      <c r="I665" s="44" t="s">
        <v>207</v>
      </c>
    </row>
    <row r="666" spans="1:9" ht="45" x14ac:dyDescent="0.25">
      <c r="A666" s="44" t="s">
        <v>207</v>
      </c>
      <c r="B666" s="6">
        <v>1074001</v>
      </c>
      <c r="C666" s="44" t="s">
        <v>1556</v>
      </c>
      <c r="D666" s="44" t="s">
        <v>1557</v>
      </c>
      <c r="E666" s="6">
        <v>2</v>
      </c>
      <c r="F666" s="6">
        <v>42</v>
      </c>
      <c r="G666" s="6">
        <v>84</v>
      </c>
      <c r="H666" s="44" t="s">
        <v>208</v>
      </c>
      <c r="I666" s="44" t="s">
        <v>207</v>
      </c>
    </row>
    <row r="667" spans="1:9" ht="45" x14ac:dyDescent="0.25">
      <c r="A667" s="44" t="s">
        <v>209</v>
      </c>
      <c r="B667" s="6">
        <v>1074001</v>
      </c>
      <c r="C667" s="44" t="s">
        <v>1556</v>
      </c>
      <c r="D667" s="44" t="s">
        <v>1558</v>
      </c>
      <c r="E667" s="6">
        <v>1</v>
      </c>
      <c r="F667" s="6">
        <v>26</v>
      </c>
      <c r="G667" s="6">
        <v>26</v>
      </c>
      <c r="H667" s="44" t="s">
        <v>210</v>
      </c>
      <c r="I667" s="44" t="s">
        <v>209</v>
      </c>
    </row>
    <row r="668" spans="1:9" ht="45" x14ac:dyDescent="0.25">
      <c r="A668" s="44" t="s">
        <v>207</v>
      </c>
      <c r="B668" s="6">
        <v>15040001</v>
      </c>
      <c r="C668" s="44" t="s">
        <v>1559</v>
      </c>
      <c r="D668" s="44" t="s">
        <v>1560</v>
      </c>
      <c r="E668" s="6">
        <v>6</v>
      </c>
      <c r="F668" s="6">
        <v>0</v>
      </c>
      <c r="G668" s="6">
        <v>0</v>
      </c>
      <c r="H668" s="44" t="s">
        <v>208</v>
      </c>
      <c r="I668" s="44" t="s">
        <v>207</v>
      </c>
    </row>
    <row r="669" spans="1:9" ht="75" x14ac:dyDescent="0.25">
      <c r="A669" s="44" t="s">
        <v>148</v>
      </c>
      <c r="B669" s="6">
        <v>261200088</v>
      </c>
      <c r="C669" s="44" t="s">
        <v>1561</v>
      </c>
      <c r="D669" s="44" t="s">
        <v>1562</v>
      </c>
      <c r="E669" s="6">
        <v>4</v>
      </c>
      <c r="F669" s="6">
        <v>365</v>
      </c>
      <c r="G669" s="6" t="s">
        <v>1563</v>
      </c>
      <c r="H669" s="44" t="s">
        <v>154</v>
      </c>
      <c r="I669" s="44" t="s">
        <v>155</v>
      </c>
    </row>
    <row r="670" spans="1:9" ht="30" x14ac:dyDescent="0.25">
      <c r="A670" s="44" t="s">
        <v>247</v>
      </c>
      <c r="B670" s="6">
        <v>261200088</v>
      </c>
      <c r="C670" s="44" t="s">
        <v>1561</v>
      </c>
      <c r="D670" s="44"/>
      <c r="E670" s="6">
        <v>1</v>
      </c>
      <c r="F670" s="6">
        <v>200</v>
      </c>
      <c r="G670" s="6">
        <v>200</v>
      </c>
      <c r="H670" s="44" t="s">
        <v>250</v>
      </c>
      <c r="I670" s="44" t="s">
        <v>251</v>
      </c>
    </row>
    <row r="671" spans="1:9" ht="45" x14ac:dyDescent="0.25">
      <c r="A671" s="44" t="s">
        <v>274</v>
      </c>
      <c r="B671" s="6">
        <v>261200088</v>
      </c>
      <c r="C671" s="44" t="s">
        <v>1561</v>
      </c>
      <c r="D671" s="44" t="s">
        <v>1564</v>
      </c>
      <c r="E671" s="6">
        <v>1</v>
      </c>
      <c r="F671" s="6">
        <v>400</v>
      </c>
      <c r="G671" s="6">
        <v>400</v>
      </c>
      <c r="H671" s="44" t="s">
        <v>277</v>
      </c>
      <c r="I671" s="44" t="s">
        <v>278</v>
      </c>
    </row>
    <row r="672" spans="1:9" ht="75" x14ac:dyDescent="0.25">
      <c r="A672" s="44" t="s">
        <v>148</v>
      </c>
      <c r="B672" s="6">
        <v>2013019</v>
      </c>
      <c r="C672" s="44" t="s">
        <v>1565</v>
      </c>
      <c r="D672" s="44" t="s">
        <v>1566</v>
      </c>
      <c r="E672" s="6">
        <v>10</v>
      </c>
      <c r="F672" s="6">
        <v>350</v>
      </c>
      <c r="G672" s="6" t="s">
        <v>946</v>
      </c>
      <c r="H672" s="44" t="s">
        <v>154</v>
      </c>
      <c r="I672" s="44" t="s">
        <v>155</v>
      </c>
    </row>
    <row r="673" spans="1:9" ht="30" x14ac:dyDescent="0.25">
      <c r="A673" s="44" t="s">
        <v>158</v>
      </c>
      <c r="B673" s="6">
        <v>2013019</v>
      </c>
      <c r="C673" s="44" t="s">
        <v>1565</v>
      </c>
      <c r="D673" s="44"/>
      <c r="E673" s="6">
        <v>3</v>
      </c>
      <c r="F673" s="6">
        <v>350</v>
      </c>
      <c r="G673" s="6" t="s">
        <v>1567</v>
      </c>
      <c r="H673" s="44" t="s">
        <v>164</v>
      </c>
      <c r="I673" s="44" t="s">
        <v>165</v>
      </c>
    </row>
    <row r="674" spans="1:9" ht="45" x14ac:dyDescent="0.25">
      <c r="A674" s="44" t="s">
        <v>296</v>
      </c>
      <c r="B674" s="6">
        <v>2013028</v>
      </c>
      <c r="C674" s="44" t="s">
        <v>1568</v>
      </c>
      <c r="D674" s="44" t="s">
        <v>1569</v>
      </c>
      <c r="E674" s="6">
        <v>15</v>
      </c>
      <c r="F674" s="6">
        <v>250</v>
      </c>
      <c r="G674" s="6" t="s">
        <v>1570</v>
      </c>
      <c r="H674" s="44" t="s">
        <v>299</v>
      </c>
      <c r="I674" s="44" t="s">
        <v>300</v>
      </c>
    </row>
    <row r="675" spans="1:9" ht="45" x14ac:dyDescent="0.25">
      <c r="A675" s="44" t="s">
        <v>70</v>
      </c>
      <c r="B675" s="6">
        <v>1091001</v>
      </c>
      <c r="C675" s="44" t="s">
        <v>1571</v>
      </c>
      <c r="D675" s="44" t="s">
        <v>1572</v>
      </c>
      <c r="E675" s="6">
        <v>10</v>
      </c>
      <c r="F675" s="6">
        <v>20</v>
      </c>
      <c r="G675" s="6">
        <v>200</v>
      </c>
      <c r="H675" s="44" t="s">
        <v>73</v>
      </c>
      <c r="I675" s="44" t="s">
        <v>74</v>
      </c>
    </row>
    <row r="676" spans="1:9" ht="45" x14ac:dyDescent="0.25">
      <c r="A676" s="44" t="s">
        <v>207</v>
      </c>
      <c r="B676" s="6">
        <v>1091001</v>
      </c>
      <c r="C676" s="44" t="s">
        <v>1571</v>
      </c>
      <c r="D676" s="44" t="s">
        <v>1573</v>
      </c>
      <c r="E676" s="6">
        <v>3</v>
      </c>
      <c r="F676" s="6">
        <v>13</v>
      </c>
      <c r="G676" s="6">
        <v>39</v>
      </c>
      <c r="H676" s="44" t="s">
        <v>208</v>
      </c>
      <c r="I676" s="44" t="s">
        <v>207</v>
      </c>
    </row>
    <row r="677" spans="1:9" ht="45" x14ac:dyDescent="0.25">
      <c r="A677" s="44" t="s">
        <v>207</v>
      </c>
      <c r="B677" s="6">
        <v>1091001</v>
      </c>
      <c r="C677" s="44" t="s">
        <v>1571</v>
      </c>
      <c r="D677" s="44" t="s">
        <v>1574</v>
      </c>
      <c r="E677" s="6">
        <v>3</v>
      </c>
      <c r="F677" s="6">
        <v>13</v>
      </c>
      <c r="G677" s="6">
        <v>39</v>
      </c>
      <c r="H677" s="44" t="s">
        <v>208</v>
      </c>
      <c r="I677" s="44" t="s">
        <v>207</v>
      </c>
    </row>
    <row r="678" spans="1:9" ht="45" x14ac:dyDescent="0.25">
      <c r="A678" s="44" t="s">
        <v>209</v>
      </c>
      <c r="B678" s="6">
        <v>1091001</v>
      </c>
      <c r="C678" s="44" t="s">
        <v>1571</v>
      </c>
      <c r="D678" s="44" t="s">
        <v>1575</v>
      </c>
      <c r="E678" s="6">
        <v>4</v>
      </c>
      <c r="F678" s="6">
        <v>13.8</v>
      </c>
      <c r="G678" s="6">
        <v>55.2</v>
      </c>
      <c r="H678" s="44" t="s">
        <v>210</v>
      </c>
      <c r="I678" s="44" t="s">
        <v>209</v>
      </c>
    </row>
    <row r="679" spans="1:9" ht="45" x14ac:dyDescent="0.25">
      <c r="A679" s="44" t="s">
        <v>209</v>
      </c>
      <c r="B679" s="6">
        <v>1091001</v>
      </c>
      <c r="C679" s="44" t="s">
        <v>1571</v>
      </c>
      <c r="D679" s="44" t="s">
        <v>1576</v>
      </c>
      <c r="E679" s="6">
        <v>9</v>
      </c>
      <c r="F679" s="6">
        <v>28</v>
      </c>
      <c r="G679" s="6">
        <v>252</v>
      </c>
      <c r="H679" s="44" t="s">
        <v>210</v>
      </c>
      <c r="I679" s="44" t="s">
        <v>209</v>
      </c>
    </row>
    <row r="680" spans="1:9" ht="45" x14ac:dyDescent="0.25">
      <c r="A680" s="44" t="s">
        <v>281</v>
      </c>
      <c r="B680" s="6">
        <v>1091001</v>
      </c>
      <c r="C680" s="44" t="s">
        <v>1571</v>
      </c>
      <c r="D680" s="44" t="s">
        <v>1577</v>
      </c>
      <c r="E680" s="6">
        <v>2</v>
      </c>
      <c r="F680" s="6">
        <v>10</v>
      </c>
      <c r="G680" s="6">
        <v>20</v>
      </c>
      <c r="H680" s="44" t="s">
        <v>284</v>
      </c>
      <c r="I680" s="44" t="s">
        <v>285</v>
      </c>
    </row>
    <row r="681" spans="1:9" ht="45" x14ac:dyDescent="0.25">
      <c r="A681" s="44" t="s">
        <v>281</v>
      </c>
      <c r="B681" s="6">
        <v>1091001</v>
      </c>
      <c r="C681" s="44" t="s">
        <v>1571</v>
      </c>
      <c r="D681" s="44" t="s">
        <v>1578</v>
      </c>
      <c r="E681" s="6">
        <v>2</v>
      </c>
      <c r="F681" s="6">
        <v>20</v>
      </c>
      <c r="G681" s="6">
        <v>40</v>
      </c>
      <c r="H681" s="44" t="s">
        <v>284</v>
      </c>
      <c r="I681" s="44" t="s">
        <v>285</v>
      </c>
    </row>
    <row r="682" spans="1:9" ht="45" x14ac:dyDescent="0.25">
      <c r="A682" s="44" t="s">
        <v>281</v>
      </c>
      <c r="B682" s="6">
        <v>1091001</v>
      </c>
      <c r="C682" s="44" t="s">
        <v>1571</v>
      </c>
      <c r="D682" s="44" t="s">
        <v>1577</v>
      </c>
      <c r="E682" s="6">
        <v>2</v>
      </c>
      <c r="F682" s="6">
        <v>10</v>
      </c>
      <c r="G682" s="6">
        <v>20</v>
      </c>
      <c r="H682" s="44" t="s">
        <v>284</v>
      </c>
      <c r="I682" s="44" t="s">
        <v>285</v>
      </c>
    </row>
    <row r="683" spans="1:9" ht="45" x14ac:dyDescent="0.25">
      <c r="A683" s="44" t="s">
        <v>136</v>
      </c>
      <c r="B683" s="6">
        <v>2209004</v>
      </c>
      <c r="C683" s="44" t="s">
        <v>1579</v>
      </c>
      <c r="D683" s="44" t="s">
        <v>1580</v>
      </c>
      <c r="E683" s="6">
        <v>1</v>
      </c>
      <c r="F683" s="6" t="s">
        <v>1183</v>
      </c>
      <c r="G683" s="6" t="s">
        <v>1183</v>
      </c>
      <c r="H683" s="44" t="s">
        <v>146</v>
      </c>
      <c r="I683" s="44" t="s">
        <v>147</v>
      </c>
    </row>
    <row r="684" spans="1:9" ht="45" x14ac:dyDescent="0.25">
      <c r="A684" s="44" t="s">
        <v>136</v>
      </c>
      <c r="B684" s="6">
        <v>2209001</v>
      </c>
      <c r="C684" s="44" t="s">
        <v>1581</v>
      </c>
      <c r="D684" s="44" t="s">
        <v>1582</v>
      </c>
      <c r="E684" s="6">
        <v>2</v>
      </c>
      <c r="F684" s="6" t="s">
        <v>747</v>
      </c>
      <c r="G684" s="6" t="s">
        <v>680</v>
      </c>
      <c r="H684" s="44" t="s">
        <v>146</v>
      </c>
      <c r="I684" s="44" t="s">
        <v>147</v>
      </c>
    </row>
    <row r="685" spans="1:9" ht="45" x14ac:dyDescent="0.25">
      <c r="A685" s="44" t="s">
        <v>136</v>
      </c>
      <c r="B685" s="6">
        <v>2209001</v>
      </c>
      <c r="C685" s="44" t="s">
        <v>1581</v>
      </c>
      <c r="D685" s="44" t="s">
        <v>1583</v>
      </c>
      <c r="E685" s="6">
        <v>1</v>
      </c>
      <c r="F685" s="6" t="s">
        <v>1584</v>
      </c>
      <c r="G685" s="6" t="s">
        <v>1584</v>
      </c>
      <c r="H685" s="44" t="s">
        <v>142</v>
      </c>
      <c r="I685" s="44" t="s">
        <v>143</v>
      </c>
    </row>
    <row r="686" spans="1:9" ht="45" x14ac:dyDescent="0.25">
      <c r="A686" s="44" t="s">
        <v>281</v>
      </c>
      <c r="B686" s="6">
        <v>2209001</v>
      </c>
      <c r="C686" s="44" t="s">
        <v>1581</v>
      </c>
      <c r="D686" s="44" t="s">
        <v>1585</v>
      </c>
      <c r="E686" s="6">
        <v>1</v>
      </c>
      <c r="F686" s="6" t="s">
        <v>747</v>
      </c>
      <c r="G686" s="6" t="s">
        <v>747</v>
      </c>
      <c r="H686" s="44" t="s">
        <v>284</v>
      </c>
      <c r="I686" s="44" t="s">
        <v>285</v>
      </c>
    </row>
    <row r="687" spans="1:9" ht="45" x14ac:dyDescent="0.25">
      <c r="A687" s="44" t="s">
        <v>281</v>
      </c>
      <c r="B687" s="6">
        <v>2209001</v>
      </c>
      <c r="C687" s="44" t="s">
        <v>1581</v>
      </c>
      <c r="D687" s="44" t="s">
        <v>1586</v>
      </c>
      <c r="E687" s="6">
        <v>1</v>
      </c>
      <c r="F687" s="6">
        <v>300</v>
      </c>
      <c r="G687" s="6">
        <v>300</v>
      </c>
      <c r="H687" s="44" t="s">
        <v>284</v>
      </c>
      <c r="I687" s="44" t="s">
        <v>285</v>
      </c>
    </row>
    <row r="688" spans="1:9" ht="120" x14ac:dyDescent="0.25">
      <c r="A688" s="44" t="s">
        <v>305</v>
      </c>
      <c r="B688" s="6">
        <v>2209001</v>
      </c>
      <c r="C688" s="44" t="s">
        <v>1581</v>
      </c>
      <c r="D688" s="44" t="s">
        <v>1587</v>
      </c>
      <c r="E688" s="6">
        <v>1</v>
      </c>
      <c r="F688" s="6" t="s">
        <v>1588</v>
      </c>
      <c r="G688" s="6" t="s">
        <v>1588</v>
      </c>
      <c r="H688" s="44" t="s">
        <v>308</v>
      </c>
      <c r="I688" s="44" t="s">
        <v>309</v>
      </c>
    </row>
    <row r="689" spans="1:9" ht="45" x14ac:dyDescent="0.25">
      <c r="A689" s="44" t="s">
        <v>286</v>
      </c>
      <c r="B689" s="6"/>
      <c r="C689" s="44" t="s">
        <v>1589</v>
      </c>
      <c r="D689" s="44" t="s">
        <v>1590</v>
      </c>
      <c r="E689" s="6">
        <v>1</v>
      </c>
      <c r="F689" s="6" t="s">
        <v>861</v>
      </c>
      <c r="G689" s="6" t="s">
        <v>861</v>
      </c>
      <c r="H689" s="44" t="s">
        <v>289</v>
      </c>
      <c r="I689" s="44" t="s">
        <v>290</v>
      </c>
    </row>
    <row r="690" spans="1:9" ht="45" x14ac:dyDescent="0.25">
      <c r="A690" s="44" t="s">
        <v>88</v>
      </c>
      <c r="B690" s="6">
        <v>2059008</v>
      </c>
      <c r="C690" s="44" t="s">
        <v>1591</v>
      </c>
      <c r="D690" s="44" t="s">
        <v>1592</v>
      </c>
      <c r="E690" s="6">
        <v>1</v>
      </c>
      <c r="F690" s="6">
        <v>300</v>
      </c>
      <c r="G690" s="6">
        <v>300</v>
      </c>
      <c r="H690" s="44" t="s">
        <v>95</v>
      </c>
      <c r="I690" s="44" t="s">
        <v>96</v>
      </c>
    </row>
    <row r="691" spans="1:9" ht="45" x14ac:dyDescent="0.25">
      <c r="A691" s="44" t="s">
        <v>88</v>
      </c>
      <c r="B691" s="6">
        <v>2059008</v>
      </c>
      <c r="C691" s="44" t="s">
        <v>1591</v>
      </c>
      <c r="D691" s="44" t="s">
        <v>1592</v>
      </c>
      <c r="E691" s="6">
        <v>1</v>
      </c>
      <c r="F691" s="6">
        <v>300</v>
      </c>
      <c r="G691" s="6">
        <v>300</v>
      </c>
      <c r="H691" s="44" t="s">
        <v>103</v>
      </c>
      <c r="I691" s="44" t="s">
        <v>104</v>
      </c>
    </row>
    <row r="692" spans="1:9" ht="45" x14ac:dyDescent="0.25">
      <c r="A692" s="44" t="s">
        <v>88</v>
      </c>
      <c r="B692" s="6">
        <v>2059008</v>
      </c>
      <c r="C692" s="44" t="s">
        <v>1591</v>
      </c>
      <c r="D692" s="44" t="s">
        <v>1592</v>
      </c>
      <c r="E692" s="6">
        <v>1</v>
      </c>
      <c r="F692" s="6">
        <v>300</v>
      </c>
      <c r="G692" s="6">
        <v>300</v>
      </c>
      <c r="H692" s="44" t="s">
        <v>99</v>
      </c>
      <c r="I692" s="44" t="s">
        <v>100</v>
      </c>
    </row>
    <row r="693" spans="1:9" ht="45" x14ac:dyDescent="0.25">
      <c r="A693" s="44" t="s">
        <v>88</v>
      </c>
      <c r="B693" s="6">
        <v>2059008</v>
      </c>
      <c r="C693" s="44" t="s">
        <v>1591</v>
      </c>
      <c r="D693" s="44" t="s">
        <v>1592</v>
      </c>
      <c r="E693" s="6">
        <v>1</v>
      </c>
      <c r="F693" s="6">
        <v>300</v>
      </c>
      <c r="G693" s="6">
        <v>300</v>
      </c>
      <c r="H693" s="44" t="s">
        <v>101</v>
      </c>
      <c r="I693" s="44" t="s">
        <v>102</v>
      </c>
    </row>
    <row r="694" spans="1:9" ht="45" x14ac:dyDescent="0.25">
      <c r="A694" s="44" t="s">
        <v>136</v>
      </c>
      <c r="B694" s="6">
        <v>2059008</v>
      </c>
      <c r="C694" s="44" t="s">
        <v>1591</v>
      </c>
      <c r="D694" s="44" t="s">
        <v>1593</v>
      </c>
      <c r="E694" s="6">
        <v>1</v>
      </c>
      <c r="F694" s="6">
        <v>300</v>
      </c>
      <c r="G694" s="6">
        <v>300</v>
      </c>
      <c r="H694" s="44" t="s">
        <v>144</v>
      </c>
      <c r="I694" s="44" t="s">
        <v>145</v>
      </c>
    </row>
    <row r="695" spans="1:9" ht="75" x14ac:dyDescent="0.25">
      <c r="A695" s="44" t="s">
        <v>148</v>
      </c>
      <c r="B695" s="6">
        <v>2059008</v>
      </c>
      <c r="C695" s="44" t="s">
        <v>1591</v>
      </c>
      <c r="D695" s="44" t="s">
        <v>1594</v>
      </c>
      <c r="E695" s="6">
        <v>2</v>
      </c>
      <c r="F695" s="6">
        <v>300</v>
      </c>
      <c r="G695" s="6">
        <v>600</v>
      </c>
      <c r="H695" s="44" t="s">
        <v>154</v>
      </c>
      <c r="I695" s="44" t="s">
        <v>155</v>
      </c>
    </row>
    <row r="696" spans="1:9" ht="30" x14ac:dyDescent="0.25">
      <c r="A696" s="44" t="s">
        <v>158</v>
      </c>
      <c r="B696" s="6">
        <v>2059008</v>
      </c>
      <c r="C696" s="44" t="s">
        <v>1591</v>
      </c>
      <c r="D696" s="44"/>
      <c r="E696" s="6">
        <v>3</v>
      </c>
      <c r="F696" s="6">
        <v>300</v>
      </c>
      <c r="G696" s="6">
        <v>900</v>
      </c>
      <c r="H696" s="44" t="s">
        <v>164</v>
      </c>
      <c r="I696" s="44" t="s">
        <v>165</v>
      </c>
    </row>
    <row r="697" spans="1:9" ht="45" x14ac:dyDescent="0.25">
      <c r="A697" s="44" t="s">
        <v>281</v>
      </c>
      <c r="B697" s="6">
        <v>2059008</v>
      </c>
      <c r="C697" s="44" t="s">
        <v>1591</v>
      </c>
      <c r="D697" s="44" t="s">
        <v>1595</v>
      </c>
      <c r="E697" s="6">
        <v>1</v>
      </c>
      <c r="F697" s="6">
        <v>300</v>
      </c>
      <c r="G697" s="6">
        <v>300</v>
      </c>
      <c r="H697" s="44" t="s">
        <v>284</v>
      </c>
      <c r="I697" s="44" t="s">
        <v>285</v>
      </c>
    </row>
    <row r="698" spans="1:9" ht="45" x14ac:dyDescent="0.25">
      <c r="A698" s="44" t="s">
        <v>281</v>
      </c>
      <c r="B698" s="6">
        <v>2059008</v>
      </c>
      <c r="C698" s="44" t="s">
        <v>1591</v>
      </c>
      <c r="D698" s="44" t="s">
        <v>1596</v>
      </c>
      <c r="E698" s="6">
        <v>1</v>
      </c>
      <c r="F698" s="6">
        <v>300</v>
      </c>
      <c r="G698" s="6">
        <v>300</v>
      </c>
      <c r="H698" s="44" t="s">
        <v>284</v>
      </c>
      <c r="I698" s="44" t="s">
        <v>285</v>
      </c>
    </row>
    <row r="699" spans="1:9" ht="45" x14ac:dyDescent="0.25">
      <c r="A699" s="44" t="s">
        <v>136</v>
      </c>
      <c r="B699" s="6">
        <v>2058001</v>
      </c>
      <c r="C699" s="44" t="s">
        <v>1597</v>
      </c>
      <c r="D699" s="44" t="s">
        <v>1597</v>
      </c>
      <c r="E699" s="6">
        <v>1</v>
      </c>
      <c r="F699" s="6">
        <v>350</v>
      </c>
      <c r="G699" s="6">
        <v>350</v>
      </c>
      <c r="H699" s="44" t="s">
        <v>142</v>
      </c>
      <c r="I699" s="44" t="s">
        <v>143</v>
      </c>
    </row>
    <row r="700" spans="1:9" ht="45" x14ac:dyDescent="0.25">
      <c r="A700" s="44" t="s">
        <v>136</v>
      </c>
      <c r="B700" s="6">
        <v>2058001</v>
      </c>
      <c r="C700" s="44" t="s">
        <v>1597</v>
      </c>
      <c r="D700" s="44" t="s">
        <v>1598</v>
      </c>
      <c r="E700" s="6">
        <v>4</v>
      </c>
      <c r="F700" s="6">
        <v>350</v>
      </c>
      <c r="G700" s="6" t="s">
        <v>1212</v>
      </c>
      <c r="H700" s="44" t="s">
        <v>146</v>
      </c>
      <c r="I700" s="44" t="s">
        <v>147</v>
      </c>
    </row>
    <row r="701" spans="1:9" ht="75" x14ac:dyDescent="0.25">
      <c r="A701" s="44" t="s">
        <v>148</v>
      </c>
      <c r="B701" s="6">
        <v>2058001</v>
      </c>
      <c r="C701" s="44" t="s">
        <v>1597</v>
      </c>
      <c r="D701" s="44"/>
      <c r="E701" s="6">
        <v>1</v>
      </c>
      <c r="F701" s="6">
        <v>350</v>
      </c>
      <c r="G701" s="6">
        <v>350</v>
      </c>
      <c r="H701" s="44" t="s">
        <v>154</v>
      </c>
      <c r="I701" s="44" t="s">
        <v>155</v>
      </c>
    </row>
    <row r="702" spans="1:9" ht="45" x14ac:dyDescent="0.25">
      <c r="A702" s="44" t="s">
        <v>158</v>
      </c>
      <c r="B702" s="6">
        <v>2058001</v>
      </c>
      <c r="C702" s="44" t="s">
        <v>1597</v>
      </c>
      <c r="D702" s="44"/>
      <c r="E702" s="6">
        <v>3</v>
      </c>
      <c r="F702" s="6">
        <v>350</v>
      </c>
      <c r="G702" s="6" t="s">
        <v>1567</v>
      </c>
      <c r="H702" s="44" t="s">
        <v>164</v>
      </c>
      <c r="I702" s="44" t="s">
        <v>165</v>
      </c>
    </row>
    <row r="703" spans="1:9" ht="60" x14ac:dyDescent="0.25">
      <c r="A703" s="44" t="s">
        <v>166</v>
      </c>
      <c r="B703" s="6">
        <v>2058001</v>
      </c>
      <c r="C703" s="44" t="s">
        <v>1597</v>
      </c>
      <c r="D703" s="44" t="s">
        <v>1599</v>
      </c>
      <c r="E703" s="6">
        <v>30</v>
      </c>
      <c r="F703" s="6">
        <v>350</v>
      </c>
      <c r="G703" s="6" t="s">
        <v>1600</v>
      </c>
      <c r="H703" s="44" t="s">
        <v>172</v>
      </c>
      <c r="I703" s="44" t="s">
        <v>173</v>
      </c>
    </row>
    <row r="704" spans="1:9" ht="45" x14ac:dyDescent="0.25">
      <c r="A704" s="44" t="s">
        <v>207</v>
      </c>
      <c r="B704" s="6">
        <v>2058001</v>
      </c>
      <c r="C704" s="44" t="s">
        <v>1597</v>
      </c>
      <c r="D704" s="44" t="s">
        <v>1601</v>
      </c>
      <c r="E704" s="6">
        <v>1</v>
      </c>
      <c r="F704" s="6">
        <v>350</v>
      </c>
      <c r="G704" s="6">
        <v>350</v>
      </c>
      <c r="H704" s="44" t="s">
        <v>208</v>
      </c>
      <c r="I704" s="44" t="s">
        <v>207</v>
      </c>
    </row>
    <row r="705" spans="1:9" ht="45" x14ac:dyDescent="0.25">
      <c r="A705" s="44" t="s">
        <v>70</v>
      </c>
      <c r="B705" s="6">
        <v>22330011</v>
      </c>
      <c r="C705" s="44" t="s">
        <v>1602</v>
      </c>
      <c r="D705" s="44" t="s">
        <v>1603</v>
      </c>
      <c r="E705" s="6">
        <v>1</v>
      </c>
      <c r="F705" s="6" t="s">
        <v>999</v>
      </c>
      <c r="G705" s="6" t="s">
        <v>999</v>
      </c>
      <c r="H705" s="44" t="s">
        <v>73</v>
      </c>
      <c r="I705" s="44" t="s">
        <v>74</v>
      </c>
    </row>
    <row r="706" spans="1:9" ht="45" x14ac:dyDescent="0.25">
      <c r="A706" s="44" t="s">
        <v>274</v>
      </c>
      <c r="B706" s="6"/>
      <c r="C706" s="44" t="s">
        <v>1604</v>
      </c>
      <c r="D706" s="44" t="s">
        <v>1605</v>
      </c>
      <c r="E706" s="6">
        <v>30</v>
      </c>
      <c r="F706" s="6">
        <v>8</v>
      </c>
      <c r="G706" s="6">
        <v>240</v>
      </c>
      <c r="H706" s="44" t="s">
        <v>277</v>
      </c>
      <c r="I706" s="44" t="s">
        <v>278</v>
      </c>
    </row>
    <row r="707" spans="1:9" ht="45" x14ac:dyDescent="0.25">
      <c r="A707" s="44" t="s">
        <v>274</v>
      </c>
      <c r="B707" s="6"/>
      <c r="C707" s="44" t="s">
        <v>1604</v>
      </c>
      <c r="D707" s="44" t="s">
        <v>1606</v>
      </c>
      <c r="E707" s="6">
        <v>6</v>
      </c>
      <c r="F707" s="6">
        <v>45</v>
      </c>
      <c r="G707" s="6">
        <v>270</v>
      </c>
      <c r="H707" s="44" t="s">
        <v>277</v>
      </c>
      <c r="I707" s="44" t="s">
        <v>278</v>
      </c>
    </row>
    <row r="708" spans="1:9" ht="45" x14ac:dyDescent="0.25">
      <c r="A708" s="44" t="s">
        <v>274</v>
      </c>
      <c r="B708" s="6"/>
      <c r="C708" s="44" t="s">
        <v>1604</v>
      </c>
      <c r="D708" s="44" t="s">
        <v>1607</v>
      </c>
      <c r="E708" s="6">
        <v>4</v>
      </c>
      <c r="F708" s="6">
        <v>40</v>
      </c>
      <c r="G708" s="6">
        <v>160</v>
      </c>
      <c r="H708" s="44" t="s">
        <v>277</v>
      </c>
      <c r="I708" s="44" t="s">
        <v>278</v>
      </c>
    </row>
    <row r="709" spans="1:9" ht="45" x14ac:dyDescent="0.25">
      <c r="A709" s="44" t="s">
        <v>274</v>
      </c>
      <c r="B709" s="6"/>
      <c r="C709" s="44" t="s">
        <v>1604</v>
      </c>
      <c r="D709" s="44" t="s">
        <v>1608</v>
      </c>
      <c r="E709" s="6">
        <v>6</v>
      </c>
      <c r="F709" s="6">
        <v>260</v>
      </c>
      <c r="G709" s="6" t="s">
        <v>1528</v>
      </c>
      <c r="H709" s="44" t="s">
        <v>277</v>
      </c>
      <c r="I709" s="44" t="s">
        <v>278</v>
      </c>
    </row>
    <row r="710" spans="1:9" ht="45" x14ac:dyDescent="0.25">
      <c r="A710" s="44" t="s">
        <v>274</v>
      </c>
      <c r="B710" s="6"/>
      <c r="C710" s="44" t="s">
        <v>1604</v>
      </c>
      <c r="D710" s="44" t="s">
        <v>1609</v>
      </c>
      <c r="E710" s="6">
        <v>8</v>
      </c>
      <c r="F710" s="6">
        <v>47</v>
      </c>
      <c r="G710" s="6">
        <v>376</v>
      </c>
      <c r="H710" s="44" t="s">
        <v>277</v>
      </c>
      <c r="I710" s="44" t="s">
        <v>278</v>
      </c>
    </row>
    <row r="711" spans="1:9" ht="45" x14ac:dyDescent="0.25">
      <c r="A711" s="44" t="s">
        <v>274</v>
      </c>
      <c r="B711" s="6"/>
      <c r="C711" s="44" t="s">
        <v>1604</v>
      </c>
      <c r="D711" s="44" t="s">
        <v>1610</v>
      </c>
      <c r="E711" s="6">
        <v>1</v>
      </c>
      <c r="F711" s="6">
        <v>150</v>
      </c>
      <c r="G711" s="6">
        <v>150</v>
      </c>
      <c r="H711" s="44" t="s">
        <v>277</v>
      </c>
      <c r="I711" s="44" t="s">
        <v>278</v>
      </c>
    </row>
    <row r="712" spans="1:9" ht="45" x14ac:dyDescent="0.25">
      <c r="A712" s="44" t="s">
        <v>274</v>
      </c>
      <c r="B712" s="6"/>
      <c r="C712" s="44" t="s">
        <v>1604</v>
      </c>
      <c r="D712" s="44" t="s">
        <v>1611</v>
      </c>
      <c r="E712" s="6">
        <v>6</v>
      </c>
      <c r="F712" s="6">
        <v>70</v>
      </c>
      <c r="G712" s="6">
        <v>420</v>
      </c>
      <c r="H712" s="44" t="s">
        <v>277</v>
      </c>
      <c r="I712" s="44" t="s">
        <v>278</v>
      </c>
    </row>
    <row r="713" spans="1:9" ht="45" x14ac:dyDescent="0.25">
      <c r="A713" s="44" t="s">
        <v>274</v>
      </c>
      <c r="B713" s="6"/>
      <c r="C713" s="44" t="s">
        <v>1604</v>
      </c>
      <c r="D713" s="44" t="s">
        <v>1612</v>
      </c>
      <c r="E713" s="6">
        <v>10</v>
      </c>
      <c r="F713" s="6">
        <v>50</v>
      </c>
      <c r="G713" s="6">
        <v>500</v>
      </c>
      <c r="H713" s="44" t="s">
        <v>277</v>
      </c>
      <c r="I713" s="44" t="s">
        <v>278</v>
      </c>
    </row>
    <row r="714" spans="1:9" ht="45" x14ac:dyDescent="0.25">
      <c r="A714" s="44" t="s">
        <v>274</v>
      </c>
      <c r="B714" s="6"/>
      <c r="C714" s="44" t="s">
        <v>1604</v>
      </c>
      <c r="D714" s="44" t="s">
        <v>1613</v>
      </c>
      <c r="E714" s="6">
        <v>2</v>
      </c>
      <c r="F714" s="6">
        <v>30</v>
      </c>
      <c r="G714" s="6">
        <v>60</v>
      </c>
      <c r="H714" s="44" t="s">
        <v>277</v>
      </c>
      <c r="I714" s="44" t="s">
        <v>278</v>
      </c>
    </row>
    <row r="715" spans="1:9" ht="45" x14ac:dyDescent="0.25">
      <c r="A715" s="44" t="s">
        <v>274</v>
      </c>
      <c r="B715" s="6"/>
      <c r="C715" s="44" t="s">
        <v>1604</v>
      </c>
      <c r="D715" s="44" t="s">
        <v>1614</v>
      </c>
      <c r="E715" s="6">
        <v>6</v>
      </c>
      <c r="F715" s="6">
        <v>2</v>
      </c>
      <c r="G715" s="6">
        <v>12</v>
      </c>
      <c r="H715" s="44" t="s">
        <v>277</v>
      </c>
      <c r="I715" s="44" t="s">
        <v>278</v>
      </c>
    </row>
    <row r="716" spans="1:9" ht="45" x14ac:dyDescent="0.25">
      <c r="A716" s="44" t="s">
        <v>281</v>
      </c>
      <c r="B716" s="6">
        <v>1223003</v>
      </c>
      <c r="C716" s="44" t="s">
        <v>1615</v>
      </c>
      <c r="D716" s="44" t="s">
        <v>1616</v>
      </c>
      <c r="E716" s="6">
        <v>2</v>
      </c>
      <c r="F716" s="6">
        <v>6</v>
      </c>
      <c r="G716" s="6">
        <v>12</v>
      </c>
      <c r="H716" s="44" t="s">
        <v>284</v>
      </c>
      <c r="I716" s="44" t="s">
        <v>285</v>
      </c>
    </row>
    <row r="717" spans="1:9" ht="45" x14ac:dyDescent="0.25">
      <c r="A717" s="44" t="s">
        <v>207</v>
      </c>
      <c r="B717" s="6">
        <v>1223001</v>
      </c>
      <c r="C717" s="44" t="s">
        <v>1617</v>
      </c>
      <c r="D717" s="44"/>
      <c r="E717" s="6">
        <v>4</v>
      </c>
      <c r="F717" s="6">
        <v>2.8</v>
      </c>
      <c r="G717" s="6">
        <v>11.2</v>
      </c>
      <c r="H717" s="44" t="s">
        <v>208</v>
      </c>
      <c r="I717" s="44" t="s">
        <v>207</v>
      </c>
    </row>
    <row r="718" spans="1:9" ht="45" x14ac:dyDescent="0.25">
      <c r="A718" s="44" t="s">
        <v>281</v>
      </c>
      <c r="B718" s="6">
        <v>1223007</v>
      </c>
      <c r="C718" s="44" t="s">
        <v>1618</v>
      </c>
      <c r="D718" s="44" t="s">
        <v>1619</v>
      </c>
      <c r="E718" s="6">
        <v>10</v>
      </c>
      <c r="F718" s="6">
        <v>1.8</v>
      </c>
      <c r="G718" s="6">
        <v>18</v>
      </c>
      <c r="H718" s="44" t="s">
        <v>284</v>
      </c>
      <c r="I718" s="44" t="s">
        <v>285</v>
      </c>
    </row>
    <row r="719" spans="1:9" ht="45" x14ac:dyDescent="0.25">
      <c r="A719" s="44" t="s">
        <v>209</v>
      </c>
      <c r="B719" s="6">
        <v>1223008</v>
      </c>
      <c r="C719" s="44" t="s">
        <v>1620</v>
      </c>
      <c r="D719" s="44" t="s">
        <v>1621</v>
      </c>
      <c r="E719" s="6">
        <v>4</v>
      </c>
      <c r="F719" s="6">
        <v>9</v>
      </c>
      <c r="G719" s="6">
        <v>36</v>
      </c>
      <c r="H719" s="44" t="s">
        <v>210</v>
      </c>
      <c r="I719" s="44" t="s">
        <v>209</v>
      </c>
    </row>
    <row r="720" spans="1:9" ht="45" x14ac:dyDescent="0.25">
      <c r="A720" s="44" t="s">
        <v>70</v>
      </c>
      <c r="B720" s="6">
        <v>1073001</v>
      </c>
      <c r="C720" s="44" t="s">
        <v>1622</v>
      </c>
      <c r="D720" s="44" t="s">
        <v>1623</v>
      </c>
      <c r="E720" s="6">
        <v>2</v>
      </c>
      <c r="F720" s="6">
        <v>50</v>
      </c>
      <c r="G720" s="6">
        <v>100</v>
      </c>
      <c r="H720" s="44" t="s">
        <v>73</v>
      </c>
      <c r="I720" s="44" t="s">
        <v>74</v>
      </c>
    </row>
    <row r="721" spans="1:9" ht="45" x14ac:dyDescent="0.25">
      <c r="A721" s="44" t="s">
        <v>70</v>
      </c>
      <c r="B721" s="6">
        <v>1073001</v>
      </c>
      <c r="C721" s="44" t="s">
        <v>1622</v>
      </c>
      <c r="D721" s="44" t="s">
        <v>1624</v>
      </c>
      <c r="E721" s="6">
        <v>100</v>
      </c>
      <c r="F721" s="6">
        <v>500</v>
      </c>
      <c r="G721" s="6">
        <v>50</v>
      </c>
      <c r="H721" s="44" t="s">
        <v>73</v>
      </c>
      <c r="I721" s="44" t="s">
        <v>74</v>
      </c>
    </row>
    <row r="722" spans="1:9" ht="45" x14ac:dyDescent="0.25">
      <c r="A722" s="44" t="s">
        <v>207</v>
      </c>
      <c r="B722" s="6">
        <v>1073001</v>
      </c>
      <c r="C722" s="44" t="s">
        <v>1622</v>
      </c>
      <c r="D722" s="44" t="s">
        <v>1625</v>
      </c>
      <c r="E722" s="6">
        <v>1</v>
      </c>
      <c r="F722" s="6">
        <v>18</v>
      </c>
      <c r="G722" s="6">
        <v>18</v>
      </c>
      <c r="H722" s="44" t="s">
        <v>208</v>
      </c>
      <c r="I722" s="44" t="s">
        <v>207</v>
      </c>
    </row>
    <row r="723" spans="1:9" ht="75" x14ac:dyDescent="0.25">
      <c r="A723" s="44" t="s">
        <v>148</v>
      </c>
      <c r="B723" s="6"/>
      <c r="C723" s="44" t="s">
        <v>1626</v>
      </c>
      <c r="D723" s="44" t="s">
        <v>1627</v>
      </c>
      <c r="E723" s="6">
        <v>2</v>
      </c>
      <c r="F723" s="6" t="s">
        <v>747</v>
      </c>
      <c r="G723" s="6" t="s">
        <v>680</v>
      </c>
      <c r="H723" s="44" t="s">
        <v>154</v>
      </c>
      <c r="I723" s="44" t="s">
        <v>155</v>
      </c>
    </row>
    <row r="724" spans="1:9" ht="75" x14ac:dyDescent="0.25">
      <c r="A724" s="44" t="s">
        <v>148</v>
      </c>
      <c r="B724" s="6"/>
      <c r="C724" s="44" t="s">
        <v>1626</v>
      </c>
      <c r="D724" s="44" t="s">
        <v>1283</v>
      </c>
      <c r="E724" s="6">
        <v>4</v>
      </c>
      <c r="F724" s="6" t="s">
        <v>796</v>
      </c>
      <c r="G724" s="6" t="s">
        <v>820</v>
      </c>
      <c r="H724" s="44" t="s">
        <v>154</v>
      </c>
      <c r="I724" s="44" t="s">
        <v>155</v>
      </c>
    </row>
    <row r="725" spans="1:9" ht="30" x14ac:dyDescent="0.25">
      <c r="A725" s="44" t="s">
        <v>247</v>
      </c>
      <c r="B725" s="6"/>
      <c r="C725" s="44" t="s">
        <v>1626</v>
      </c>
      <c r="D725" s="44" t="s">
        <v>1628</v>
      </c>
      <c r="E725" s="6">
        <v>3</v>
      </c>
      <c r="F725" s="6" t="s">
        <v>923</v>
      </c>
      <c r="G725" s="6" t="s">
        <v>880</v>
      </c>
      <c r="H725" s="44" t="s">
        <v>250</v>
      </c>
      <c r="I725" s="44" t="s">
        <v>251</v>
      </c>
    </row>
    <row r="726" spans="1:9" ht="30" x14ac:dyDescent="0.25">
      <c r="A726" s="44" t="s">
        <v>247</v>
      </c>
      <c r="B726" s="6"/>
      <c r="C726" s="44" t="s">
        <v>1626</v>
      </c>
      <c r="D726" s="44" t="s">
        <v>1629</v>
      </c>
      <c r="E726" s="6">
        <v>3</v>
      </c>
      <c r="F726" s="6" t="s">
        <v>923</v>
      </c>
      <c r="G726" s="6" t="s">
        <v>880</v>
      </c>
      <c r="H726" s="44" t="s">
        <v>250</v>
      </c>
      <c r="I726" s="44" t="s">
        <v>251</v>
      </c>
    </row>
    <row r="727" spans="1:9" ht="45" x14ac:dyDescent="0.25">
      <c r="A727" s="44" t="s">
        <v>70</v>
      </c>
      <c r="B727" s="6">
        <v>1312003</v>
      </c>
      <c r="C727" s="44" t="s">
        <v>1630</v>
      </c>
      <c r="D727" s="44"/>
      <c r="E727" s="6">
        <v>10</v>
      </c>
      <c r="F727" s="6">
        <v>3</v>
      </c>
      <c r="G727" s="6">
        <v>30</v>
      </c>
      <c r="H727" s="44" t="s">
        <v>73</v>
      </c>
      <c r="I727" s="44" t="s">
        <v>74</v>
      </c>
    </row>
    <row r="728" spans="1:9" ht="45" x14ac:dyDescent="0.25">
      <c r="A728" s="44" t="s">
        <v>70</v>
      </c>
      <c r="B728" s="6">
        <v>1312003</v>
      </c>
      <c r="C728" s="44" t="s">
        <v>1630</v>
      </c>
      <c r="D728" s="44" t="s">
        <v>1631</v>
      </c>
      <c r="E728" s="6">
        <v>10</v>
      </c>
      <c r="F728" s="6">
        <v>3</v>
      </c>
      <c r="G728" s="6">
        <v>30</v>
      </c>
      <c r="H728" s="44" t="s">
        <v>73</v>
      </c>
      <c r="I728" s="44" t="s">
        <v>74</v>
      </c>
    </row>
    <row r="729" spans="1:9" ht="45" x14ac:dyDescent="0.25">
      <c r="A729" s="44" t="s">
        <v>136</v>
      </c>
      <c r="B729" s="6">
        <v>1312003</v>
      </c>
      <c r="C729" s="44" t="s">
        <v>1630</v>
      </c>
      <c r="D729" s="44" t="s">
        <v>1632</v>
      </c>
      <c r="E729" s="6">
        <v>20</v>
      </c>
      <c r="F729" s="6">
        <v>3</v>
      </c>
      <c r="G729" s="6">
        <v>60</v>
      </c>
      <c r="H729" s="44" t="s">
        <v>142</v>
      </c>
      <c r="I729" s="44" t="s">
        <v>143</v>
      </c>
    </row>
    <row r="730" spans="1:9" ht="45" x14ac:dyDescent="0.25">
      <c r="A730" s="44" t="s">
        <v>136</v>
      </c>
      <c r="B730" s="6">
        <v>1312003</v>
      </c>
      <c r="C730" s="44" t="s">
        <v>1630</v>
      </c>
      <c r="D730" s="44" t="s">
        <v>1633</v>
      </c>
      <c r="E730" s="6">
        <v>20</v>
      </c>
      <c r="F730" s="6">
        <v>3</v>
      </c>
      <c r="G730" s="6">
        <v>60</v>
      </c>
      <c r="H730" s="44" t="s">
        <v>142</v>
      </c>
      <c r="I730" s="44" t="s">
        <v>143</v>
      </c>
    </row>
    <row r="731" spans="1:9" ht="30" x14ac:dyDescent="0.25">
      <c r="A731" s="44" t="s">
        <v>247</v>
      </c>
      <c r="B731" s="6">
        <v>1312003</v>
      </c>
      <c r="C731" s="44" t="s">
        <v>1630</v>
      </c>
      <c r="D731" s="44" t="s">
        <v>1634</v>
      </c>
      <c r="E731" s="6">
        <v>1</v>
      </c>
      <c r="F731" s="6">
        <v>3</v>
      </c>
      <c r="G731" s="6">
        <v>3</v>
      </c>
      <c r="H731" s="44" t="s">
        <v>250</v>
      </c>
      <c r="I731" s="44" t="s">
        <v>251</v>
      </c>
    </row>
    <row r="732" spans="1:9" ht="45" x14ac:dyDescent="0.25">
      <c r="A732" s="44" t="s">
        <v>70</v>
      </c>
      <c r="B732" s="6">
        <v>1089001</v>
      </c>
      <c r="C732" s="44" t="s">
        <v>1635</v>
      </c>
      <c r="D732" s="44" t="s">
        <v>1636</v>
      </c>
      <c r="E732" s="6">
        <v>2</v>
      </c>
      <c r="F732" s="6" t="s">
        <v>726</v>
      </c>
      <c r="G732" s="6" t="s">
        <v>814</v>
      </c>
      <c r="H732" s="44" t="s">
        <v>73</v>
      </c>
      <c r="I732" s="44" t="s">
        <v>74</v>
      </c>
    </row>
    <row r="733" spans="1:9" ht="75" x14ac:dyDescent="0.25">
      <c r="A733" s="44" t="s">
        <v>166</v>
      </c>
      <c r="B733" s="6">
        <v>10270017</v>
      </c>
      <c r="C733" s="44" t="s">
        <v>1637</v>
      </c>
      <c r="D733" s="44" t="s">
        <v>1638</v>
      </c>
      <c r="E733" s="6">
        <v>200</v>
      </c>
      <c r="F733" s="6">
        <v>521</v>
      </c>
      <c r="G733" s="6">
        <v>104.2</v>
      </c>
      <c r="H733" s="44" t="s">
        <v>169</v>
      </c>
      <c r="I733" s="44" t="s">
        <v>170</v>
      </c>
    </row>
    <row r="734" spans="1:9" ht="45" x14ac:dyDescent="0.25">
      <c r="A734" s="44" t="s">
        <v>207</v>
      </c>
      <c r="B734" s="6">
        <v>10270017</v>
      </c>
      <c r="C734" s="44" t="s">
        <v>1637</v>
      </c>
      <c r="D734" s="44"/>
      <c r="E734" s="6">
        <v>12</v>
      </c>
      <c r="F734" s="6">
        <v>521</v>
      </c>
      <c r="G734" s="6">
        <v>6.2519999999999998</v>
      </c>
      <c r="H734" s="44" t="s">
        <v>208</v>
      </c>
      <c r="I734" s="44" t="s">
        <v>207</v>
      </c>
    </row>
    <row r="735" spans="1:9" ht="45" x14ac:dyDescent="0.25">
      <c r="A735" s="44" t="s">
        <v>207</v>
      </c>
      <c r="B735" s="6">
        <v>10270016</v>
      </c>
      <c r="C735" s="44" t="s">
        <v>1639</v>
      </c>
      <c r="D735" s="44"/>
      <c r="E735" s="6">
        <v>6</v>
      </c>
      <c r="F735" s="6">
        <v>521</v>
      </c>
      <c r="G735" s="6">
        <v>3.1259999999999999</v>
      </c>
      <c r="H735" s="44" t="s">
        <v>208</v>
      </c>
      <c r="I735" s="44" t="s">
        <v>207</v>
      </c>
    </row>
    <row r="736" spans="1:9" ht="45" x14ac:dyDescent="0.25">
      <c r="A736" s="44" t="s">
        <v>207</v>
      </c>
      <c r="B736" s="6">
        <v>10280002</v>
      </c>
      <c r="C736" s="44" t="s">
        <v>1640</v>
      </c>
      <c r="D736" s="44"/>
      <c r="E736" s="6">
        <v>12</v>
      </c>
      <c r="F736" s="6">
        <v>381</v>
      </c>
      <c r="G736" s="6">
        <v>4.5720000000000001</v>
      </c>
      <c r="H736" s="44" t="s">
        <v>208</v>
      </c>
      <c r="I736" s="44" t="s">
        <v>207</v>
      </c>
    </row>
    <row r="737" spans="1:9" ht="75" x14ac:dyDescent="0.25">
      <c r="A737" s="44" t="s">
        <v>148</v>
      </c>
      <c r="B737" s="6">
        <v>261700004</v>
      </c>
      <c r="C737" s="44" t="s">
        <v>1641</v>
      </c>
      <c r="D737" s="44" t="s">
        <v>1642</v>
      </c>
      <c r="E737" s="6">
        <v>3</v>
      </c>
      <c r="F737" s="6">
        <v>500</v>
      </c>
      <c r="G737" s="6" t="s">
        <v>800</v>
      </c>
      <c r="H737" s="44" t="s">
        <v>154</v>
      </c>
      <c r="I737" s="44" t="s">
        <v>155</v>
      </c>
    </row>
    <row r="738" spans="1:9" ht="60" x14ac:dyDescent="0.25">
      <c r="A738" s="44" t="s">
        <v>136</v>
      </c>
      <c r="B738" s="6">
        <v>2520006</v>
      </c>
      <c r="C738" s="44" t="s">
        <v>1643</v>
      </c>
      <c r="D738" s="44" t="s">
        <v>1644</v>
      </c>
      <c r="E738" s="6">
        <v>5</v>
      </c>
      <c r="F738" s="6">
        <v>350</v>
      </c>
      <c r="G738" s="6" t="s">
        <v>1539</v>
      </c>
      <c r="H738" s="44" t="s">
        <v>142</v>
      </c>
      <c r="I738" s="44" t="s">
        <v>143</v>
      </c>
    </row>
    <row r="739" spans="1:9" ht="60" x14ac:dyDescent="0.25">
      <c r="A739" s="44" t="s">
        <v>136</v>
      </c>
      <c r="B739" s="6">
        <v>2520006</v>
      </c>
      <c r="C739" s="44" t="s">
        <v>1643</v>
      </c>
      <c r="D739" s="44" t="s">
        <v>1645</v>
      </c>
      <c r="E739" s="6">
        <v>1</v>
      </c>
      <c r="F739" s="6">
        <v>350</v>
      </c>
      <c r="G739" s="6">
        <v>350</v>
      </c>
      <c r="H739" s="44" t="s">
        <v>142</v>
      </c>
      <c r="I739" s="44" t="s">
        <v>143</v>
      </c>
    </row>
    <row r="740" spans="1:9" ht="105" x14ac:dyDescent="0.25">
      <c r="A740" s="44" t="s">
        <v>158</v>
      </c>
      <c r="B740" s="6">
        <v>2072001</v>
      </c>
      <c r="C740" s="44" t="s">
        <v>1646</v>
      </c>
      <c r="D740" s="44" t="s">
        <v>1647</v>
      </c>
      <c r="E740" s="6">
        <v>1</v>
      </c>
      <c r="F740" s="6" t="s">
        <v>1648</v>
      </c>
      <c r="G740" s="6" t="s">
        <v>1648</v>
      </c>
      <c r="H740" s="44" t="s">
        <v>164</v>
      </c>
      <c r="I740" s="44" t="s">
        <v>165</v>
      </c>
    </row>
    <row r="741" spans="1:9" ht="135" x14ac:dyDescent="0.25">
      <c r="A741" s="44" t="s">
        <v>1649</v>
      </c>
      <c r="B741" s="6">
        <v>2071999</v>
      </c>
      <c r="C741" s="44" t="s">
        <v>1650</v>
      </c>
      <c r="D741" s="44" t="s">
        <v>1651</v>
      </c>
      <c r="E741" s="6">
        <v>1</v>
      </c>
      <c r="F741" s="6">
        <v>185</v>
      </c>
      <c r="G741" s="6">
        <v>185</v>
      </c>
      <c r="H741" s="44" t="s">
        <v>1652</v>
      </c>
      <c r="I741" s="44" t="s">
        <v>1653</v>
      </c>
    </row>
    <row r="742" spans="1:9" ht="90" x14ac:dyDescent="0.25">
      <c r="A742" s="44" t="s">
        <v>1649</v>
      </c>
      <c r="B742" s="6">
        <v>2071999</v>
      </c>
      <c r="C742" s="44" t="s">
        <v>1650</v>
      </c>
      <c r="D742" s="44" t="s">
        <v>1654</v>
      </c>
      <c r="E742" s="6">
        <v>1</v>
      </c>
      <c r="F742" s="6">
        <v>146</v>
      </c>
      <c r="G742" s="6">
        <v>146</v>
      </c>
      <c r="H742" s="44" t="s">
        <v>1652</v>
      </c>
      <c r="I742" s="44" t="s">
        <v>1653</v>
      </c>
    </row>
    <row r="743" spans="1:9" ht="75" x14ac:dyDescent="0.25">
      <c r="A743" s="44" t="s">
        <v>1649</v>
      </c>
      <c r="B743" s="6">
        <v>2071999</v>
      </c>
      <c r="C743" s="44" t="s">
        <v>1650</v>
      </c>
      <c r="D743" s="44" t="s">
        <v>1655</v>
      </c>
      <c r="E743" s="6">
        <v>4</v>
      </c>
      <c r="F743" s="6">
        <v>170</v>
      </c>
      <c r="G743" s="6">
        <v>680</v>
      </c>
      <c r="H743" s="44" t="s">
        <v>1652</v>
      </c>
      <c r="I743" s="44" t="s">
        <v>1653</v>
      </c>
    </row>
    <row r="744" spans="1:9" ht="45" x14ac:dyDescent="0.25">
      <c r="A744" s="44" t="s">
        <v>1649</v>
      </c>
      <c r="B744" s="6">
        <v>2071999</v>
      </c>
      <c r="C744" s="44" t="s">
        <v>1650</v>
      </c>
      <c r="D744" s="44" t="s">
        <v>1656</v>
      </c>
      <c r="E744" s="6">
        <v>1</v>
      </c>
      <c r="F744" s="6" t="s">
        <v>814</v>
      </c>
      <c r="G744" s="6" t="s">
        <v>814</v>
      </c>
      <c r="H744" s="44" t="s">
        <v>1652</v>
      </c>
      <c r="I744" s="44" t="s">
        <v>1653</v>
      </c>
    </row>
    <row r="745" spans="1:9" ht="75" x14ac:dyDescent="0.25">
      <c r="A745" s="44" t="s">
        <v>1649</v>
      </c>
      <c r="B745" s="6">
        <v>2071999</v>
      </c>
      <c r="C745" s="44" t="s">
        <v>1650</v>
      </c>
      <c r="D745" s="44" t="s">
        <v>1657</v>
      </c>
      <c r="E745" s="6">
        <v>1</v>
      </c>
      <c r="F745" s="6">
        <v>145</v>
      </c>
      <c r="G745" s="6">
        <v>145</v>
      </c>
      <c r="H745" s="44" t="s">
        <v>1652</v>
      </c>
      <c r="I745" s="44" t="s">
        <v>1653</v>
      </c>
    </row>
    <row r="746" spans="1:9" ht="45" x14ac:dyDescent="0.25">
      <c r="A746" s="44" t="s">
        <v>1649</v>
      </c>
      <c r="B746" s="6">
        <v>2071999</v>
      </c>
      <c r="C746" s="44" t="s">
        <v>1650</v>
      </c>
      <c r="D746" s="44" t="s">
        <v>1658</v>
      </c>
      <c r="E746" s="6">
        <v>1</v>
      </c>
      <c r="F746" s="6" t="s">
        <v>814</v>
      </c>
      <c r="G746" s="6" t="s">
        <v>814</v>
      </c>
      <c r="H746" s="44" t="s">
        <v>1652</v>
      </c>
      <c r="I746" s="44" t="s">
        <v>1653</v>
      </c>
    </row>
    <row r="747" spans="1:9" ht="45" x14ac:dyDescent="0.25">
      <c r="A747" s="44" t="s">
        <v>1649</v>
      </c>
      <c r="B747" s="6">
        <v>2071999</v>
      </c>
      <c r="C747" s="44" t="s">
        <v>1650</v>
      </c>
      <c r="D747" s="44"/>
      <c r="E747" s="6">
        <v>50</v>
      </c>
      <c r="F747" s="6">
        <v>80</v>
      </c>
      <c r="G747" s="6" t="s">
        <v>845</v>
      </c>
      <c r="H747" s="44" t="s">
        <v>1652</v>
      </c>
      <c r="I747" s="44" t="s">
        <v>1653</v>
      </c>
    </row>
    <row r="748" spans="1:9" ht="45" x14ac:dyDescent="0.25">
      <c r="A748" s="44" t="s">
        <v>1649</v>
      </c>
      <c r="B748" s="6">
        <v>2071999</v>
      </c>
      <c r="C748" s="44" t="s">
        <v>1650</v>
      </c>
      <c r="D748" s="44"/>
      <c r="E748" s="6">
        <v>40</v>
      </c>
      <c r="F748" s="6">
        <v>50</v>
      </c>
      <c r="G748" s="6" t="s">
        <v>814</v>
      </c>
      <c r="H748" s="44" t="s">
        <v>1652</v>
      </c>
      <c r="I748" s="44" t="s">
        <v>1653</v>
      </c>
    </row>
    <row r="749" spans="1:9" ht="105" x14ac:dyDescent="0.25">
      <c r="A749" s="44" t="s">
        <v>1649</v>
      </c>
      <c r="B749" s="6">
        <v>2071999</v>
      </c>
      <c r="C749" s="44" t="s">
        <v>1650</v>
      </c>
      <c r="D749" s="44" t="s">
        <v>1659</v>
      </c>
      <c r="E749" s="6">
        <v>1</v>
      </c>
      <c r="F749" s="6">
        <v>140</v>
      </c>
      <c r="G749" s="6">
        <v>140</v>
      </c>
      <c r="H749" s="44" t="s">
        <v>1652</v>
      </c>
      <c r="I749" s="44" t="s">
        <v>1653</v>
      </c>
    </row>
    <row r="750" spans="1:9" ht="60" x14ac:dyDescent="0.25">
      <c r="A750" s="44" t="s">
        <v>1649</v>
      </c>
      <c r="B750" s="6">
        <v>2071999</v>
      </c>
      <c r="C750" s="44" t="s">
        <v>1650</v>
      </c>
      <c r="D750" s="44" t="s">
        <v>1660</v>
      </c>
      <c r="E750" s="6">
        <v>1</v>
      </c>
      <c r="F750" s="6">
        <v>250</v>
      </c>
      <c r="G750" s="6">
        <v>250</v>
      </c>
      <c r="H750" s="44" t="s">
        <v>1652</v>
      </c>
      <c r="I750" s="44" t="s">
        <v>1653</v>
      </c>
    </row>
    <row r="751" spans="1:9" ht="45" x14ac:dyDescent="0.25">
      <c r="A751" s="44" t="s">
        <v>1649</v>
      </c>
      <c r="B751" s="6">
        <v>2071999</v>
      </c>
      <c r="C751" s="44" t="s">
        <v>1650</v>
      </c>
      <c r="D751" s="44" t="s">
        <v>1661</v>
      </c>
      <c r="E751" s="6">
        <v>1</v>
      </c>
      <c r="F751" s="6" t="s">
        <v>814</v>
      </c>
      <c r="G751" s="6" t="s">
        <v>814</v>
      </c>
      <c r="H751" s="44" t="s">
        <v>1652</v>
      </c>
      <c r="I751" s="44" t="s">
        <v>1653</v>
      </c>
    </row>
    <row r="752" spans="1:9" ht="45" x14ac:dyDescent="0.25">
      <c r="A752" s="44" t="s">
        <v>1649</v>
      </c>
      <c r="B752" s="6">
        <v>2071999</v>
      </c>
      <c r="C752" s="44" t="s">
        <v>1650</v>
      </c>
      <c r="D752" s="44" t="s">
        <v>1662</v>
      </c>
      <c r="E752" s="6">
        <v>1</v>
      </c>
      <c r="F752" s="6" t="s">
        <v>814</v>
      </c>
      <c r="G752" s="6" t="s">
        <v>814</v>
      </c>
      <c r="H752" s="44" t="s">
        <v>1652</v>
      </c>
      <c r="I752" s="44" t="s">
        <v>1653</v>
      </c>
    </row>
    <row r="753" spans="1:9" ht="45" x14ac:dyDescent="0.25">
      <c r="A753" s="44" t="s">
        <v>296</v>
      </c>
      <c r="B753" s="6">
        <v>2071999</v>
      </c>
      <c r="C753" s="44" t="s">
        <v>1650</v>
      </c>
      <c r="D753" s="44" t="s">
        <v>1663</v>
      </c>
      <c r="E753" s="6">
        <v>50</v>
      </c>
      <c r="F753" s="6">
        <v>50</v>
      </c>
      <c r="G753" s="6" t="s">
        <v>742</v>
      </c>
      <c r="H753" s="44" t="s">
        <v>299</v>
      </c>
      <c r="I753" s="44" t="s">
        <v>300</v>
      </c>
    </row>
    <row r="754" spans="1:9" ht="45" x14ac:dyDescent="0.25">
      <c r="A754" s="44" t="s">
        <v>281</v>
      </c>
      <c r="B754" s="6">
        <v>113800229</v>
      </c>
      <c r="C754" s="44" t="s">
        <v>1664</v>
      </c>
      <c r="D754" s="44" t="s">
        <v>1665</v>
      </c>
      <c r="E754" s="6">
        <v>3</v>
      </c>
      <c r="F754" s="6">
        <v>10.471</v>
      </c>
      <c r="G754" s="6">
        <v>31.413</v>
      </c>
      <c r="H754" s="44" t="s">
        <v>284</v>
      </c>
      <c r="I754" s="44" t="s">
        <v>285</v>
      </c>
    </row>
    <row r="755" spans="1:9" ht="45" x14ac:dyDescent="0.25">
      <c r="A755" s="44" t="s">
        <v>305</v>
      </c>
      <c r="B755" s="6">
        <v>2150001</v>
      </c>
      <c r="C755" s="44" t="s">
        <v>1666</v>
      </c>
      <c r="D755" s="44" t="s">
        <v>1667</v>
      </c>
      <c r="E755" s="6">
        <v>6</v>
      </c>
      <c r="F755" s="6">
        <v>140</v>
      </c>
      <c r="G755" s="6">
        <v>840</v>
      </c>
      <c r="H755" s="44" t="s">
        <v>308</v>
      </c>
      <c r="I755" s="44" t="s">
        <v>309</v>
      </c>
    </row>
    <row r="756" spans="1:9" ht="45" x14ac:dyDescent="0.25">
      <c r="A756" s="44" t="s">
        <v>305</v>
      </c>
      <c r="B756" s="6">
        <v>2150001</v>
      </c>
      <c r="C756" s="44" t="s">
        <v>1666</v>
      </c>
      <c r="D756" s="44" t="s">
        <v>1668</v>
      </c>
      <c r="E756" s="6">
        <v>4</v>
      </c>
      <c r="F756" s="6">
        <v>70</v>
      </c>
      <c r="G756" s="6">
        <v>280</v>
      </c>
      <c r="H756" s="44" t="s">
        <v>308</v>
      </c>
      <c r="I756" s="44" t="s">
        <v>309</v>
      </c>
    </row>
    <row r="757" spans="1:9" ht="45" x14ac:dyDescent="0.25">
      <c r="A757" s="44" t="s">
        <v>305</v>
      </c>
      <c r="B757" s="6">
        <v>2150001</v>
      </c>
      <c r="C757" s="44" t="s">
        <v>1666</v>
      </c>
      <c r="D757" s="44" t="s">
        <v>1669</v>
      </c>
      <c r="E757" s="6">
        <v>6</v>
      </c>
      <c r="F757" s="6">
        <v>90</v>
      </c>
      <c r="G757" s="6">
        <v>540</v>
      </c>
      <c r="H757" s="44" t="s">
        <v>308</v>
      </c>
      <c r="I757" s="44" t="s">
        <v>309</v>
      </c>
    </row>
    <row r="758" spans="1:9" ht="60" x14ac:dyDescent="0.25">
      <c r="A758" s="44" t="s">
        <v>305</v>
      </c>
      <c r="B758" s="6">
        <v>2150001</v>
      </c>
      <c r="C758" s="44" t="s">
        <v>1666</v>
      </c>
      <c r="D758" s="44" t="s">
        <v>1670</v>
      </c>
      <c r="E758" s="6">
        <v>6</v>
      </c>
      <c r="F758" s="6">
        <v>50</v>
      </c>
      <c r="G758" s="6">
        <v>300</v>
      </c>
      <c r="H758" s="44" t="s">
        <v>308</v>
      </c>
      <c r="I758" s="44" t="s">
        <v>309</v>
      </c>
    </row>
    <row r="759" spans="1:9" ht="45" x14ac:dyDescent="0.25">
      <c r="A759" s="44" t="s">
        <v>305</v>
      </c>
      <c r="B759" s="6">
        <v>2150001</v>
      </c>
      <c r="C759" s="44" t="s">
        <v>1666</v>
      </c>
      <c r="D759" s="44" t="s">
        <v>1671</v>
      </c>
      <c r="E759" s="6">
        <v>6</v>
      </c>
      <c r="F759" s="6">
        <v>60</v>
      </c>
      <c r="G759" s="6">
        <v>360</v>
      </c>
      <c r="H759" s="44" t="s">
        <v>308</v>
      </c>
      <c r="I759" s="44" t="s">
        <v>309</v>
      </c>
    </row>
    <row r="760" spans="1:9" ht="45" x14ac:dyDescent="0.25">
      <c r="A760" s="44" t="s">
        <v>305</v>
      </c>
      <c r="B760" s="6">
        <v>2150001</v>
      </c>
      <c r="C760" s="44" t="s">
        <v>1666</v>
      </c>
      <c r="D760" s="44" t="s">
        <v>1672</v>
      </c>
      <c r="E760" s="6">
        <v>2</v>
      </c>
      <c r="F760" s="6">
        <v>100</v>
      </c>
      <c r="G760" s="6">
        <v>200</v>
      </c>
      <c r="H760" s="44" t="s">
        <v>308</v>
      </c>
      <c r="I760" s="44" t="s">
        <v>309</v>
      </c>
    </row>
    <row r="761" spans="1:9" ht="45" x14ac:dyDescent="0.25">
      <c r="A761" s="44" t="s">
        <v>305</v>
      </c>
      <c r="B761" s="6">
        <v>2150001</v>
      </c>
      <c r="C761" s="44" t="s">
        <v>1666</v>
      </c>
      <c r="D761" s="44" t="s">
        <v>1673</v>
      </c>
      <c r="E761" s="6">
        <v>4</v>
      </c>
      <c r="F761" s="6">
        <v>70</v>
      </c>
      <c r="G761" s="6">
        <v>280</v>
      </c>
      <c r="H761" s="44" t="s">
        <v>308</v>
      </c>
      <c r="I761" s="44" t="s">
        <v>309</v>
      </c>
    </row>
    <row r="762" spans="1:9" ht="60" x14ac:dyDescent="0.25">
      <c r="A762" s="44" t="s">
        <v>305</v>
      </c>
      <c r="B762" s="6">
        <v>2150001</v>
      </c>
      <c r="C762" s="44" t="s">
        <v>1666</v>
      </c>
      <c r="D762" s="44" t="s">
        <v>1674</v>
      </c>
      <c r="E762" s="6">
        <v>2</v>
      </c>
      <c r="F762" s="6">
        <v>100</v>
      </c>
      <c r="G762" s="6">
        <v>200</v>
      </c>
      <c r="H762" s="44" t="s">
        <v>308</v>
      </c>
      <c r="I762" s="44" t="s">
        <v>309</v>
      </c>
    </row>
    <row r="763" spans="1:9" ht="45" x14ac:dyDescent="0.25">
      <c r="A763" s="44" t="s">
        <v>305</v>
      </c>
      <c r="B763" s="6">
        <v>2150001</v>
      </c>
      <c r="C763" s="44" t="s">
        <v>1666</v>
      </c>
      <c r="D763" s="44" t="s">
        <v>1675</v>
      </c>
      <c r="E763" s="6">
        <v>6</v>
      </c>
      <c r="F763" s="6">
        <v>100</v>
      </c>
      <c r="G763" s="6">
        <v>600</v>
      </c>
      <c r="H763" s="44" t="s">
        <v>308</v>
      </c>
      <c r="I763" s="44" t="s">
        <v>309</v>
      </c>
    </row>
    <row r="764" spans="1:9" ht="60" x14ac:dyDescent="0.25">
      <c r="A764" s="44" t="s">
        <v>305</v>
      </c>
      <c r="B764" s="6">
        <v>2150001</v>
      </c>
      <c r="C764" s="44" t="s">
        <v>1666</v>
      </c>
      <c r="D764" s="44" t="s">
        <v>1676</v>
      </c>
      <c r="E764" s="6">
        <v>2</v>
      </c>
      <c r="F764" s="6">
        <v>80</v>
      </c>
      <c r="G764" s="6">
        <v>160</v>
      </c>
      <c r="H764" s="44" t="s">
        <v>308</v>
      </c>
      <c r="I764" s="44" t="s">
        <v>309</v>
      </c>
    </row>
    <row r="765" spans="1:9" ht="45" x14ac:dyDescent="0.25">
      <c r="A765" s="44" t="s">
        <v>305</v>
      </c>
      <c r="B765" s="6">
        <v>2150001</v>
      </c>
      <c r="C765" s="44" t="s">
        <v>1666</v>
      </c>
      <c r="D765" s="44" t="s">
        <v>1677</v>
      </c>
      <c r="E765" s="6">
        <v>4</v>
      </c>
      <c r="F765" s="6">
        <v>80</v>
      </c>
      <c r="G765" s="6">
        <v>320</v>
      </c>
      <c r="H765" s="44" t="s">
        <v>308</v>
      </c>
      <c r="I765" s="44" t="s">
        <v>309</v>
      </c>
    </row>
    <row r="766" spans="1:9" ht="45" x14ac:dyDescent="0.25">
      <c r="A766" s="44" t="s">
        <v>305</v>
      </c>
      <c r="B766" s="6">
        <v>2150001</v>
      </c>
      <c r="C766" s="44" t="s">
        <v>1666</v>
      </c>
      <c r="D766" s="44" t="s">
        <v>1678</v>
      </c>
      <c r="E766" s="6">
        <v>4</v>
      </c>
      <c r="F766" s="6">
        <v>80</v>
      </c>
      <c r="G766" s="6">
        <v>320</v>
      </c>
      <c r="H766" s="44" t="s">
        <v>308</v>
      </c>
      <c r="I766" s="44" t="s">
        <v>309</v>
      </c>
    </row>
    <row r="767" spans="1:9" ht="60" x14ac:dyDescent="0.25">
      <c r="A767" s="44" t="s">
        <v>305</v>
      </c>
      <c r="B767" s="6">
        <v>2150001</v>
      </c>
      <c r="C767" s="44" t="s">
        <v>1666</v>
      </c>
      <c r="D767" s="44" t="s">
        <v>1679</v>
      </c>
      <c r="E767" s="6">
        <v>4</v>
      </c>
      <c r="F767" s="6">
        <v>60</v>
      </c>
      <c r="G767" s="6">
        <v>240</v>
      </c>
      <c r="H767" s="44" t="s">
        <v>308</v>
      </c>
      <c r="I767" s="44" t="s">
        <v>309</v>
      </c>
    </row>
    <row r="768" spans="1:9" ht="75" x14ac:dyDescent="0.25">
      <c r="A768" s="44" t="s">
        <v>305</v>
      </c>
      <c r="B768" s="6">
        <v>2150001</v>
      </c>
      <c r="C768" s="44" t="s">
        <v>1666</v>
      </c>
      <c r="D768" s="44" t="s">
        <v>1680</v>
      </c>
      <c r="E768" s="6">
        <v>8</v>
      </c>
      <c r="F768" s="6">
        <v>40</v>
      </c>
      <c r="G768" s="6">
        <v>320</v>
      </c>
      <c r="H768" s="44" t="s">
        <v>308</v>
      </c>
      <c r="I768" s="44" t="s">
        <v>309</v>
      </c>
    </row>
    <row r="769" spans="1:9" ht="45" x14ac:dyDescent="0.25">
      <c r="A769" s="44" t="s">
        <v>305</v>
      </c>
      <c r="B769" s="6">
        <v>2150001</v>
      </c>
      <c r="C769" s="44" t="s">
        <v>1666</v>
      </c>
      <c r="D769" s="44" t="s">
        <v>1681</v>
      </c>
      <c r="E769" s="6">
        <v>2</v>
      </c>
      <c r="F769" s="6">
        <v>100</v>
      </c>
      <c r="G769" s="6">
        <v>200</v>
      </c>
      <c r="H769" s="44" t="s">
        <v>308</v>
      </c>
      <c r="I769" s="44" t="s">
        <v>309</v>
      </c>
    </row>
    <row r="770" spans="1:9" ht="45" x14ac:dyDescent="0.25">
      <c r="A770" s="44" t="s">
        <v>305</v>
      </c>
      <c r="B770" s="6">
        <v>2150001</v>
      </c>
      <c r="C770" s="44" t="s">
        <v>1666</v>
      </c>
      <c r="D770" s="44" t="s">
        <v>1669</v>
      </c>
      <c r="E770" s="6">
        <v>6</v>
      </c>
      <c r="F770" s="6">
        <v>90</v>
      </c>
      <c r="G770" s="6">
        <v>540</v>
      </c>
      <c r="H770" s="44" t="s">
        <v>308</v>
      </c>
      <c r="I770" s="44" t="s">
        <v>309</v>
      </c>
    </row>
    <row r="771" spans="1:9" ht="45" x14ac:dyDescent="0.25">
      <c r="A771" s="44" t="s">
        <v>305</v>
      </c>
      <c r="B771" s="6">
        <v>2150001</v>
      </c>
      <c r="C771" s="44" t="s">
        <v>1666</v>
      </c>
      <c r="D771" s="44" t="s">
        <v>1682</v>
      </c>
      <c r="E771" s="6">
        <v>2</v>
      </c>
      <c r="F771" s="6">
        <v>200</v>
      </c>
      <c r="G771" s="6">
        <v>400</v>
      </c>
      <c r="H771" s="44" t="s">
        <v>308</v>
      </c>
      <c r="I771" s="44" t="s">
        <v>309</v>
      </c>
    </row>
    <row r="772" spans="1:9" ht="45" x14ac:dyDescent="0.25">
      <c r="A772" s="44" t="s">
        <v>305</v>
      </c>
      <c r="B772" s="6">
        <v>2150001</v>
      </c>
      <c r="C772" s="44" t="s">
        <v>1666</v>
      </c>
      <c r="D772" s="44" t="s">
        <v>1683</v>
      </c>
      <c r="E772" s="6">
        <v>6</v>
      </c>
      <c r="F772" s="6">
        <v>50</v>
      </c>
      <c r="G772" s="6">
        <v>300</v>
      </c>
      <c r="H772" s="44" t="s">
        <v>308</v>
      </c>
      <c r="I772" s="44" t="s">
        <v>309</v>
      </c>
    </row>
    <row r="773" spans="1:9" ht="60" x14ac:dyDescent="0.25">
      <c r="A773" s="44" t="s">
        <v>305</v>
      </c>
      <c r="B773" s="6">
        <v>2150001</v>
      </c>
      <c r="C773" s="44" t="s">
        <v>1666</v>
      </c>
      <c r="D773" s="44" t="s">
        <v>1684</v>
      </c>
      <c r="E773" s="6">
        <v>2</v>
      </c>
      <c r="F773" s="6">
        <v>150</v>
      </c>
      <c r="G773" s="6">
        <v>300</v>
      </c>
      <c r="H773" s="44" t="s">
        <v>308</v>
      </c>
      <c r="I773" s="44" t="s">
        <v>309</v>
      </c>
    </row>
    <row r="774" spans="1:9" ht="45" x14ac:dyDescent="0.25">
      <c r="A774" s="44" t="s">
        <v>305</v>
      </c>
      <c r="B774" s="6">
        <v>2150001</v>
      </c>
      <c r="C774" s="44" t="s">
        <v>1666</v>
      </c>
      <c r="D774" s="44" t="s">
        <v>1685</v>
      </c>
      <c r="E774" s="6">
        <v>6</v>
      </c>
      <c r="F774" s="6">
        <v>50</v>
      </c>
      <c r="G774" s="6">
        <v>300</v>
      </c>
      <c r="H774" s="44" t="s">
        <v>308</v>
      </c>
      <c r="I774" s="44" t="s">
        <v>309</v>
      </c>
    </row>
    <row r="775" spans="1:9" ht="45" x14ac:dyDescent="0.25">
      <c r="A775" s="44" t="s">
        <v>305</v>
      </c>
      <c r="B775" s="6">
        <v>2150001</v>
      </c>
      <c r="C775" s="44" t="s">
        <v>1666</v>
      </c>
      <c r="D775" s="44" t="s">
        <v>1686</v>
      </c>
      <c r="E775" s="6">
        <v>4</v>
      </c>
      <c r="F775" s="6">
        <v>80</v>
      </c>
      <c r="G775" s="6">
        <v>320</v>
      </c>
      <c r="H775" s="44" t="s">
        <v>308</v>
      </c>
      <c r="I775" s="44" t="s">
        <v>309</v>
      </c>
    </row>
    <row r="776" spans="1:9" ht="45" x14ac:dyDescent="0.25">
      <c r="A776" s="44" t="s">
        <v>305</v>
      </c>
      <c r="B776" s="6">
        <v>2150001</v>
      </c>
      <c r="C776" s="44" t="s">
        <v>1666</v>
      </c>
      <c r="D776" s="44" t="s">
        <v>1687</v>
      </c>
      <c r="E776" s="6">
        <v>6</v>
      </c>
      <c r="F776" s="6">
        <v>100</v>
      </c>
      <c r="G776" s="6">
        <v>600</v>
      </c>
      <c r="H776" s="44" t="s">
        <v>308</v>
      </c>
      <c r="I776" s="44" t="s">
        <v>309</v>
      </c>
    </row>
    <row r="777" spans="1:9" ht="45" x14ac:dyDescent="0.25">
      <c r="A777" s="44" t="s">
        <v>305</v>
      </c>
      <c r="B777" s="6">
        <v>2150001</v>
      </c>
      <c r="C777" s="44" t="s">
        <v>1666</v>
      </c>
      <c r="D777" s="44" t="s">
        <v>1688</v>
      </c>
      <c r="E777" s="6">
        <v>4</v>
      </c>
      <c r="F777" s="6">
        <v>80</v>
      </c>
      <c r="G777" s="6">
        <v>320</v>
      </c>
      <c r="H777" s="44" t="s">
        <v>308</v>
      </c>
      <c r="I777" s="44" t="s">
        <v>309</v>
      </c>
    </row>
    <row r="778" spans="1:9" ht="45" x14ac:dyDescent="0.25">
      <c r="A778" s="44" t="s">
        <v>305</v>
      </c>
      <c r="B778" s="6">
        <v>2150001</v>
      </c>
      <c r="C778" s="44" t="s">
        <v>1666</v>
      </c>
      <c r="D778" s="44" t="s">
        <v>1689</v>
      </c>
      <c r="E778" s="6">
        <v>6</v>
      </c>
      <c r="F778" s="6">
        <v>60</v>
      </c>
      <c r="G778" s="6">
        <v>360</v>
      </c>
      <c r="H778" s="44" t="s">
        <v>308</v>
      </c>
      <c r="I778" s="44" t="s">
        <v>309</v>
      </c>
    </row>
    <row r="779" spans="1:9" ht="60" x14ac:dyDescent="0.25">
      <c r="A779" s="44" t="s">
        <v>305</v>
      </c>
      <c r="B779" s="6">
        <v>2150001</v>
      </c>
      <c r="C779" s="44" t="s">
        <v>1666</v>
      </c>
      <c r="D779" s="44" t="s">
        <v>1690</v>
      </c>
      <c r="E779" s="6">
        <v>5</v>
      </c>
      <c r="F779" s="6">
        <v>100</v>
      </c>
      <c r="G779" s="6">
        <v>500</v>
      </c>
      <c r="H779" s="44" t="s">
        <v>308</v>
      </c>
      <c r="I779" s="44" t="s">
        <v>309</v>
      </c>
    </row>
    <row r="780" spans="1:9" ht="75" x14ac:dyDescent="0.25">
      <c r="A780" s="44" t="s">
        <v>1649</v>
      </c>
      <c r="B780" s="6">
        <v>2074001</v>
      </c>
      <c r="C780" s="44" t="s">
        <v>1691</v>
      </c>
      <c r="D780" s="44" t="s">
        <v>1692</v>
      </c>
      <c r="E780" s="6">
        <v>30</v>
      </c>
      <c r="F780" s="6" t="s">
        <v>726</v>
      </c>
      <c r="G780" s="6" t="s">
        <v>999</v>
      </c>
      <c r="H780" s="44" t="s">
        <v>1652</v>
      </c>
      <c r="I780" s="44" t="s">
        <v>1653</v>
      </c>
    </row>
    <row r="781" spans="1:9" ht="75" x14ac:dyDescent="0.25">
      <c r="A781" s="44" t="s">
        <v>1649</v>
      </c>
      <c r="B781" s="6">
        <v>2074001</v>
      </c>
      <c r="C781" s="44" t="s">
        <v>1691</v>
      </c>
      <c r="D781" s="44" t="s">
        <v>1693</v>
      </c>
      <c r="E781" s="6">
        <v>100</v>
      </c>
      <c r="F781" s="6">
        <v>200</v>
      </c>
      <c r="G781" s="6" t="s">
        <v>883</v>
      </c>
      <c r="H781" s="44" t="s">
        <v>1652</v>
      </c>
      <c r="I781" s="44" t="s">
        <v>1653</v>
      </c>
    </row>
    <row r="782" spans="1:9" ht="75" x14ac:dyDescent="0.25">
      <c r="A782" s="44" t="s">
        <v>1649</v>
      </c>
      <c r="B782" s="6">
        <v>2070001</v>
      </c>
      <c r="C782" s="44" t="s">
        <v>1694</v>
      </c>
      <c r="D782" s="44" t="s">
        <v>1695</v>
      </c>
      <c r="E782" s="6">
        <v>20</v>
      </c>
      <c r="F782" s="6" t="s">
        <v>726</v>
      </c>
      <c r="G782" s="6" t="s">
        <v>883</v>
      </c>
      <c r="H782" s="44" t="s">
        <v>1652</v>
      </c>
      <c r="I782" s="44" t="s">
        <v>1653</v>
      </c>
    </row>
    <row r="783" spans="1:9" ht="75" x14ac:dyDescent="0.25">
      <c r="A783" s="44" t="s">
        <v>166</v>
      </c>
      <c r="B783" s="6">
        <v>2070001</v>
      </c>
      <c r="C783" s="44" t="s">
        <v>1694</v>
      </c>
      <c r="D783" s="44" t="s">
        <v>1696</v>
      </c>
      <c r="E783" s="6">
        <v>400</v>
      </c>
      <c r="F783" s="6">
        <v>100</v>
      </c>
      <c r="G783" s="6" t="s">
        <v>681</v>
      </c>
      <c r="H783" s="44" t="s">
        <v>172</v>
      </c>
      <c r="I783" s="44" t="s">
        <v>173</v>
      </c>
    </row>
    <row r="784" spans="1:9" ht="45" x14ac:dyDescent="0.25">
      <c r="A784" s="44" t="s">
        <v>1649</v>
      </c>
      <c r="B784" s="6">
        <v>2069001</v>
      </c>
      <c r="C784" s="44" t="s">
        <v>1697</v>
      </c>
      <c r="D784" s="44" t="s">
        <v>1698</v>
      </c>
      <c r="E784" s="6">
        <v>1</v>
      </c>
      <c r="F784" s="6" t="s">
        <v>726</v>
      </c>
      <c r="G784" s="6" t="s">
        <v>726</v>
      </c>
      <c r="H784" s="44" t="s">
        <v>1652</v>
      </c>
      <c r="I784" s="44" t="s">
        <v>1653</v>
      </c>
    </row>
    <row r="785" spans="1:9" ht="45" x14ac:dyDescent="0.25">
      <c r="A785" s="44" t="s">
        <v>1649</v>
      </c>
      <c r="B785" s="6">
        <v>2069001</v>
      </c>
      <c r="C785" s="44" t="s">
        <v>1697</v>
      </c>
      <c r="D785" s="44" t="s">
        <v>1699</v>
      </c>
      <c r="E785" s="6">
        <v>3</v>
      </c>
      <c r="F785" s="6">
        <v>80</v>
      </c>
      <c r="G785" s="6">
        <v>240</v>
      </c>
      <c r="H785" s="44" t="s">
        <v>1652</v>
      </c>
      <c r="I785" s="44" t="s">
        <v>1653</v>
      </c>
    </row>
    <row r="786" spans="1:9" ht="60" x14ac:dyDescent="0.25">
      <c r="A786" s="44" t="s">
        <v>1649</v>
      </c>
      <c r="B786" s="6">
        <v>2069001</v>
      </c>
      <c r="C786" s="44" t="s">
        <v>1697</v>
      </c>
      <c r="D786" s="44" t="s">
        <v>1700</v>
      </c>
      <c r="E786" s="6">
        <v>3</v>
      </c>
      <c r="F786" s="6">
        <v>350</v>
      </c>
      <c r="G786" s="6" t="s">
        <v>1567</v>
      </c>
      <c r="H786" s="44" t="s">
        <v>1652</v>
      </c>
      <c r="I786" s="44" t="s">
        <v>1653</v>
      </c>
    </row>
    <row r="787" spans="1:9" ht="60" x14ac:dyDescent="0.25">
      <c r="A787" s="44" t="s">
        <v>1649</v>
      </c>
      <c r="B787" s="6">
        <v>2069001</v>
      </c>
      <c r="C787" s="44" t="s">
        <v>1697</v>
      </c>
      <c r="D787" s="44" t="s">
        <v>1701</v>
      </c>
      <c r="E787" s="6">
        <v>3</v>
      </c>
      <c r="F787" s="6">
        <v>250</v>
      </c>
      <c r="G787" s="6">
        <v>750</v>
      </c>
      <c r="H787" s="44" t="s">
        <v>1652</v>
      </c>
      <c r="I787" s="44" t="s">
        <v>1653</v>
      </c>
    </row>
    <row r="788" spans="1:9" ht="60" x14ac:dyDescent="0.25">
      <c r="A788" s="44" t="s">
        <v>1649</v>
      </c>
      <c r="B788" s="6">
        <v>2069001</v>
      </c>
      <c r="C788" s="44" t="s">
        <v>1697</v>
      </c>
      <c r="D788" s="44" t="s">
        <v>1702</v>
      </c>
      <c r="E788" s="6">
        <v>3</v>
      </c>
      <c r="F788" s="6">
        <v>80</v>
      </c>
      <c r="G788" s="6">
        <v>240</v>
      </c>
      <c r="H788" s="44" t="s">
        <v>1652</v>
      </c>
      <c r="I788" s="44" t="s">
        <v>1653</v>
      </c>
    </row>
    <row r="789" spans="1:9" ht="60" x14ac:dyDescent="0.25">
      <c r="A789" s="44" t="s">
        <v>1649</v>
      </c>
      <c r="B789" s="6">
        <v>2069001</v>
      </c>
      <c r="C789" s="44" t="s">
        <v>1697</v>
      </c>
      <c r="D789" s="44" t="s">
        <v>1703</v>
      </c>
      <c r="E789" s="6">
        <v>1</v>
      </c>
      <c r="F789" s="6" t="s">
        <v>726</v>
      </c>
      <c r="G789" s="6" t="s">
        <v>726</v>
      </c>
      <c r="H789" s="44" t="s">
        <v>1652</v>
      </c>
      <c r="I789" s="44" t="s">
        <v>1653</v>
      </c>
    </row>
    <row r="790" spans="1:9" ht="60" x14ac:dyDescent="0.25">
      <c r="A790" s="44" t="s">
        <v>1649</v>
      </c>
      <c r="B790" s="6">
        <v>2069001</v>
      </c>
      <c r="C790" s="44" t="s">
        <v>1697</v>
      </c>
      <c r="D790" s="44" t="s">
        <v>1704</v>
      </c>
      <c r="E790" s="6">
        <v>3</v>
      </c>
      <c r="F790" s="6">
        <v>300</v>
      </c>
      <c r="G790" s="6">
        <v>900</v>
      </c>
      <c r="H790" s="44" t="s">
        <v>1652</v>
      </c>
      <c r="I790" s="44" t="s">
        <v>1653</v>
      </c>
    </row>
    <row r="791" spans="1:9" ht="60" x14ac:dyDescent="0.25">
      <c r="A791" s="44" t="s">
        <v>1649</v>
      </c>
      <c r="B791" s="6">
        <v>2069001</v>
      </c>
      <c r="C791" s="44" t="s">
        <v>1697</v>
      </c>
      <c r="D791" s="44" t="s">
        <v>1705</v>
      </c>
      <c r="E791" s="6">
        <v>1</v>
      </c>
      <c r="F791" s="6">
        <v>230</v>
      </c>
      <c r="G791" s="6">
        <v>230</v>
      </c>
      <c r="H791" s="44" t="s">
        <v>1652</v>
      </c>
      <c r="I791" s="44" t="s">
        <v>1653</v>
      </c>
    </row>
    <row r="792" spans="1:9" ht="45" x14ac:dyDescent="0.25">
      <c r="A792" s="44" t="s">
        <v>1649</v>
      </c>
      <c r="B792" s="6">
        <v>2069001</v>
      </c>
      <c r="C792" s="44" t="s">
        <v>1697</v>
      </c>
      <c r="D792" s="44" t="s">
        <v>1706</v>
      </c>
      <c r="E792" s="6">
        <v>3</v>
      </c>
      <c r="F792" s="6">
        <v>300</v>
      </c>
      <c r="G792" s="6">
        <v>900</v>
      </c>
      <c r="H792" s="44" t="s">
        <v>1652</v>
      </c>
      <c r="I792" s="44" t="s">
        <v>1653</v>
      </c>
    </row>
    <row r="793" spans="1:9" ht="45" x14ac:dyDescent="0.25">
      <c r="A793" s="44" t="s">
        <v>1649</v>
      </c>
      <c r="B793" s="6">
        <v>2069001</v>
      </c>
      <c r="C793" s="44" t="s">
        <v>1697</v>
      </c>
      <c r="D793" s="44" t="s">
        <v>1707</v>
      </c>
      <c r="E793" s="6">
        <v>3</v>
      </c>
      <c r="F793" s="6">
        <v>350</v>
      </c>
      <c r="G793" s="6" t="s">
        <v>1567</v>
      </c>
      <c r="H793" s="44" t="s">
        <v>1652</v>
      </c>
      <c r="I793" s="44" t="s">
        <v>1653</v>
      </c>
    </row>
    <row r="794" spans="1:9" ht="45" x14ac:dyDescent="0.25">
      <c r="A794" s="44" t="s">
        <v>1649</v>
      </c>
      <c r="B794" s="6">
        <v>2069001</v>
      </c>
      <c r="C794" s="44" t="s">
        <v>1697</v>
      </c>
      <c r="D794" s="44" t="s">
        <v>1708</v>
      </c>
      <c r="E794" s="6">
        <v>3</v>
      </c>
      <c r="F794" s="6">
        <v>400</v>
      </c>
      <c r="G794" s="6" t="s">
        <v>923</v>
      </c>
      <c r="H794" s="44" t="s">
        <v>1652</v>
      </c>
      <c r="I794" s="44" t="s">
        <v>1653</v>
      </c>
    </row>
    <row r="795" spans="1:9" ht="60" x14ac:dyDescent="0.25">
      <c r="A795" s="44" t="s">
        <v>1649</v>
      </c>
      <c r="B795" s="6">
        <v>2069001</v>
      </c>
      <c r="C795" s="44" t="s">
        <v>1697</v>
      </c>
      <c r="D795" s="44" t="s">
        <v>1709</v>
      </c>
      <c r="E795" s="6">
        <v>3</v>
      </c>
      <c r="F795" s="6">
        <v>200</v>
      </c>
      <c r="G795" s="6">
        <v>600</v>
      </c>
      <c r="H795" s="44" t="s">
        <v>1652</v>
      </c>
      <c r="I795" s="44" t="s">
        <v>1653</v>
      </c>
    </row>
    <row r="796" spans="1:9" ht="60" x14ac:dyDescent="0.25">
      <c r="A796" s="44" t="s">
        <v>1649</v>
      </c>
      <c r="B796" s="6">
        <v>2069001</v>
      </c>
      <c r="C796" s="44" t="s">
        <v>1697</v>
      </c>
      <c r="D796" s="44" t="s">
        <v>1710</v>
      </c>
      <c r="E796" s="6">
        <v>3</v>
      </c>
      <c r="F796" s="6">
        <v>300</v>
      </c>
      <c r="G796" s="6">
        <v>900</v>
      </c>
      <c r="H796" s="44" t="s">
        <v>1652</v>
      </c>
      <c r="I796" s="44" t="s">
        <v>1653</v>
      </c>
    </row>
    <row r="797" spans="1:9" ht="60" x14ac:dyDescent="0.25">
      <c r="A797" s="44" t="s">
        <v>1649</v>
      </c>
      <c r="B797" s="6">
        <v>2069001</v>
      </c>
      <c r="C797" s="44" t="s">
        <v>1697</v>
      </c>
      <c r="D797" s="44" t="s">
        <v>1711</v>
      </c>
      <c r="E797" s="6">
        <v>3</v>
      </c>
      <c r="F797" s="6">
        <v>200</v>
      </c>
      <c r="G797" s="6">
        <v>600</v>
      </c>
      <c r="H797" s="44" t="s">
        <v>1652</v>
      </c>
      <c r="I797" s="44" t="s">
        <v>1653</v>
      </c>
    </row>
    <row r="798" spans="1:9" ht="60" x14ac:dyDescent="0.25">
      <c r="A798" s="44" t="s">
        <v>1649</v>
      </c>
      <c r="B798" s="6">
        <v>2069001</v>
      </c>
      <c r="C798" s="44" t="s">
        <v>1697</v>
      </c>
      <c r="D798" s="44" t="s">
        <v>1712</v>
      </c>
      <c r="E798" s="6">
        <v>3</v>
      </c>
      <c r="F798" s="6">
        <v>250</v>
      </c>
      <c r="G798" s="6">
        <v>750</v>
      </c>
      <c r="H798" s="44" t="s">
        <v>1652</v>
      </c>
      <c r="I798" s="44" t="s">
        <v>1653</v>
      </c>
    </row>
    <row r="799" spans="1:9" ht="60" x14ac:dyDescent="0.25">
      <c r="A799" s="44" t="s">
        <v>1649</v>
      </c>
      <c r="B799" s="6">
        <v>2069001</v>
      </c>
      <c r="C799" s="44" t="s">
        <v>1697</v>
      </c>
      <c r="D799" s="44" t="s">
        <v>1713</v>
      </c>
      <c r="E799" s="6">
        <v>3</v>
      </c>
      <c r="F799" s="6">
        <v>200</v>
      </c>
      <c r="G799" s="6">
        <v>600</v>
      </c>
      <c r="H799" s="44" t="s">
        <v>1652</v>
      </c>
      <c r="I799" s="44" t="s">
        <v>1653</v>
      </c>
    </row>
    <row r="800" spans="1:9" ht="60" x14ac:dyDescent="0.25">
      <c r="A800" s="44" t="s">
        <v>1649</v>
      </c>
      <c r="B800" s="6">
        <v>2069001</v>
      </c>
      <c r="C800" s="44" t="s">
        <v>1697</v>
      </c>
      <c r="D800" s="44" t="s">
        <v>1714</v>
      </c>
      <c r="E800" s="6">
        <v>1</v>
      </c>
      <c r="F800" s="6">
        <v>300</v>
      </c>
      <c r="G800" s="6">
        <v>300</v>
      </c>
      <c r="H800" s="44" t="s">
        <v>1652</v>
      </c>
      <c r="I800" s="44" t="s">
        <v>1653</v>
      </c>
    </row>
    <row r="801" spans="1:9" ht="45" x14ac:dyDescent="0.25">
      <c r="A801" s="44" t="s">
        <v>1649</v>
      </c>
      <c r="B801" s="6">
        <v>2069001</v>
      </c>
      <c r="C801" s="44" t="s">
        <v>1697</v>
      </c>
      <c r="D801" s="44" t="s">
        <v>1715</v>
      </c>
      <c r="E801" s="6">
        <v>2</v>
      </c>
      <c r="F801" s="6">
        <v>80</v>
      </c>
      <c r="G801" s="6">
        <v>160</v>
      </c>
      <c r="H801" s="44" t="s">
        <v>1652</v>
      </c>
      <c r="I801" s="44" t="s">
        <v>1653</v>
      </c>
    </row>
    <row r="802" spans="1:9" ht="45" x14ac:dyDescent="0.25">
      <c r="A802" s="44" t="s">
        <v>1649</v>
      </c>
      <c r="B802" s="6">
        <v>2069001</v>
      </c>
      <c r="C802" s="44" t="s">
        <v>1697</v>
      </c>
      <c r="D802" s="44" t="s">
        <v>1716</v>
      </c>
      <c r="E802" s="6">
        <v>2</v>
      </c>
      <c r="F802" s="6">
        <v>70</v>
      </c>
      <c r="G802" s="6">
        <v>140</v>
      </c>
      <c r="H802" s="44" t="s">
        <v>1652</v>
      </c>
      <c r="I802" s="44" t="s">
        <v>1653</v>
      </c>
    </row>
    <row r="803" spans="1:9" ht="45" x14ac:dyDescent="0.25">
      <c r="A803" s="44" t="s">
        <v>1649</v>
      </c>
      <c r="B803" s="6">
        <v>2069001</v>
      </c>
      <c r="C803" s="44" t="s">
        <v>1697</v>
      </c>
      <c r="D803" s="44" t="s">
        <v>1717</v>
      </c>
      <c r="E803" s="6">
        <v>2</v>
      </c>
      <c r="F803" s="6">
        <v>120</v>
      </c>
      <c r="G803" s="6">
        <v>240</v>
      </c>
      <c r="H803" s="44" t="s">
        <v>1652</v>
      </c>
      <c r="I803" s="44" t="s">
        <v>1653</v>
      </c>
    </row>
    <row r="804" spans="1:9" ht="75" x14ac:dyDescent="0.25">
      <c r="A804" s="44" t="s">
        <v>1649</v>
      </c>
      <c r="B804" s="6">
        <v>2069001</v>
      </c>
      <c r="C804" s="44" t="s">
        <v>1697</v>
      </c>
      <c r="D804" s="44" t="s">
        <v>1718</v>
      </c>
      <c r="E804" s="6">
        <v>1</v>
      </c>
      <c r="F804" s="6">
        <v>260</v>
      </c>
      <c r="G804" s="6">
        <v>260</v>
      </c>
      <c r="H804" s="44" t="s">
        <v>1652</v>
      </c>
      <c r="I804" s="44" t="s">
        <v>1653</v>
      </c>
    </row>
    <row r="805" spans="1:9" ht="60" x14ac:dyDescent="0.25">
      <c r="A805" s="44" t="s">
        <v>1649</v>
      </c>
      <c r="B805" s="6">
        <v>2069001</v>
      </c>
      <c r="C805" s="44" t="s">
        <v>1697</v>
      </c>
      <c r="D805" s="44" t="s">
        <v>1719</v>
      </c>
      <c r="E805" s="6">
        <v>1</v>
      </c>
      <c r="F805" s="6" t="s">
        <v>726</v>
      </c>
      <c r="G805" s="6" t="s">
        <v>726</v>
      </c>
      <c r="H805" s="44" t="s">
        <v>1652</v>
      </c>
      <c r="I805" s="44" t="s">
        <v>1653</v>
      </c>
    </row>
    <row r="806" spans="1:9" ht="60" x14ac:dyDescent="0.25">
      <c r="A806" s="44" t="s">
        <v>1649</v>
      </c>
      <c r="B806" s="6">
        <v>2069001</v>
      </c>
      <c r="C806" s="44" t="s">
        <v>1697</v>
      </c>
      <c r="D806" s="44" t="s">
        <v>1720</v>
      </c>
      <c r="E806" s="6">
        <v>3</v>
      </c>
      <c r="F806" s="6">
        <v>200</v>
      </c>
      <c r="G806" s="6">
        <v>600</v>
      </c>
      <c r="H806" s="44" t="s">
        <v>1652</v>
      </c>
      <c r="I806" s="44" t="s">
        <v>1653</v>
      </c>
    </row>
    <row r="807" spans="1:9" ht="60" x14ac:dyDescent="0.25">
      <c r="A807" s="44" t="s">
        <v>1649</v>
      </c>
      <c r="B807" s="6">
        <v>2069001</v>
      </c>
      <c r="C807" s="44" t="s">
        <v>1697</v>
      </c>
      <c r="D807" s="44" t="s">
        <v>1721</v>
      </c>
      <c r="E807" s="6">
        <v>3</v>
      </c>
      <c r="F807" s="6">
        <v>300</v>
      </c>
      <c r="G807" s="6">
        <v>900</v>
      </c>
      <c r="H807" s="44" t="s">
        <v>1652</v>
      </c>
      <c r="I807" s="44" t="s">
        <v>1653</v>
      </c>
    </row>
    <row r="808" spans="1:9" ht="60" x14ac:dyDescent="0.25">
      <c r="A808" s="44" t="s">
        <v>1649</v>
      </c>
      <c r="B808" s="6">
        <v>2069001</v>
      </c>
      <c r="C808" s="44" t="s">
        <v>1697</v>
      </c>
      <c r="D808" s="44" t="s">
        <v>1722</v>
      </c>
      <c r="E808" s="6">
        <v>3</v>
      </c>
      <c r="F808" s="6">
        <v>200</v>
      </c>
      <c r="G808" s="6">
        <v>600</v>
      </c>
      <c r="H808" s="44" t="s">
        <v>1652</v>
      </c>
      <c r="I808" s="44" t="s">
        <v>1653</v>
      </c>
    </row>
    <row r="809" spans="1:9" ht="60" x14ac:dyDescent="0.25">
      <c r="A809" s="44" t="s">
        <v>1649</v>
      </c>
      <c r="B809" s="6">
        <v>2069001</v>
      </c>
      <c r="C809" s="44" t="s">
        <v>1697</v>
      </c>
      <c r="D809" s="44" t="s">
        <v>1723</v>
      </c>
      <c r="E809" s="6">
        <v>1</v>
      </c>
      <c r="F809" s="6">
        <v>200</v>
      </c>
      <c r="G809" s="6">
        <v>200</v>
      </c>
      <c r="H809" s="44" t="s">
        <v>1652</v>
      </c>
      <c r="I809" s="44" t="s">
        <v>1653</v>
      </c>
    </row>
    <row r="810" spans="1:9" ht="45" x14ac:dyDescent="0.25">
      <c r="A810" s="44" t="s">
        <v>1649</v>
      </c>
      <c r="B810" s="6">
        <v>2069001</v>
      </c>
      <c r="C810" s="44" t="s">
        <v>1697</v>
      </c>
      <c r="D810" s="44" t="s">
        <v>1724</v>
      </c>
      <c r="E810" s="6">
        <v>3</v>
      </c>
      <c r="F810" s="6">
        <v>230</v>
      </c>
      <c r="G810" s="6">
        <v>690</v>
      </c>
      <c r="H810" s="44" t="s">
        <v>1652</v>
      </c>
      <c r="I810" s="44" t="s">
        <v>1653</v>
      </c>
    </row>
    <row r="811" spans="1:9" ht="60" x14ac:dyDescent="0.25">
      <c r="A811" s="44" t="s">
        <v>1649</v>
      </c>
      <c r="B811" s="6">
        <v>2069001</v>
      </c>
      <c r="C811" s="44" t="s">
        <v>1697</v>
      </c>
      <c r="D811" s="44" t="s">
        <v>1725</v>
      </c>
      <c r="E811" s="6">
        <v>3</v>
      </c>
      <c r="F811" s="6">
        <v>200</v>
      </c>
      <c r="G811" s="6">
        <v>600</v>
      </c>
      <c r="H811" s="44" t="s">
        <v>1652</v>
      </c>
      <c r="I811" s="44" t="s">
        <v>1653</v>
      </c>
    </row>
    <row r="812" spans="1:9" ht="60" x14ac:dyDescent="0.25">
      <c r="A812" s="44" t="s">
        <v>1649</v>
      </c>
      <c r="B812" s="6">
        <v>2069001</v>
      </c>
      <c r="C812" s="44" t="s">
        <v>1697</v>
      </c>
      <c r="D812" s="44" t="s">
        <v>1726</v>
      </c>
      <c r="E812" s="6">
        <v>3</v>
      </c>
      <c r="F812" s="6">
        <v>400</v>
      </c>
      <c r="G812" s="6" t="s">
        <v>923</v>
      </c>
      <c r="H812" s="44" t="s">
        <v>1652</v>
      </c>
      <c r="I812" s="44" t="s">
        <v>1653</v>
      </c>
    </row>
    <row r="813" spans="1:9" ht="45" x14ac:dyDescent="0.25">
      <c r="A813" s="44" t="s">
        <v>1649</v>
      </c>
      <c r="B813" s="6">
        <v>2069001</v>
      </c>
      <c r="C813" s="44" t="s">
        <v>1697</v>
      </c>
      <c r="D813" s="44" t="s">
        <v>1727</v>
      </c>
      <c r="E813" s="6">
        <v>3</v>
      </c>
      <c r="F813" s="6">
        <v>160</v>
      </c>
      <c r="G813" s="6">
        <v>480</v>
      </c>
      <c r="H813" s="44" t="s">
        <v>1652</v>
      </c>
      <c r="I813" s="44" t="s">
        <v>1653</v>
      </c>
    </row>
    <row r="814" spans="1:9" ht="45" x14ac:dyDescent="0.25">
      <c r="A814" s="44" t="s">
        <v>1649</v>
      </c>
      <c r="B814" s="6">
        <v>2069001</v>
      </c>
      <c r="C814" s="44" t="s">
        <v>1697</v>
      </c>
      <c r="D814" s="44" t="s">
        <v>1728</v>
      </c>
      <c r="E814" s="6">
        <v>3</v>
      </c>
      <c r="F814" s="6">
        <v>400</v>
      </c>
      <c r="G814" s="6" t="s">
        <v>923</v>
      </c>
      <c r="H814" s="44" t="s">
        <v>1652</v>
      </c>
      <c r="I814" s="44" t="s">
        <v>1653</v>
      </c>
    </row>
    <row r="815" spans="1:9" ht="60" x14ac:dyDescent="0.25">
      <c r="A815" s="44" t="s">
        <v>1649</v>
      </c>
      <c r="B815" s="6">
        <v>2069001</v>
      </c>
      <c r="C815" s="44" t="s">
        <v>1697</v>
      </c>
      <c r="D815" s="44" t="s">
        <v>1729</v>
      </c>
      <c r="E815" s="6">
        <v>3</v>
      </c>
      <c r="F815" s="6">
        <v>150</v>
      </c>
      <c r="G815" s="6">
        <v>450</v>
      </c>
      <c r="H815" s="44" t="s">
        <v>1652</v>
      </c>
      <c r="I815" s="44" t="s">
        <v>1653</v>
      </c>
    </row>
    <row r="816" spans="1:9" ht="60" x14ac:dyDescent="0.25">
      <c r="A816" s="44" t="s">
        <v>1649</v>
      </c>
      <c r="B816" s="6">
        <v>2069001</v>
      </c>
      <c r="C816" s="44" t="s">
        <v>1697</v>
      </c>
      <c r="D816" s="44" t="s">
        <v>1730</v>
      </c>
      <c r="E816" s="6">
        <v>3</v>
      </c>
      <c r="F816" s="6">
        <v>200</v>
      </c>
      <c r="G816" s="6">
        <v>600</v>
      </c>
      <c r="H816" s="44" t="s">
        <v>1652</v>
      </c>
      <c r="I816" s="44" t="s">
        <v>1653</v>
      </c>
    </row>
    <row r="817" spans="1:9" ht="60" x14ac:dyDescent="0.25">
      <c r="A817" s="44" t="s">
        <v>296</v>
      </c>
      <c r="B817" s="6">
        <v>2075001</v>
      </c>
      <c r="C817" s="44" t="s">
        <v>1731</v>
      </c>
      <c r="D817" s="44" t="s">
        <v>1732</v>
      </c>
      <c r="E817" s="6">
        <v>20</v>
      </c>
      <c r="F817" s="6">
        <v>50</v>
      </c>
      <c r="G817" s="6" t="s">
        <v>726</v>
      </c>
      <c r="H817" s="44" t="s">
        <v>299</v>
      </c>
      <c r="I817" s="44" t="s">
        <v>300</v>
      </c>
    </row>
    <row r="818" spans="1:9" ht="60" x14ac:dyDescent="0.25">
      <c r="A818" s="44" t="s">
        <v>30</v>
      </c>
      <c r="B818" s="6"/>
      <c r="C818" s="44" t="s">
        <v>1733</v>
      </c>
      <c r="D818" s="44" t="s">
        <v>1734</v>
      </c>
      <c r="E818" s="6">
        <v>4</v>
      </c>
      <c r="F818" s="6" t="s">
        <v>742</v>
      </c>
      <c r="G818" s="6" t="s">
        <v>680</v>
      </c>
      <c r="H818" s="44" t="s">
        <v>35</v>
      </c>
      <c r="I818" s="44" t="s">
        <v>36</v>
      </c>
    </row>
    <row r="819" spans="1:9" ht="60" x14ac:dyDescent="0.25">
      <c r="A819" s="44" t="s">
        <v>30</v>
      </c>
      <c r="B819" s="6"/>
      <c r="C819" s="44" t="s">
        <v>1733</v>
      </c>
      <c r="D819" s="44" t="s">
        <v>1735</v>
      </c>
      <c r="E819" s="6">
        <v>1</v>
      </c>
      <c r="F819" s="6" t="s">
        <v>999</v>
      </c>
      <c r="G819" s="6" t="s">
        <v>999</v>
      </c>
      <c r="H819" s="44" t="s">
        <v>35</v>
      </c>
      <c r="I819" s="44" t="s">
        <v>36</v>
      </c>
    </row>
    <row r="820" spans="1:9" ht="60" x14ac:dyDescent="0.25">
      <c r="A820" s="44" t="s">
        <v>30</v>
      </c>
      <c r="B820" s="6"/>
      <c r="C820" s="44" t="s">
        <v>1733</v>
      </c>
      <c r="D820" s="44" t="s">
        <v>1736</v>
      </c>
      <c r="E820" s="6">
        <v>1</v>
      </c>
      <c r="F820" s="6" t="s">
        <v>1295</v>
      </c>
      <c r="G820" s="6" t="s">
        <v>1295</v>
      </c>
      <c r="H820" s="44" t="s">
        <v>35</v>
      </c>
      <c r="I820" s="44" t="s">
        <v>36</v>
      </c>
    </row>
    <row r="821" spans="1:9" ht="60" x14ac:dyDescent="0.25">
      <c r="A821" s="44" t="s">
        <v>30</v>
      </c>
      <c r="B821" s="6"/>
      <c r="C821" s="44" t="s">
        <v>1733</v>
      </c>
      <c r="D821" s="44" t="s">
        <v>1737</v>
      </c>
      <c r="E821" s="6">
        <v>1</v>
      </c>
      <c r="F821" s="6" t="s">
        <v>705</v>
      </c>
      <c r="G821" s="6" t="s">
        <v>705</v>
      </c>
      <c r="H821" s="44" t="s">
        <v>35</v>
      </c>
      <c r="I821" s="44" t="s">
        <v>36</v>
      </c>
    </row>
    <row r="822" spans="1:9" ht="60" x14ac:dyDescent="0.25">
      <c r="A822" s="44" t="s">
        <v>30</v>
      </c>
      <c r="B822" s="6"/>
      <c r="C822" s="44" t="s">
        <v>1733</v>
      </c>
      <c r="D822" s="44" t="s">
        <v>1738</v>
      </c>
      <c r="E822" s="6">
        <v>1</v>
      </c>
      <c r="F822" s="6" t="s">
        <v>742</v>
      </c>
      <c r="G822" s="6" t="s">
        <v>742</v>
      </c>
      <c r="H822" s="44" t="s">
        <v>35</v>
      </c>
      <c r="I822" s="44" t="s">
        <v>36</v>
      </c>
    </row>
    <row r="823" spans="1:9" ht="45" x14ac:dyDescent="0.25">
      <c r="A823" s="44" t="s">
        <v>286</v>
      </c>
      <c r="B823" s="6">
        <v>24880002</v>
      </c>
      <c r="C823" s="44" t="s">
        <v>1739</v>
      </c>
      <c r="D823" s="44" t="s">
        <v>1740</v>
      </c>
      <c r="E823" s="6">
        <v>6</v>
      </c>
      <c r="F823" s="6">
        <v>167</v>
      </c>
      <c r="G823" s="6" t="s">
        <v>1741</v>
      </c>
      <c r="H823" s="44" t="s">
        <v>289</v>
      </c>
      <c r="I823" s="44" t="s">
        <v>290</v>
      </c>
    </row>
    <row r="824" spans="1:9" ht="45" x14ac:dyDescent="0.25">
      <c r="A824" s="44" t="s">
        <v>281</v>
      </c>
      <c r="B824" s="6">
        <v>1224002</v>
      </c>
      <c r="C824" s="44" t="s">
        <v>1742</v>
      </c>
      <c r="D824" s="44" t="s">
        <v>1743</v>
      </c>
      <c r="E824" s="6">
        <v>10</v>
      </c>
      <c r="F824" s="6">
        <v>5</v>
      </c>
      <c r="G824" s="6">
        <v>50</v>
      </c>
      <c r="H824" s="44" t="s">
        <v>284</v>
      </c>
      <c r="I824" s="44" t="s">
        <v>285</v>
      </c>
    </row>
    <row r="825" spans="1:9" ht="45" x14ac:dyDescent="0.25">
      <c r="A825" s="44" t="s">
        <v>136</v>
      </c>
      <c r="B825" s="6">
        <v>1283001</v>
      </c>
      <c r="C825" s="44" t="s">
        <v>1744</v>
      </c>
      <c r="D825" s="44" t="s">
        <v>1745</v>
      </c>
      <c r="E825" s="6">
        <v>60</v>
      </c>
      <c r="F825" s="6">
        <v>12</v>
      </c>
      <c r="G825" s="6">
        <v>720</v>
      </c>
      <c r="H825" s="44" t="s">
        <v>142</v>
      </c>
      <c r="I825" s="44" t="s">
        <v>143</v>
      </c>
    </row>
    <row r="826" spans="1:9" ht="30" x14ac:dyDescent="0.25">
      <c r="A826" s="44" t="s">
        <v>247</v>
      </c>
      <c r="B826" s="6">
        <v>1189002</v>
      </c>
      <c r="C826" s="44" t="s">
        <v>1746</v>
      </c>
      <c r="D826" s="44" t="s">
        <v>1747</v>
      </c>
      <c r="E826" s="6">
        <v>2</v>
      </c>
      <c r="F826" s="6">
        <v>500</v>
      </c>
      <c r="G826" s="6" t="s">
        <v>726</v>
      </c>
      <c r="H826" s="44" t="s">
        <v>250</v>
      </c>
      <c r="I826" s="44" t="s">
        <v>251</v>
      </c>
    </row>
    <row r="827" spans="1:9" ht="30" x14ac:dyDescent="0.25">
      <c r="A827" s="44" t="s">
        <v>247</v>
      </c>
      <c r="B827" s="6">
        <v>1189002</v>
      </c>
      <c r="C827" s="44" t="s">
        <v>1746</v>
      </c>
      <c r="D827" s="44" t="s">
        <v>1748</v>
      </c>
      <c r="E827" s="6">
        <v>2</v>
      </c>
      <c r="F827" s="6">
        <v>450</v>
      </c>
      <c r="G827" s="6">
        <v>900</v>
      </c>
      <c r="H827" s="44" t="s">
        <v>250</v>
      </c>
      <c r="I827" s="44" t="s">
        <v>251</v>
      </c>
    </row>
    <row r="828" spans="1:9" ht="30" x14ac:dyDescent="0.25">
      <c r="A828" s="44" t="s">
        <v>247</v>
      </c>
      <c r="B828" s="6">
        <v>1189002</v>
      </c>
      <c r="C828" s="44" t="s">
        <v>1746</v>
      </c>
      <c r="D828" s="44" t="s">
        <v>1749</v>
      </c>
      <c r="E828" s="6">
        <v>2</v>
      </c>
      <c r="F828" s="6">
        <v>200</v>
      </c>
      <c r="G828" s="6">
        <v>400</v>
      </c>
      <c r="H828" s="44" t="s">
        <v>250</v>
      </c>
      <c r="I828" s="44" t="s">
        <v>251</v>
      </c>
    </row>
    <row r="829" spans="1:9" ht="45" x14ac:dyDescent="0.25">
      <c r="A829" s="44" t="s">
        <v>274</v>
      </c>
      <c r="B829" s="6">
        <v>1189002</v>
      </c>
      <c r="C829" s="44" t="s">
        <v>1746</v>
      </c>
      <c r="D829" s="44" t="s">
        <v>1750</v>
      </c>
      <c r="E829" s="6">
        <v>2</v>
      </c>
      <c r="F829" s="6">
        <v>10</v>
      </c>
      <c r="G829" s="6">
        <v>20</v>
      </c>
      <c r="H829" s="44" t="s">
        <v>277</v>
      </c>
      <c r="I829" s="44" t="s">
        <v>278</v>
      </c>
    </row>
    <row r="830" spans="1:9" ht="45" x14ac:dyDescent="0.25">
      <c r="A830" s="44" t="s">
        <v>274</v>
      </c>
      <c r="B830" s="6">
        <v>1189002</v>
      </c>
      <c r="C830" s="44" t="s">
        <v>1746</v>
      </c>
      <c r="D830" s="44" t="s">
        <v>1751</v>
      </c>
      <c r="E830" s="6">
        <v>4</v>
      </c>
      <c r="F830" s="6">
        <v>200</v>
      </c>
      <c r="G830" s="6">
        <v>800</v>
      </c>
      <c r="H830" s="44" t="s">
        <v>277</v>
      </c>
      <c r="I830" s="44" t="s">
        <v>278</v>
      </c>
    </row>
    <row r="831" spans="1:9" ht="45" x14ac:dyDescent="0.25">
      <c r="A831" s="44" t="s">
        <v>136</v>
      </c>
      <c r="B831" s="6">
        <v>15220003</v>
      </c>
      <c r="C831" s="44" t="s">
        <v>1752</v>
      </c>
      <c r="D831" s="44" t="s">
        <v>1753</v>
      </c>
      <c r="E831" s="6">
        <v>6</v>
      </c>
      <c r="F831" s="6">
        <v>30</v>
      </c>
      <c r="G831" s="6">
        <v>180</v>
      </c>
      <c r="H831" s="44" t="s">
        <v>146</v>
      </c>
      <c r="I831" s="44" t="s">
        <v>147</v>
      </c>
    </row>
    <row r="832" spans="1:9" ht="60" x14ac:dyDescent="0.25">
      <c r="A832" s="44" t="s">
        <v>30</v>
      </c>
      <c r="B832" s="6"/>
      <c r="C832" s="44" t="s">
        <v>213</v>
      </c>
      <c r="D832" s="44" t="s">
        <v>1754</v>
      </c>
      <c r="E832" s="6">
        <v>2</v>
      </c>
      <c r="F832" s="6" t="s">
        <v>883</v>
      </c>
      <c r="G832" s="6" t="s">
        <v>681</v>
      </c>
      <c r="H832" s="44" t="s">
        <v>35</v>
      </c>
      <c r="I832" s="44" t="s">
        <v>36</v>
      </c>
    </row>
    <row r="833" spans="1:9" ht="60" x14ac:dyDescent="0.25">
      <c r="A833" s="44" t="s">
        <v>30</v>
      </c>
      <c r="B833" s="6"/>
      <c r="C833" s="44" t="s">
        <v>213</v>
      </c>
      <c r="D833" s="44" t="s">
        <v>1755</v>
      </c>
      <c r="E833" s="6">
        <v>12</v>
      </c>
      <c r="F833" s="6" t="s">
        <v>1298</v>
      </c>
      <c r="G833" s="6" t="s">
        <v>687</v>
      </c>
      <c r="H833" s="44" t="s">
        <v>39</v>
      </c>
      <c r="I833" s="44" t="s">
        <v>40</v>
      </c>
    </row>
    <row r="834" spans="1:9" ht="60" x14ac:dyDescent="0.25">
      <c r="A834" s="44" t="s">
        <v>158</v>
      </c>
      <c r="B834" s="6">
        <v>6010102</v>
      </c>
      <c r="C834" s="44" t="s">
        <v>1756</v>
      </c>
      <c r="D834" s="44"/>
      <c r="E834" s="6">
        <v>1</v>
      </c>
      <c r="F834" s="6" t="s">
        <v>726</v>
      </c>
      <c r="G834" s="6" t="s">
        <v>726</v>
      </c>
      <c r="H834" s="44" t="s">
        <v>161</v>
      </c>
      <c r="I834" s="44" t="s">
        <v>162</v>
      </c>
    </row>
    <row r="835" spans="1:9" ht="45" x14ac:dyDescent="0.25">
      <c r="A835" s="44" t="s">
        <v>202</v>
      </c>
      <c r="B835" s="6">
        <v>6010102</v>
      </c>
      <c r="C835" s="44" t="s">
        <v>1756</v>
      </c>
      <c r="D835" s="44" t="s">
        <v>1757</v>
      </c>
      <c r="E835" s="6">
        <v>1</v>
      </c>
      <c r="F835" s="6">
        <v>300</v>
      </c>
      <c r="G835" s="6">
        <v>300</v>
      </c>
      <c r="H835" s="44" t="s">
        <v>203</v>
      </c>
      <c r="I835" s="44" t="s">
        <v>204</v>
      </c>
    </row>
    <row r="836" spans="1:9" ht="45" x14ac:dyDescent="0.25">
      <c r="A836" s="44" t="s">
        <v>202</v>
      </c>
      <c r="B836" s="6">
        <v>6010102</v>
      </c>
      <c r="C836" s="44" t="s">
        <v>1756</v>
      </c>
      <c r="D836" s="44" t="s">
        <v>1758</v>
      </c>
      <c r="E836" s="6">
        <v>1</v>
      </c>
      <c r="F836" s="6" t="s">
        <v>1759</v>
      </c>
      <c r="G836" s="6" t="s">
        <v>1759</v>
      </c>
      <c r="H836" s="44" t="s">
        <v>203</v>
      </c>
      <c r="I836" s="44" t="s">
        <v>204</v>
      </c>
    </row>
    <row r="837" spans="1:9" ht="45" x14ac:dyDescent="0.25">
      <c r="A837" s="44" t="s">
        <v>202</v>
      </c>
      <c r="B837" s="6">
        <v>6010102</v>
      </c>
      <c r="C837" s="44" t="s">
        <v>1756</v>
      </c>
      <c r="D837" s="44" t="s">
        <v>1760</v>
      </c>
      <c r="E837" s="6">
        <v>1</v>
      </c>
      <c r="F837" s="6">
        <v>800</v>
      </c>
      <c r="G837" s="6">
        <v>800</v>
      </c>
      <c r="H837" s="44" t="s">
        <v>203</v>
      </c>
      <c r="I837" s="44" t="s">
        <v>204</v>
      </c>
    </row>
    <row r="838" spans="1:9" ht="45" x14ac:dyDescent="0.25">
      <c r="A838" s="44" t="s">
        <v>202</v>
      </c>
      <c r="B838" s="6">
        <v>6010102</v>
      </c>
      <c r="C838" s="44" t="s">
        <v>1756</v>
      </c>
      <c r="D838" s="44" t="s">
        <v>1761</v>
      </c>
      <c r="E838" s="6">
        <v>1</v>
      </c>
      <c r="F838" s="6">
        <v>300</v>
      </c>
      <c r="G838" s="6">
        <v>300</v>
      </c>
      <c r="H838" s="44" t="s">
        <v>203</v>
      </c>
      <c r="I838" s="44" t="s">
        <v>204</v>
      </c>
    </row>
    <row r="839" spans="1:9" ht="45" x14ac:dyDescent="0.25">
      <c r="A839" s="44" t="s">
        <v>202</v>
      </c>
      <c r="B839" s="6">
        <v>6010102</v>
      </c>
      <c r="C839" s="44" t="s">
        <v>1756</v>
      </c>
      <c r="D839" s="44" t="s">
        <v>1762</v>
      </c>
      <c r="E839" s="6">
        <v>1</v>
      </c>
      <c r="F839" s="6">
        <v>300</v>
      </c>
      <c r="G839" s="6">
        <v>300</v>
      </c>
      <c r="H839" s="44" t="s">
        <v>203</v>
      </c>
      <c r="I839" s="44" t="s">
        <v>204</v>
      </c>
    </row>
    <row r="840" spans="1:9" ht="45" x14ac:dyDescent="0.25">
      <c r="A840" s="44" t="s">
        <v>202</v>
      </c>
      <c r="B840" s="6">
        <v>6010102</v>
      </c>
      <c r="C840" s="44" t="s">
        <v>1756</v>
      </c>
      <c r="D840" s="44" t="s">
        <v>1763</v>
      </c>
      <c r="E840" s="6">
        <v>1</v>
      </c>
      <c r="F840" s="6">
        <v>812</v>
      </c>
      <c r="G840" s="6">
        <v>812</v>
      </c>
      <c r="H840" s="44" t="s">
        <v>203</v>
      </c>
      <c r="I840" s="44" t="s">
        <v>204</v>
      </c>
    </row>
    <row r="841" spans="1:9" ht="45" x14ac:dyDescent="0.25">
      <c r="A841" s="44" t="s">
        <v>202</v>
      </c>
      <c r="B841" s="6">
        <v>6010102</v>
      </c>
      <c r="C841" s="44" t="s">
        <v>1756</v>
      </c>
      <c r="D841" s="44" t="s">
        <v>1764</v>
      </c>
      <c r="E841" s="6">
        <v>8</v>
      </c>
      <c r="F841" s="6">
        <v>200</v>
      </c>
      <c r="G841" s="6" t="s">
        <v>723</v>
      </c>
      <c r="H841" s="44" t="s">
        <v>203</v>
      </c>
      <c r="I841" s="44" t="s">
        <v>204</v>
      </c>
    </row>
    <row r="842" spans="1:9" ht="45" x14ac:dyDescent="0.25">
      <c r="A842" s="44" t="s">
        <v>205</v>
      </c>
      <c r="B842" s="6">
        <v>6010102</v>
      </c>
      <c r="C842" s="44" t="s">
        <v>1756</v>
      </c>
      <c r="D842" s="44" t="s">
        <v>1765</v>
      </c>
      <c r="E842" s="6">
        <v>1</v>
      </c>
      <c r="F842" s="6" t="s">
        <v>987</v>
      </c>
      <c r="G842" s="6" t="s">
        <v>987</v>
      </c>
      <c r="H842" s="44" t="s">
        <v>206</v>
      </c>
      <c r="I842" s="44" t="s">
        <v>205</v>
      </c>
    </row>
    <row r="843" spans="1:9" ht="45" x14ac:dyDescent="0.25">
      <c r="A843" s="44" t="s">
        <v>207</v>
      </c>
      <c r="B843" s="6">
        <v>6010102</v>
      </c>
      <c r="C843" s="44" t="s">
        <v>1756</v>
      </c>
      <c r="D843" s="44" t="s">
        <v>1766</v>
      </c>
      <c r="E843" s="6">
        <v>1</v>
      </c>
      <c r="F843" s="6" t="s">
        <v>1767</v>
      </c>
      <c r="G843" s="6" t="s">
        <v>1767</v>
      </c>
      <c r="H843" s="44" t="s">
        <v>208</v>
      </c>
      <c r="I843" s="44" t="s">
        <v>207</v>
      </c>
    </row>
    <row r="844" spans="1:9" ht="45" x14ac:dyDescent="0.25">
      <c r="A844" s="44" t="s">
        <v>207</v>
      </c>
      <c r="B844" s="6">
        <v>6010102</v>
      </c>
      <c r="C844" s="44" t="s">
        <v>1756</v>
      </c>
      <c r="D844" s="44" t="s">
        <v>1768</v>
      </c>
      <c r="E844" s="6">
        <v>1</v>
      </c>
      <c r="F844" s="6">
        <v>550</v>
      </c>
      <c r="G844" s="6">
        <v>550</v>
      </c>
      <c r="H844" s="44" t="s">
        <v>208</v>
      </c>
      <c r="I844" s="44" t="s">
        <v>207</v>
      </c>
    </row>
    <row r="845" spans="1:9" ht="45" x14ac:dyDescent="0.25">
      <c r="A845" s="44" t="s">
        <v>207</v>
      </c>
      <c r="B845" s="6">
        <v>6010102</v>
      </c>
      <c r="C845" s="44" t="s">
        <v>1756</v>
      </c>
      <c r="D845" s="44" t="s">
        <v>1769</v>
      </c>
      <c r="E845" s="6">
        <v>1</v>
      </c>
      <c r="F845" s="6" t="s">
        <v>845</v>
      </c>
      <c r="G845" s="6" t="s">
        <v>845</v>
      </c>
      <c r="H845" s="44" t="s">
        <v>208</v>
      </c>
      <c r="I845" s="44" t="s">
        <v>207</v>
      </c>
    </row>
    <row r="846" spans="1:9" ht="150" x14ac:dyDescent="0.25">
      <c r="A846" s="44" t="s">
        <v>207</v>
      </c>
      <c r="B846" s="6">
        <v>6010102</v>
      </c>
      <c r="C846" s="44" t="s">
        <v>1756</v>
      </c>
      <c r="D846" s="44" t="s">
        <v>1770</v>
      </c>
      <c r="E846" s="6">
        <v>1</v>
      </c>
      <c r="F846" s="6" t="s">
        <v>1767</v>
      </c>
      <c r="G846" s="6" t="s">
        <v>1767</v>
      </c>
      <c r="H846" s="44" t="s">
        <v>208</v>
      </c>
      <c r="I846" s="44" t="s">
        <v>207</v>
      </c>
    </row>
    <row r="847" spans="1:9" ht="45" x14ac:dyDescent="0.25">
      <c r="A847" s="44" t="s">
        <v>281</v>
      </c>
      <c r="B847" s="6">
        <v>6010102</v>
      </c>
      <c r="C847" s="44" t="s">
        <v>1756</v>
      </c>
      <c r="D847" s="44" t="s">
        <v>1771</v>
      </c>
      <c r="E847" s="6">
        <v>1</v>
      </c>
      <c r="F847" s="6" t="s">
        <v>999</v>
      </c>
      <c r="G847" s="6" t="s">
        <v>999</v>
      </c>
      <c r="H847" s="44" t="s">
        <v>284</v>
      </c>
      <c r="I847" s="44" t="s">
        <v>285</v>
      </c>
    </row>
    <row r="848" spans="1:9" ht="45" x14ac:dyDescent="0.25">
      <c r="A848" s="44" t="s">
        <v>296</v>
      </c>
      <c r="B848" s="6">
        <v>6010102</v>
      </c>
      <c r="C848" s="44" t="s">
        <v>1756</v>
      </c>
      <c r="D848" s="44" t="s">
        <v>1772</v>
      </c>
      <c r="E848" s="6">
        <v>2</v>
      </c>
      <c r="F848" s="6" t="s">
        <v>800</v>
      </c>
      <c r="G848" s="6" t="s">
        <v>736</v>
      </c>
      <c r="H848" s="44" t="s">
        <v>299</v>
      </c>
      <c r="I848" s="44" t="s">
        <v>300</v>
      </c>
    </row>
    <row r="849" spans="1:9" ht="60" x14ac:dyDescent="0.25">
      <c r="A849" s="44" t="s">
        <v>158</v>
      </c>
      <c r="B849" s="6">
        <v>60110</v>
      </c>
      <c r="C849" s="44" t="s">
        <v>1773</v>
      </c>
      <c r="D849" s="44"/>
      <c r="E849" s="6">
        <v>1</v>
      </c>
      <c r="F849" s="6" t="s">
        <v>736</v>
      </c>
      <c r="G849" s="6" t="s">
        <v>736</v>
      </c>
      <c r="H849" s="44" t="s">
        <v>161</v>
      </c>
      <c r="I849" s="44" t="s">
        <v>162</v>
      </c>
    </row>
    <row r="850" spans="1:9" ht="45" x14ac:dyDescent="0.25">
      <c r="A850" s="44" t="s">
        <v>207</v>
      </c>
      <c r="B850" s="6">
        <v>60110</v>
      </c>
      <c r="C850" s="44" t="s">
        <v>1773</v>
      </c>
      <c r="D850" s="44" t="s">
        <v>1774</v>
      </c>
      <c r="E850" s="6">
        <v>1</v>
      </c>
      <c r="F850" s="6">
        <v>100</v>
      </c>
      <c r="G850" s="6">
        <v>100</v>
      </c>
      <c r="H850" s="44" t="s">
        <v>208</v>
      </c>
      <c r="I850" s="44" t="s">
        <v>207</v>
      </c>
    </row>
    <row r="851" spans="1:9" ht="45" x14ac:dyDescent="0.25">
      <c r="A851" s="44" t="s">
        <v>281</v>
      </c>
      <c r="B851" s="6">
        <v>60110</v>
      </c>
      <c r="C851" s="44" t="s">
        <v>1773</v>
      </c>
      <c r="D851" s="44" t="s">
        <v>1775</v>
      </c>
      <c r="E851" s="6">
        <v>1</v>
      </c>
      <c r="F851" s="6" t="s">
        <v>849</v>
      </c>
      <c r="G851" s="6" t="s">
        <v>849</v>
      </c>
      <c r="H851" s="44" t="s">
        <v>284</v>
      </c>
      <c r="I851" s="44" t="s">
        <v>285</v>
      </c>
    </row>
    <row r="852" spans="1:9" ht="45" x14ac:dyDescent="0.25">
      <c r="A852" s="44" t="s">
        <v>281</v>
      </c>
      <c r="B852" s="6">
        <v>60110</v>
      </c>
      <c r="C852" s="44" t="s">
        <v>1773</v>
      </c>
      <c r="D852" s="44" t="s">
        <v>1776</v>
      </c>
      <c r="E852" s="6">
        <v>1</v>
      </c>
      <c r="F852" s="6" t="s">
        <v>1284</v>
      </c>
      <c r="G852" s="6" t="s">
        <v>1284</v>
      </c>
      <c r="H852" s="44" t="s">
        <v>284</v>
      </c>
      <c r="I852" s="44" t="s">
        <v>285</v>
      </c>
    </row>
    <row r="853" spans="1:9" ht="45" x14ac:dyDescent="0.25">
      <c r="A853" s="44" t="s">
        <v>281</v>
      </c>
      <c r="B853" s="6">
        <v>6010105</v>
      </c>
      <c r="C853" s="44" t="s">
        <v>1777</v>
      </c>
      <c r="D853" s="44" t="s">
        <v>1778</v>
      </c>
      <c r="E853" s="6">
        <v>1</v>
      </c>
      <c r="F853" s="6" t="s">
        <v>987</v>
      </c>
      <c r="G853" s="6" t="s">
        <v>987</v>
      </c>
      <c r="H853" s="44" t="s">
        <v>284</v>
      </c>
      <c r="I853" s="44" t="s">
        <v>285</v>
      </c>
    </row>
    <row r="854" spans="1:9" ht="120" x14ac:dyDescent="0.25">
      <c r="A854" s="44" t="s">
        <v>305</v>
      </c>
      <c r="B854" s="6">
        <v>25360003</v>
      </c>
      <c r="C854" s="44" t="s">
        <v>1779</v>
      </c>
      <c r="D854" s="44" t="s">
        <v>1780</v>
      </c>
      <c r="E854" s="6">
        <v>1</v>
      </c>
      <c r="F854" s="6" t="s">
        <v>1781</v>
      </c>
      <c r="G854" s="6" t="s">
        <v>1781</v>
      </c>
      <c r="H854" s="44" t="s">
        <v>308</v>
      </c>
      <c r="I854" s="44" t="s">
        <v>309</v>
      </c>
    </row>
    <row r="855" spans="1:9" ht="75" x14ac:dyDescent="0.25">
      <c r="A855" s="44" t="s">
        <v>166</v>
      </c>
      <c r="B855" s="6">
        <v>103100014</v>
      </c>
      <c r="C855" s="44" t="s">
        <v>1782</v>
      </c>
      <c r="D855" s="44" t="s">
        <v>1783</v>
      </c>
      <c r="E855" s="6">
        <v>200</v>
      </c>
      <c r="F855" s="6">
        <v>1.5169999999999999</v>
      </c>
      <c r="G855" s="6">
        <v>303.39999999999998</v>
      </c>
      <c r="H855" s="44" t="s">
        <v>169</v>
      </c>
      <c r="I855" s="44" t="s">
        <v>170</v>
      </c>
    </row>
    <row r="856" spans="1:9" ht="45" x14ac:dyDescent="0.25">
      <c r="A856" s="44" t="s">
        <v>207</v>
      </c>
      <c r="B856" s="6">
        <v>103100014</v>
      </c>
      <c r="C856" s="44" t="s">
        <v>1782</v>
      </c>
      <c r="D856" s="44" t="s">
        <v>1784</v>
      </c>
      <c r="E856" s="6">
        <v>12</v>
      </c>
      <c r="F856" s="6">
        <v>1.5169999999999999</v>
      </c>
      <c r="G856" s="6">
        <v>18.204000000000001</v>
      </c>
      <c r="H856" s="44" t="s">
        <v>208</v>
      </c>
      <c r="I856" s="44" t="s">
        <v>207</v>
      </c>
    </row>
    <row r="857" spans="1:9" ht="60" x14ac:dyDescent="0.25">
      <c r="A857" s="44" t="s">
        <v>207</v>
      </c>
      <c r="B857" s="6">
        <v>103100021</v>
      </c>
      <c r="C857" s="44" t="s">
        <v>1785</v>
      </c>
      <c r="D857" s="44"/>
      <c r="E857" s="6">
        <v>16</v>
      </c>
      <c r="F857" s="6">
        <v>1.5169999999999999</v>
      </c>
      <c r="G857" s="6">
        <v>24.271999999999998</v>
      </c>
      <c r="H857" s="44" t="s">
        <v>208</v>
      </c>
      <c r="I857" s="44" t="s">
        <v>207</v>
      </c>
    </row>
    <row r="858" spans="1:9" ht="60" x14ac:dyDescent="0.25">
      <c r="A858" s="44" t="s">
        <v>207</v>
      </c>
      <c r="B858" s="6">
        <v>103100023</v>
      </c>
      <c r="C858" s="44" t="s">
        <v>1786</v>
      </c>
      <c r="D858" s="44"/>
      <c r="E858" s="6">
        <v>3</v>
      </c>
      <c r="F858" s="6">
        <v>2.4750000000000001</v>
      </c>
      <c r="G858" s="6">
        <v>7.4249999999999998</v>
      </c>
      <c r="H858" s="44" t="s">
        <v>208</v>
      </c>
      <c r="I858" s="44" t="s">
        <v>207</v>
      </c>
    </row>
    <row r="859" spans="1:9" ht="45" x14ac:dyDescent="0.25">
      <c r="A859" s="44" t="s">
        <v>88</v>
      </c>
      <c r="B859" s="6"/>
      <c r="C859" s="44" t="s">
        <v>1787</v>
      </c>
      <c r="D859" s="44" t="s">
        <v>1788</v>
      </c>
      <c r="E859" s="6">
        <v>1</v>
      </c>
      <c r="F859" s="6" t="s">
        <v>987</v>
      </c>
      <c r="G859" s="6" t="s">
        <v>987</v>
      </c>
      <c r="H859" s="44" t="s">
        <v>95</v>
      </c>
      <c r="I859" s="44" t="s">
        <v>96</v>
      </c>
    </row>
    <row r="860" spans="1:9" ht="60" x14ac:dyDescent="0.25">
      <c r="A860" s="44" t="s">
        <v>88</v>
      </c>
      <c r="B860" s="6"/>
      <c r="C860" s="44" t="s">
        <v>1787</v>
      </c>
      <c r="D860" s="44" t="s">
        <v>1789</v>
      </c>
      <c r="E860" s="6">
        <v>1</v>
      </c>
      <c r="F860" s="6" t="s">
        <v>736</v>
      </c>
      <c r="G860" s="6" t="s">
        <v>736</v>
      </c>
      <c r="H860" s="44" t="s">
        <v>95</v>
      </c>
      <c r="I860" s="44" t="s">
        <v>96</v>
      </c>
    </row>
    <row r="861" spans="1:9" ht="45" x14ac:dyDescent="0.25">
      <c r="A861" s="44" t="s">
        <v>136</v>
      </c>
      <c r="B861" s="6"/>
      <c r="C861" s="44" t="s">
        <v>1787</v>
      </c>
      <c r="D861" s="44" t="s">
        <v>1790</v>
      </c>
      <c r="E861" s="6">
        <v>1</v>
      </c>
      <c r="F861" s="6" t="s">
        <v>800</v>
      </c>
      <c r="G861" s="6" t="s">
        <v>800</v>
      </c>
      <c r="H861" s="44" t="s">
        <v>142</v>
      </c>
      <c r="I861" s="44" t="s">
        <v>143</v>
      </c>
    </row>
    <row r="862" spans="1:9" ht="30" x14ac:dyDescent="0.25">
      <c r="A862" s="44" t="s">
        <v>296</v>
      </c>
      <c r="B862" s="6"/>
      <c r="C862" s="44" t="s">
        <v>1787</v>
      </c>
      <c r="D862" s="44" t="s">
        <v>1791</v>
      </c>
      <c r="E862" s="6">
        <v>1</v>
      </c>
      <c r="F862" s="6" t="s">
        <v>680</v>
      </c>
      <c r="G862" s="6" t="s">
        <v>680</v>
      </c>
      <c r="H862" s="44" t="s">
        <v>299</v>
      </c>
      <c r="I862" s="44" t="s">
        <v>300</v>
      </c>
    </row>
    <row r="863" spans="1:9" ht="30" x14ac:dyDescent="0.25">
      <c r="A863" s="44" t="s">
        <v>296</v>
      </c>
      <c r="B863" s="6"/>
      <c r="C863" s="44" t="s">
        <v>1787</v>
      </c>
      <c r="D863" s="44" t="s">
        <v>1791</v>
      </c>
      <c r="E863" s="6">
        <v>1</v>
      </c>
      <c r="F863" s="6" t="s">
        <v>680</v>
      </c>
      <c r="G863" s="6" t="s">
        <v>680</v>
      </c>
      <c r="H863" s="44" t="s">
        <v>299</v>
      </c>
      <c r="I863" s="44" t="s">
        <v>300</v>
      </c>
    </row>
    <row r="864" spans="1:9" ht="30" x14ac:dyDescent="0.25">
      <c r="A864" s="44" t="s">
        <v>296</v>
      </c>
      <c r="B864" s="6"/>
      <c r="C864" s="44" t="s">
        <v>1787</v>
      </c>
      <c r="D864" s="44" t="s">
        <v>1792</v>
      </c>
      <c r="E864" s="6">
        <v>20</v>
      </c>
      <c r="F864" s="6">
        <v>12</v>
      </c>
      <c r="G864" s="6">
        <v>240</v>
      </c>
      <c r="H864" s="44" t="s">
        <v>299</v>
      </c>
      <c r="I864" s="44" t="s">
        <v>300</v>
      </c>
    </row>
    <row r="865" spans="1:9" ht="45" x14ac:dyDescent="0.25">
      <c r="A865" s="44" t="s">
        <v>207</v>
      </c>
      <c r="B865" s="6">
        <v>144900056</v>
      </c>
      <c r="C865" s="44" t="s">
        <v>1793</v>
      </c>
      <c r="D865" s="44"/>
      <c r="E865" s="6">
        <v>3</v>
      </c>
      <c r="F865" s="6">
        <v>33.404000000000003</v>
      </c>
      <c r="G865" s="6">
        <v>100.212</v>
      </c>
      <c r="H865" s="44" t="s">
        <v>208</v>
      </c>
      <c r="I865" s="44" t="s">
        <v>207</v>
      </c>
    </row>
    <row r="866" spans="1:9" ht="75" x14ac:dyDescent="0.25">
      <c r="A866" s="44" t="s">
        <v>166</v>
      </c>
      <c r="B866" s="6">
        <v>144900088</v>
      </c>
      <c r="C866" s="44" t="s">
        <v>1794</v>
      </c>
      <c r="D866" s="44" t="s">
        <v>1795</v>
      </c>
      <c r="E866" s="6">
        <v>50</v>
      </c>
      <c r="F866" s="6">
        <v>89.046000000000006</v>
      </c>
      <c r="G866" s="6" t="s">
        <v>1796</v>
      </c>
      <c r="H866" s="44" t="s">
        <v>169</v>
      </c>
      <c r="I866" s="44" t="s">
        <v>170</v>
      </c>
    </row>
    <row r="867" spans="1:9" ht="75" x14ac:dyDescent="0.25">
      <c r="A867" s="44" t="s">
        <v>148</v>
      </c>
      <c r="B867" s="6">
        <v>144900073</v>
      </c>
      <c r="C867" s="44" t="s">
        <v>1797</v>
      </c>
      <c r="D867" s="44"/>
      <c r="E867" s="6">
        <v>2</v>
      </c>
      <c r="F867" s="6">
        <v>49.295000000000002</v>
      </c>
      <c r="G867" s="6">
        <v>98.59</v>
      </c>
      <c r="H867" s="44" t="s">
        <v>154</v>
      </c>
      <c r="I867" s="44" t="s">
        <v>155</v>
      </c>
    </row>
    <row r="868" spans="1:9" ht="30" x14ac:dyDescent="0.25">
      <c r="A868" s="44" t="s">
        <v>158</v>
      </c>
      <c r="B868" s="6">
        <v>144900073</v>
      </c>
      <c r="C868" s="44" t="s">
        <v>1797</v>
      </c>
      <c r="D868" s="44"/>
      <c r="E868" s="6">
        <v>4</v>
      </c>
      <c r="F868" s="6">
        <v>49.295000000000002</v>
      </c>
      <c r="G868" s="6">
        <v>197.18</v>
      </c>
      <c r="H868" s="44" t="s">
        <v>164</v>
      </c>
      <c r="I868" s="44" t="s">
        <v>165</v>
      </c>
    </row>
    <row r="869" spans="1:9" ht="45" x14ac:dyDescent="0.25">
      <c r="A869" s="44" t="s">
        <v>88</v>
      </c>
      <c r="B869" s="6">
        <v>2137015</v>
      </c>
      <c r="C869" s="44" t="s">
        <v>1798</v>
      </c>
      <c r="D869" s="44" t="s">
        <v>1799</v>
      </c>
      <c r="E869" s="6">
        <v>6</v>
      </c>
      <c r="F869" s="6">
        <v>400</v>
      </c>
      <c r="G869" s="6" t="s">
        <v>867</v>
      </c>
      <c r="H869" s="44" t="s">
        <v>99</v>
      </c>
      <c r="I869" s="44" t="s">
        <v>100</v>
      </c>
    </row>
    <row r="870" spans="1:9" ht="45" x14ac:dyDescent="0.25">
      <c r="A870" s="44" t="s">
        <v>88</v>
      </c>
      <c r="B870" s="6">
        <v>2137015</v>
      </c>
      <c r="C870" s="44" t="s">
        <v>1798</v>
      </c>
      <c r="D870" s="44"/>
      <c r="E870" s="6">
        <v>6</v>
      </c>
      <c r="F870" s="6">
        <v>400</v>
      </c>
      <c r="G870" s="6" t="s">
        <v>867</v>
      </c>
      <c r="H870" s="44" t="s">
        <v>103</v>
      </c>
      <c r="I870" s="44" t="s">
        <v>104</v>
      </c>
    </row>
    <row r="871" spans="1:9" ht="45" x14ac:dyDescent="0.25">
      <c r="A871" s="44" t="s">
        <v>88</v>
      </c>
      <c r="B871" s="6">
        <v>2137015</v>
      </c>
      <c r="C871" s="44" t="s">
        <v>1798</v>
      </c>
      <c r="D871" s="44"/>
      <c r="E871" s="6">
        <v>6</v>
      </c>
      <c r="F871" s="6">
        <v>400</v>
      </c>
      <c r="G871" s="6" t="s">
        <v>867</v>
      </c>
      <c r="H871" s="44" t="s">
        <v>95</v>
      </c>
      <c r="I871" s="44" t="s">
        <v>96</v>
      </c>
    </row>
    <row r="872" spans="1:9" ht="45" x14ac:dyDescent="0.25">
      <c r="A872" s="44" t="s">
        <v>88</v>
      </c>
      <c r="B872" s="6">
        <v>2137015</v>
      </c>
      <c r="C872" s="44" t="s">
        <v>1798</v>
      </c>
      <c r="D872" s="44"/>
      <c r="E872" s="6">
        <v>6</v>
      </c>
      <c r="F872" s="6">
        <v>400</v>
      </c>
      <c r="G872" s="6" t="s">
        <v>867</v>
      </c>
      <c r="H872" s="44" t="s">
        <v>101</v>
      </c>
      <c r="I872" s="44" t="s">
        <v>102</v>
      </c>
    </row>
    <row r="873" spans="1:9" ht="45" x14ac:dyDescent="0.25">
      <c r="A873" s="44" t="s">
        <v>281</v>
      </c>
      <c r="B873" s="6">
        <v>2137015</v>
      </c>
      <c r="C873" s="44" t="s">
        <v>1798</v>
      </c>
      <c r="D873" s="44" t="s">
        <v>1800</v>
      </c>
      <c r="E873" s="6">
        <v>20</v>
      </c>
      <c r="F873" s="6">
        <v>200</v>
      </c>
      <c r="G873" s="6" t="s">
        <v>845</v>
      </c>
      <c r="H873" s="44" t="s">
        <v>284</v>
      </c>
      <c r="I873" s="44" t="s">
        <v>285</v>
      </c>
    </row>
    <row r="874" spans="1:9" ht="45" x14ac:dyDescent="0.25">
      <c r="A874" s="44" t="s">
        <v>70</v>
      </c>
      <c r="B874" s="6">
        <v>2137014</v>
      </c>
      <c r="C874" s="44" t="s">
        <v>1801</v>
      </c>
      <c r="D874" s="44" t="s">
        <v>1802</v>
      </c>
      <c r="E874" s="6">
        <v>3</v>
      </c>
      <c r="F874" s="6">
        <v>100</v>
      </c>
      <c r="G874" s="6">
        <v>300</v>
      </c>
      <c r="H874" s="44" t="s">
        <v>73</v>
      </c>
      <c r="I874" s="44" t="s">
        <v>74</v>
      </c>
    </row>
    <row r="875" spans="1:9" ht="45" x14ac:dyDescent="0.25">
      <c r="A875" s="44" t="s">
        <v>88</v>
      </c>
      <c r="B875" s="6">
        <v>2137019</v>
      </c>
      <c r="C875" s="44" t="s">
        <v>1803</v>
      </c>
      <c r="D875" s="44"/>
      <c r="E875" s="6">
        <v>25</v>
      </c>
      <c r="F875" s="6">
        <v>60</v>
      </c>
      <c r="G875" s="6" t="s">
        <v>800</v>
      </c>
      <c r="H875" s="44" t="s">
        <v>97</v>
      </c>
      <c r="I875" s="44" t="s">
        <v>98</v>
      </c>
    </row>
    <row r="876" spans="1:9" ht="45" x14ac:dyDescent="0.25">
      <c r="A876" s="44" t="s">
        <v>88</v>
      </c>
      <c r="B876" s="6">
        <v>2137019</v>
      </c>
      <c r="C876" s="44" t="s">
        <v>1803</v>
      </c>
      <c r="D876" s="44"/>
      <c r="E876" s="6">
        <v>25</v>
      </c>
      <c r="F876" s="6">
        <v>60</v>
      </c>
      <c r="G876" s="6" t="s">
        <v>800</v>
      </c>
      <c r="H876" s="44" t="s">
        <v>93</v>
      </c>
      <c r="I876" s="44" t="s">
        <v>94</v>
      </c>
    </row>
    <row r="877" spans="1:9" ht="45" x14ac:dyDescent="0.25">
      <c r="A877" s="44" t="s">
        <v>88</v>
      </c>
      <c r="B877" s="6">
        <v>2044004</v>
      </c>
      <c r="C877" s="44" t="s">
        <v>1804</v>
      </c>
      <c r="D877" s="44" t="s">
        <v>1805</v>
      </c>
      <c r="E877" s="6">
        <v>45</v>
      </c>
      <c r="F877" s="6">
        <v>348</v>
      </c>
      <c r="G877" s="6" t="s">
        <v>766</v>
      </c>
      <c r="H877" s="44" t="s">
        <v>99</v>
      </c>
      <c r="I877" s="44" t="s">
        <v>100</v>
      </c>
    </row>
    <row r="878" spans="1:9" ht="45" x14ac:dyDescent="0.25">
      <c r="A878" s="44" t="s">
        <v>88</v>
      </c>
      <c r="B878" s="6">
        <v>2044004</v>
      </c>
      <c r="C878" s="44" t="s">
        <v>1804</v>
      </c>
      <c r="D878" s="44" t="s">
        <v>1805</v>
      </c>
      <c r="E878" s="6">
        <v>45</v>
      </c>
      <c r="F878" s="6">
        <v>348</v>
      </c>
      <c r="G878" s="6" t="s">
        <v>766</v>
      </c>
      <c r="H878" s="44" t="s">
        <v>101</v>
      </c>
      <c r="I878" s="44" t="s">
        <v>102</v>
      </c>
    </row>
    <row r="879" spans="1:9" ht="45" x14ac:dyDescent="0.25">
      <c r="A879" s="44" t="s">
        <v>88</v>
      </c>
      <c r="B879" s="6">
        <v>2044004</v>
      </c>
      <c r="C879" s="44" t="s">
        <v>1804</v>
      </c>
      <c r="D879" s="44" t="s">
        <v>1805</v>
      </c>
      <c r="E879" s="6">
        <v>45</v>
      </c>
      <c r="F879" s="6">
        <v>348</v>
      </c>
      <c r="G879" s="6" t="s">
        <v>766</v>
      </c>
      <c r="H879" s="44" t="s">
        <v>95</v>
      </c>
      <c r="I879" s="44" t="s">
        <v>96</v>
      </c>
    </row>
    <row r="880" spans="1:9" ht="45" x14ac:dyDescent="0.25">
      <c r="A880" s="44" t="s">
        <v>88</v>
      </c>
      <c r="B880" s="6">
        <v>2044004</v>
      </c>
      <c r="C880" s="44" t="s">
        <v>1804</v>
      </c>
      <c r="D880" s="44"/>
      <c r="E880" s="6">
        <v>20</v>
      </c>
      <c r="F880" s="6">
        <v>348</v>
      </c>
      <c r="G880" s="6" t="s">
        <v>1806</v>
      </c>
      <c r="H880" s="44" t="s">
        <v>95</v>
      </c>
      <c r="I880" s="44" t="s">
        <v>96</v>
      </c>
    </row>
    <row r="881" spans="1:9" ht="45" x14ac:dyDescent="0.25">
      <c r="A881" s="44" t="s">
        <v>88</v>
      </c>
      <c r="B881" s="6">
        <v>2044004</v>
      </c>
      <c r="C881" s="44" t="s">
        <v>1804</v>
      </c>
      <c r="D881" s="44"/>
      <c r="E881" s="6">
        <v>40</v>
      </c>
      <c r="F881" s="6">
        <v>348</v>
      </c>
      <c r="G881" s="6" t="s">
        <v>1807</v>
      </c>
      <c r="H881" s="44" t="s">
        <v>95</v>
      </c>
      <c r="I881" s="44" t="s">
        <v>96</v>
      </c>
    </row>
    <row r="882" spans="1:9" ht="45" x14ac:dyDescent="0.25">
      <c r="A882" s="44" t="s">
        <v>88</v>
      </c>
      <c r="B882" s="6">
        <v>2044004</v>
      </c>
      <c r="C882" s="44" t="s">
        <v>1804</v>
      </c>
      <c r="D882" s="44" t="s">
        <v>1805</v>
      </c>
      <c r="E882" s="6">
        <v>45</v>
      </c>
      <c r="F882" s="6">
        <v>348</v>
      </c>
      <c r="G882" s="6" t="s">
        <v>766</v>
      </c>
      <c r="H882" s="44" t="s">
        <v>103</v>
      </c>
      <c r="I882" s="44" t="s">
        <v>104</v>
      </c>
    </row>
    <row r="883" spans="1:9" ht="45" x14ac:dyDescent="0.25">
      <c r="A883" s="44" t="s">
        <v>136</v>
      </c>
      <c r="B883" s="6">
        <v>2044004</v>
      </c>
      <c r="C883" s="44" t="s">
        <v>1804</v>
      </c>
      <c r="D883" s="44" t="s">
        <v>1808</v>
      </c>
      <c r="E883" s="6">
        <v>1</v>
      </c>
      <c r="F883" s="6">
        <v>348</v>
      </c>
      <c r="G883" s="6">
        <v>348</v>
      </c>
      <c r="H883" s="44" t="s">
        <v>142</v>
      </c>
      <c r="I883" s="44" t="s">
        <v>143</v>
      </c>
    </row>
    <row r="884" spans="1:9" ht="75" x14ac:dyDescent="0.25">
      <c r="A884" s="44" t="s">
        <v>148</v>
      </c>
      <c r="B884" s="6">
        <v>2044004</v>
      </c>
      <c r="C884" s="44" t="s">
        <v>1804</v>
      </c>
      <c r="D884" s="44"/>
      <c r="E884" s="6">
        <v>20</v>
      </c>
      <c r="F884" s="6">
        <v>348</v>
      </c>
      <c r="G884" s="6" t="s">
        <v>1806</v>
      </c>
      <c r="H884" s="44" t="s">
        <v>154</v>
      </c>
      <c r="I884" s="44" t="s">
        <v>155</v>
      </c>
    </row>
    <row r="885" spans="1:9" ht="75" x14ac:dyDescent="0.25">
      <c r="A885" s="44" t="s">
        <v>148</v>
      </c>
      <c r="B885" s="6">
        <v>2044004</v>
      </c>
      <c r="C885" s="44" t="s">
        <v>1804</v>
      </c>
      <c r="D885" s="44"/>
      <c r="E885" s="6">
        <v>20</v>
      </c>
      <c r="F885" s="6">
        <v>348</v>
      </c>
      <c r="G885" s="6" t="s">
        <v>1806</v>
      </c>
      <c r="H885" s="44" t="s">
        <v>154</v>
      </c>
      <c r="I885" s="44" t="s">
        <v>155</v>
      </c>
    </row>
    <row r="886" spans="1:9" ht="30" x14ac:dyDescent="0.25">
      <c r="A886" s="44" t="s">
        <v>158</v>
      </c>
      <c r="B886" s="6">
        <v>2044004</v>
      </c>
      <c r="C886" s="44" t="s">
        <v>1804</v>
      </c>
      <c r="D886" s="44"/>
      <c r="E886" s="6">
        <v>2</v>
      </c>
      <c r="F886" s="6">
        <v>348</v>
      </c>
      <c r="G886" s="6">
        <v>696</v>
      </c>
      <c r="H886" s="44" t="s">
        <v>164</v>
      </c>
      <c r="I886" s="44" t="s">
        <v>165</v>
      </c>
    </row>
    <row r="887" spans="1:9" ht="60" x14ac:dyDescent="0.25">
      <c r="A887" s="44" t="s">
        <v>166</v>
      </c>
      <c r="B887" s="6">
        <v>2044004</v>
      </c>
      <c r="C887" s="44" t="s">
        <v>1804</v>
      </c>
      <c r="D887" s="44" t="s">
        <v>1809</v>
      </c>
      <c r="E887" s="6">
        <v>50</v>
      </c>
      <c r="F887" s="6">
        <v>348</v>
      </c>
      <c r="G887" s="6" t="s">
        <v>1810</v>
      </c>
      <c r="H887" s="44" t="s">
        <v>172</v>
      </c>
      <c r="I887" s="44" t="s">
        <v>173</v>
      </c>
    </row>
    <row r="888" spans="1:9" ht="75" x14ac:dyDescent="0.25">
      <c r="A888" s="44" t="s">
        <v>166</v>
      </c>
      <c r="B888" s="6">
        <v>2044004</v>
      </c>
      <c r="C888" s="44" t="s">
        <v>1804</v>
      </c>
      <c r="D888" s="44" t="s">
        <v>1811</v>
      </c>
      <c r="E888" s="6">
        <v>102</v>
      </c>
      <c r="F888" s="6">
        <v>348</v>
      </c>
      <c r="G888" s="6" t="s">
        <v>1812</v>
      </c>
      <c r="H888" s="44" t="s">
        <v>169</v>
      </c>
      <c r="I888" s="44" t="s">
        <v>170</v>
      </c>
    </row>
    <row r="889" spans="1:9" ht="60" x14ac:dyDescent="0.25">
      <c r="A889" s="44" t="s">
        <v>166</v>
      </c>
      <c r="B889" s="6">
        <v>2044004</v>
      </c>
      <c r="C889" s="44" t="s">
        <v>1804</v>
      </c>
      <c r="D889" s="44" t="s">
        <v>1813</v>
      </c>
      <c r="E889" s="6">
        <v>102</v>
      </c>
      <c r="F889" s="6">
        <v>348</v>
      </c>
      <c r="G889" s="6" t="s">
        <v>1812</v>
      </c>
      <c r="H889" s="44" t="s">
        <v>172</v>
      </c>
      <c r="I889" s="44" t="s">
        <v>173</v>
      </c>
    </row>
    <row r="890" spans="1:9" ht="60" x14ac:dyDescent="0.25">
      <c r="A890" s="44" t="s">
        <v>166</v>
      </c>
      <c r="B890" s="6">
        <v>2044004</v>
      </c>
      <c r="C890" s="44" t="s">
        <v>1804</v>
      </c>
      <c r="D890" s="44"/>
      <c r="E890" s="6">
        <v>65</v>
      </c>
      <c r="F890" s="6">
        <v>348</v>
      </c>
      <c r="G890" s="6" t="s">
        <v>1814</v>
      </c>
      <c r="H890" s="44" t="s">
        <v>172</v>
      </c>
      <c r="I890" s="44" t="s">
        <v>173</v>
      </c>
    </row>
    <row r="891" spans="1:9" ht="75" x14ac:dyDescent="0.25">
      <c r="A891" s="44" t="s">
        <v>148</v>
      </c>
      <c r="B891" s="6">
        <v>2045005</v>
      </c>
      <c r="C891" s="44" t="s">
        <v>1815</v>
      </c>
      <c r="D891" s="44"/>
      <c r="E891" s="6">
        <v>1</v>
      </c>
      <c r="F891" s="6" t="s">
        <v>1077</v>
      </c>
      <c r="G891" s="6" t="s">
        <v>1077</v>
      </c>
      <c r="H891" s="44" t="s">
        <v>154</v>
      </c>
      <c r="I891" s="44" t="s">
        <v>155</v>
      </c>
    </row>
    <row r="892" spans="1:9" ht="45" x14ac:dyDescent="0.25">
      <c r="A892" s="44" t="s">
        <v>88</v>
      </c>
      <c r="B892" s="6">
        <v>2045006</v>
      </c>
      <c r="C892" s="44" t="s">
        <v>1816</v>
      </c>
      <c r="D892" s="44" t="s">
        <v>1817</v>
      </c>
      <c r="E892" s="6">
        <v>1</v>
      </c>
      <c r="F892" s="6">
        <v>700</v>
      </c>
      <c r="G892" s="6">
        <v>700</v>
      </c>
      <c r="H892" s="44" t="s">
        <v>99</v>
      </c>
      <c r="I892" s="44" t="s">
        <v>100</v>
      </c>
    </row>
    <row r="893" spans="1:9" ht="45" x14ac:dyDescent="0.25">
      <c r="A893" s="44" t="s">
        <v>88</v>
      </c>
      <c r="B893" s="6">
        <v>2045006</v>
      </c>
      <c r="C893" s="44" t="s">
        <v>1816</v>
      </c>
      <c r="D893" s="44" t="s">
        <v>1817</v>
      </c>
      <c r="E893" s="6">
        <v>1</v>
      </c>
      <c r="F893" s="6">
        <v>700</v>
      </c>
      <c r="G893" s="6">
        <v>700</v>
      </c>
      <c r="H893" s="44" t="s">
        <v>101</v>
      </c>
      <c r="I893" s="44" t="s">
        <v>102</v>
      </c>
    </row>
    <row r="894" spans="1:9" ht="45" x14ac:dyDescent="0.25">
      <c r="A894" s="44" t="s">
        <v>88</v>
      </c>
      <c r="B894" s="6">
        <v>2045006</v>
      </c>
      <c r="C894" s="44" t="s">
        <v>1816</v>
      </c>
      <c r="D894" s="44" t="s">
        <v>1817</v>
      </c>
      <c r="E894" s="6">
        <v>1</v>
      </c>
      <c r="F894" s="6">
        <v>700</v>
      </c>
      <c r="G894" s="6">
        <v>700</v>
      </c>
      <c r="H894" s="44" t="s">
        <v>103</v>
      </c>
      <c r="I894" s="44" t="s">
        <v>104</v>
      </c>
    </row>
    <row r="895" spans="1:9" ht="45" x14ac:dyDescent="0.25">
      <c r="A895" s="44" t="s">
        <v>88</v>
      </c>
      <c r="B895" s="6">
        <v>2045006</v>
      </c>
      <c r="C895" s="44" t="s">
        <v>1816</v>
      </c>
      <c r="D895" s="44" t="s">
        <v>1817</v>
      </c>
      <c r="E895" s="6">
        <v>1</v>
      </c>
      <c r="F895" s="6">
        <v>700</v>
      </c>
      <c r="G895" s="6">
        <v>700</v>
      </c>
      <c r="H895" s="44" t="s">
        <v>95</v>
      </c>
      <c r="I895" s="44" t="s">
        <v>96</v>
      </c>
    </row>
    <row r="896" spans="1:9" ht="75" x14ac:dyDescent="0.25">
      <c r="A896" s="44" t="s">
        <v>148</v>
      </c>
      <c r="B896" s="6">
        <v>2045006</v>
      </c>
      <c r="C896" s="44" t="s">
        <v>1816</v>
      </c>
      <c r="D896" s="44" t="s">
        <v>1818</v>
      </c>
      <c r="E896" s="6">
        <v>2</v>
      </c>
      <c r="F896" s="6">
        <v>700</v>
      </c>
      <c r="G896" s="6" t="s">
        <v>1212</v>
      </c>
      <c r="H896" s="44" t="s">
        <v>154</v>
      </c>
      <c r="I896" s="44" t="s">
        <v>155</v>
      </c>
    </row>
    <row r="897" spans="1:9" ht="45" x14ac:dyDescent="0.25">
      <c r="A897" s="44" t="s">
        <v>158</v>
      </c>
      <c r="B897" s="6">
        <v>2045006</v>
      </c>
      <c r="C897" s="44" t="s">
        <v>1816</v>
      </c>
      <c r="D897" s="44" t="s">
        <v>1819</v>
      </c>
      <c r="E897" s="6">
        <v>1</v>
      </c>
      <c r="F897" s="6">
        <v>700</v>
      </c>
      <c r="G897" s="6">
        <v>700</v>
      </c>
      <c r="H897" s="44" t="s">
        <v>164</v>
      </c>
      <c r="I897" s="44" t="s">
        <v>165</v>
      </c>
    </row>
    <row r="898" spans="1:9" ht="75" x14ac:dyDescent="0.25">
      <c r="A898" s="44" t="s">
        <v>148</v>
      </c>
      <c r="B898" s="6">
        <v>2087014</v>
      </c>
      <c r="C898" s="44" t="s">
        <v>1820</v>
      </c>
      <c r="D898" s="44" t="s">
        <v>1821</v>
      </c>
      <c r="E898" s="6">
        <v>45</v>
      </c>
      <c r="F898" s="6">
        <v>15</v>
      </c>
      <c r="G898" s="6">
        <v>675</v>
      </c>
      <c r="H898" s="44" t="s">
        <v>154</v>
      </c>
      <c r="I898" s="44" t="s">
        <v>155</v>
      </c>
    </row>
    <row r="899" spans="1:9" ht="75" x14ac:dyDescent="0.25">
      <c r="A899" s="44" t="s">
        <v>148</v>
      </c>
      <c r="B899" s="6">
        <v>2087015</v>
      </c>
      <c r="C899" s="44" t="s">
        <v>1822</v>
      </c>
      <c r="D899" s="44" t="s">
        <v>1823</v>
      </c>
      <c r="E899" s="6">
        <v>12</v>
      </c>
      <c r="F899" s="6">
        <v>290</v>
      </c>
      <c r="G899" s="6" t="s">
        <v>767</v>
      </c>
      <c r="H899" s="44" t="s">
        <v>154</v>
      </c>
      <c r="I899" s="44" t="s">
        <v>155</v>
      </c>
    </row>
    <row r="900" spans="1:9" ht="60" x14ac:dyDescent="0.25">
      <c r="A900" s="44" t="s">
        <v>158</v>
      </c>
      <c r="B900" s="6">
        <v>2087015</v>
      </c>
      <c r="C900" s="44" t="s">
        <v>1822</v>
      </c>
      <c r="D900" s="44"/>
      <c r="E900" s="6">
        <v>2</v>
      </c>
      <c r="F900" s="6">
        <v>290</v>
      </c>
      <c r="G900" s="6">
        <v>580</v>
      </c>
      <c r="H900" s="44" t="s">
        <v>161</v>
      </c>
      <c r="I900" s="44" t="s">
        <v>162</v>
      </c>
    </row>
    <row r="901" spans="1:9" ht="30" x14ac:dyDescent="0.25">
      <c r="A901" s="44" t="s">
        <v>247</v>
      </c>
      <c r="B901" s="6">
        <v>2087015</v>
      </c>
      <c r="C901" s="44" t="s">
        <v>1822</v>
      </c>
      <c r="D901" s="44"/>
      <c r="E901" s="6">
        <v>2</v>
      </c>
      <c r="F901" s="6">
        <v>290</v>
      </c>
      <c r="G901" s="6">
        <v>580</v>
      </c>
      <c r="H901" s="44" t="s">
        <v>250</v>
      </c>
      <c r="I901" s="44" t="s">
        <v>251</v>
      </c>
    </row>
    <row r="902" spans="1:9" ht="75" x14ac:dyDescent="0.25">
      <c r="A902" s="44" t="s">
        <v>148</v>
      </c>
      <c r="B902" s="6">
        <v>2087014</v>
      </c>
      <c r="C902" s="44" t="s">
        <v>1824</v>
      </c>
      <c r="D902" s="44" t="s">
        <v>1825</v>
      </c>
      <c r="E902" s="6">
        <v>5</v>
      </c>
      <c r="F902" s="6" t="s">
        <v>726</v>
      </c>
      <c r="G902" s="6" t="s">
        <v>747</v>
      </c>
      <c r="H902" s="44" t="s">
        <v>154</v>
      </c>
      <c r="I902" s="44" t="s">
        <v>155</v>
      </c>
    </row>
    <row r="903" spans="1:9" ht="75" x14ac:dyDescent="0.25">
      <c r="A903" s="44" t="s">
        <v>148</v>
      </c>
      <c r="B903" s="6">
        <v>2087014</v>
      </c>
      <c r="C903" s="44" t="s">
        <v>1824</v>
      </c>
      <c r="D903" s="44" t="s">
        <v>1826</v>
      </c>
      <c r="E903" s="6">
        <v>3</v>
      </c>
      <c r="F903" s="6" t="s">
        <v>726</v>
      </c>
      <c r="G903" s="6" t="s">
        <v>736</v>
      </c>
      <c r="H903" s="44" t="s">
        <v>154</v>
      </c>
      <c r="I903" s="44" t="s">
        <v>155</v>
      </c>
    </row>
    <row r="904" spans="1:9" ht="75" x14ac:dyDescent="0.25">
      <c r="A904" s="44" t="s">
        <v>148</v>
      </c>
      <c r="B904" s="6">
        <v>2087014</v>
      </c>
      <c r="C904" s="44" t="s">
        <v>1824</v>
      </c>
      <c r="D904" s="44" t="s">
        <v>1827</v>
      </c>
      <c r="E904" s="6">
        <v>5</v>
      </c>
      <c r="F904" s="6" t="s">
        <v>726</v>
      </c>
      <c r="G904" s="6" t="s">
        <v>747</v>
      </c>
      <c r="H904" s="44" t="s">
        <v>154</v>
      </c>
      <c r="I904" s="44" t="s">
        <v>155</v>
      </c>
    </row>
    <row r="905" spans="1:9" ht="45" x14ac:dyDescent="0.25">
      <c r="A905" s="44" t="s">
        <v>207</v>
      </c>
      <c r="B905" s="6">
        <v>1203001</v>
      </c>
      <c r="C905" s="44" t="s">
        <v>1828</v>
      </c>
      <c r="D905" s="44" t="s">
        <v>1829</v>
      </c>
      <c r="E905" s="6">
        <v>25</v>
      </c>
      <c r="F905" s="6">
        <v>5</v>
      </c>
      <c r="G905" s="6">
        <v>125</v>
      </c>
      <c r="H905" s="44" t="s">
        <v>208</v>
      </c>
      <c r="I905" s="44" t="s">
        <v>207</v>
      </c>
    </row>
    <row r="906" spans="1:9" ht="45" x14ac:dyDescent="0.25">
      <c r="A906" s="44" t="s">
        <v>136</v>
      </c>
      <c r="B906" s="6"/>
      <c r="C906" s="44" t="s">
        <v>1830</v>
      </c>
      <c r="D906" s="44" t="s">
        <v>1831</v>
      </c>
      <c r="E906" s="6">
        <v>1</v>
      </c>
      <c r="F906" s="6" t="s">
        <v>838</v>
      </c>
      <c r="G906" s="6" t="s">
        <v>838</v>
      </c>
      <c r="H906" s="44" t="s">
        <v>146</v>
      </c>
      <c r="I906" s="44" t="s">
        <v>147</v>
      </c>
    </row>
    <row r="907" spans="1:9" ht="45" x14ac:dyDescent="0.25">
      <c r="A907" s="44" t="s">
        <v>136</v>
      </c>
      <c r="B907" s="6"/>
      <c r="C907" s="44" t="s">
        <v>1830</v>
      </c>
      <c r="D907" s="44" t="s">
        <v>1832</v>
      </c>
      <c r="E907" s="6">
        <v>1</v>
      </c>
      <c r="F907" s="6" t="s">
        <v>680</v>
      </c>
      <c r="G907" s="6" t="s">
        <v>680</v>
      </c>
      <c r="H907" s="44" t="s">
        <v>142</v>
      </c>
      <c r="I907" s="44" t="s">
        <v>143</v>
      </c>
    </row>
    <row r="908" spans="1:9" ht="45" x14ac:dyDescent="0.25">
      <c r="A908" s="44" t="s">
        <v>136</v>
      </c>
      <c r="B908" s="6"/>
      <c r="C908" s="44" t="s">
        <v>1830</v>
      </c>
      <c r="D908" s="44" t="s">
        <v>1833</v>
      </c>
      <c r="E908" s="6">
        <v>12</v>
      </c>
      <c r="F908" s="6" t="s">
        <v>946</v>
      </c>
      <c r="G908" s="6" t="s">
        <v>1834</v>
      </c>
      <c r="H908" s="44" t="s">
        <v>142</v>
      </c>
      <c r="I908" s="44" t="s">
        <v>143</v>
      </c>
    </row>
    <row r="909" spans="1:9" ht="30" x14ac:dyDescent="0.25">
      <c r="A909" s="44" t="s">
        <v>247</v>
      </c>
      <c r="B909" s="6"/>
      <c r="C909" s="44" t="s">
        <v>1830</v>
      </c>
      <c r="D909" s="44" t="s">
        <v>1835</v>
      </c>
      <c r="E909" s="6">
        <v>1</v>
      </c>
      <c r="F909" s="6" t="s">
        <v>987</v>
      </c>
      <c r="G909" s="6" t="s">
        <v>987</v>
      </c>
      <c r="H909" s="44" t="s">
        <v>250</v>
      </c>
      <c r="I909" s="44" t="s">
        <v>251</v>
      </c>
    </row>
    <row r="910" spans="1:9" ht="30" x14ac:dyDescent="0.25">
      <c r="A910" s="44" t="s">
        <v>247</v>
      </c>
      <c r="B910" s="6"/>
      <c r="C910" s="44" t="s">
        <v>1830</v>
      </c>
      <c r="D910" s="44" t="s">
        <v>1836</v>
      </c>
      <c r="E910" s="6">
        <v>1</v>
      </c>
      <c r="F910" s="6" t="s">
        <v>990</v>
      </c>
      <c r="G910" s="6" t="s">
        <v>990</v>
      </c>
      <c r="H910" s="44" t="s">
        <v>250</v>
      </c>
      <c r="I910" s="44" t="s">
        <v>251</v>
      </c>
    </row>
    <row r="911" spans="1:9" ht="30" x14ac:dyDescent="0.25">
      <c r="A911" s="44" t="s">
        <v>247</v>
      </c>
      <c r="B911" s="6"/>
      <c r="C911" s="44" t="s">
        <v>1830</v>
      </c>
      <c r="D911" s="44" t="s">
        <v>1835</v>
      </c>
      <c r="E911" s="6">
        <v>1</v>
      </c>
      <c r="F911" s="6" t="s">
        <v>987</v>
      </c>
      <c r="G911" s="6" t="s">
        <v>987</v>
      </c>
      <c r="H911" s="44" t="s">
        <v>250</v>
      </c>
      <c r="I911" s="44" t="s">
        <v>251</v>
      </c>
    </row>
    <row r="912" spans="1:9" ht="45" x14ac:dyDescent="0.25">
      <c r="A912" s="44" t="s">
        <v>247</v>
      </c>
      <c r="B912" s="6">
        <v>2128020</v>
      </c>
      <c r="C912" s="44" t="s">
        <v>1837</v>
      </c>
      <c r="D912" s="44" t="s">
        <v>1838</v>
      </c>
      <c r="E912" s="6">
        <v>1</v>
      </c>
      <c r="F912" s="6" t="s">
        <v>990</v>
      </c>
      <c r="G912" s="6" t="s">
        <v>990</v>
      </c>
      <c r="H912" s="44" t="s">
        <v>250</v>
      </c>
      <c r="I912" s="44" t="s">
        <v>251</v>
      </c>
    </row>
    <row r="913" spans="1:9" ht="45" x14ac:dyDescent="0.25">
      <c r="A913" s="44" t="s">
        <v>286</v>
      </c>
      <c r="B913" s="6">
        <v>2128020</v>
      </c>
      <c r="C913" s="44" t="s">
        <v>1837</v>
      </c>
      <c r="D913" s="44" t="s">
        <v>1839</v>
      </c>
      <c r="E913" s="6">
        <v>4</v>
      </c>
      <c r="F913" s="6" t="s">
        <v>1840</v>
      </c>
      <c r="G913" s="6" t="s">
        <v>1841</v>
      </c>
      <c r="H913" s="44" t="s">
        <v>289</v>
      </c>
      <c r="I913" s="44" t="s">
        <v>290</v>
      </c>
    </row>
    <row r="914" spans="1:9" ht="75" x14ac:dyDescent="0.25">
      <c r="A914" s="44" t="s">
        <v>148</v>
      </c>
      <c r="B914" s="6">
        <v>119400042</v>
      </c>
      <c r="C914" s="44" t="s">
        <v>1842</v>
      </c>
      <c r="D914" s="44" t="s">
        <v>1843</v>
      </c>
      <c r="E914" s="6">
        <v>2</v>
      </c>
      <c r="F914" s="6" t="s">
        <v>800</v>
      </c>
      <c r="G914" s="6" t="s">
        <v>736</v>
      </c>
      <c r="H914" s="44" t="s">
        <v>154</v>
      </c>
      <c r="I914" s="44" t="s">
        <v>155</v>
      </c>
    </row>
    <row r="915" spans="1:9" ht="75" x14ac:dyDescent="0.25">
      <c r="A915" s="44" t="s">
        <v>148</v>
      </c>
      <c r="B915" s="6">
        <v>142200113</v>
      </c>
      <c r="C915" s="44" t="s">
        <v>1844</v>
      </c>
      <c r="D915" s="44" t="s">
        <v>1845</v>
      </c>
      <c r="E915" s="6">
        <v>5</v>
      </c>
      <c r="F915" s="6">
        <v>35</v>
      </c>
      <c r="G915" s="6">
        <v>175</v>
      </c>
      <c r="H915" s="44" t="s">
        <v>154</v>
      </c>
      <c r="I915" s="44" t="s">
        <v>155</v>
      </c>
    </row>
    <row r="916" spans="1:9" ht="45" x14ac:dyDescent="0.25">
      <c r="A916" s="44" t="s">
        <v>70</v>
      </c>
      <c r="B916" s="6">
        <v>2311009</v>
      </c>
      <c r="C916" s="44" t="s">
        <v>1846</v>
      </c>
      <c r="D916" s="44"/>
      <c r="E916" s="6">
        <v>4</v>
      </c>
      <c r="F916" s="6">
        <v>500</v>
      </c>
      <c r="G916" s="6" t="s">
        <v>814</v>
      </c>
      <c r="H916" s="44" t="s">
        <v>73</v>
      </c>
      <c r="I916" s="44" t="s">
        <v>74</v>
      </c>
    </row>
    <row r="917" spans="1:9" ht="45" x14ac:dyDescent="0.25">
      <c r="A917" s="44" t="s">
        <v>70</v>
      </c>
      <c r="B917" s="6">
        <v>2311002</v>
      </c>
      <c r="C917" s="44" t="s">
        <v>1847</v>
      </c>
      <c r="D917" s="44" t="s">
        <v>1848</v>
      </c>
      <c r="E917" s="6">
        <v>8</v>
      </c>
      <c r="F917" s="6">
        <v>500</v>
      </c>
      <c r="G917" s="6" t="s">
        <v>845</v>
      </c>
      <c r="H917" s="44" t="s">
        <v>73</v>
      </c>
      <c r="I917" s="44" t="s">
        <v>74</v>
      </c>
    </row>
    <row r="918" spans="1:9" ht="45" x14ac:dyDescent="0.25">
      <c r="A918" s="44" t="s">
        <v>70</v>
      </c>
      <c r="B918" s="6">
        <v>2311002</v>
      </c>
      <c r="C918" s="44" t="s">
        <v>1847</v>
      </c>
      <c r="D918" s="44" t="s">
        <v>1849</v>
      </c>
      <c r="E918" s="6">
        <v>4</v>
      </c>
      <c r="F918" s="6">
        <v>500</v>
      </c>
      <c r="G918" s="6" t="s">
        <v>814</v>
      </c>
      <c r="H918" s="44" t="s">
        <v>73</v>
      </c>
      <c r="I918" s="44" t="s">
        <v>74</v>
      </c>
    </row>
    <row r="919" spans="1:9" ht="45" x14ac:dyDescent="0.25">
      <c r="A919" s="44" t="s">
        <v>70</v>
      </c>
      <c r="B919" s="6">
        <v>2311002</v>
      </c>
      <c r="C919" s="44" t="s">
        <v>1847</v>
      </c>
      <c r="D919" s="44" t="s">
        <v>1850</v>
      </c>
      <c r="E919" s="6">
        <v>4</v>
      </c>
      <c r="F919" s="6">
        <v>500</v>
      </c>
      <c r="G919" s="6" t="s">
        <v>814</v>
      </c>
      <c r="H919" s="44" t="s">
        <v>73</v>
      </c>
      <c r="I919" s="44" t="s">
        <v>74</v>
      </c>
    </row>
    <row r="920" spans="1:9" ht="45" x14ac:dyDescent="0.25">
      <c r="A920" s="44" t="s">
        <v>70</v>
      </c>
      <c r="B920" s="6">
        <v>2311002</v>
      </c>
      <c r="C920" s="44" t="s">
        <v>1847</v>
      </c>
      <c r="D920" s="44" t="s">
        <v>1851</v>
      </c>
      <c r="E920" s="6">
        <v>8</v>
      </c>
      <c r="F920" s="6">
        <v>500</v>
      </c>
      <c r="G920" s="6" t="s">
        <v>845</v>
      </c>
      <c r="H920" s="44" t="s">
        <v>73</v>
      </c>
      <c r="I920" s="44" t="s">
        <v>74</v>
      </c>
    </row>
    <row r="921" spans="1:9" ht="45" x14ac:dyDescent="0.25">
      <c r="A921" s="44" t="s">
        <v>70</v>
      </c>
      <c r="B921" s="6">
        <v>2311002</v>
      </c>
      <c r="C921" s="44" t="s">
        <v>1847</v>
      </c>
      <c r="D921" s="44" t="s">
        <v>1852</v>
      </c>
      <c r="E921" s="6">
        <v>4</v>
      </c>
      <c r="F921" s="6">
        <v>500</v>
      </c>
      <c r="G921" s="6" t="s">
        <v>814</v>
      </c>
      <c r="H921" s="44" t="s">
        <v>73</v>
      </c>
      <c r="I921" s="44" t="s">
        <v>74</v>
      </c>
    </row>
    <row r="922" spans="1:9" ht="45" x14ac:dyDescent="0.25">
      <c r="A922" s="44" t="s">
        <v>70</v>
      </c>
      <c r="B922" s="6">
        <v>2311002</v>
      </c>
      <c r="C922" s="44" t="s">
        <v>1847</v>
      </c>
      <c r="D922" s="44" t="s">
        <v>1853</v>
      </c>
      <c r="E922" s="6">
        <v>4</v>
      </c>
      <c r="F922" s="6" t="s">
        <v>726</v>
      </c>
      <c r="G922" s="6" t="s">
        <v>845</v>
      </c>
      <c r="H922" s="44" t="s">
        <v>73</v>
      </c>
      <c r="I922" s="44" t="s">
        <v>74</v>
      </c>
    </row>
    <row r="923" spans="1:9" ht="45" x14ac:dyDescent="0.25">
      <c r="A923" s="44" t="s">
        <v>70</v>
      </c>
      <c r="B923" s="6">
        <v>2311002</v>
      </c>
      <c r="C923" s="44" t="s">
        <v>1847</v>
      </c>
      <c r="D923" s="44" t="s">
        <v>1854</v>
      </c>
      <c r="E923" s="6">
        <v>4</v>
      </c>
      <c r="F923" s="6">
        <v>500</v>
      </c>
      <c r="G923" s="6" t="s">
        <v>814</v>
      </c>
      <c r="H923" s="44" t="s">
        <v>73</v>
      </c>
      <c r="I923" s="44" t="s">
        <v>74</v>
      </c>
    </row>
    <row r="924" spans="1:9" ht="45" x14ac:dyDescent="0.25">
      <c r="A924" s="44" t="s">
        <v>70</v>
      </c>
      <c r="B924" s="6">
        <v>2311002</v>
      </c>
      <c r="C924" s="44" t="s">
        <v>1847</v>
      </c>
      <c r="D924" s="44" t="s">
        <v>1854</v>
      </c>
      <c r="E924" s="6">
        <v>4</v>
      </c>
      <c r="F924" s="6">
        <v>500</v>
      </c>
      <c r="G924" s="6" t="s">
        <v>814</v>
      </c>
      <c r="H924" s="44" t="s">
        <v>73</v>
      </c>
      <c r="I924" s="44" t="s">
        <v>74</v>
      </c>
    </row>
    <row r="925" spans="1:9" ht="60" x14ac:dyDescent="0.25">
      <c r="A925" s="44" t="s">
        <v>158</v>
      </c>
      <c r="B925" s="6"/>
      <c r="C925" s="44" t="s">
        <v>1855</v>
      </c>
      <c r="D925" s="44" t="s">
        <v>1856</v>
      </c>
      <c r="E925" s="6">
        <v>2</v>
      </c>
      <c r="F925" s="6">
        <v>180</v>
      </c>
      <c r="G925" s="6">
        <v>360</v>
      </c>
      <c r="H925" s="44" t="s">
        <v>161</v>
      </c>
      <c r="I925" s="44" t="s">
        <v>162</v>
      </c>
    </row>
    <row r="926" spans="1:9" ht="45" x14ac:dyDescent="0.25">
      <c r="A926" s="44" t="s">
        <v>136</v>
      </c>
      <c r="B926" s="6">
        <v>2138012</v>
      </c>
      <c r="C926" s="44" t="s">
        <v>1857</v>
      </c>
      <c r="D926" s="44" t="s">
        <v>1858</v>
      </c>
      <c r="E926" s="6">
        <v>3</v>
      </c>
      <c r="F926" s="6">
        <v>360</v>
      </c>
      <c r="G926" s="6" t="s">
        <v>1859</v>
      </c>
      <c r="H926" s="44" t="s">
        <v>144</v>
      </c>
      <c r="I926" s="44" t="s">
        <v>145</v>
      </c>
    </row>
    <row r="927" spans="1:9" ht="45" x14ac:dyDescent="0.25">
      <c r="A927" s="44" t="s">
        <v>136</v>
      </c>
      <c r="B927" s="6">
        <v>2138012</v>
      </c>
      <c r="C927" s="44" t="s">
        <v>1857</v>
      </c>
      <c r="D927" s="44" t="s">
        <v>1858</v>
      </c>
      <c r="E927" s="6">
        <v>5</v>
      </c>
      <c r="F927" s="6">
        <v>360</v>
      </c>
      <c r="G927" s="6" t="s">
        <v>861</v>
      </c>
      <c r="H927" s="44" t="s">
        <v>144</v>
      </c>
      <c r="I927" s="44" t="s">
        <v>145</v>
      </c>
    </row>
    <row r="928" spans="1:9" ht="225" x14ac:dyDescent="0.25">
      <c r="A928" s="44" t="s">
        <v>209</v>
      </c>
      <c r="B928" s="6">
        <v>2138012</v>
      </c>
      <c r="C928" s="44" t="s">
        <v>1857</v>
      </c>
      <c r="D928" s="44" t="s">
        <v>1860</v>
      </c>
      <c r="E928" s="6">
        <v>2</v>
      </c>
      <c r="F928" s="6" t="s">
        <v>1861</v>
      </c>
      <c r="G928" s="6" t="s">
        <v>1862</v>
      </c>
      <c r="H928" s="44" t="s">
        <v>210</v>
      </c>
      <c r="I928" s="44" t="s">
        <v>209</v>
      </c>
    </row>
    <row r="929" spans="1:9" ht="105" x14ac:dyDescent="0.25">
      <c r="A929" s="44" t="s">
        <v>209</v>
      </c>
      <c r="B929" s="6">
        <v>2138012</v>
      </c>
      <c r="C929" s="44" t="s">
        <v>1857</v>
      </c>
      <c r="D929" s="44" t="s">
        <v>1863</v>
      </c>
      <c r="E929" s="6">
        <v>1</v>
      </c>
      <c r="F929" s="6">
        <v>14.263999999999999</v>
      </c>
      <c r="G929" s="6">
        <v>14.263999999999999</v>
      </c>
      <c r="H929" s="44" t="s">
        <v>210</v>
      </c>
      <c r="I929" s="44" t="s">
        <v>209</v>
      </c>
    </row>
    <row r="930" spans="1:9" ht="75" x14ac:dyDescent="0.25">
      <c r="A930" s="44" t="s">
        <v>209</v>
      </c>
      <c r="B930" s="6">
        <v>2138012</v>
      </c>
      <c r="C930" s="44" t="s">
        <v>1857</v>
      </c>
      <c r="D930" s="44" t="s">
        <v>1864</v>
      </c>
      <c r="E930" s="6">
        <v>1</v>
      </c>
      <c r="F930" s="6">
        <v>14.263999999999999</v>
      </c>
      <c r="G930" s="6">
        <v>14.263999999999999</v>
      </c>
      <c r="H930" s="44" t="s">
        <v>210</v>
      </c>
      <c r="I930" s="44" t="s">
        <v>209</v>
      </c>
    </row>
    <row r="931" spans="1:9" ht="240" x14ac:dyDescent="0.25">
      <c r="A931" s="44" t="s">
        <v>209</v>
      </c>
      <c r="B931" s="6">
        <v>2138012</v>
      </c>
      <c r="C931" s="44" t="s">
        <v>1857</v>
      </c>
      <c r="D931" s="44" t="s">
        <v>1865</v>
      </c>
      <c r="E931" s="6">
        <v>1</v>
      </c>
      <c r="F931" s="6">
        <v>516.71</v>
      </c>
      <c r="G931" s="6">
        <v>516.71</v>
      </c>
      <c r="H931" s="44" t="s">
        <v>210</v>
      </c>
      <c r="I931" s="44" t="s">
        <v>209</v>
      </c>
    </row>
    <row r="932" spans="1:9" ht="210" x14ac:dyDescent="0.25">
      <c r="A932" s="44" t="s">
        <v>209</v>
      </c>
      <c r="B932" s="6">
        <v>2138012</v>
      </c>
      <c r="C932" s="44" t="s">
        <v>1857</v>
      </c>
      <c r="D932" s="44" t="s">
        <v>1866</v>
      </c>
      <c r="E932" s="6">
        <v>1</v>
      </c>
      <c r="F932" s="6" t="s">
        <v>1867</v>
      </c>
      <c r="G932" s="6" t="s">
        <v>1867</v>
      </c>
      <c r="H932" s="44" t="s">
        <v>210</v>
      </c>
      <c r="I932" s="44" t="s">
        <v>209</v>
      </c>
    </row>
    <row r="933" spans="1:9" ht="60" x14ac:dyDescent="0.25">
      <c r="A933" s="44" t="s">
        <v>209</v>
      </c>
      <c r="B933" s="6">
        <v>2138012</v>
      </c>
      <c r="C933" s="44" t="s">
        <v>1857</v>
      </c>
      <c r="D933" s="44" t="s">
        <v>1868</v>
      </c>
      <c r="E933" s="6">
        <v>1</v>
      </c>
      <c r="F933" s="6" t="s">
        <v>1869</v>
      </c>
      <c r="G933" s="6" t="s">
        <v>1869</v>
      </c>
      <c r="H933" s="44" t="s">
        <v>210</v>
      </c>
      <c r="I933" s="44" t="s">
        <v>209</v>
      </c>
    </row>
    <row r="934" spans="1:9" ht="270" x14ac:dyDescent="0.25">
      <c r="A934" s="44" t="s">
        <v>209</v>
      </c>
      <c r="B934" s="6">
        <v>2138012</v>
      </c>
      <c r="C934" s="44" t="s">
        <v>1857</v>
      </c>
      <c r="D934" s="44" t="s">
        <v>1870</v>
      </c>
      <c r="E934" s="6">
        <v>1</v>
      </c>
      <c r="F934" s="6" t="s">
        <v>1335</v>
      </c>
      <c r="G934" s="6" t="s">
        <v>1335</v>
      </c>
      <c r="H934" s="44" t="s">
        <v>210</v>
      </c>
      <c r="I934" s="44" t="s">
        <v>209</v>
      </c>
    </row>
    <row r="935" spans="1:9" ht="105" x14ac:dyDescent="0.25">
      <c r="A935" s="44" t="s">
        <v>209</v>
      </c>
      <c r="B935" s="6">
        <v>2138012</v>
      </c>
      <c r="C935" s="44" t="s">
        <v>1857</v>
      </c>
      <c r="D935" s="44" t="s">
        <v>1871</v>
      </c>
      <c r="E935" s="6">
        <v>1</v>
      </c>
      <c r="F935" s="6">
        <v>300</v>
      </c>
      <c r="G935" s="6">
        <v>300</v>
      </c>
      <c r="H935" s="44" t="s">
        <v>210</v>
      </c>
      <c r="I935" s="44" t="s">
        <v>209</v>
      </c>
    </row>
    <row r="936" spans="1:9" ht="105" x14ac:dyDescent="0.25">
      <c r="A936" s="44" t="s">
        <v>209</v>
      </c>
      <c r="B936" s="6">
        <v>2138012</v>
      </c>
      <c r="C936" s="44" t="s">
        <v>1857</v>
      </c>
      <c r="D936" s="44" t="s">
        <v>1872</v>
      </c>
      <c r="E936" s="6">
        <v>1</v>
      </c>
      <c r="F936" s="6">
        <v>300</v>
      </c>
      <c r="G936" s="6">
        <v>300</v>
      </c>
      <c r="H936" s="44" t="s">
        <v>210</v>
      </c>
      <c r="I936" s="44" t="s">
        <v>209</v>
      </c>
    </row>
    <row r="937" spans="1:9" ht="210" x14ac:dyDescent="0.25">
      <c r="A937" s="44" t="s">
        <v>209</v>
      </c>
      <c r="B937" s="6">
        <v>2138012</v>
      </c>
      <c r="C937" s="44" t="s">
        <v>1857</v>
      </c>
      <c r="D937" s="44" t="s">
        <v>1873</v>
      </c>
      <c r="E937" s="6">
        <v>1</v>
      </c>
      <c r="F937" s="6" t="s">
        <v>1874</v>
      </c>
      <c r="G937" s="6" t="s">
        <v>1874</v>
      </c>
      <c r="H937" s="44" t="s">
        <v>210</v>
      </c>
      <c r="I937" s="44" t="s">
        <v>209</v>
      </c>
    </row>
    <row r="938" spans="1:9" ht="315" x14ac:dyDescent="0.25">
      <c r="A938" s="44" t="s">
        <v>209</v>
      </c>
      <c r="B938" s="6">
        <v>2138012</v>
      </c>
      <c r="C938" s="44" t="s">
        <v>1857</v>
      </c>
      <c r="D938" s="44" t="s">
        <v>1875</v>
      </c>
      <c r="E938" s="6">
        <v>1</v>
      </c>
      <c r="F938" s="6">
        <v>305</v>
      </c>
      <c r="G938" s="6">
        <v>305</v>
      </c>
      <c r="H938" s="44" t="s">
        <v>210</v>
      </c>
      <c r="I938" s="44" t="s">
        <v>209</v>
      </c>
    </row>
    <row r="939" spans="1:9" ht="240" x14ac:dyDescent="0.25">
      <c r="A939" s="44" t="s">
        <v>209</v>
      </c>
      <c r="B939" s="6">
        <v>2138012</v>
      </c>
      <c r="C939" s="44" t="s">
        <v>1857</v>
      </c>
      <c r="D939" s="44" t="s">
        <v>1876</v>
      </c>
      <c r="E939" s="6">
        <v>1</v>
      </c>
      <c r="F939" s="6">
        <v>400</v>
      </c>
      <c r="G939" s="6">
        <v>400</v>
      </c>
      <c r="H939" s="44" t="s">
        <v>210</v>
      </c>
      <c r="I939" s="44" t="s">
        <v>209</v>
      </c>
    </row>
    <row r="940" spans="1:9" ht="90" x14ac:dyDescent="0.25">
      <c r="A940" s="44" t="s">
        <v>209</v>
      </c>
      <c r="B940" s="6">
        <v>2138012</v>
      </c>
      <c r="C940" s="44" t="s">
        <v>1857</v>
      </c>
      <c r="D940" s="44" t="s">
        <v>1877</v>
      </c>
      <c r="E940" s="6">
        <v>1</v>
      </c>
      <c r="F940" s="6">
        <v>199</v>
      </c>
      <c r="G940" s="6">
        <v>199</v>
      </c>
      <c r="H940" s="44" t="s">
        <v>210</v>
      </c>
      <c r="I940" s="44" t="s">
        <v>209</v>
      </c>
    </row>
    <row r="941" spans="1:9" ht="90" x14ac:dyDescent="0.25">
      <c r="A941" s="44" t="s">
        <v>209</v>
      </c>
      <c r="B941" s="6">
        <v>2138012</v>
      </c>
      <c r="C941" s="44" t="s">
        <v>1857</v>
      </c>
      <c r="D941" s="44" t="s">
        <v>1878</v>
      </c>
      <c r="E941" s="6">
        <v>1</v>
      </c>
      <c r="F941" s="6">
        <v>105.7</v>
      </c>
      <c r="G941" s="6">
        <v>105.7</v>
      </c>
      <c r="H941" s="44" t="s">
        <v>210</v>
      </c>
      <c r="I941" s="44" t="s">
        <v>209</v>
      </c>
    </row>
    <row r="942" spans="1:9" ht="285" x14ac:dyDescent="0.25">
      <c r="A942" s="44" t="s">
        <v>209</v>
      </c>
      <c r="B942" s="6">
        <v>2138012</v>
      </c>
      <c r="C942" s="44" t="s">
        <v>1857</v>
      </c>
      <c r="D942" s="44" t="s">
        <v>1879</v>
      </c>
      <c r="E942" s="6">
        <v>1</v>
      </c>
      <c r="F942" s="6" t="s">
        <v>1880</v>
      </c>
      <c r="G942" s="6" t="s">
        <v>1880</v>
      </c>
      <c r="H942" s="44" t="s">
        <v>210</v>
      </c>
      <c r="I942" s="44" t="s">
        <v>209</v>
      </c>
    </row>
    <row r="943" spans="1:9" ht="180" x14ac:dyDescent="0.25">
      <c r="A943" s="44" t="s">
        <v>209</v>
      </c>
      <c r="B943" s="6">
        <v>2138012</v>
      </c>
      <c r="C943" s="44" t="s">
        <v>1857</v>
      </c>
      <c r="D943" s="44" t="s">
        <v>1881</v>
      </c>
      <c r="E943" s="6">
        <v>1</v>
      </c>
      <c r="F943" s="6" t="s">
        <v>1882</v>
      </c>
      <c r="G943" s="6" t="s">
        <v>1882</v>
      </c>
      <c r="H943" s="44" t="s">
        <v>210</v>
      </c>
      <c r="I943" s="44" t="s">
        <v>209</v>
      </c>
    </row>
    <row r="944" spans="1:9" ht="60" x14ac:dyDescent="0.25">
      <c r="A944" s="44" t="s">
        <v>209</v>
      </c>
      <c r="B944" s="6">
        <v>2138012</v>
      </c>
      <c r="C944" s="44" t="s">
        <v>1857</v>
      </c>
      <c r="D944" s="44" t="s">
        <v>1883</v>
      </c>
      <c r="E944" s="6">
        <v>2</v>
      </c>
      <c r="F944" s="6">
        <v>76.430000000000007</v>
      </c>
      <c r="G944" s="6">
        <v>152.86000000000001</v>
      </c>
      <c r="H944" s="44" t="s">
        <v>210</v>
      </c>
      <c r="I944" s="44" t="s">
        <v>209</v>
      </c>
    </row>
    <row r="945" spans="1:9" ht="150" x14ac:dyDescent="0.25">
      <c r="A945" s="44" t="s">
        <v>209</v>
      </c>
      <c r="B945" s="6">
        <v>2138012</v>
      </c>
      <c r="C945" s="44" t="s">
        <v>1857</v>
      </c>
      <c r="D945" s="44" t="s">
        <v>1884</v>
      </c>
      <c r="E945" s="6">
        <v>1</v>
      </c>
      <c r="F945" s="6" t="s">
        <v>1885</v>
      </c>
      <c r="G945" s="6" t="s">
        <v>1885</v>
      </c>
      <c r="H945" s="44" t="s">
        <v>210</v>
      </c>
      <c r="I945" s="44" t="s">
        <v>209</v>
      </c>
    </row>
    <row r="946" spans="1:9" ht="45" x14ac:dyDescent="0.25">
      <c r="A946" s="44" t="s">
        <v>209</v>
      </c>
      <c r="B946" s="6">
        <v>2138012</v>
      </c>
      <c r="C946" s="44" t="s">
        <v>1857</v>
      </c>
      <c r="D946" s="44" t="s">
        <v>1886</v>
      </c>
      <c r="E946" s="6">
        <v>1</v>
      </c>
      <c r="F946" s="6" t="s">
        <v>1887</v>
      </c>
      <c r="G946" s="6" t="s">
        <v>1887</v>
      </c>
      <c r="H946" s="44" t="s">
        <v>210</v>
      </c>
      <c r="I946" s="44" t="s">
        <v>209</v>
      </c>
    </row>
    <row r="947" spans="1:9" ht="75" x14ac:dyDescent="0.25">
      <c r="A947" s="44" t="s">
        <v>209</v>
      </c>
      <c r="B947" s="6">
        <v>2138012</v>
      </c>
      <c r="C947" s="44" t="s">
        <v>1857</v>
      </c>
      <c r="D947" s="44" t="s">
        <v>1888</v>
      </c>
      <c r="E947" s="6">
        <v>1</v>
      </c>
      <c r="F947" s="6">
        <v>305</v>
      </c>
      <c r="G947" s="6">
        <v>305</v>
      </c>
      <c r="H947" s="44" t="s">
        <v>210</v>
      </c>
      <c r="I947" s="44" t="s">
        <v>209</v>
      </c>
    </row>
    <row r="948" spans="1:9" ht="60" x14ac:dyDescent="0.25">
      <c r="A948" s="44" t="s">
        <v>88</v>
      </c>
      <c r="B948" s="6">
        <v>213800048</v>
      </c>
      <c r="C948" s="44" t="s">
        <v>1889</v>
      </c>
      <c r="D948" s="44"/>
      <c r="E948" s="6">
        <v>38</v>
      </c>
      <c r="F948" s="6" t="s">
        <v>923</v>
      </c>
      <c r="G948" s="6" t="s">
        <v>1890</v>
      </c>
      <c r="H948" s="44" t="s">
        <v>95</v>
      </c>
      <c r="I948" s="44" t="s">
        <v>96</v>
      </c>
    </row>
    <row r="949" spans="1:9" ht="60" x14ac:dyDescent="0.25">
      <c r="A949" s="44" t="s">
        <v>166</v>
      </c>
      <c r="B949" s="6">
        <v>213800048</v>
      </c>
      <c r="C949" s="44" t="s">
        <v>1889</v>
      </c>
      <c r="D949" s="44" t="s">
        <v>1891</v>
      </c>
      <c r="E949" s="6">
        <v>50</v>
      </c>
      <c r="F949" s="6">
        <v>500</v>
      </c>
      <c r="G949" s="6" t="s">
        <v>707</v>
      </c>
      <c r="H949" s="44" t="s">
        <v>172</v>
      </c>
      <c r="I949" s="44" t="s">
        <v>173</v>
      </c>
    </row>
    <row r="950" spans="1:9" ht="75" x14ac:dyDescent="0.25">
      <c r="A950" s="44" t="s">
        <v>148</v>
      </c>
      <c r="B950" s="6">
        <v>2065002</v>
      </c>
      <c r="C950" s="44" t="s">
        <v>1892</v>
      </c>
      <c r="D950" s="44" t="s">
        <v>1893</v>
      </c>
      <c r="E950" s="6">
        <v>2</v>
      </c>
      <c r="F950" s="6">
        <v>300</v>
      </c>
      <c r="G950" s="6">
        <v>600</v>
      </c>
      <c r="H950" s="44" t="s">
        <v>154</v>
      </c>
      <c r="I950" s="44" t="s">
        <v>155</v>
      </c>
    </row>
    <row r="951" spans="1:9" ht="45" x14ac:dyDescent="0.25">
      <c r="A951" s="44" t="s">
        <v>207</v>
      </c>
      <c r="B951" s="6">
        <v>12910004</v>
      </c>
      <c r="C951" s="44" t="s">
        <v>1894</v>
      </c>
      <c r="D951" s="44" t="s">
        <v>1895</v>
      </c>
      <c r="E951" s="6">
        <v>2</v>
      </c>
      <c r="F951" s="6">
        <v>15</v>
      </c>
      <c r="G951" s="6">
        <v>30</v>
      </c>
      <c r="H951" s="44" t="s">
        <v>208</v>
      </c>
      <c r="I951" s="44" t="s">
        <v>207</v>
      </c>
    </row>
    <row r="952" spans="1:9" ht="45" x14ac:dyDescent="0.25">
      <c r="A952" s="44" t="s">
        <v>136</v>
      </c>
      <c r="B952" s="6">
        <v>2358001</v>
      </c>
      <c r="C952" s="44" t="s">
        <v>1896</v>
      </c>
      <c r="D952" s="44" t="s">
        <v>1897</v>
      </c>
      <c r="E952" s="6">
        <v>1</v>
      </c>
      <c r="F952" s="6">
        <v>350</v>
      </c>
      <c r="G952" s="6">
        <v>350</v>
      </c>
      <c r="H952" s="44" t="s">
        <v>144</v>
      </c>
      <c r="I952" s="44" t="s">
        <v>145</v>
      </c>
    </row>
    <row r="953" spans="1:9" ht="105" x14ac:dyDescent="0.25">
      <c r="A953" s="44" t="s">
        <v>136</v>
      </c>
      <c r="B953" s="6">
        <v>2358001</v>
      </c>
      <c r="C953" s="44" t="s">
        <v>1896</v>
      </c>
      <c r="D953" s="44" t="s">
        <v>1898</v>
      </c>
      <c r="E953" s="6">
        <v>6</v>
      </c>
      <c r="F953" s="6" t="s">
        <v>1899</v>
      </c>
      <c r="G953" s="6" t="s">
        <v>1900</v>
      </c>
      <c r="H953" s="44" t="s">
        <v>142</v>
      </c>
      <c r="I953" s="44" t="s">
        <v>143</v>
      </c>
    </row>
    <row r="954" spans="1:9" ht="75" x14ac:dyDescent="0.25">
      <c r="A954" s="44" t="s">
        <v>148</v>
      </c>
      <c r="B954" s="6">
        <v>2358001</v>
      </c>
      <c r="C954" s="44" t="s">
        <v>1896</v>
      </c>
      <c r="D954" s="44" t="s">
        <v>1901</v>
      </c>
      <c r="E954" s="6">
        <v>3</v>
      </c>
      <c r="F954" s="6">
        <v>650</v>
      </c>
      <c r="G954" s="6" t="s">
        <v>1902</v>
      </c>
      <c r="H954" s="44" t="s">
        <v>154</v>
      </c>
      <c r="I954" s="44" t="s">
        <v>155</v>
      </c>
    </row>
    <row r="955" spans="1:9" ht="75" x14ac:dyDescent="0.25">
      <c r="A955" s="44" t="s">
        <v>148</v>
      </c>
      <c r="B955" s="6">
        <v>2358001</v>
      </c>
      <c r="C955" s="44" t="s">
        <v>1896</v>
      </c>
      <c r="D955" s="44" t="s">
        <v>1903</v>
      </c>
      <c r="E955" s="6">
        <v>3</v>
      </c>
      <c r="F955" s="6">
        <v>450</v>
      </c>
      <c r="G955" s="6" t="s">
        <v>1254</v>
      </c>
      <c r="H955" s="44" t="s">
        <v>154</v>
      </c>
      <c r="I955" s="44" t="s">
        <v>155</v>
      </c>
    </row>
    <row r="956" spans="1:9" ht="60" x14ac:dyDescent="0.25">
      <c r="A956" s="44" t="s">
        <v>158</v>
      </c>
      <c r="B956" s="6">
        <v>2358001</v>
      </c>
      <c r="C956" s="44" t="s">
        <v>1896</v>
      </c>
      <c r="D956" s="44" t="s">
        <v>1904</v>
      </c>
      <c r="E956" s="6">
        <v>1</v>
      </c>
      <c r="F956" s="6" t="s">
        <v>814</v>
      </c>
      <c r="G956" s="6" t="s">
        <v>814</v>
      </c>
      <c r="H956" s="44" t="s">
        <v>161</v>
      </c>
      <c r="I956" s="44" t="s">
        <v>162</v>
      </c>
    </row>
    <row r="957" spans="1:9" ht="45" x14ac:dyDescent="0.25">
      <c r="A957" s="44" t="s">
        <v>70</v>
      </c>
      <c r="B957" s="6">
        <v>22190038</v>
      </c>
      <c r="C957" s="44" t="s">
        <v>1905</v>
      </c>
      <c r="D957" s="44" t="s">
        <v>1906</v>
      </c>
      <c r="E957" s="6">
        <v>1</v>
      </c>
      <c r="F957" s="6" t="s">
        <v>1907</v>
      </c>
      <c r="G957" s="6" t="s">
        <v>1907</v>
      </c>
      <c r="H957" s="44" t="s">
        <v>73</v>
      </c>
      <c r="I957" s="44" t="s">
        <v>74</v>
      </c>
    </row>
    <row r="958" spans="1:9" ht="45" x14ac:dyDescent="0.25">
      <c r="A958" s="44" t="s">
        <v>136</v>
      </c>
      <c r="B958" s="6">
        <v>22190038</v>
      </c>
      <c r="C958" s="44" t="s">
        <v>1905</v>
      </c>
      <c r="D958" s="44" t="s">
        <v>1908</v>
      </c>
      <c r="E958" s="6">
        <v>1</v>
      </c>
      <c r="F958" s="6" t="s">
        <v>726</v>
      </c>
      <c r="G958" s="6" t="s">
        <v>726</v>
      </c>
      <c r="H958" s="44" t="s">
        <v>146</v>
      </c>
      <c r="I958" s="44" t="s">
        <v>147</v>
      </c>
    </row>
    <row r="959" spans="1:9" ht="45" x14ac:dyDescent="0.25">
      <c r="A959" s="44" t="s">
        <v>136</v>
      </c>
      <c r="B959" s="6">
        <v>22190038</v>
      </c>
      <c r="C959" s="44" t="s">
        <v>1905</v>
      </c>
      <c r="D959" s="44" t="s">
        <v>1909</v>
      </c>
      <c r="E959" s="6">
        <v>2</v>
      </c>
      <c r="F959" s="6" t="s">
        <v>742</v>
      </c>
      <c r="G959" s="6" t="s">
        <v>747</v>
      </c>
      <c r="H959" s="44" t="s">
        <v>146</v>
      </c>
      <c r="I959" s="44" t="s">
        <v>147</v>
      </c>
    </row>
    <row r="960" spans="1:9" ht="30" x14ac:dyDescent="0.25">
      <c r="A960" s="44" t="s">
        <v>247</v>
      </c>
      <c r="B960" s="6">
        <v>22190038</v>
      </c>
      <c r="C960" s="44" t="s">
        <v>1905</v>
      </c>
      <c r="D960" s="44" t="s">
        <v>1910</v>
      </c>
      <c r="E960" s="6">
        <v>1</v>
      </c>
      <c r="F960" s="6" t="s">
        <v>814</v>
      </c>
      <c r="G960" s="6" t="s">
        <v>814</v>
      </c>
      <c r="H960" s="44" t="s">
        <v>250</v>
      </c>
      <c r="I960" s="44" t="s">
        <v>251</v>
      </c>
    </row>
    <row r="961" spans="1:9" ht="75" x14ac:dyDescent="0.25">
      <c r="A961" s="44" t="s">
        <v>148</v>
      </c>
      <c r="B961" s="6">
        <v>1235001</v>
      </c>
      <c r="C961" s="44" t="s">
        <v>1911</v>
      </c>
      <c r="D961" s="44" t="s">
        <v>1912</v>
      </c>
      <c r="E961" s="6">
        <v>20</v>
      </c>
      <c r="F961" s="6">
        <v>23.4</v>
      </c>
      <c r="G961" s="6">
        <v>468</v>
      </c>
      <c r="H961" s="44" t="s">
        <v>154</v>
      </c>
      <c r="I961" s="44" t="s">
        <v>155</v>
      </c>
    </row>
    <row r="962" spans="1:9" ht="60" x14ac:dyDescent="0.25">
      <c r="A962" s="44" t="s">
        <v>30</v>
      </c>
      <c r="B962" s="6"/>
      <c r="C962" s="44" t="s">
        <v>696</v>
      </c>
      <c r="D962" s="44" t="s">
        <v>1913</v>
      </c>
      <c r="E962" s="6">
        <v>12</v>
      </c>
      <c r="F962" s="6" t="s">
        <v>1914</v>
      </c>
      <c r="G962" s="6" t="s">
        <v>1915</v>
      </c>
      <c r="H962" s="44" t="s">
        <v>35</v>
      </c>
      <c r="I962" s="44" t="s">
        <v>36</v>
      </c>
    </row>
    <row r="963" spans="1:9" ht="60" x14ac:dyDescent="0.25">
      <c r="A963" s="44" t="s">
        <v>30</v>
      </c>
      <c r="B963" s="6"/>
      <c r="C963" s="44" t="s">
        <v>696</v>
      </c>
      <c r="D963" s="44" t="s">
        <v>1916</v>
      </c>
      <c r="E963" s="6">
        <v>12</v>
      </c>
      <c r="F963" s="6" t="s">
        <v>814</v>
      </c>
      <c r="G963" s="6" t="s">
        <v>1323</v>
      </c>
      <c r="H963" s="44" t="s">
        <v>35</v>
      </c>
      <c r="I963" s="44" t="s">
        <v>36</v>
      </c>
    </row>
    <row r="964" spans="1:9" ht="45" x14ac:dyDescent="0.25">
      <c r="A964" s="44" t="s">
        <v>136</v>
      </c>
      <c r="B964" s="6"/>
      <c r="C964" s="44" t="s">
        <v>696</v>
      </c>
      <c r="D964" s="44" t="s">
        <v>1917</v>
      </c>
      <c r="E964" s="6">
        <v>1</v>
      </c>
      <c r="F964" s="6" t="s">
        <v>1428</v>
      </c>
      <c r="G964" s="6" t="s">
        <v>1428</v>
      </c>
      <c r="H964" s="44" t="s">
        <v>146</v>
      </c>
      <c r="I964" s="44" t="s">
        <v>147</v>
      </c>
    </row>
    <row r="965" spans="1:9" ht="30" x14ac:dyDescent="0.25">
      <c r="A965" s="44" t="s">
        <v>202</v>
      </c>
      <c r="B965" s="6"/>
      <c r="C965" s="44" t="s">
        <v>696</v>
      </c>
      <c r="D965" s="44" t="s">
        <v>1918</v>
      </c>
      <c r="E965" s="6">
        <v>1</v>
      </c>
      <c r="F965" s="6" t="s">
        <v>814</v>
      </c>
      <c r="G965" s="6" t="s">
        <v>814</v>
      </c>
      <c r="H965" s="44" t="s">
        <v>203</v>
      </c>
      <c r="I965" s="44" t="s">
        <v>204</v>
      </c>
    </row>
    <row r="966" spans="1:9" ht="45" x14ac:dyDescent="0.25">
      <c r="A966" s="44" t="s">
        <v>281</v>
      </c>
      <c r="B966" s="6">
        <v>6010107</v>
      </c>
      <c r="C966" s="44" t="s">
        <v>1919</v>
      </c>
      <c r="D966" s="44" t="s">
        <v>1920</v>
      </c>
      <c r="E966" s="6">
        <v>12</v>
      </c>
      <c r="F966" s="6" t="s">
        <v>845</v>
      </c>
      <c r="G966" s="6" t="s">
        <v>1151</v>
      </c>
      <c r="H966" s="44" t="s">
        <v>284</v>
      </c>
      <c r="I966" s="44" t="s">
        <v>285</v>
      </c>
    </row>
    <row r="967" spans="1:9" ht="60" x14ac:dyDescent="0.25">
      <c r="A967" s="44" t="s">
        <v>158</v>
      </c>
      <c r="B967" s="6">
        <v>2182001</v>
      </c>
      <c r="C967" s="44" t="s">
        <v>1921</v>
      </c>
      <c r="D967" s="44"/>
      <c r="E967" s="6">
        <v>1</v>
      </c>
      <c r="F967" s="6">
        <v>320</v>
      </c>
      <c r="G967" s="6">
        <v>320</v>
      </c>
      <c r="H967" s="44" t="s">
        <v>161</v>
      </c>
      <c r="I967" s="44" t="s">
        <v>162</v>
      </c>
    </row>
    <row r="968" spans="1:9" ht="60" x14ac:dyDescent="0.25">
      <c r="A968" s="44" t="s">
        <v>166</v>
      </c>
      <c r="B968" s="6">
        <v>2182001</v>
      </c>
      <c r="C968" s="44" t="s">
        <v>1921</v>
      </c>
      <c r="D968" s="44" t="s">
        <v>1922</v>
      </c>
      <c r="E968" s="6">
        <v>8</v>
      </c>
      <c r="F968" s="6">
        <v>320</v>
      </c>
      <c r="G968" s="6" t="s">
        <v>1923</v>
      </c>
      <c r="H968" s="44" t="s">
        <v>172</v>
      </c>
      <c r="I968" s="44" t="s">
        <v>173</v>
      </c>
    </row>
    <row r="969" spans="1:9" ht="45" x14ac:dyDescent="0.25">
      <c r="A969" s="44" t="s">
        <v>296</v>
      </c>
      <c r="B969" s="6">
        <v>2182001</v>
      </c>
      <c r="C969" s="44" t="s">
        <v>1921</v>
      </c>
      <c r="D969" s="44"/>
      <c r="E969" s="6">
        <v>1</v>
      </c>
      <c r="F969" s="6">
        <v>320</v>
      </c>
      <c r="G969" s="6">
        <v>320</v>
      </c>
      <c r="H969" s="44" t="s">
        <v>299</v>
      </c>
      <c r="I969" s="44" t="s">
        <v>300</v>
      </c>
    </row>
    <row r="970" spans="1:9" ht="45" x14ac:dyDescent="0.25">
      <c r="A970" s="44" t="s">
        <v>70</v>
      </c>
      <c r="B970" s="6"/>
      <c r="C970" s="44" t="s">
        <v>1924</v>
      </c>
      <c r="D970" s="44" t="s">
        <v>1925</v>
      </c>
      <c r="E970" s="6">
        <v>2</v>
      </c>
      <c r="F970" s="6">
        <v>80</v>
      </c>
      <c r="G970" s="6">
        <v>160</v>
      </c>
      <c r="H970" s="44" t="s">
        <v>73</v>
      </c>
      <c r="I970" s="44" t="s">
        <v>74</v>
      </c>
    </row>
    <row r="971" spans="1:9" ht="45" x14ac:dyDescent="0.25">
      <c r="A971" s="44" t="s">
        <v>136</v>
      </c>
      <c r="B971" s="6"/>
      <c r="C971" s="44" t="s">
        <v>1924</v>
      </c>
      <c r="D971" s="44" t="s">
        <v>1926</v>
      </c>
      <c r="E971" s="6">
        <v>2</v>
      </c>
      <c r="F971" s="6">
        <v>20</v>
      </c>
      <c r="G971" s="6">
        <v>40</v>
      </c>
      <c r="H971" s="44" t="s">
        <v>142</v>
      </c>
      <c r="I971" s="44" t="s">
        <v>143</v>
      </c>
    </row>
    <row r="972" spans="1:9" ht="45" x14ac:dyDescent="0.25">
      <c r="A972" s="44" t="s">
        <v>281</v>
      </c>
      <c r="B972" s="6"/>
      <c r="C972" s="44" t="s">
        <v>1924</v>
      </c>
      <c r="D972" s="44" t="s">
        <v>1927</v>
      </c>
      <c r="E972" s="6">
        <v>5</v>
      </c>
      <c r="F972" s="6">
        <v>25</v>
      </c>
      <c r="G972" s="6">
        <v>125</v>
      </c>
      <c r="H972" s="44" t="s">
        <v>284</v>
      </c>
      <c r="I972" s="44" t="s">
        <v>285</v>
      </c>
    </row>
    <row r="973" spans="1:9" ht="75" x14ac:dyDescent="0.25">
      <c r="A973" s="44" t="s">
        <v>207</v>
      </c>
      <c r="B973" s="6">
        <v>1053003</v>
      </c>
      <c r="C973" s="44" t="s">
        <v>1928</v>
      </c>
      <c r="D973" s="44"/>
      <c r="E973" s="6">
        <v>2</v>
      </c>
      <c r="F973" s="6">
        <v>14.974</v>
      </c>
      <c r="G973" s="6">
        <v>29.948</v>
      </c>
      <c r="H973" s="44" t="s">
        <v>208</v>
      </c>
      <c r="I973" s="44" t="s">
        <v>207</v>
      </c>
    </row>
    <row r="974" spans="1:9" ht="75" x14ac:dyDescent="0.25">
      <c r="A974" s="44" t="s">
        <v>207</v>
      </c>
      <c r="B974" s="6">
        <v>10530027</v>
      </c>
      <c r="C974" s="44" t="s">
        <v>1929</v>
      </c>
      <c r="D974" s="44"/>
      <c r="E974" s="6">
        <v>4</v>
      </c>
      <c r="F974" s="6">
        <v>11.978999999999999</v>
      </c>
      <c r="G974" s="6">
        <v>47.915999999999997</v>
      </c>
      <c r="H974" s="44" t="s">
        <v>208</v>
      </c>
      <c r="I974" s="44" t="s">
        <v>207</v>
      </c>
    </row>
    <row r="975" spans="1:9" ht="90" x14ac:dyDescent="0.25">
      <c r="A975" s="44" t="s">
        <v>207</v>
      </c>
      <c r="B975" s="6">
        <v>105300035</v>
      </c>
      <c r="C975" s="44" t="s">
        <v>1930</v>
      </c>
      <c r="D975" s="44"/>
      <c r="E975" s="6">
        <v>4</v>
      </c>
      <c r="F975" s="6">
        <v>15.173</v>
      </c>
      <c r="G975" s="6">
        <v>60.692</v>
      </c>
      <c r="H975" s="44" t="s">
        <v>208</v>
      </c>
      <c r="I975" s="44" t="s">
        <v>207</v>
      </c>
    </row>
    <row r="976" spans="1:9" ht="45" x14ac:dyDescent="0.25">
      <c r="A976" s="44" t="s">
        <v>281</v>
      </c>
      <c r="B976" s="6">
        <v>1380001</v>
      </c>
      <c r="C976" s="44" t="s">
        <v>1931</v>
      </c>
      <c r="D976" s="44" t="s">
        <v>1932</v>
      </c>
      <c r="E976" s="6">
        <v>30</v>
      </c>
      <c r="F976" s="6">
        <v>15</v>
      </c>
      <c r="G976" s="6">
        <v>450</v>
      </c>
      <c r="H976" s="44" t="s">
        <v>284</v>
      </c>
      <c r="I976" s="44" t="s">
        <v>285</v>
      </c>
    </row>
    <row r="977" spans="1:9" ht="45" x14ac:dyDescent="0.25">
      <c r="A977" s="44" t="s">
        <v>281</v>
      </c>
      <c r="B977" s="6">
        <v>1380001</v>
      </c>
      <c r="C977" s="44" t="s">
        <v>1931</v>
      </c>
      <c r="D977" s="44" t="s">
        <v>1933</v>
      </c>
      <c r="E977" s="6">
        <v>5</v>
      </c>
      <c r="F977" s="6">
        <v>15</v>
      </c>
      <c r="G977" s="6">
        <v>75</v>
      </c>
      <c r="H977" s="44" t="s">
        <v>284</v>
      </c>
      <c r="I977" s="44" t="s">
        <v>285</v>
      </c>
    </row>
    <row r="978" spans="1:9" ht="45" x14ac:dyDescent="0.25">
      <c r="A978" s="44" t="s">
        <v>286</v>
      </c>
      <c r="B978" s="6">
        <v>1380001</v>
      </c>
      <c r="C978" s="44" t="s">
        <v>1931</v>
      </c>
      <c r="D978" s="44" t="s">
        <v>1934</v>
      </c>
      <c r="E978" s="6">
        <v>5</v>
      </c>
      <c r="F978" s="6">
        <v>15</v>
      </c>
      <c r="G978" s="6">
        <v>75</v>
      </c>
      <c r="H978" s="44" t="s">
        <v>289</v>
      </c>
      <c r="I978" s="44" t="s">
        <v>290</v>
      </c>
    </row>
    <row r="979" spans="1:9" ht="45" x14ac:dyDescent="0.25">
      <c r="A979" s="44" t="s">
        <v>207</v>
      </c>
      <c r="B979" s="6">
        <v>1249004</v>
      </c>
      <c r="C979" s="44" t="s">
        <v>1935</v>
      </c>
      <c r="D979" s="44" t="s">
        <v>1936</v>
      </c>
      <c r="E979" s="6">
        <v>12</v>
      </c>
      <c r="F979" s="6">
        <v>20</v>
      </c>
      <c r="G979" s="6">
        <v>240</v>
      </c>
      <c r="H979" s="44" t="s">
        <v>208</v>
      </c>
      <c r="I979" s="44" t="s">
        <v>207</v>
      </c>
    </row>
    <row r="980" spans="1:9" ht="75" x14ac:dyDescent="0.25">
      <c r="A980" s="44" t="s">
        <v>166</v>
      </c>
      <c r="B980" s="6">
        <v>14040004</v>
      </c>
      <c r="C980" s="44" t="s">
        <v>1937</v>
      </c>
      <c r="D980" s="44"/>
      <c r="E980" s="6">
        <v>40</v>
      </c>
      <c r="F980" s="6">
        <v>27.751999999999999</v>
      </c>
      <c r="G980" s="6" t="s">
        <v>1938</v>
      </c>
      <c r="H980" s="44" t="s">
        <v>169</v>
      </c>
      <c r="I980" s="44" t="s">
        <v>170</v>
      </c>
    </row>
    <row r="981" spans="1:9" ht="45" x14ac:dyDescent="0.25">
      <c r="A981" s="44" t="s">
        <v>136</v>
      </c>
      <c r="B981" s="6"/>
      <c r="C981" s="44" t="s">
        <v>1939</v>
      </c>
      <c r="D981" s="44" t="s">
        <v>1940</v>
      </c>
      <c r="E981" s="6">
        <v>1</v>
      </c>
      <c r="F981" s="6">
        <v>40</v>
      </c>
      <c r="G981" s="6">
        <v>40</v>
      </c>
      <c r="H981" s="44" t="s">
        <v>142</v>
      </c>
      <c r="I981" s="44" t="s">
        <v>143</v>
      </c>
    </row>
    <row r="982" spans="1:9" ht="30" x14ac:dyDescent="0.25">
      <c r="A982" s="44" t="s">
        <v>247</v>
      </c>
      <c r="B982" s="6"/>
      <c r="C982" s="44" t="s">
        <v>1939</v>
      </c>
      <c r="D982" s="44"/>
      <c r="E982" s="6">
        <v>2</v>
      </c>
      <c r="F982" s="6">
        <v>30</v>
      </c>
      <c r="G982" s="6">
        <v>60</v>
      </c>
      <c r="H982" s="44" t="s">
        <v>250</v>
      </c>
      <c r="I982" s="44" t="s">
        <v>251</v>
      </c>
    </row>
    <row r="983" spans="1:9" ht="75" x14ac:dyDescent="0.25">
      <c r="A983" s="44" t="s">
        <v>148</v>
      </c>
      <c r="B983" s="6">
        <v>2469004</v>
      </c>
      <c r="C983" s="44" t="s">
        <v>1941</v>
      </c>
      <c r="D983" s="44" t="s">
        <v>1942</v>
      </c>
      <c r="E983" s="6">
        <v>4</v>
      </c>
      <c r="F983" s="6">
        <v>890</v>
      </c>
      <c r="G983" s="6" t="s">
        <v>1943</v>
      </c>
      <c r="H983" s="44" t="s">
        <v>154</v>
      </c>
      <c r="I983" s="44" t="s">
        <v>155</v>
      </c>
    </row>
    <row r="984" spans="1:9" ht="60" x14ac:dyDescent="0.25">
      <c r="A984" s="44" t="s">
        <v>158</v>
      </c>
      <c r="B984" s="6">
        <v>2469004</v>
      </c>
      <c r="C984" s="44" t="s">
        <v>1941</v>
      </c>
      <c r="D984" s="44"/>
      <c r="E984" s="6">
        <v>2</v>
      </c>
      <c r="F984" s="6">
        <v>200</v>
      </c>
      <c r="G984" s="6">
        <v>400</v>
      </c>
      <c r="H984" s="44" t="s">
        <v>161</v>
      </c>
      <c r="I984" s="44" t="s">
        <v>162</v>
      </c>
    </row>
    <row r="985" spans="1:9" ht="75" x14ac:dyDescent="0.25">
      <c r="A985" s="44" t="s">
        <v>166</v>
      </c>
      <c r="B985" s="6">
        <v>1123002</v>
      </c>
      <c r="C985" s="44" t="s">
        <v>1944</v>
      </c>
      <c r="D985" s="44"/>
      <c r="E985" s="6">
        <v>30</v>
      </c>
      <c r="F985" s="6">
        <v>4.3819999999999997</v>
      </c>
      <c r="G985" s="6">
        <v>131.46</v>
      </c>
      <c r="H985" s="44" t="s">
        <v>169</v>
      </c>
      <c r="I985" s="44" t="s">
        <v>170</v>
      </c>
    </row>
    <row r="986" spans="1:9" ht="45" x14ac:dyDescent="0.25">
      <c r="A986" s="44" t="s">
        <v>207</v>
      </c>
      <c r="B986" s="6">
        <v>112300032</v>
      </c>
      <c r="C986" s="44" t="s">
        <v>1945</v>
      </c>
      <c r="D986" s="44"/>
      <c r="E986" s="6">
        <v>3</v>
      </c>
      <c r="F986" s="6">
        <v>559</v>
      </c>
      <c r="G986" s="6">
        <v>1.677</v>
      </c>
      <c r="H986" s="44" t="s">
        <v>208</v>
      </c>
      <c r="I986" s="44" t="s">
        <v>207</v>
      </c>
    </row>
    <row r="987" spans="1:9" ht="45" x14ac:dyDescent="0.25">
      <c r="A987" s="44" t="s">
        <v>209</v>
      </c>
      <c r="B987" s="6"/>
      <c r="C987" s="44" t="s">
        <v>1946</v>
      </c>
      <c r="D987" s="44" t="s">
        <v>1947</v>
      </c>
      <c r="E987" s="6">
        <v>10</v>
      </c>
      <c r="F987" s="6">
        <v>3.5</v>
      </c>
      <c r="G987" s="6">
        <v>35</v>
      </c>
      <c r="H987" s="44" t="s">
        <v>210</v>
      </c>
      <c r="I987" s="44" t="s">
        <v>209</v>
      </c>
    </row>
    <row r="988" spans="1:9" ht="45" x14ac:dyDescent="0.25">
      <c r="A988" s="44" t="s">
        <v>209</v>
      </c>
      <c r="B988" s="6">
        <v>1036005</v>
      </c>
      <c r="C988" s="44" t="s">
        <v>1948</v>
      </c>
      <c r="D988" s="44"/>
      <c r="E988" s="6">
        <v>10</v>
      </c>
      <c r="F988" s="6">
        <v>3.6890000000000001</v>
      </c>
      <c r="G988" s="6">
        <v>36.89</v>
      </c>
      <c r="H988" s="44" t="s">
        <v>210</v>
      </c>
      <c r="I988" s="44" t="s">
        <v>209</v>
      </c>
    </row>
    <row r="989" spans="1:9" ht="45" x14ac:dyDescent="0.25">
      <c r="A989" s="44" t="s">
        <v>209</v>
      </c>
      <c r="B989" s="6">
        <v>1036004</v>
      </c>
      <c r="C989" s="44" t="s">
        <v>1949</v>
      </c>
      <c r="D989" s="44"/>
      <c r="E989" s="6">
        <v>10</v>
      </c>
      <c r="F989" s="6">
        <v>3.9430000000000001</v>
      </c>
      <c r="G989" s="6">
        <v>39.43</v>
      </c>
      <c r="H989" s="44" t="s">
        <v>210</v>
      </c>
      <c r="I989" s="44" t="s">
        <v>209</v>
      </c>
    </row>
    <row r="990" spans="1:9" ht="45" x14ac:dyDescent="0.25">
      <c r="A990" s="44" t="s">
        <v>209</v>
      </c>
      <c r="B990" s="6">
        <v>1036002</v>
      </c>
      <c r="C990" s="44" t="s">
        <v>1950</v>
      </c>
      <c r="D990" s="44" t="s">
        <v>1951</v>
      </c>
      <c r="E990" s="6">
        <v>10</v>
      </c>
      <c r="F990" s="6">
        <v>4.5</v>
      </c>
      <c r="G990" s="6">
        <v>45</v>
      </c>
      <c r="H990" s="44" t="s">
        <v>210</v>
      </c>
      <c r="I990" s="44" t="s">
        <v>209</v>
      </c>
    </row>
    <row r="991" spans="1:9" ht="75" x14ac:dyDescent="0.25">
      <c r="A991" s="44" t="s">
        <v>148</v>
      </c>
      <c r="B991" s="6">
        <v>103600020</v>
      </c>
      <c r="C991" s="44" t="s">
        <v>1952</v>
      </c>
      <c r="D991" s="44" t="s">
        <v>1953</v>
      </c>
      <c r="E991" s="6">
        <v>25</v>
      </c>
      <c r="F991" s="6">
        <v>25.32</v>
      </c>
      <c r="G991" s="6">
        <v>633</v>
      </c>
      <c r="H991" s="44" t="s">
        <v>154</v>
      </c>
      <c r="I991" s="44" t="s">
        <v>155</v>
      </c>
    </row>
    <row r="992" spans="1:9" ht="75" x14ac:dyDescent="0.25">
      <c r="A992" s="44" t="s">
        <v>148</v>
      </c>
      <c r="B992" s="6">
        <v>103600020</v>
      </c>
      <c r="C992" s="44" t="s">
        <v>1952</v>
      </c>
      <c r="D992" s="44" t="s">
        <v>1954</v>
      </c>
      <c r="E992" s="6">
        <v>15</v>
      </c>
      <c r="F992" s="6">
        <v>25.32</v>
      </c>
      <c r="G992" s="6">
        <v>379.8</v>
      </c>
      <c r="H992" s="44" t="s">
        <v>154</v>
      </c>
      <c r="I992" s="44" t="s">
        <v>155</v>
      </c>
    </row>
    <row r="993" spans="1:9" ht="45" x14ac:dyDescent="0.25">
      <c r="A993" s="44" t="s">
        <v>70</v>
      </c>
      <c r="B993" s="6">
        <v>1190001</v>
      </c>
      <c r="C993" s="44" t="s">
        <v>1955</v>
      </c>
      <c r="D993" s="44" t="s">
        <v>1956</v>
      </c>
      <c r="E993" s="6">
        <v>2</v>
      </c>
      <c r="F993" s="6" t="s">
        <v>923</v>
      </c>
      <c r="G993" s="6" t="s">
        <v>867</v>
      </c>
      <c r="H993" s="44" t="s">
        <v>73</v>
      </c>
      <c r="I993" s="44" t="s">
        <v>74</v>
      </c>
    </row>
    <row r="994" spans="1:9" ht="45" x14ac:dyDescent="0.25">
      <c r="A994" s="44" t="s">
        <v>70</v>
      </c>
      <c r="B994" s="6">
        <v>1190001</v>
      </c>
      <c r="C994" s="44" t="s">
        <v>1955</v>
      </c>
      <c r="D994" s="44" t="s">
        <v>1957</v>
      </c>
      <c r="E994" s="6">
        <v>500</v>
      </c>
      <c r="F994" s="6">
        <v>500</v>
      </c>
      <c r="G994" s="6">
        <v>250</v>
      </c>
      <c r="H994" s="44" t="s">
        <v>73</v>
      </c>
      <c r="I994" s="44" t="s">
        <v>74</v>
      </c>
    </row>
    <row r="995" spans="1:9" ht="45" x14ac:dyDescent="0.25">
      <c r="A995" s="44" t="s">
        <v>286</v>
      </c>
      <c r="B995" s="6">
        <v>1190001</v>
      </c>
      <c r="C995" s="44" t="s">
        <v>1955</v>
      </c>
      <c r="D995" s="44" t="s">
        <v>1958</v>
      </c>
      <c r="E995" s="6">
        <v>6</v>
      </c>
      <c r="F995" s="6">
        <v>8</v>
      </c>
      <c r="G995" s="6">
        <v>48</v>
      </c>
      <c r="H995" s="44" t="s">
        <v>289</v>
      </c>
      <c r="I995" s="44" t="s">
        <v>290</v>
      </c>
    </row>
    <row r="996" spans="1:9" ht="45" x14ac:dyDescent="0.25">
      <c r="A996" s="44" t="s">
        <v>286</v>
      </c>
      <c r="B996" s="6">
        <v>1190001</v>
      </c>
      <c r="C996" s="44" t="s">
        <v>1955</v>
      </c>
      <c r="D996" s="44" t="s">
        <v>1959</v>
      </c>
      <c r="E996" s="6">
        <v>6</v>
      </c>
      <c r="F996" s="6">
        <v>7</v>
      </c>
      <c r="G996" s="6">
        <v>42</v>
      </c>
      <c r="H996" s="44" t="s">
        <v>289</v>
      </c>
      <c r="I996" s="44" t="s">
        <v>290</v>
      </c>
    </row>
    <row r="997" spans="1:9" ht="45" x14ac:dyDescent="0.25">
      <c r="A997" s="44" t="s">
        <v>207</v>
      </c>
      <c r="B997" s="6">
        <v>146700008</v>
      </c>
      <c r="C997" s="44" t="s">
        <v>1960</v>
      </c>
      <c r="D997" s="44"/>
      <c r="E997" s="6">
        <v>4</v>
      </c>
      <c r="F997" s="6">
        <v>1.4850000000000001</v>
      </c>
      <c r="G997" s="6">
        <v>5.94</v>
      </c>
      <c r="H997" s="44" t="s">
        <v>208</v>
      </c>
      <c r="I997" s="44" t="s">
        <v>207</v>
      </c>
    </row>
    <row r="998" spans="1:9" ht="75" x14ac:dyDescent="0.25">
      <c r="A998" s="44" t="s">
        <v>136</v>
      </c>
      <c r="B998" s="6">
        <v>24860017</v>
      </c>
      <c r="C998" s="44" t="s">
        <v>1961</v>
      </c>
      <c r="D998" s="44" t="s">
        <v>1962</v>
      </c>
      <c r="E998" s="6">
        <v>1</v>
      </c>
      <c r="F998" s="6">
        <v>300</v>
      </c>
      <c r="G998" s="6">
        <v>300</v>
      </c>
      <c r="H998" s="44" t="s">
        <v>139</v>
      </c>
      <c r="I998" s="44" t="s">
        <v>140</v>
      </c>
    </row>
    <row r="999" spans="1:9" ht="45" x14ac:dyDescent="0.25">
      <c r="A999" s="44" t="s">
        <v>286</v>
      </c>
      <c r="B999" s="6">
        <v>6010700</v>
      </c>
      <c r="C999" s="44" t="s">
        <v>1963</v>
      </c>
      <c r="D999" s="44" t="s">
        <v>1964</v>
      </c>
      <c r="E999" s="6">
        <v>3000</v>
      </c>
      <c r="F999" s="6">
        <v>267</v>
      </c>
      <c r="G999" s="6">
        <v>801</v>
      </c>
      <c r="H999" s="44" t="s">
        <v>289</v>
      </c>
      <c r="I999" s="44" t="s">
        <v>290</v>
      </c>
    </row>
    <row r="1000" spans="1:9" ht="45" x14ac:dyDescent="0.25">
      <c r="A1000" s="44" t="s">
        <v>174</v>
      </c>
      <c r="B1000" s="6">
        <v>267400001</v>
      </c>
      <c r="C1000" s="44" t="s">
        <v>1965</v>
      </c>
      <c r="D1000" s="44"/>
      <c r="E1000" s="6">
        <v>1</v>
      </c>
      <c r="F1000" s="6">
        <v>400</v>
      </c>
      <c r="G1000" s="6">
        <v>400</v>
      </c>
      <c r="H1000" s="44" t="s">
        <v>180</v>
      </c>
      <c r="I1000" s="44" t="s">
        <v>181</v>
      </c>
    </row>
    <row r="1001" spans="1:9" ht="45" x14ac:dyDescent="0.25">
      <c r="A1001" s="44" t="s">
        <v>70</v>
      </c>
      <c r="B1001" s="6">
        <v>1154001</v>
      </c>
      <c r="C1001" s="44" t="s">
        <v>1966</v>
      </c>
      <c r="D1001" s="44" t="s">
        <v>1967</v>
      </c>
      <c r="E1001" s="6">
        <v>2</v>
      </c>
      <c r="F1001" s="6">
        <v>100</v>
      </c>
      <c r="G1001" s="6">
        <v>200</v>
      </c>
      <c r="H1001" s="44" t="s">
        <v>73</v>
      </c>
      <c r="I1001" s="44" t="s">
        <v>74</v>
      </c>
    </row>
    <row r="1002" spans="1:9" ht="45" x14ac:dyDescent="0.25">
      <c r="A1002" s="44" t="s">
        <v>70</v>
      </c>
      <c r="B1002" s="6">
        <v>1154001</v>
      </c>
      <c r="C1002" s="44" t="s">
        <v>1966</v>
      </c>
      <c r="D1002" s="44" t="s">
        <v>1968</v>
      </c>
      <c r="E1002" s="6">
        <v>1</v>
      </c>
      <c r="F1002" s="6">
        <v>100</v>
      </c>
      <c r="G1002" s="6">
        <v>100</v>
      </c>
      <c r="H1002" s="44" t="s">
        <v>73</v>
      </c>
      <c r="I1002" s="44" t="s">
        <v>74</v>
      </c>
    </row>
    <row r="1003" spans="1:9" ht="45" x14ac:dyDescent="0.25">
      <c r="A1003" s="44" t="s">
        <v>70</v>
      </c>
      <c r="B1003" s="6">
        <v>1154001</v>
      </c>
      <c r="C1003" s="44" t="s">
        <v>1966</v>
      </c>
      <c r="D1003" s="44" t="s">
        <v>1969</v>
      </c>
      <c r="E1003" s="6">
        <v>3</v>
      </c>
      <c r="F1003" s="6">
        <v>50</v>
      </c>
      <c r="G1003" s="6">
        <v>150</v>
      </c>
      <c r="H1003" s="44" t="s">
        <v>73</v>
      </c>
      <c r="I1003" s="44" t="s">
        <v>74</v>
      </c>
    </row>
    <row r="1004" spans="1:9" ht="45" x14ac:dyDescent="0.25">
      <c r="A1004" s="44" t="s">
        <v>70</v>
      </c>
      <c r="B1004" s="6">
        <v>1154001</v>
      </c>
      <c r="C1004" s="44" t="s">
        <v>1966</v>
      </c>
      <c r="D1004" s="44" t="s">
        <v>1970</v>
      </c>
      <c r="E1004" s="6">
        <v>3</v>
      </c>
      <c r="F1004" s="6">
        <v>100</v>
      </c>
      <c r="G1004" s="6">
        <v>300</v>
      </c>
      <c r="H1004" s="44" t="s">
        <v>73</v>
      </c>
      <c r="I1004" s="44" t="s">
        <v>74</v>
      </c>
    </row>
    <row r="1005" spans="1:9" ht="45" x14ac:dyDescent="0.25">
      <c r="A1005" s="44" t="s">
        <v>70</v>
      </c>
      <c r="B1005" s="6">
        <v>1154001</v>
      </c>
      <c r="C1005" s="44" t="s">
        <v>1966</v>
      </c>
      <c r="D1005" s="44" t="s">
        <v>1971</v>
      </c>
      <c r="E1005" s="6">
        <v>2</v>
      </c>
      <c r="F1005" s="6">
        <v>50</v>
      </c>
      <c r="G1005" s="6">
        <v>100</v>
      </c>
      <c r="H1005" s="44" t="s">
        <v>73</v>
      </c>
      <c r="I1005" s="44" t="s">
        <v>74</v>
      </c>
    </row>
    <row r="1006" spans="1:9" ht="45" x14ac:dyDescent="0.25">
      <c r="A1006" s="44" t="s">
        <v>70</v>
      </c>
      <c r="B1006" s="6">
        <v>1154001</v>
      </c>
      <c r="C1006" s="44" t="s">
        <v>1966</v>
      </c>
      <c r="D1006" s="44" t="s">
        <v>1972</v>
      </c>
      <c r="E1006" s="6">
        <v>1</v>
      </c>
      <c r="F1006" s="6">
        <v>50</v>
      </c>
      <c r="G1006" s="6">
        <v>50</v>
      </c>
      <c r="H1006" s="44" t="s">
        <v>73</v>
      </c>
      <c r="I1006" s="44" t="s">
        <v>74</v>
      </c>
    </row>
    <row r="1007" spans="1:9" ht="45" x14ac:dyDescent="0.25">
      <c r="A1007" s="44" t="s">
        <v>70</v>
      </c>
      <c r="B1007" s="6">
        <v>1154001</v>
      </c>
      <c r="C1007" s="44" t="s">
        <v>1966</v>
      </c>
      <c r="D1007" s="44" t="s">
        <v>1973</v>
      </c>
      <c r="E1007" s="6">
        <v>3</v>
      </c>
      <c r="F1007" s="6">
        <v>1</v>
      </c>
      <c r="G1007" s="6">
        <v>3</v>
      </c>
      <c r="H1007" s="44" t="s">
        <v>73</v>
      </c>
      <c r="I1007" s="44" t="s">
        <v>74</v>
      </c>
    </row>
    <row r="1008" spans="1:9" ht="45" x14ac:dyDescent="0.25">
      <c r="A1008" s="44" t="s">
        <v>70</v>
      </c>
      <c r="B1008" s="6">
        <v>1154001</v>
      </c>
      <c r="C1008" s="44" t="s">
        <v>1966</v>
      </c>
      <c r="D1008" s="44" t="s">
        <v>1974</v>
      </c>
      <c r="E1008" s="6">
        <v>2</v>
      </c>
      <c r="F1008" s="6">
        <v>70</v>
      </c>
      <c r="G1008" s="6">
        <v>140</v>
      </c>
      <c r="H1008" s="44" t="s">
        <v>73</v>
      </c>
      <c r="I1008" s="44" t="s">
        <v>74</v>
      </c>
    </row>
    <row r="1009" spans="1:9" ht="45" x14ac:dyDescent="0.25">
      <c r="A1009" s="44" t="s">
        <v>70</v>
      </c>
      <c r="B1009" s="6">
        <v>1154001</v>
      </c>
      <c r="C1009" s="44" t="s">
        <v>1966</v>
      </c>
      <c r="D1009" s="44" t="s">
        <v>1975</v>
      </c>
      <c r="E1009" s="6">
        <v>1</v>
      </c>
      <c r="F1009" s="6">
        <v>150</v>
      </c>
      <c r="G1009" s="6">
        <v>150</v>
      </c>
      <c r="H1009" s="44" t="s">
        <v>73</v>
      </c>
      <c r="I1009" s="44" t="s">
        <v>74</v>
      </c>
    </row>
    <row r="1010" spans="1:9" ht="45" x14ac:dyDescent="0.25">
      <c r="A1010" s="44" t="s">
        <v>70</v>
      </c>
      <c r="B1010" s="6">
        <v>1154001</v>
      </c>
      <c r="C1010" s="44" t="s">
        <v>1966</v>
      </c>
      <c r="D1010" s="44" t="s">
        <v>1976</v>
      </c>
      <c r="E1010" s="6">
        <v>10</v>
      </c>
      <c r="F1010" s="6">
        <v>5</v>
      </c>
      <c r="G1010" s="6">
        <v>50</v>
      </c>
      <c r="H1010" s="44" t="s">
        <v>73</v>
      </c>
      <c r="I1010" s="44" t="s">
        <v>74</v>
      </c>
    </row>
    <row r="1011" spans="1:9" ht="45" x14ac:dyDescent="0.25">
      <c r="A1011" s="44" t="s">
        <v>70</v>
      </c>
      <c r="B1011" s="6">
        <v>1154001</v>
      </c>
      <c r="C1011" s="44" t="s">
        <v>1966</v>
      </c>
      <c r="D1011" s="44" t="s">
        <v>1977</v>
      </c>
      <c r="E1011" s="6">
        <v>2</v>
      </c>
      <c r="F1011" s="6">
        <v>100</v>
      </c>
      <c r="G1011" s="6">
        <v>200</v>
      </c>
      <c r="H1011" s="44" t="s">
        <v>73</v>
      </c>
      <c r="I1011" s="44" t="s">
        <v>74</v>
      </c>
    </row>
    <row r="1012" spans="1:9" ht="45" x14ac:dyDescent="0.25">
      <c r="A1012" s="44" t="s">
        <v>70</v>
      </c>
      <c r="B1012" s="6">
        <v>1154001</v>
      </c>
      <c r="C1012" s="44" t="s">
        <v>1966</v>
      </c>
      <c r="D1012" s="44" t="s">
        <v>1978</v>
      </c>
      <c r="E1012" s="6">
        <v>3</v>
      </c>
      <c r="F1012" s="6" t="s">
        <v>726</v>
      </c>
      <c r="G1012" s="6" t="s">
        <v>736</v>
      </c>
      <c r="H1012" s="44" t="s">
        <v>73</v>
      </c>
      <c r="I1012" s="44" t="s">
        <v>74</v>
      </c>
    </row>
    <row r="1013" spans="1:9" ht="45" x14ac:dyDescent="0.25">
      <c r="A1013" s="44" t="s">
        <v>70</v>
      </c>
      <c r="B1013" s="6">
        <v>1154001</v>
      </c>
      <c r="C1013" s="44" t="s">
        <v>1966</v>
      </c>
      <c r="D1013" s="44" t="s">
        <v>1979</v>
      </c>
      <c r="E1013" s="6">
        <v>2</v>
      </c>
      <c r="F1013" s="6">
        <v>100</v>
      </c>
      <c r="G1013" s="6">
        <v>200</v>
      </c>
      <c r="H1013" s="44" t="s">
        <v>73</v>
      </c>
      <c r="I1013" s="44" t="s">
        <v>74</v>
      </c>
    </row>
    <row r="1014" spans="1:9" ht="45" x14ac:dyDescent="0.25">
      <c r="A1014" s="44" t="s">
        <v>70</v>
      </c>
      <c r="B1014" s="6">
        <v>1154001</v>
      </c>
      <c r="C1014" s="44" t="s">
        <v>1966</v>
      </c>
      <c r="D1014" s="44" t="s">
        <v>1980</v>
      </c>
      <c r="E1014" s="6">
        <v>1</v>
      </c>
      <c r="F1014" s="6" t="s">
        <v>726</v>
      </c>
      <c r="G1014" s="6" t="s">
        <v>726</v>
      </c>
      <c r="H1014" s="44" t="s">
        <v>73</v>
      </c>
      <c r="I1014" s="44" t="s">
        <v>74</v>
      </c>
    </row>
    <row r="1015" spans="1:9" ht="45" x14ac:dyDescent="0.25">
      <c r="A1015" s="44" t="s">
        <v>70</v>
      </c>
      <c r="B1015" s="6">
        <v>1154001</v>
      </c>
      <c r="C1015" s="44" t="s">
        <v>1966</v>
      </c>
      <c r="D1015" s="44" t="s">
        <v>1981</v>
      </c>
      <c r="E1015" s="6">
        <v>1</v>
      </c>
      <c r="F1015" s="6">
        <v>500</v>
      </c>
      <c r="G1015" s="6">
        <v>500</v>
      </c>
      <c r="H1015" s="44" t="s">
        <v>73</v>
      </c>
      <c r="I1015" s="44" t="s">
        <v>74</v>
      </c>
    </row>
    <row r="1016" spans="1:9" ht="165" x14ac:dyDescent="0.25">
      <c r="A1016" s="44" t="s">
        <v>136</v>
      </c>
      <c r="B1016" s="6">
        <v>1154001</v>
      </c>
      <c r="C1016" s="44" t="s">
        <v>1966</v>
      </c>
      <c r="D1016" s="44" t="s">
        <v>1982</v>
      </c>
      <c r="E1016" s="6">
        <v>1</v>
      </c>
      <c r="F1016" s="6" t="s">
        <v>678</v>
      </c>
      <c r="G1016" s="6" t="s">
        <v>678</v>
      </c>
      <c r="H1016" s="44" t="s">
        <v>142</v>
      </c>
      <c r="I1016" s="44" t="s">
        <v>143</v>
      </c>
    </row>
    <row r="1017" spans="1:9" ht="135" x14ac:dyDescent="0.25">
      <c r="A1017" s="44" t="s">
        <v>136</v>
      </c>
      <c r="B1017" s="6">
        <v>1154001</v>
      </c>
      <c r="C1017" s="44" t="s">
        <v>1966</v>
      </c>
      <c r="D1017" s="44" t="s">
        <v>1983</v>
      </c>
      <c r="E1017" s="6">
        <v>10</v>
      </c>
      <c r="F1017" s="6">
        <v>350</v>
      </c>
      <c r="G1017" s="6" t="s">
        <v>946</v>
      </c>
      <c r="H1017" s="44" t="s">
        <v>142</v>
      </c>
      <c r="I1017" s="44" t="s">
        <v>143</v>
      </c>
    </row>
    <row r="1018" spans="1:9" ht="30" x14ac:dyDescent="0.25">
      <c r="A1018" s="44" t="s">
        <v>202</v>
      </c>
      <c r="B1018" s="6">
        <v>1154001</v>
      </c>
      <c r="C1018" s="44" t="s">
        <v>1966</v>
      </c>
      <c r="D1018" s="44" t="s">
        <v>1984</v>
      </c>
      <c r="E1018" s="6">
        <v>1</v>
      </c>
      <c r="F1018" s="6">
        <v>550</v>
      </c>
      <c r="G1018" s="6">
        <v>550</v>
      </c>
      <c r="H1018" s="44" t="s">
        <v>203</v>
      </c>
      <c r="I1018" s="44" t="s">
        <v>204</v>
      </c>
    </row>
    <row r="1019" spans="1:9" ht="30" x14ac:dyDescent="0.25">
      <c r="A1019" s="44" t="s">
        <v>202</v>
      </c>
      <c r="B1019" s="6">
        <v>1154001</v>
      </c>
      <c r="C1019" s="44" t="s">
        <v>1966</v>
      </c>
      <c r="D1019" s="44" t="s">
        <v>1985</v>
      </c>
      <c r="E1019" s="6">
        <v>1</v>
      </c>
      <c r="F1019" s="6">
        <v>350</v>
      </c>
      <c r="G1019" s="6">
        <v>350</v>
      </c>
      <c r="H1019" s="44" t="s">
        <v>203</v>
      </c>
      <c r="I1019" s="44" t="s">
        <v>204</v>
      </c>
    </row>
    <row r="1020" spans="1:9" ht="30" x14ac:dyDescent="0.25">
      <c r="A1020" s="44" t="s">
        <v>202</v>
      </c>
      <c r="B1020" s="6">
        <v>1154001</v>
      </c>
      <c r="C1020" s="44" t="s">
        <v>1966</v>
      </c>
      <c r="D1020" s="44" t="s">
        <v>1986</v>
      </c>
      <c r="E1020" s="6">
        <v>1</v>
      </c>
      <c r="F1020" s="6">
        <v>350</v>
      </c>
      <c r="G1020" s="6">
        <v>350</v>
      </c>
      <c r="H1020" s="44" t="s">
        <v>203</v>
      </c>
      <c r="I1020" s="44" t="s">
        <v>204</v>
      </c>
    </row>
    <row r="1021" spans="1:9" ht="30" x14ac:dyDescent="0.25">
      <c r="A1021" s="44" t="s">
        <v>202</v>
      </c>
      <c r="B1021" s="6">
        <v>1154001</v>
      </c>
      <c r="C1021" s="44" t="s">
        <v>1966</v>
      </c>
      <c r="D1021" s="44" t="s">
        <v>1987</v>
      </c>
      <c r="E1021" s="6">
        <v>1</v>
      </c>
      <c r="F1021" s="6" t="s">
        <v>923</v>
      </c>
      <c r="G1021" s="6" t="s">
        <v>923</v>
      </c>
      <c r="H1021" s="44" t="s">
        <v>203</v>
      </c>
      <c r="I1021" s="44" t="s">
        <v>204</v>
      </c>
    </row>
    <row r="1022" spans="1:9" ht="30" x14ac:dyDescent="0.25">
      <c r="A1022" s="44" t="s">
        <v>202</v>
      </c>
      <c r="B1022" s="6">
        <v>1154001</v>
      </c>
      <c r="C1022" s="44" t="s">
        <v>1966</v>
      </c>
      <c r="D1022" s="44" t="s">
        <v>1988</v>
      </c>
      <c r="E1022" s="6">
        <v>1</v>
      </c>
      <c r="F1022" s="6">
        <v>500</v>
      </c>
      <c r="G1022" s="6">
        <v>500</v>
      </c>
      <c r="H1022" s="44" t="s">
        <v>203</v>
      </c>
      <c r="I1022" s="44" t="s">
        <v>204</v>
      </c>
    </row>
    <row r="1023" spans="1:9" ht="45" x14ac:dyDescent="0.25">
      <c r="A1023" s="44" t="s">
        <v>202</v>
      </c>
      <c r="B1023" s="6">
        <v>1154001</v>
      </c>
      <c r="C1023" s="44" t="s">
        <v>1966</v>
      </c>
      <c r="D1023" s="44" t="s">
        <v>1989</v>
      </c>
      <c r="E1023" s="6">
        <v>1</v>
      </c>
      <c r="F1023" s="6">
        <v>800</v>
      </c>
      <c r="G1023" s="6">
        <v>800</v>
      </c>
      <c r="H1023" s="44" t="s">
        <v>203</v>
      </c>
      <c r="I1023" s="44" t="s">
        <v>204</v>
      </c>
    </row>
    <row r="1024" spans="1:9" ht="30" x14ac:dyDescent="0.25">
      <c r="A1024" s="44" t="s">
        <v>202</v>
      </c>
      <c r="B1024" s="6">
        <v>1154001</v>
      </c>
      <c r="C1024" s="44" t="s">
        <v>1966</v>
      </c>
      <c r="D1024" s="44" t="s">
        <v>1990</v>
      </c>
      <c r="E1024" s="6">
        <v>1</v>
      </c>
      <c r="F1024" s="6">
        <v>200</v>
      </c>
      <c r="G1024" s="6">
        <v>200</v>
      </c>
      <c r="H1024" s="44" t="s">
        <v>203</v>
      </c>
      <c r="I1024" s="44" t="s">
        <v>204</v>
      </c>
    </row>
    <row r="1025" spans="1:9" ht="30" x14ac:dyDescent="0.25">
      <c r="A1025" s="44" t="s">
        <v>202</v>
      </c>
      <c r="B1025" s="6">
        <v>1154001</v>
      </c>
      <c r="C1025" s="44" t="s">
        <v>1966</v>
      </c>
      <c r="D1025" s="44" t="s">
        <v>1991</v>
      </c>
      <c r="E1025" s="6">
        <v>1</v>
      </c>
      <c r="F1025" s="6">
        <v>800</v>
      </c>
      <c r="G1025" s="6">
        <v>800</v>
      </c>
      <c r="H1025" s="44" t="s">
        <v>203</v>
      </c>
      <c r="I1025" s="44" t="s">
        <v>204</v>
      </c>
    </row>
    <row r="1026" spans="1:9" ht="30" x14ac:dyDescent="0.25">
      <c r="A1026" s="44" t="s">
        <v>202</v>
      </c>
      <c r="B1026" s="6">
        <v>1154001</v>
      </c>
      <c r="C1026" s="44" t="s">
        <v>1966</v>
      </c>
      <c r="D1026" s="44" t="s">
        <v>1992</v>
      </c>
      <c r="E1026" s="6">
        <v>1</v>
      </c>
      <c r="F1026" s="6">
        <v>250</v>
      </c>
      <c r="G1026" s="6">
        <v>250</v>
      </c>
      <c r="H1026" s="44" t="s">
        <v>203</v>
      </c>
      <c r="I1026" s="44" t="s">
        <v>204</v>
      </c>
    </row>
    <row r="1027" spans="1:9" ht="30" x14ac:dyDescent="0.25">
      <c r="A1027" s="44" t="s">
        <v>202</v>
      </c>
      <c r="B1027" s="6">
        <v>1154001</v>
      </c>
      <c r="C1027" s="44" t="s">
        <v>1966</v>
      </c>
      <c r="D1027" s="44" t="s">
        <v>1993</v>
      </c>
      <c r="E1027" s="6">
        <v>1</v>
      </c>
      <c r="F1027" s="6">
        <v>250</v>
      </c>
      <c r="G1027" s="6">
        <v>250</v>
      </c>
      <c r="H1027" s="44" t="s">
        <v>203</v>
      </c>
      <c r="I1027" s="44" t="s">
        <v>204</v>
      </c>
    </row>
    <row r="1028" spans="1:9" ht="30" x14ac:dyDescent="0.25">
      <c r="A1028" s="44" t="s">
        <v>202</v>
      </c>
      <c r="B1028" s="6">
        <v>1154001</v>
      </c>
      <c r="C1028" s="44" t="s">
        <v>1966</v>
      </c>
      <c r="D1028" s="44" t="s">
        <v>1994</v>
      </c>
      <c r="E1028" s="6">
        <v>1</v>
      </c>
      <c r="F1028" s="6">
        <v>200</v>
      </c>
      <c r="G1028" s="6">
        <v>200</v>
      </c>
      <c r="H1028" s="44" t="s">
        <v>203</v>
      </c>
      <c r="I1028" s="44" t="s">
        <v>204</v>
      </c>
    </row>
    <row r="1029" spans="1:9" ht="30" x14ac:dyDescent="0.25">
      <c r="A1029" s="44" t="s">
        <v>202</v>
      </c>
      <c r="B1029" s="6">
        <v>1154001</v>
      </c>
      <c r="C1029" s="44" t="s">
        <v>1966</v>
      </c>
      <c r="D1029" s="44" t="s">
        <v>1995</v>
      </c>
      <c r="E1029" s="6">
        <v>1</v>
      </c>
      <c r="F1029" s="6">
        <v>48</v>
      </c>
      <c r="G1029" s="6">
        <v>48</v>
      </c>
      <c r="H1029" s="44" t="s">
        <v>203</v>
      </c>
      <c r="I1029" s="44" t="s">
        <v>204</v>
      </c>
    </row>
    <row r="1030" spans="1:9" ht="30" x14ac:dyDescent="0.25">
      <c r="A1030" s="44" t="s">
        <v>202</v>
      </c>
      <c r="B1030" s="6">
        <v>1154001</v>
      </c>
      <c r="C1030" s="44" t="s">
        <v>1966</v>
      </c>
      <c r="D1030" s="44" t="s">
        <v>1996</v>
      </c>
      <c r="E1030" s="6">
        <v>1</v>
      </c>
      <c r="F1030" s="6">
        <v>150</v>
      </c>
      <c r="G1030" s="6">
        <v>150</v>
      </c>
      <c r="H1030" s="44" t="s">
        <v>203</v>
      </c>
      <c r="I1030" s="44" t="s">
        <v>204</v>
      </c>
    </row>
    <row r="1031" spans="1:9" ht="30" x14ac:dyDescent="0.25">
      <c r="A1031" s="44" t="s">
        <v>202</v>
      </c>
      <c r="B1031" s="6">
        <v>1154001</v>
      </c>
      <c r="C1031" s="44" t="s">
        <v>1966</v>
      </c>
      <c r="D1031" s="44" t="s">
        <v>1997</v>
      </c>
      <c r="E1031" s="6">
        <v>2</v>
      </c>
      <c r="F1031" s="6">
        <v>20</v>
      </c>
      <c r="G1031" s="6">
        <v>40</v>
      </c>
      <c r="H1031" s="44" t="s">
        <v>203</v>
      </c>
      <c r="I1031" s="44" t="s">
        <v>204</v>
      </c>
    </row>
    <row r="1032" spans="1:9" ht="30" x14ac:dyDescent="0.25">
      <c r="A1032" s="44" t="s">
        <v>202</v>
      </c>
      <c r="B1032" s="6">
        <v>1154001</v>
      </c>
      <c r="C1032" s="44" t="s">
        <v>1966</v>
      </c>
      <c r="D1032" s="44" t="s">
        <v>1998</v>
      </c>
      <c r="E1032" s="6">
        <v>1</v>
      </c>
      <c r="F1032" s="6">
        <v>350</v>
      </c>
      <c r="G1032" s="6">
        <v>350</v>
      </c>
      <c r="H1032" s="44" t="s">
        <v>203</v>
      </c>
      <c r="I1032" s="44" t="s">
        <v>204</v>
      </c>
    </row>
    <row r="1033" spans="1:9" ht="30" x14ac:dyDescent="0.25">
      <c r="A1033" s="44" t="s">
        <v>202</v>
      </c>
      <c r="B1033" s="6">
        <v>1154001</v>
      </c>
      <c r="C1033" s="44" t="s">
        <v>1966</v>
      </c>
      <c r="D1033" s="44" t="s">
        <v>1999</v>
      </c>
      <c r="E1033" s="6">
        <v>1</v>
      </c>
      <c r="F1033" s="6">
        <v>100</v>
      </c>
      <c r="G1033" s="6">
        <v>100</v>
      </c>
      <c r="H1033" s="44" t="s">
        <v>203</v>
      </c>
      <c r="I1033" s="44" t="s">
        <v>204</v>
      </c>
    </row>
    <row r="1034" spans="1:9" ht="30" x14ac:dyDescent="0.25">
      <c r="A1034" s="44" t="s">
        <v>205</v>
      </c>
      <c r="B1034" s="6">
        <v>1154001</v>
      </c>
      <c r="C1034" s="44" t="s">
        <v>1966</v>
      </c>
      <c r="D1034" s="44" t="s">
        <v>2000</v>
      </c>
      <c r="E1034" s="6">
        <v>1</v>
      </c>
      <c r="F1034" s="6" t="s">
        <v>1279</v>
      </c>
      <c r="G1034" s="6" t="s">
        <v>1279</v>
      </c>
      <c r="H1034" s="44" t="s">
        <v>206</v>
      </c>
      <c r="I1034" s="44" t="s">
        <v>205</v>
      </c>
    </row>
    <row r="1035" spans="1:9" ht="45" x14ac:dyDescent="0.25">
      <c r="A1035" s="44" t="s">
        <v>205</v>
      </c>
      <c r="B1035" s="6">
        <v>1154001</v>
      </c>
      <c r="C1035" s="44" t="s">
        <v>1966</v>
      </c>
      <c r="D1035" s="44" t="s">
        <v>2001</v>
      </c>
      <c r="E1035" s="6">
        <v>1</v>
      </c>
      <c r="F1035" s="6" t="s">
        <v>678</v>
      </c>
      <c r="G1035" s="6" t="s">
        <v>678</v>
      </c>
      <c r="H1035" s="44" t="s">
        <v>206</v>
      </c>
      <c r="I1035" s="44" t="s">
        <v>205</v>
      </c>
    </row>
    <row r="1036" spans="1:9" ht="45" x14ac:dyDescent="0.25">
      <c r="A1036" s="44" t="s">
        <v>281</v>
      </c>
      <c r="B1036" s="6">
        <v>1154001</v>
      </c>
      <c r="C1036" s="44" t="s">
        <v>1966</v>
      </c>
      <c r="D1036" s="44" t="s">
        <v>2002</v>
      </c>
      <c r="E1036" s="6">
        <v>10</v>
      </c>
      <c r="F1036" s="6">
        <v>50</v>
      </c>
      <c r="G1036" s="6">
        <v>500</v>
      </c>
      <c r="H1036" s="44" t="s">
        <v>284</v>
      </c>
      <c r="I1036" s="44" t="s">
        <v>285</v>
      </c>
    </row>
    <row r="1037" spans="1:9" ht="45" x14ac:dyDescent="0.25">
      <c r="A1037" s="44" t="s">
        <v>281</v>
      </c>
      <c r="B1037" s="6">
        <v>1154001</v>
      </c>
      <c r="C1037" s="44" t="s">
        <v>1966</v>
      </c>
      <c r="D1037" s="44" t="s">
        <v>2003</v>
      </c>
      <c r="E1037" s="6">
        <v>3</v>
      </c>
      <c r="F1037" s="6">
        <v>150</v>
      </c>
      <c r="G1037" s="6">
        <v>450</v>
      </c>
      <c r="H1037" s="44" t="s">
        <v>284</v>
      </c>
      <c r="I1037" s="44" t="s">
        <v>285</v>
      </c>
    </row>
    <row r="1038" spans="1:9" ht="45" x14ac:dyDescent="0.25">
      <c r="A1038" s="44" t="s">
        <v>281</v>
      </c>
      <c r="B1038" s="6">
        <v>1154001</v>
      </c>
      <c r="C1038" s="44" t="s">
        <v>1966</v>
      </c>
      <c r="D1038" s="44" t="s">
        <v>2004</v>
      </c>
      <c r="E1038" s="6">
        <v>6</v>
      </c>
      <c r="F1038" s="6">
        <v>121</v>
      </c>
      <c r="G1038" s="6">
        <v>726</v>
      </c>
      <c r="H1038" s="44" t="s">
        <v>284</v>
      </c>
      <c r="I1038" s="44" t="s">
        <v>285</v>
      </c>
    </row>
    <row r="1039" spans="1:9" ht="45" x14ac:dyDescent="0.25">
      <c r="A1039" s="44" t="s">
        <v>281</v>
      </c>
      <c r="B1039" s="6">
        <v>1154001</v>
      </c>
      <c r="C1039" s="44" t="s">
        <v>1966</v>
      </c>
      <c r="D1039" s="44" t="s">
        <v>2005</v>
      </c>
      <c r="E1039" s="6">
        <v>240</v>
      </c>
      <c r="F1039" s="6">
        <v>13</v>
      </c>
      <c r="G1039" s="6" t="s">
        <v>833</v>
      </c>
      <c r="H1039" s="44" t="s">
        <v>284</v>
      </c>
      <c r="I1039" s="44" t="s">
        <v>285</v>
      </c>
    </row>
    <row r="1040" spans="1:9" ht="45" x14ac:dyDescent="0.25">
      <c r="A1040" s="44" t="s">
        <v>281</v>
      </c>
      <c r="B1040" s="6">
        <v>1154001</v>
      </c>
      <c r="C1040" s="44" t="s">
        <v>1966</v>
      </c>
      <c r="D1040" s="44" t="s">
        <v>2006</v>
      </c>
      <c r="E1040" s="6">
        <v>12</v>
      </c>
      <c r="F1040" s="6">
        <v>110</v>
      </c>
      <c r="G1040" s="6" t="s">
        <v>2007</v>
      </c>
      <c r="H1040" s="44" t="s">
        <v>284</v>
      </c>
      <c r="I1040" s="44" t="s">
        <v>285</v>
      </c>
    </row>
    <row r="1041" spans="1:9" ht="45" x14ac:dyDescent="0.25">
      <c r="A1041" s="44" t="s">
        <v>281</v>
      </c>
      <c r="B1041" s="6">
        <v>1154001</v>
      </c>
      <c r="C1041" s="44" t="s">
        <v>1966</v>
      </c>
      <c r="D1041" s="44" t="s">
        <v>2008</v>
      </c>
      <c r="E1041" s="6">
        <v>72</v>
      </c>
      <c r="F1041" s="6">
        <v>13</v>
      </c>
      <c r="G1041" s="6">
        <v>936</v>
      </c>
      <c r="H1041" s="44" t="s">
        <v>284</v>
      </c>
      <c r="I1041" s="44" t="s">
        <v>285</v>
      </c>
    </row>
    <row r="1042" spans="1:9" ht="45" x14ac:dyDescent="0.25">
      <c r="A1042" s="44" t="s">
        <v>281</v>
      </c>
      <c r="B1042" s="6">
        <v>1154001</v>
      </c>
      <c r="C1042" s="44" t="s">
        <v>1966</v>
      </c>
      <c r="D1042" s="44" t="s">
        <v>2009</v>
      </c>
      <c r="E1042" s="6">
        <v>1</v>
      </c>
      <c r="F1042" s="6">
        <v>30</v>
      </c>
      <c r="G1042" s="6">
        <v>30</v>
      </c>
      <c r="H1042" s="44" t="s">
        <v>284</v>
      </c>
      <c r="I1042" s="44" t="s">
        <v>285</v>
      </c>
    </row>
    <row r="1043" spans="1:9" ht="45" x14ac:dyDescent="0.25">
      <c r="A1043" s="44" t="s">
        <v>281</v>
      </c>
      <c r="B1043" s="6">
        <v>1154001</v>
      </c>
      <c r="C1043" s="44" t="s">
        <v>1966</v>
      </c>
      <c r="D1043" s="44" t="s">
        <v>2010</v>
      </c>
      <c r="E1043" s="6">
        <v>1</v>
      </c>
      <c r="F1043" s="6">
        <v>50</v>
      </c>
      <c r="G1043" s="6">
        <v>50</v>
      </c>
      <c r="H1043" s="44" t="s">
        <v>284</v>
      </c>
      <c r="I1043" s="44" t="s">
        <v>285</v>
      </c>
    </row>
    <row r="1044" spans="1:9" ht="45" x14ac:dyDescent="0.25">
      <c r="A1044" s="44" t="s">
        <v>281</v>
      </c>
      <c r="B1044" s="6">
        <v>1154001</v>
      </c>
      <c r="C1044" s="44" t="s">
        <v>1966</v>
      </c>
      <c r="D1044" s="44" t="s">
        <v>2011</v>
      </c>
      <c r="E1044" s="6">
        <v>3</v>
      </c>
      <c r="F1044" s="6">
        <v>50</v>
      </c>
      <c r="G1044" s="6">
        <v>150</v>
      </c>
      <c r="H1044" s="44" t="s">
        <v>284</v>
      </c>
      <c r="I1044" s="44" t="s">
        <v>285</v>
      </c>
    </row>
    <row r="1045" spans="1:9" ht="45" x14ac:dyDescent="0.25">
      <c r="A1045" s="44" t="s">
        <v>281</v>
      </c>
      <c r="B1045" s="6">
        <v>1154001</v>
      </c>
      <c r="C1045" s="44" t="s">
        <v>1966</v>
      </c>
      <c r="D1045" s="44" t="s">
        <v>2012</v>
      </c>
      <c r="E1045" s="6">
        <v>5</v>
      </c>
      <c r="F1045" s="6">
        <v>15</v>
      </c>
      <c r="G1045" s="6">
        <v>75</v>
      </c>
      <c r="H1045" s="44" t="s">
        <v>284</v>
      </c>
      <c r="I1045" s="44" t="s">
        <v>285</v>
      </c>
    </row>
    <row r="1046" spans="1:9" ht="45" x14ac:dyDescent="0.25">
      <c r="A1046" s="44" t="s">
        <v>281</v>
      </c>
      <c r="B1046" s="6">
        <v>1154001</v>
      </c>
      <c r="C1046" s="44" t="s">
        <v>1966</v>
      </c>
      <c r="D1046" s="44" t="s">
        <v>2013</v>
      </c>
      <c r="E1046" s="6">
        <v>5</v>
      </c>
      <c r="F1046" s="6">
        <v>40</v>
      </c>
      <c r="G1046" s="6">
        <v>200</v>
      </c>
      <c r="H1046" s="44" t="s">
        <v>284</v>
      </c>
      <c r="I1046" s="44" t="s">
        <v>285</v>
      </c>
    </row>
    <row r="1047" spans="1:9" ht="45" x14ac:dyDescent="0.25">
      <c r="A1047" s="44" t="s">
        <v>281</v>
      </c>
      <c r="B1047" s="6">
        <v>1154001</v>
      </c>
      <c r="C1047" s="44" t="s">
        <v>1966</v>
      </c>
      <c r="D1047" s="44" t="s">
        <v>2014</v>
      </c>
      <c r="E1047" s="6">
        <v>2</v>
      </c>
      <c r="F1047" s="6">
        <v>42.5</v>
      </c>
      <c r="G1047" s="6">
        <v>85</v>
      </c>
      <c r="H1047" s="44" t="s">
        <v>284</v>
      </c>
      <c r="I1047" s="44" t="s">
        <v>285</v>
      </c>
    </row>
    <row r="1048" spans="1:9" ht="45" x14ac:dyDescent="0.25">
      <c r="A1048" s="44" t="s">
        <v>281</v>
      </c>
      <c r="B1048" s="6">
        <v>1154001</v>
      </c>
      <c r="C1048" s="44" t="s">
        <v>1966</v>
      </c>
      <c r="D1048" s="44" t="s">
        <v>2015</v>
      </c>
      <c r="E1048" s="6">
        <v>3</v>
      </c>
      <c r="F1048" s="6">
        <v>50</v>
      </c>
      <c r="G1048" s="6">
        <v>150</v>
      </c>
      <c r="H1048" s="44" t="s">
        <v>284</v>
      </c>
      <c r="I1048" s="44" t="s">
        <v>285</v>
      </c>
    </row>
    <row r="1049" spans="1:9" ht="45" x14ac:dyDescent="0.25">
      <c r="A1049" s="44" t="s">
        <v>281</v>
      </c>
      <c r="B1049" s="6">
        <v>1154001</v>
      </c>
      <c r="C1049" s="44" t="s">
        <v>1966</v>
      </c>
      <c r="D1049" s="44" t="s">
        <v>2016</v>
      </c>
      <c r="E1049" s="6">
        <v>72</v>
      </c>
      <c r="F1049" s="6">
        <v>12.5</v>
      </c>
      <c r="G1049" s="6">
        <v>900</v>
      </c>
      <c r="H1049" s="44" t="s">
        <v>284</v>
      </c>
      <c r="I1049" s="44" t="s">
        <v>285</v>
      </c>
    </row>
    <row r="1050" spans="1:9" ht="45" x14ac:dyDescent="0.25">
      <c r="A1050" s="44" t="s">
        <v>281</v>
      </c>
      <c r="B1050" s="6">
        <v>1154001</v>
      </c>
      <c r="C1050" s="44" t="s">
        <v>1966</v>
      </c>
      <c r="D1050" s="44" t="s">
        <v>2017</v>
      </c>
      <c r="E1050" s="6">
        <v>2</v>
      </c>
      <c r="F1050" s="6">
        <v>240</v>
      </c>
      <c r="G1050" s="6">
        <v>480</v>
      </c>
      <c r="H1050" s="44" t="s">
        <v>284</v>
      </c>
      <c r="I1050" s="44" t="s">
        <v>285</v>
      </c>
    </row>
    <row r="1051" spans="1:9" ht="45" x14ac:dyDescent="0.25">
      <c r="A1051" s="44" t="s">
        <v>281</v>
      </c>
      <c r="B1051" s="6">
        <v>1154001</v>
      </c>
      <c r="C1051" s="44" t="s">
        <v>1966</v>
      </c>
      <c r="D1051" s="44" t="s">
        <v>2018</v>
      </c>
      <c r="E1051" s="6">
        <v>48</v>
      </c>
      <c r="F1051" s="6">
        <v>21.5</v>
      </c>
      <c r="G1051" s="6" t="s">
        <v>2019</v>
      </c>
      <c r="H1051" s="44" t="s">
        <v>284</v>
      </c>
      <c r="I1051" s="44" t="s">
        <v>285</v>
      </c>
    </row>
    <row r="1052" spans="1:9" ht="45" x14ac:dyDescent="0.25">
      <c r="A1052" s="44" t="s">
        <v>281</v>
      </c>
      <c r="B1052" s="6">
        <v>1154001</v>
      </c>
      <c r="C1052" s="44" t="s">
        <v>1966</v>
      </c>
      <c r="D1052" s="44" t="s">
        <v>2020</v>
      </c>
      <c r="E1052" s="6">
        <v>5</v>
      </c>
      <c r="F1052" s="6">
        <v>80</v>
      </c>
      <c r="G1052" s="6">
        <v>400</v>
      </c>
      <c r="H1052" s="44" t="s">
        <v>284</v>
      </c>
      <c r="I1052" s="44" t="s">
        <v>285</v>
      </c>
    </row>
    <row r="1053" spans="1:9" ht="45" x14ac:dyDescent="0.25">
      <c r="A1053" s="44" t="s">
        <v>281</v>
      </c>
      <c r="B1053" s="6">
        <v>1154001</v>
      </c>
      <c r="C1053" s="44" t="s">
        <v>1966</v>
      </c>
      <c r="D1053" s="44" t="s">
        <v>2021</v>
      </c>
      <c r="E1053" s="6">
        <v>2</v>
      </c>
      <c r="F1053" s="6">
        <v>25</v>
      </c>
      <c r="G1053" s="6">
        <v>50</v>
      </c>
      <c r="H1053" s="44" t="s">
        <v>284</v>
      </c>
      <c r="I1053" s="44" t="s">
        <v>285</v>
      </c>
    </row>
    <row r="1054" spans="1:9" ht="45" x14ac:dyDescent="0.25">
      <c r="A1054" s="44" t="s">
        <v>281</v>
      </c>
      <c r="B1054" s="6">
        <v>1154001</v>
      </c>
      <c r="C1054" s="44" t="s">
        <v>1966</v>
      </c>
      <c r="D1054" s="44" t="s">
        <v>2022</v>
      </c>
      <c r="E1054" s="6">
        <v>5</v>
      </c>
      <c r="F1054" s="6">
        <v>40</v>
      </c>
      <c r="G1054" s="6">
        <v>200</v>
      </c>
      <c r="H1054" s="44" t="s">
        <v>284</v>
      </c>
      <c r="I1054" s="44" t="s">
        <v>285</v>
      </c>
    </row>
    <row r="1055" spans="1:9" ht="45" x14ac:dyDescent="0.25">
      <c r="A1055" s="44" t="s">
        <v>281</v>
      </c>
      <c r="B1055" s="6">
        <v>1154001</v>
      </c>
      <c r="C1055" s="44" t="s">
        <v>1966</v>
      </c>
      <c r="D1055" s="44" t="s">
        <v>2023</v>
      </c>
      <c r="E1055" s="6">
        <v>18</v>
      </c>
      <c r="F1055" s="6">
        <v>104</v>
      </c>
      <c r="G1055" s="6" t="s">
        <v>2024</v>
      </c>
      <c r="H1055" s="44" t="s">
        <v>284</v>
      </c>
      <c r="I1055" s="44" t="s">
        <v>285</v>
      </c>
    </row>
    <row r="1056" spans="1:9" ht="45" x14ac:dyDescent="0.25">
      <c r="A1056" s="44" t="s">
        <v>281</v>
      </c>
      <c r="B1056" s="6">
        <v>1154001</v>
      </c>
      <c r="C1056" s="44" t="s">
        <v>1966</v>
      </c>
      <c r="D1056" s="44" t="s">
        <v>2025</v>
      </c>
      <c r="E1056" s="6">
        <v>72</v>
      </c>
      <c r="F1056" s="6">
        <v>12.5</v>
      </c>
      <c r="G1056" s="6">
        <v>900</v>
      </c>
      <c r="H1056" s="44" t="s">
        <v>284</v>
      </c>
      <c r="I1056" s="44" t="s">
        <v>285</v>
      </c>
    </row>
    <row r="1057" spans="1:9" ht="45" x14ac:dyDescent="0.25">
      <c r="A1057" s="44" t="s">
        <v>281</v>
      </c>
      <c r="B1057" s="6">
        <v>1154001</v>
      </c>
      <c r="C1057" s="44" t="s">
        <v>1966</v>
      </c>
      <c r="D1057" s="44" t="s">
        <v>2026</v>
      </c>
      <c r="E1057" s="6">
        <v>10</v>
      </c>
      <c r="F1057" s="6">
        <v>170.5</v>
      </c>
      <c r="G1057" s="6" t="s">
        <v>2027</v>
      </c>
      <c r="H1057" s="44" t="s">
        <v>284</v>
      </c>
      <c r="I1057" s="44" t="s">
        <v>285</v>
      </c>
    </row>
    <row r="1058" spans="1:9" ht="45" x14ac:dyDescent="0.25">
      <c r="A1058" s="44" t="s">
        <v>281</v>
      </c>
      <c r="B1058" s="6">
        <v>1154001</v>
      </c>
      <c r="C1058" s="44" t="s">
        <v>1966</v>
      </c>
      <c r="D1058" s="44" t="s">
        <v>2028</v>
      </c>
      <c r="E1058" s="6">
        <v>5</v>
      </c>
      <c r="F1058" s="6">
        <v>50</v>
      </c>
      <c r="G1058" s="6">
        <v>250</v>
      </c>
      <c r="H1058" s="44" t="s">
        <v>284</v>
      </c>
      <c r="I1058" s="44" t="s">
        <v>285</v>
      </c>
    </row>
    <row r="1059" spans="1:9" ht="45" x14ac:dyDescent="0.25">
      <c r="A1059" s="44" t="s">
        <v>281</v>
      </c>
      <c r="B1059" s="6">
        <v>1154001</v>
      </c>
      <c r="C1059" s="44" t="s">
        <v>1966</v>
      </c>
      <c r="D1059" s="44" t="s">
        <v>2029</v>
      </c>
      <c r="E1059" s="6">
        <v>25</v>
      </c>
      <c r="F1059" s="6">
        <v>47</v>
      </c>
      <c r="G1059" s="6" t="s">
        <v>2030</v>
      </c>
      <c r="H1059" s="44" t="s">
        <v>284</v>
      </c>
      <c r="I1059" s="44" t="s">
        <v>285</v>
      </c>
    </row>
    <row r="1060" spans="1:9" ht="45" x14ac:dyDescent="0.25">
      <c r="A1060" s="44" t="s">
        <v>281</v>
      </c>
      <c r="B1060" s="6">
        <v>1154001</v>
      </c>
      <c r="C1060" s="44" t="s">
        <v>1966</v>
      </c>
      <c r="D1060" s="44" t="s">
        <v>2031</v>
      </c>
      <c r="E1060" s="6">
        <v>48</v>
      </c>
      <c r="F1060" s="6">
        <v>80</v>
      </c>
      <c r="G1060" s="6" t="s">
        <v>2032</v>
      </c>
      <c r="H1060" s="44" t="s">
        <v>284</v>
      </c>
      <c r="I1060" s="44" t="s">
        <v>285</v>
      </c>
    </row>
    <row r="1061" spans="1:9" ht="45" x14ac:dyDescent="0.25">
      <c r="A1061" s="44" t="s">
        <v>281</v>
      </c>
      <c r="B1061" s="6">
        <v>1154001</v>
      </c>
      <c r="C1061" s="44" t="s">
        <v>1966</v>
      </c>
      <c r="D1061" s="44" t="s">
        <v>2033</v>
      </c>
      <c r="E1061" s="6">
        <v>10</v>
      </c>
      <c r="F1061" s="6">
        <v>60</v>
      </c>
      <c r="G1061" s="6">
        <v>600</v>
      </c>
      <c r="H1061" s="44" t="s">
        <v>284</v>
      </c>
      <c r="I1061" s="44" t="s">
        <v>285</v>
      </c>
    </row>
    <row r="1062" spans="1:9" ht="45" x14ac:dyDescent="0.25">
      <c r="A1062" s="44" t="s">
        <v>281</v>
      </c>
      <c r="B1062" s="6">
        <v>1154001</v>
      </c>
      <c r="C1062" s="44" t="s">
        <v>1966</v>
      </c>
      <c r="D1062" s="44" t="s">
        <v>2034</v>
      </c>
      <c r="E1062" s="6">
        <v>10</v>
      </c>
      <c r="F1062" s="6">
        <v>80</v>
      </c>
      <c r="G1062" s="6">
        <v>800</v>
      </c>
      <c r="H1062" s="44" t="s">
        <v>284</v>
      </c>
      <c r="I1062" s="44" t="s">
        <v>285</v>
      </c>
    </row>
    <row r="1063" spans="1:9" ht="45" x14ac:dyDescent="0.25">
      <c r="A1063" s="44" t="s">
        <v>281</v>
      </c>
      <c r="B1063" s="6">
        <v>1154001</v>
      </c>
      <c r="C1063" s="44" t="s">
        <v>1966</v>
      </c>
      <c r="D1063" s="44" t="s">
        <v>2035</v>
      </c>
      <c r="E1063" s="6">
        <v>5</v>
      </c>
      <c r="F1063" s="6">
        <v>80</v>
      </c>
      <c r="G1063" s="6">
        <v>400</v>
      </c>
      <c r="H1063" s="44" t="s">
        <v>284</v>
      </c>
      <c r="I1063" s="44" t="s">
        <v>285</v>
      </c>
    </row>
    <row r="1064" spans="1:9" ht="45" x14ac:dyDescent="0.25">
      <c r="A1064" s="44" t="s">
        <v>281</v>
      </c>
      <c r="B1064" s="6">
        <v>1154001</v>
      </c>
      <c r="C1064" s="44" t="s">
        <v>1966</v>
      </c>
      <c r="D1064" s="44" t="s">
        <v>2036</v>
      </c>
      <c r="E1064" s="6">
        <v>96</v>
      </c>
      <c r="F1064" s="6">
        <v>80</v>
      </c>
      <c r="G1064" s="6" t="s">
        <v>2037</v>
      </c>
      <c r="H1064" s="44" t="s">
        <v>284</v>
      </c>
      <c r="I1064" s="44" t="s">
        <v>285</v>
      </c>
    </row>
    <row r="1065" spans="1:9" ht="45" x14ac:dyDescent="0.25">
      <c r="A1065" s="44" t="s">
        <v>281</v>
      </c>
      <c r="B1065" s="6">
        <v>1154001</v>
      </c>
      <c r="C1065" s="44" t="s">
        <v>1966</v>
      </c>
      <c r="D1065" s="44" t="s">
        <v>2038</v>
      </c>
      <c r="E1065" s="6">
        <v>10</v>
      </c>
      <c r="F1065" s="6">
        <v>106</v>
      </c>
      <c r="G1065" s="6" t="s">
        <v>2039</v>
      </c>
      <c r="H1065" s="44" t="s">
        <v>284</v>
      </c>
      <c r="I1065" s="44" t="s">
        <v>285</v>
      </c>
    </row>
    <row r="1066" spans="1:9" ht="45" x14ac:dyDescent="0.25">
      <c r="A1066" s="44" t="s">
        <v>281</v>
      </c>
      <c r="B1066" s="6">
        <v>1154001</v>
      </c>
      <c r="C1066" s="44" t="s">
        <v>1966</v>
      </c>
      <c r="D1066" s="44" t="s">
        <v>2040</v>
      </c>
      <c r="E1066" s="6">
        <v>10</v>
      </c>
      <c r="F1066" s="6">
        <v>16.5</v>
      </c>
      <c r="G1066" s="6">
        <v>165</v>
      </c>
      <c r="H1066" s="44" t="s">
        <v>284</v>
      </c>
      <c r="I1066" s="44" t="s">
        <v>285</v>
      </c>
    </row>
    <row r="1067" spans="1:9" ht="45" x14ac:dyDescent="0.25">
      <c r="A1067" s="44" t="s">
        <v>281</v>
      </c>
      <c r="B1067" s="6">
        <v>1154001</v>
      </c>
      <c r="C1067" s="44" t="s">
        <v>1966</v>
      </c>
      <c r="D1067" s="44" t="s">
        <v>2041</v>
      </c>
      <c r="E1067" s="6">
        <v>10</v>
      </c>
      <c r="F1067" s="6">
        <v>23</v>
      </c>
      <c r="G1067" s="6">
        <v>230</v>
      </c>
      <c r="H1067" s="44" t="s">
        <v>284</v>
      </c>
      <c r="I1067" s="44" t="s">
        <v>285</v>
      </c>
    </row>
    <row r="1068" spans="1:9" ht="45" x14ac:dyDescent="0.25">
      <c r="A1068" s="44" t="s">
        <v>281</v>
      </c>
      <c r="B1068" s="6">
        <v>1154001</v>
      </c>
      <c r="C1068" s="44" t="s">
        <v>1966</v>
      </c>
      <c r="D1068" s="44" t="s">
        <v>2042</v>
      </c>
      <c r="E1068" s="6">
        <v>10</v>
      </c>
      <c r="F1068" s="6">
        <v>32.5</v>
      </c>
      <c r="G1068" s="6">
        <v>325</v>
      </c>
      <c r="H1068" s="44" t="s">
        <v>284</v>
      </c>
      <c r="I1068" s="44" t="s">
        <v>285</v>
      </c>
    </row>
    <row r="1069" spans="1:9" ht="45" x14ac:dyDescent="0.25">
      <c r="A1069" s="44" t="s">
        <v>281</v>
      </c>
      <c r="B1069" s="6">
        <v>1154001</v>
      </c>
      <c r="C1069" s="44" t="s">
        <v>1966</v>
      </c>
      <c r="D1069" s="44" t="s">
        <v>2043</v>
      </c>
      <c r="E1069" s="6">
        <v>10</v>
      </c>
      <c r="F1069" s="6">
        <v>25</v>
      </c>
      <c r="G1069" s="6">
        <v>250</v>
      </c>
      <c r="H1069" s="44" t="s">
        <v>284</v>
      </c>
      <c r="I1069" s="44" t="s">
        <v>285</v>
      </c>
    </row>
    <row r="1070" spans="1:9" ht="45" x14ac:dyDescent="0.25">
      <c r="A1070" s="44" t="s">
        <v>281</v>
      </c>
      <c r="B1070" s="6">
        <v>1154001</v>
      </c>
      <c r="C1070" s="44" t="s">
        <v>1966</v>
      </c>
      <c r="D1070" s="44" t="s">
        <v>2044</v>
      </c>
      <c r="E1070" s="6">
        <v>48</v>
      </c>
      <c r="F1070" s="6">
        <v>60</v>
      </c>
      <c r="G1070" s="6" t="s">
        <v>2045</v>
      </c>
      <c r="H1070" s="44" t="s">
        <v>284</v>
      </c>
      <c r="I1070" s="44" t="s">
        <v>285</v>
      </c>
    </row>
    <row r="1071" spans="1:9" ht="45" x14ac:dyDescent="0.25">
      <c r="A1071" s="44" t="s">
        <v>281</v>
      </c>
      <c r="B1071" s="6">
        <v>1154001</v>
      </c>
      <c r="C1071" s="44" t="s">
        <v>1966</v>
      </c>
      <c r="D1071" s="44" t="s">
        <v>2046</v>
      </c>
      <c r="E1071" s="6">
        <v>15</v>
      </c>
      <c r="F1071" s="6">
        <v>29.12</v>
      </c>
      <c r="G1071" s="6">
        <v>436.8</v>
      </c>
      <c r="H1071" s="44" t="s">
        <v>284</v>
      </c>
      <c r="I1071" s="44" t="s">
        <v>285</v>
      </c>
    </row>
    <row r="1072" spans="1:9" ht="45" x14ac:dyDescent="0.25">
      <c r="A1072" s="44" t="s">
        <v>281</v>
      </c>
      <c r="B1072" s="6">
        <v>1154001</v>
      </c>
      <c r="C1072" s="44" t="s">
        <v>1966</v>
      </c>
      <c r="D1072" s="44" t="s">
        <v>2047</v>
      </c>
      <c r="E1072" s="6">
        <v>9</v>
      </c>
      <c r="F1072" s="6">
        <v>13.5</v>
      </c>
      <c r="G1072" s="6">
        <v>121.5</v>
      </c>
      <c r="H1072" s="44" t="s">
        <v>284</v>
      </c>
      <c r="I1072" s="44" t="s">
        <v>285</v>
      </c>
    </row>
    <row r="1073" spans="1:9" ht="45" x14ac:dyDescent="0.25">
      <c r="A1073" s="44" t="s">
        <v>281</v>
      </c>
      <c r="B1073" s="6">
        <v>1154001</v>
      </c>
      <c r="C1073" s="44" t="s">
        <v>1966</v>
      </c>
      <c r="D1073" s="44" t="s">
        <v>2048</v>
      </c>
      <c r="E1073" s="6">
        <v>15</v>
      </c>
      <c r="F1073" s="6">
        <v>47</v>
      </c>
      <c r="G1073" s="6">
        <v>705</v>
      </c>
      <c r="H1073" s="44" t="s">
        <v>284</v>
      </c>
      <c r="I1073" s="44" t="s">
        <v>285</v>
      </c>
    </row>
    <row r="1074" spans="1:9" ht="45" x14ac:dyDescent="0.25">
      <c r="A1074" s="44" t="s">
        <v>281</v>
      </c>
      <c r="B1074" s="6">
        <v>1154001</v>
      </c>
      <c r="C1074" s="44" t="s">
        <v>1966</v>
      </c>
      <c r="D1074" s="44" t="s">
        <v>2049</v>
      </c>
      <c r="E1074" s="6">
        <v>3</v>
      </c>
      <c r="F1074" s="6">
        <v>60</v>
      </c>
      <c r="G1074" s="6">
        <v>180</v>
      </c>
      <c r="H1074" s="44" t="s">
        <v>284</v>
      </c>
      <c r="I1074" s="44" t="s">
        <v>285</v>
      </c>
    </row>
    <row r="1075" spans="1:9" ht="45" x14ac:dyDescent="0.25">
      <c r="A1075" s="44" t="s">
        <v>281</v>
      </c>
      <c r="B1075" s="6">
        <v>1154001</v>
      </c>
      <c r="C1075" s="44" t="s">
        <v>1966</v>
      </c>
      <c r="D1075" s="44" t="s">
        <v>2050</v>
      </c>
      <c r="E1075" s="6">
        <v>5</v>
      </c>
      <c r="F1075" s="6">
        <v>85</v>
      </c>
      <c r="G1075" s="6">
        <v>425</v>
      </c>
      <c r="H1075" s="44" t="s">
        <v>284</v>
      </c>
      <c r="I1075" s="44" t="s">
        <v>285</v>
      </c>
    </row>
    <row r="1076" spans="1:9" ht="45" x14ac:dyDescent="0.25">
      <c r="A1076" s="44" t="s">
        <v>281</v>
      </c>
      <c r="B1076" s="6">
        <v>1154001</v>
      </c>
      <c r="C1076" s="44" t="s">
        <v>1966</v>
      </c>
      <c r="D1076" s="44" t="s">
        <v>2051</v>
      </c>
      <c r="E1076" s="6">
        <v>10</v>
      </c>
      <c r="F1076" s="6">
        <v>25</v>
      </c>
      <c r="G1076" s="6">
        <v>250</v>
      </c>
      <c r="H1076" s="44" t="s">
        <v>284</v>
      </c>
      <c r="I1076" s="44" t="s">
        <v>285</v>
      </c>
    </row>
    <row r="1077" spans="1:9" ht="45" x14ac:dyDescent="0.25">
      <c r="A1077" s="44" t="s">
        <v>281</v>
      </c>
      <c r="B1077" s="6">
        <v>1154001</v>
      </c>
      <c r="C1077" s="44" t="s">
        <v>1966</v>
      </c>
      <c r="D1077" s="44" t="s">
        <v>2052</v>
      </c>
      <c r="E1077" s="6">
        <v>6</v>
      </c>
      <c r="F1077" s="6">
        <v>700</v>
      </c>
      <c r="G1077" s="6" t="s">
        <v>2053</v>
      </c>
      <c r="H1077" s="44" t="s">
        <v>284</v>
      </c>
      <c r="I1077" s="44" t="s">
        <v>285</v>
      </c>
    </row>
    <row r="1078" spans="1:9" ht="45" x14ac:dyDescent="0.25">
      <c r="A1078" s="44" t="s">
        <v>281</v>
      </c>
      <c r="B1078" s="6">
        <v>1154001</v>
      </c>
      <c r="C1078" s="44" t="s">
        <v>1966</v>
      </c>
      <c r="D1078" s="44" t="s">
        <v>2054</v>
      </c>
      <c r="E1078" s="6">
        <v>2</v>
      </c>
      <c r="F1078" s="6">
        <v>220</v>
      </c>
      <c r="G1078" s="6">
        <v>440</v>
      </c>
      <c r="H1078" s="44" t="s">
        <v>284</v>
      </c>
      <c r="I1078" s="44" t="s">
        <v>285</v>
      </c>
    </row>
    <row r="1079" spans="1:9" ht="45" x14ac:dyDescent="0.25">
      <c r="A1079" s="44" t="s">
        <v>281</v>
      </c>
      <c r="B1079" s="6">
        <v>1154001</v>
      </c>
      <c r="C1079" s="44" t="s">
        <v>1966</v>
      </c>
      <c r="D1079" s="44" t="s">
        <v>2055</v>
      </c>
      <c r="E1079" s="6">
        <v>192</v>
      </c>
      <c r="F1079" s="6">
        <v>13.5</v>
      </c>
      <c r="G1079" s="6" t="s">
        <v>2056</v>
      </c>
      <c r="H1079" s="44" t="s">
        <v>284</v>
      </c>
      <c r="I1079" s="44" t="s">
        <v>285</v>
      </c>
    </row>
    <row r="1080" spans="1:9" ht="45" x14ac:dyDescent="0.25">
      <c r="A1080" s="44" t="s">
        <v>281</v>
      </c>
      <c r="B1080" s="6">
        <v>1154001</v>
      </c>
      <c r="C1080" s="44" t="s">
        <v>1966</v>
      </c>
      <c r="D1080" s="44" t="s">
        <v>2057</v>
      </c>
      <c r="E1080" s="6">
        <v>30</v>
      </c>
      <c r="F1080" s="6">
        <v>65</v>
      </c>
      <c r="G1080" s="6" t="s">
        <v>1902</v>
      </c>
      <c r="H1080" s="44" t="s">
        <v>284</v>
      </c>
      <c r="I1080" s="44" t="s">
        <v>285</v>
      </c>
    </row>
    <row r="1081" spans="1:9" ht="45" x14ac:dyDescent="0.25">
      <c r="A1081" s="44" t="s">
        <v>281</v>
      </c>
      <c r="B1081" s="6">
        <v>1154001</v>
      </c>
      <c r="C1081" s="44" t="s">
        <v>1966</v>
      </c>
      <c r="D1081" s="44" t="s">
        <v>2058</v>
      </c>
      <c r="E1081" s="6">
        <v>10</v>
      </c>
      <c r="F1081" s="6">
        <v>21.5</v>
      </c>
      <c r="G1081" s="6">
        <v>215</v>
      </c>
      <c r="H1081" s="44" t="s">
        <v>284</v>
      </c>
      <c r="I1081" s="44" t="s">
        <v>285</v>
      </c>
    </row>
    <row r="1082" spans="1:9" ht="45" x14ac:dyDescent="0.25">
      <c r="A1082" s="44" t="s">
        <v>281</v>
      </c>
      <c r="B1082" s="6">
        <v>1154001</v>
      </c>
      <c r="C1082" s="44" t="s">
        <v>1966</v>
      </c>
      <c r="D1082" s="44" t="s">
        <v>2059</v>
      </c>
      <c r="E1082" s="6">
        <v>10</v>
      </c>
      <c r="F1082" s="6">
        <v>12.5</v>
      </c>
      <c r="G1082" s="6">
        <v>125</v>
      </c>
      <c r="H1082" s="44" t="s">
        <v>284</v>
      </c>
      <c r="I1082" s="44" t="s">
        <v>285</v>
      </c>
    </row>
    <row r="1083" spans="1:9" ht="45" x14ac:dyDescent="0.25">
      <c r="A1083" s="44" t="s">
        <v>281</v>
      </c>
      <c r="B1083" s="6">
        <v>1154001</v>
      </c>
      <c r="C1083" s="44" t="s">
        <v>1966</v>
      </c>
      <c r="D1083" s="44" t="s">
        <v>2060</v>
      </c>
      <c r="E1083" s="6">
        <v>96</v>
      </c>
      <c r="F1083" s="6">
        <v>37.049999999999997</v>
      </c>
      <c r="G1083" s="6" t="s">
        <v>2061</v>
      </c>
      <c r="H1083" s="44" t="s">
        <v>284</v>
      </c>
      <c r="I1083" s="44" t="s">
        <v>285</v>
      </c>
    </row>
    <row r="1084" spans="1:9" ht="45" x14ac:dyDescent="0.25">
      <c r="A1084" s="44" t="s">
        <v>281</v>
      </c>
      <c r="B1084" s="6">
        <v>1154001</v>
      </c>
      <c r="C1084" s="44" t="s">
        <v>1966</v>
      </c>
      <c r="D1084" s="44" t="s">
        <v>2062</v>
      </c>
      <c r="E1084" s="6">
        <v>8</v>
      </c>
      <c r="F1084" s="6">
        <v>162</v>
      </c>
      <c r="G1084" s="6" t="s">
        <v>2063</v>
      </c>
      <c r="H1084" s="44" t="s">
        <v>284</v>
      </c>
      <c r="I1084" s="44" t="s">
        <v>285</v>
      </c>
    </row>
    <row r="1085" spans="1:9" ht="45" x14ac:dyDescent="0.25">
      <c r="A1085" s="44" t="s">
        <v>281</v>
      </c>
      <c r="B1085" s="6">
        <v>1154001</v>
      </c>
      <c r="C1085" s="44" t="s">
        <v>1966</v>
      </c>
      <c r="D1085" s="44" t="s">
        <v>2064</v>
      </c>
      <c r="E1085" s="6">
        <v>8</v>
      </c>
      <c r="F1085" s="6">
        <v>43.5</v>
      </c>
      <c r="G1085" s="6">
        <v>348</v>
      </c>
      <c r="H1085" s="44" t="s">
        <v>284</v>
      </c>
      <c r="I1085" s="44" t="s">
        <v>285</v>
      </c>
    </row>
    <row r="1086" spans="1:9" ht="45" x14ac:dyDescent="0.25">
      <c r="A1086" s="44" t="s">
        <v>281</v>
      </c>
      <c r="B1086" s="6">
        <v>1154001</v>
      </c>
      <c r="C1086" s="44" t="s">
        <v>1966</v>
      </c>
      <c r="D1086" s="44" t="s">
        <v>2065</v>
      </c>
      <c r="E1086" s="6">
        <v>24</v>
      </c>
      <c r="F1086" s="6">
        <v>60.5</v>
      </c>
      <c r="G1086" s="6" t="s">
        <v>2066</v>
      </c>
      <c r="H1086" s="44" t="s">
        <v>284</v>
      </c>
      <c r="I1086" s="44" t="s">
        <v>285</v>
      </c>
    </row>
    <row r="1087" spans="1:9" ht="45" x14ac:dyDescent="0.25">
      <c r="A1087" s="44" t="s">
        <v>281</v>
      </c>
      <c r="B1087" s="6">
        <v>1154001</v>
      </c>
      <c r="C1087" s="44" t="s">
        <v>1966</v>
      </c>
      <c r="D1087" s="44" t="s">
        <v>2067</v>
      </c>
      <c r="E1087" s="6">
        <v>192</v>
      </c>
      <c r="F1087" s="6">
        <v>47</v>
      </c>
      <c r="G1087" s="6" t="s">
        <v>2068</v>
      </c>
      <c r="H1087" s="44" t="s">
        <v>284</v>
      </c>
      <c r="I1087" s="44" t="s">
        <v>285</v>
      </c>
    </row>
    <row r="1088" spans="1:9" ht="45" x14ac:dyDescent="0.25">
      <c r="A1088" s="44" t="s">
        <v>281</v>
      </c>
      <c r="B1088" s="6">
        <v>1154001</v>
      </c>
      <c r="C1088" s="44" t="s">
        <v>1966</v>
      </c>
      <c r="D1088" s="44" t="s">
        <v>2069</v>
      </c>
      <c r="E1088" s="6">
        <v>3</v>
      </c>
      <c r="F1088" s="6">
        <v>80</v>
      </c>
      <c r="G1088" s="6">
        <v>240</v>
      </c>
      <c r="H1088" s="44" t="s">
        <v>284</v>
      </c>
      <c r="I1088" s="44" t="s">
        <v>285</v>
      </c>
    </row>
    <row r="1089" spans="1:9" ht="45" x14ac:dyDescent="0.25">
      <c r="A1089" s="44" t="s">
        <v>281</v>
      </c>
      <c r="B1089" s="6">
        <v>1154001</v>
      </c>
      <c r="C1089" s="44" t="s">
        <v>1966</v>
      </c>
      <c r="D1089" s="44" t="s">
        <v>2070</v>
      </c>
      <c r="E1089" s="6">
        <v>48</v>
      </c>
      <c r="F1089" s="6">
        <v>43.5</v>
      </c>
      <c r="G1089" s="6" t="s">
        <v>776</v>
      </c>
      <c r="H1089" s="44" t="s">
        <v>284</v>
      </c>
      <c r="I1089" s="44" t="s">
        <v>285</v>
      </c>
    </row>
    <row r="1090" spans="1:9" ht="45" x14ac:dyDescent="0.25">
      <c r="A1090" s="44" t="s">
        <v>281</v>
      </c>
      <c r="B1090" s="6">
        <v>1154001</v>
      </c>
      <c r="C1090" s="44" t="s">
        <v>1966</v>
      </c>
      <c r="D1090" s="44" t="s">
        <v>2071</v>
      </c>
      <c r="E1090" s="6">
        <v>48</v>
      </c>
      <c r="F1090" s="6">
        <v>32</v>
      </c>
      <c r="G1090" s="6" t="s">
        <v>2072</v>
      </c>
      <c r="H1090" s="44" t="s">
        <v>284</v>
      </c>
      <c r="I1090" s="44" t="s">
        <v>285</v>
      </c>
    </row>
    <row r="1091" spans="1:9" ht="45" x14ac:dyDescent="0.25">
      <c r="A1091" s="44" t="s">
        <v>281</v>
      </c>
      <c r="B1091" s="6">
        <v>1154001</v>
      </c>
      <c r="C1091" s="44" t="s">
        <v>1966</v>
      </c>
      <c r="D1091" s="44" t="s">
        <v>2073</v>
      </c>
      <c r="E1091" s="6">
        <v>2</v>
      </c>
      <c r="F1091" s="6">
        <v>220</v>
      </c>
      <c r="G1091" s="6">
        <v>440</v>
      </c>
      <c r="H1091" s="44" t="s">
        <v>284</v>
      </c>
      <c r="I1091" s="44" t="s">
        <v>285</v>
      </c>
    </row>
    <row r="1092" spans="1:9" ht="45" x14ac:dyDescent="0.25">
      <c r="A1092" s="44" t="s">
        <v>281</v>
      </c>
      <c r="B1092" s="6">
        <v>1154001</v>
      </c>
      <c r="C1092" s="44" t="s">
        <v>1966</v>
      </c>
      <c r="D1092" s="44" t="s">
        <v>2074</v>
      </c>
      <c r="E1092" s="6">
        <v>8</v>
      </c>
      <c r="F1092" s="6">
        <v>162</v>
      </c>
      <c r="G1092" s="6" t="s">
        <v>2063</v>
      </c>
      <c r="H1092" s="44" t="s">
        <v>284</v>
      </c>
      <c r="I1092" s="44" t="s">
        <v>285</v>
      </c>
    </row>
    <row r="1093" spans="1:9" ht="45" x14ac:dyDescent="0.25">
      <c r="A1093" s="44" t="s">
        <v>281</v>
      </c>
      <c r="B1093" s="6">
        <v>1154001</v>
      </c>
      <c r="C1093" s="44" t="s">
        <v>1966</v>
      </c>
      <c r="D1093" s="44" t="s">
        <v>2075</v>
      </c>
      <c r="E1093" s="6">
        <v>0</v>
      </c>
      <c r="F1093" s="6">
        <v>0</v>
      </c>
      <c r="G1093" s="6">
        <v>0</v>
      </c>
      <c r="H1093" s="44" t="s">
        <v>284</v>
      </c>
      <c r="I1093" s="44" t="s">
        <v>285</v>
      </c>
    </row>
    <row r="1094" spans="1:9" ht="45" x14ac:dyDescent="0.25">
      <c r="A1094" s="44" t="s">
        <v>281</v>
      </c>
      <c r="B1094" s="6">
        <v>1154001</v>
      </c>
      <c r="C1094" s="44" t="s">
        <v>1966</v>
      </c>
      <c r="D1094" s="44" t="s">
        <v>2076</v>
      </c>
      <c r="E1094" s="6">
        <v>6</v>
      </c>
      <c r="F1094" s="6">
        <v>240</v>
      </c>
      <c r="G1094" s="6" t="s">
        <v>931</v>
      </c>
      <c r="H1094" s="44" t="s">
        <v>284</v>
      </c>
      <c r="I1094" s="44" t="s">
        <v>285</v>
      </c>
    </row>
    <row r="1095" spans="1:9" ht="45" x14ac:dyDescent="0.25">
      <c r="A1095" s="44" t="s">
        <v>281</v>
      </c>
      <c r="B1095" s="6">
        <v>1154001</v>
      </c>
      <c r="C1095" s="44" t="s">
        <v>1966</v>
      </c>
      <c r="D1095" s="44" t="s">
        <v>2077</v>
      </c>
      <c r="E1095" s="6">
        <v>24</v>
      </c>
      <c r="F1095" s="6">
        <v>20</v>
      </c>
      <c r="G1095" s="6">
        <v>480</v>
      </c>
      <c r="H1095" s="44" t="s">
        <v>284</v>
      </c>
      <c r="I1095" s="44" t="s">
        <v>285</v>
      </c>
    </row>
    <row r="1096" spans="1:9" ht="45" x14ac:dyDescent="0.25">
      <c r="A1096" s="44" t="s">
        <v>281</v>
      </c>
      <c r="B1096" s="6">
        <v>1154001</v>
      </c>
      <c r="C1096" s="44" t="s">
        <v>1966</v>
      </c>
      <c r="D1096" s="44" t="s">
        <v>2078</v>
      </c>
      <c r="E1096" s="6">
        <v>1</v>
      </c>
      <c r="F1096" s="6">
        <v>30</v>
      </c>
      <c r="G1096" s="6">
        <v>30</v>
      </c>
      <c r="H1096" s="44" t="s">
        <v>284</v>
      </c>
      <c r="I1096" s="44" t="s">
        <v>285</v>
      </c>
    </row>
    <row r="1097" spans="1:9" ht="45" x14ac:dyDescent="0.25">
      <c r="A1097" s="44" t="s">
        <v>281</v>
      </c>
      <c r="B1097" s="6">
        <v>1154001</v>
      </c>
      <c r="C1097" s="44" t="s">
        <v>1966</v>
      </c>
      <c r="D1097" s="44" t="s">
        <v>2079</v>
      </c>
      <c r="E1097" s="6">
        <v>3</v>
      </c>
      <c r="F1097" s="6">
        <v>50</v>
      </c>
      <c r="G1097" s="6">
        <v>150</v>
      </c>
      <c r="H1097" s="44" t="s">
        <v>284</v>
      </c>
      <c r="I1097" s="44" t="s">
        <v>285</v>
      </c>
    </row>
    <row r="1098" spans="1:9" ht="45" x14ac:dyDescent="0.25">
      <c r="A1098" s="44" t="s">
        <v>286</v>
      </c>
      <c r="B1098" s="6">
        <v>1154001</v>
      </c>
      <c r="C1098" s="44" t="s">
        <v>1966</v>
      </c>
      <c r="D1098" s="44" t="s">
        <v>2080</v>
      </c>
      <c r="E1098" s="6">
        <v>2</v>
      </c>
      <c r="F1098" s="6">
        <v>560</v>
      </c>
      <c r="G1098" s="6" t="s">
        <v>2081</v>
      </c>
      <c r="H1098" s="44" t="s">
        <v>289</v>
      </c>
      <c r="I1098" s="44" t="s">
        <v>290</v>
      </c>
    </row>
    <row r="1099" spans="1:9" ht="45" x14ac:dyDescent="0.25">
      <c r="A1099" s="44" t="s">
        <v>286</v>
      </c>
      <c r="B1099" s="6">
        <v>1154001</v>
      </c>
      <c r="C1099" s="44" t="s">
        <v>1966</v>
      </c>
      <c r="D1099" s="44" t="s">
        <v>2082</v>
      </c>
      <c r="E1099" s="6">
        <v>1</v>
      </c>
      <c r="F1099" s="6">
        <v>9</v>
      </c>
      <c r="G1099" s="6">
        <v>9</v>
      </c>
      <c r="H1099" s="44" t="s">
        <v>289</v>
      </c>
      <c r="I1099" s="44" t="s">
        <v>290</v>
      </c>
    </row>
    <row r="1100" spans="1:9" ht="45" x14ac:dyDescent="0.25">
      <c r="A1100" s="44" t="s">
        <v>286</v>
      </c>
      <c r="B1100" s="6">
        <v>1154001</v>
      </c>
      <c r="C1100" s="44" t="s">
        <v>1966</v>
      </c>
      <c r="D1100" s="44" t="s">
        <v>2083</v>
      </c>
      <c r="E1100" s="6">
        <v>2</v>
      </c>
      <c r="F1100" s="6">
        <v>516</v>
      </c>
      <c r="G1100" s="6" t="s">
        <v>2019</v>
      </c>
      <c r="H1100" s="44" t="s">
        <v>289</v>
      </c>
      <c r="I1100" s="44" t="s">
        <v>290</v>
      </c>
    </row>
    <row r="1101" spans="1:9" ht="240" x14ac:dyDescent="0.25">
      <c r="A1101" s="44" t="s">
        <v>286</v>
      </c>
      <c r="B1101" s="6">
        <v>1154001</v>
      </c>
      <c r="C1101" s="44" t="s">
        <v>1966</v>
      </c>
      <c r="D1101" s="44" t="s">
        <v>2084</v>
      </c>
      <c r="E1101" s="6">
        <v>1</v>
      </c>
      <c r="F1101" s="6" t="s">
        <v>680</v>
      </c>
      <c r="G1101" s="6" t="s">
        <v>680</v>
      </c>
      <c r="H1101" s="44" t="s">
        <v>289</v>
      </c>
      <c r="I1101" s="44" t="s">
        <v>290</v>
      </c>
    </row>
    <row r="1102" spans="1:9" ht="45" x14ac:dyDescent="0.25">
      <c r="A1102" s="44" t="s">
        <v>286</v>
      </c>
      <c r="B1102" s="6">
        <v>1154001</v>
      </c>
      <c r="C1102" s="44" t="s">
        <v>1966</v>
      </c>
      <c r="D1102" s="44" t="s">
        <v>2085</v>
      </c>
      <c r="E1102" s="6">
        <v>2</v>
      </c>
      <c r="F1102" s="6">
        <v>520</v>
      </c>
      <c r="G1102" s="6" t="s">
        <v>2086</v>
      </c>
      <c r="H1102" s="44" t="s">
        <v>289</v>
      </c>
      <c r="I1102" s="44" t="s">
        <v>290</v>
      </c>
    </row>
    <row r="1103" spans="1:9" ht="45" x14ac:dyDescent="0.25">
      <c r="A1103" s="44" t="s">
        <v>286</v>
      </c>
      <c r="B1103" s="6">
        <v>1154001</v>
      </c>
      <c r="C1103" s="44" t="s">
        <v>1966</v>
      </c>
      <c r="D1103" s="44" t="s">
        <v>2087</v>
      </c>
      <c r="E1103" s="6">
        <v>3</v>
      </c>
      <c r="F1103" s="6">
        <v>8</v>
      </c>
      <c r="G1103" s="6">
        <v>24</v>
      </c>
      <c r="H1103" s="44" t="s">
        <v>289</v>
      </c>
      <c r="I1103" s="44" t="s">
        <v>290</v>
      </c>
    </row>
    <row r="1104" spans="1:9" ht="60" x14ac:dyDescent="0.25">
      <c r="A1104" s="44" t="s">
        <v>286</v>
      </c>
      <c r="B1104" s="6">
        <v>1154001</v>
      </c>
      <c r="C1104" s="44" t="s">
        <v>1966</v>
      </c>
      <c r="D1104" s="44" t="s">
        <v>2088</v>
      </c>
      <c r="E1104" s="6">
        <v>4</v>
      </c>
      <c r="F1104" s="6">
        <v>250</v>
      </c>
      <c r="G1104" s="6" t="s">
        <v>726</v>
      </c>
      <c r="H1104" s="44" t="s">
        <v>289</v>
      </c>
      <c r="I1104" s="44" t="s">
        <v>290</v>
      </c>
    </row>
    <row r="1105" spans="1:9" ht="45" x14ac:dyDescent="0.25">
      <c r="A1105" s="44" t="s">
        <v>286</v>
      </c>
      <c r="B1105" s="6">
        <v>1154001</v>
      </c>
      <c r="C1105" s="44" t="s">
        <v>1966</v>
      </c>
      <c r="D1105" s="44" t="s">
        <v>2089</v>
      </c>
      <c r="E1105" s="6">
        <v>2</v>
      </c>
      <c r="F1105" s="6">
        <v>350</v>
      </c>
      <c r="G1105" s="6">
        <v>700</v>
      </c>
      <c r="H1105" s="44" t="s">
        <v>289</v>
      </c>
      <c r="I1105" s="44" t="s">
        <v>290</v>
      </c>
    </row>
    <row r="1106" spans="1:9" ht="45" x14ac:dyDescent="0.25">
      <c r="A1106" s="44" t="s">
        <v>286</v>
      </c>
      <c r="B1106" s="6">
        <v>1154001</v>
      </c>
      <c r="C1106" s="44" t="s">
        <v>1966</v>
      </c>
      <c r="D1106" s="44" t="s">
        <v>2090</v>
      </c>
      <c r="E1106" s="6">
        <v>2</v>
      </c>
      <c r="F1106" s="6">
        <v>80</v>
      </c>
      <c r="G1106" s="6">
        <v>160</v>
      </c>
      <c r="H1106" s="44" t="s">
        <v>289</v>
      </c>
      <c r="I1106" s="44" t="s">
        <v>290</v>
      </c>
    </row>
    <row r="1107" spans="1:9" ht="45" x14ac:dyDescent="0.25">
      <c r="A1107" s="44" t="s">
        <v>286</v>
      </c>
      <c r="B1107" s="6">
        <v>1154001</v>
      </c>
      <c r="C1107" s="44" t="s">
        <v>1966</v>
      </c>
      <c r="D1107" s="44" t="s">
        <v>2091</v>
      </c>
      <c r="E1107" s="6">
        <v>1</v>
      </c>
      <c r="F1107" s="6">
        <v>7.5</v>
      </c>
      <c r="G1107" s="6">
        <v>7.5</v>
      </c>
      <c r="H1107" s="44" t="s">
        <v>289</v>
      </c>
      <c r="I1107" s="44" t="s">
        <v>290</v>
      </c>
    </row>
    <row r="1108" spans="1:9" ht="45" x14ac:dyDescent="0.25">
      <c r="A1108" s="44" t="s">
        <v>286</v>
      </c>
      <c r="B1108" s="6">
        <v>1154001</v>
      </c>
      <c r="C1108" s="44" t="s">
        <v>1966</v>
      </c>
      <c r="D1108" s="44" t="s">
        <v>2092</v>
      </c>
      <c r="E1108" s="6">
        <v>5</v>
      </c>
      <c r="F1108" s="6">
        <v>24</v>
      </c>
      <c r="G1108" s="6">
        <v>120</v>
      </c>
      <c r="H1108" s="44" t="s">
        <v>289</v>
      </c>
      <c r="I1108" s="44" t="s">
        <v>290</v>
      </c>
    </row>
    <row r="1109" spans="1:9" ht="45" x14ac:dyDescent="0.25">
      <c r="A1109" s="44" t="s">
        <v>286</v>
      </c>
      <c r="B1109" s="6">
        <v>1154001</v>
      </c>
      <c r="C1109" s="44" t="s">
        <v>1966</v>
      </c>
      <c r="D1109" s="44" t="s">
        <v>2093</v>
      </c>
      <c r="E1109" s="6">
        <v>2</v>
      </c>
      <c r="F1109" s="6">
        <v>580</v>
      </c>
      <c r="G1109" s="6" t="s">
        <v>2094</v>
      </c>
      <c r="H1109" s="44" t="s">
        <v>289</v>
      </c>
      <c r="I1109" s="44" t="s">
        <v>290</v>
      </c>
    </row>
    <row r="1110" spans="1:9" ht="45" x14ac:dyDescent="0.25">
      <c r="A1110" s="44" t="s">
        <v>286</v>
      </c>
      <c r="B1110" s="6">
        <v>1154001</v>
      </c>
      <c r="C1110" s="44" t="s">
        <v>1966</v>
      </c>
      <c r="D1110" s="44" t="s">
        <v>2095</v>
      </c>
      <c r="E1110" s="6">
        <v>4</v>
      </c>
      <c r="F1110" s="6">
        <v>70</v>
      </c>
      <c r="G1110" s="6">
        <v>280</v>
      </c>
      <c r="H1110" s="44" t="s">
        <v>289</v>
      </c>
      <c r="I1110" s="44" t="s">
        <v>290</v>
      </c>
    </row>
    <row r="1111" spans="1:9" ht="45" x14ac:dyDescent="0.25">
      <c r="A1111" s="44" t="s">
        <v>286</v>
      </c>
      <c r="B1111" s="6">
        <v>1154001</v>
      </c>
      <c r="C1111" s="44" t="s">
        <v>1966</v>
      </c>
      <c r="D1111" s="44" t="s">
        <v>2096</v>
      </c>
      <c r="E1111" s="6">
        <v>2</v>
      </c>
      <c r="F1111" s="6">
        <v>640</v>
      </c>
      <c r="G1111" s="6" t="s">
        <v>2097</v>
      </c>
      <c r="H1111" s="44" t="s">
        <v>289</v>
      </c>
      <c r="I1111" s="44" t="s">
        <v>290</v>
      </c>
    </row>
    <row r="1112" spans="1:9" ht="45" x14ac:dyDescent="0.25">
      <c r="A1112" s="44" t="s">
        <v>136</v>
      </c>
      <c r="B1112" s="6">
        <v>14550001</v>
      </c>
      <c r="C1112" s="44" t="s">
        <v>2098</v>
      </c>
      <c r="D1112" s="44" t="s">
        <v>2099</v>
      </c>
      <c r="E1112" s="6">
        <v>3</v>
      </c>
      <c r="F1112" s="6">
        <v>100</v>
      </c>
      <c r="G1112" s="6">
        <v>300</v>
      </c>
      <c r="H1112" s="44" t="s">
        <v>142</v>
      </c>
      <c r="I1112" s="44" t="s">
        <v>143</v>
      </c>
    </row>
    <row r="1113" spans="1:9" ht="75" x14ac:dyDescent="0.25">
      <c r="A1113" s="44" t="s">
        <v>281</v>
      </c>
      <c r="B1113" s="6">
        <v>14550001</v>
      </c>
      <c r="C1113" s="44" t="s">
        <v>2098</v>
      </c>
      <c r="D1113" s="44" t="s">
        <v>2100</v>
      </c>
      <c r="E1113" s="6">
        <v>3</v>
      </c>
      <c r="F1113" s="6">
        <v>50</v>
      </c>
      <c r="G1113" s="6">
        <v>150</v>
      </c>
      <c r="H1113" s="44" t="s">
        <v>284</v>
      </c>
      <c r="I1113" s="44" t="s">
        <v>285</v>
      </c>
    </row>
    <row r="1114" spans="1:9" ht="45" x14ac:dyDescent="0.25">
      <c r="A1114" s="44" t="s">
        <v>88</v>
      </c>
      <c r="B1114" s="6">
        <v>15510001</v>
      </c>
      <c r="C1114" s="44" t="s">
        <v>2101</v>
      </c>
      <c r="D1114" s="44" t="s">
        <v>2102</v>
      </c>
      <c r="E1114" s="6">
        <v>20</v>
      </c>
      <c r="F1114" s="6">
        <v>120</v>
      </c>
      <c r="G1114" s="6" t="s">
        <v>867</v>
      </c>
      <c r="H1114" s="44" t="s">
        <v>93</v>
      </c>
      <c r="I1114" s="44" t="s">
        <v>94</v>
      </c>
    </row>
    <row r="1115" spans="1:9" ht="45" x14ac:dyDescent="0.25">
      <c r="A1115" s="44" t="s">
        <v>88</v>
      </c>
      <c r="B1115" s="6">
        <v>15510001</v>
      </c>
      <c r="C1115" s="44" t="s">
        <v>2101</v>
      </c>
      <c r="D1115" s="44" t="s">
        <v>2102</v>
      </c>
      <c r="E1115" s="6">
        <v>20</v>
      </c>
      <c r="F1115" s="6">
        <v>120</v>
      </c>
      <c r="G1115" s="6" t="s">
        <v>867</v>
      </c>
      <c r="H1115" s="44" t="s">
        <v>91</v>
      </c>
      <c r="I1115" s="44" t="s">
        <v>92</v>
      </c>
    </row>
    <row r="1116" spans="1:9" ht="45" x14ac:dyDescent="0.25">
      <c r="A1116" s="44" t="s">
        <v>88</v>
      </c>
      <c r="B1116" s="6">
        <v>15510001</v>
      </c>
      <c r="C1116" s="44" t="s">
        <v>2101</v>
      </c>
      <c r="D1116" s="44" t="s">
        <v>2102</v>
      </c>
      <c r="E1116" s="6">
        <v>20</v>
      </c>
      <c r="F1116" s="6">
        <v>120</v>
      </c>
      <c r="G1116" s="6" t="s">
        <v>867</v>
      </c>
      <c r="H1116" s="44" t="s">
        <v>97</v>
      </c>
      <c r="I1116" s="44" t="s">
        <v>98</v>
      </c>
    </row>
    <row r="1117" spans="1:9" ht="45" x14ac:dyDescent="0.25">
      <c r="A1117" s="44" t="s">
        <v>136</v>
      </c>
      <c r="B1117" s="6"/>
      <c r="C1117" s="44" t="s">
        <v>2103</v>
      </c>
      <c r="D1117" s="44" t="s">
        <v>2104</v>
      </c>
      <c r="E1117" s="6">
        <v>1</v>
      </c>
      <c r="F1117" s="6" t="s">
        <v>800</v>
      </c>
      <c r="G1117" s="6" t="s">
        <v>800</v>
      </c>
      <c r="H1117" s="44" t="s">
        <v>142</v>
      </c>
      <c r="I1117" s="44" t="s">
        <v>143</v>
      </c>
    </row>
    <row r="1118" spans="1:9" ht="75" x14ac:dyDescent="0.25">
      <c r="A1118" s="44" t="s">
        <v>148</v>
      </c>
      <c r="B1118" s="6"/>
      <c r="C1118" s="44" t="s">
        <v>2105</v>
      </c>
      <c r="D1118" s="44"/>
      <c r="E1118" s="6">
        <v>20</v>
      </c>
      <c r="F1118" s="6">
        <v>18</v>
      </c>
      <c r="G1118" s="6">
        <v>360</v>
      </c>
      <c r="H1118" s="44" t="s">
        <v>154</v>
      </c>
      <c r="I1118" s="44" t="s">
        <v>155</v>
      </c>
    </row>
    <row r="1119" spans="1:9" ht="75" x14ac:dyDescent="0.25">
      <c r="A1119" s="44" t="s">
        <v>148</v>
      </c>
      <c r="B1119" s="6">
        <v>1182001</v>
      </c>
      <c r="C1119" s="44" t="s">
        <v>2106</v>
      </c>
      <c r="D1119" s="44" t="s">
        <v>2107</v>
      </c>
      <c r="E1119" s="6">
        <v>10</v>
      </c>
      <c r="F1119" s="6">
        <v>15.6</v>
      </c>
      <c r="G1119" s="6">
        <v>156</v>
      </c>
      <c r="H1119" s="44" t="s">
        <v>154</v>
      </c>
      <c r="I1119" s="44" t="s">
        <v>155</v>
      </c>
    </row>
    <row r="1120" spans="1:9" ht="60" x14ac:dyDescent="0.25">
      <c r="A1120" s="44" t="s">
        <v>158</v>
      </c>
      <c r="B1120" s="6"/>
      <c r="C1120" s="44" t="s">
        <v>2108</v>
      </c>
      <c r="D1120" s="44"/>
      <c r="E1120" s="6">
        <v>2</v>
      </c>
      <c r="F1120" s="6">
        <v>180</v>
      </c>
      <c r="G1120" s="6">
        <v>360</v>
      </c>
      <c r="H1120" s="44" t="s">
        <v>161</v>
      </c>
      <c r="I1120" s="44" t="s">
        <v>162</v>
      </c>
    </row>
    <row r="1121" spans="1:9" ht="30" x14ac:dyDescent="0.25">
      <c r="A1121" s="44" t="s">
        <v>158</v>
      </c>
      <c r="B1121" s="6"/>
      <c r="C1121" s="44" t="s">
        <v>2108</v>
      </c>
      <c r="D1121" s="44"/>
      <c r="E1121" s="6">
        <v>2</v>
      </c>
      <c r="F1121" s="6">
        <v>180</v>
      </c>
      <c r="G1121" s="6">
        <v>360</v>
      </c>
      <c r="H1121" s="44" t="s">
        <v>164</v>
      </c>
      <c r="I1121" s="44" t="s">
        <v>165</v>
      </c>
    </row>
    <row r="1122" spans="1:9" ht="45" x14ac:dyDescent="0.25">
      <c r="A1122" s="44" t="s">
        <v>274</v>
      </c>
      <c r="B1122" s="6"/>
      <c r="C1122" s="44" t="s">
        <v>2108</v>
      </c>
      <c r="D1122" s="44"/>
      <c r="E1122" s="6">
        <v>1</v>
      </c>
      <c r="F1122" s="6">
        <v>180</v>
      </c>
      <c r="G1122" s="6">
        <v>180</v>
      </c>
      <c r="H1122" s="44" t="s">
        <v>277</v>
      </c>
      <c r="I1122" s="44" t="s">
        <v>278</v>
      </c>
    </row>
    <row r="1123" spans="1:9" ht="60" x14ac:dyDescent="0.25">
      <c r="A1123" s="44" t="s">
        <v>30</v>
      </c>
      <c r="B1123" s="6">
        <v>1240041</v>
      </c>
      <c r="C1123" s="44" t="s">
        <v>2109</v>
      </c>
      <c r="D1123" s="44" t="s">
        <v>2110</v>
      </c>
      <c r="E1123" s="6">
        <v>1</v>
      </c>
      <c r="F1123" s="6" t="s">
        <v>999</v>
      </c>
      <c r="G1123" s="6" t="s">
        <v>999</v>
      </c>
      <c r="H1123" s="44" t="s">
        <v>39</v>
      </c>
      <c r="I1123" s="44" t="s">
        <v>40</v>
      </c>
    </row>
    <row r="1124" spans="1:9" ht="45" x14ac:dyDescent="0.25">
      <c r="A1124" s="44" t="s">
        <v>136</v>
      </c>
      <c r="B1124" s="6">
        <v>1240041</v>
      </c>
      <c r="C1124" s="44" t="s">
        <v>2109</v>
      </c>
      <c r="D1124" s="44" t="s">
        <v>2111</v>
      </c>
      <c r="E1124" s="6">
        <v>48</v>
      </c>
      <c r="F1124" s="6">
        <v>10</v>
      </c>
      <c r="G1124" s="6">
        <v>480</v>
      </c>
      <c r="H1124" s="44" t="s">
        <v>142</v>
      </c>
      <c r="I1124" s="44" t="s">
        <v>143</v>
      </c>
    </row>
    <row r="1125" spans="1:9" ht="45" x14ac:dyDescent="0.25">
      <c r="A1125" s="44" t="s">
        <v>136</v>
      </c>
      <c r="B1125" s="6">
        <v>1240041</v>
      </c>
      <c r="C1125" s="44" t="s">
        <v>2109</v>
      </c>
      <c r="D1125" s="44" t="s">
        <v>2112</v>
      </c>
      <c r="E1125" s="6">
        <v>5</v>
      </c>
      <c r="F1125" s="6">
        <v>20</v>
      </c>
      <c r="G1125" s="6">
        <v>100</v>
      </c>
      <c r="H1125" s="44" t="s">
        <v>142</v>
      </c>
      <c r="I1125" s="44" t="s">
        <v>143</v>
      </c>
    </row>
    <row r="1126" spans="1:9" ht="45" x14ac:dyDescent="0.25">
      <c r="A1126" s="44" t="s">
        <v>136</v>
      </c>
      <c r="B1126" s="6">
        <v>1240041</v>
      </c>
      <c r="C1126" s="44" t="s">
        <v>2109</v>
      </c>
      <c r="D1126" s="44" t="s">
        <v>2113</v>
      </c>
      <c r="E1126" s="6">
        <v>5</v>
      </c>
      <c r="F1126" s="6">
        <v>20</v>
      </c>
      <c r="G1126" s="6">
        <v>100</v>
      </c>
      <c r="H1126" s="44" t="s">
        <v>142</v>
      </c>
      <c r="I1126" s="44" t="s">
        <v>143</v>
      </c>
    </row>
    <row r="1127" spans="1:9" ht="45" x14ac:dyDescent="0.25">
      <c r="A1127" s="44" t="s">
        <v>286</v>
      </c>
      <c r="B1127" s="6">
        <v>15590003</v>
      </c>
      <c r="C1127" s="44" t="s">
        <v>2114</v>
      </c>
      <c r="D1127" s="44" t="s">
        <v>2115</v>
      </c>
      <c r="E1127" s="6">
        <v>1</v>
      </c>
      <c r="F1127" s="6">
        <v>890</v>
      </c>
      <c r="G1127" s="6">
        <v>890</v>
      </c>
      <c r="H1127" s="44" t="s">
        <v>289</v>
      </c>
      <c r="I1127" s="44" t="s">
        <v>290</v>
      </c>
    </row>
    <row r="1128" spans="1:9" ht="60" x14ac:dyDescent="0.25">
      <c r="A1128" s="44" t="s">
        <v>158</v>
      </c>
      <c r="B1128" s="6">
        <v>2160001</v>
      </c>
      <c r="C1128" s="44" t="s">
        <v>2116</v>
      </c>
      <c r="D1128" s="44"/>
      <c r="E1128" s="6">
        <v>1</v>
      </c>
      <c r="F1128" s="6">
        <v>200</v>
      </c>
      <c r="G1128" s="6">
        <v>200</v>
      </c>
      <c r="H1128" s="44" t="s">
        <v>161</v>
      </c>
      <c r="I1128" s="44" t="s">
        <v>162</v>
      </c>
    </row>
    <row r="1129" spans="1:9" ht="60" x14ac:dyDescent="0.25">
      <c r="A1129" s="44" t="s">
        <v>166</v>
      </c>
      <c r="B1129" s="6">
        <v>2160001</v>
      </c>
      <c r="C1129" s="44" t="s">
        <v>2116</v>
      </c>
      <c r="D1129" s="44" t="s">
        <v>2117</v>
      </c>
      <c r="E1129" s="6">
        <v>10</v>
      </c>
      <c r="F1129" s="6">
        <v>200</v>
      </c>
      <c r="G1129" s="6" t="s">
        <v>814</v>
      </c>
      <c r="H1129" s="44" t="s">
        <v>172</v>
      </c>
      <c r="I1129" s="44" t="s">
        <v>173</v>
      </c>
    </row>
    <row r="1130" spans="1:9" ht="45" x14ac:dyDescent="0.25">
      <c r="A1130" s="44" t="s">
        <v>281</v>
      </c>
      <c r="B1130" s="6">
        <v>2160001</v>
      </c>
      <c r="C1130" s="44" t="s">
        <v>2116</v>
      </c>
      <c r="D1130" s="44" t="s">
        <v>2118</v>
      </c>
      <c r="E1130" s="6">
        <v>2</v>
      </c>
      <c r="F1130" s="6">
        <v>200</v>
      </c>
      <c r="G1130" s="6">
        <v>400</v>
      </c>
      <c r="H1130" s="44" t="s">
        <v>284</v>
      </c>
      <c r="I1130" s="44" t="s">
        <v>285</v>
      </c>
    </row>
    <row r="1131" spans="1:9" ht="45" x14ac:dyDescent="0.25">
      <c r="A1131" s="44" t="s">
        <v>281</v>
      </c>
      <c r="B1131" s="6">
        <v>14450003</v>
      </c>
      <c r="C1131" s="44" t="s">
        <v>2119</v>
      </c>
      <c r="D1131" s="44" t="s">
        <v>2120</v>
      </c>
      <c r="E1131" s="6">
        <v>5</v>
      </c>
      <c r="F1131" s="6">
        <v>279.3</v>
      </c>
      <c r="G1131" s="6" t="s">
        <v>2121</v>
      </c>
      <c r="H1131" s="44" t="s">
        <v>284</v>
      </c>
      <c r="I1131" s="44" t="s">
        <v>285</v>
      </c>
    </row>
    <row r="1132" spans="1:9" ht="45" x14ac:dyDescent="0.25">
      <c r="A1132" s="44" t="s">
        <v>281</v>
      </c>
      <c r="B1132" s="6">
        <v>14450003</v>
      </c>
      <c r="C1132" s="44" t="s">
        <v>2119</v>
      </c>
      <c r="D1132" s="44" t="s">
        <v>2122</v>
      </c>
      <c r="E1132" s="6">
        <v>5</v>
      </c>
      <c r="F1132" s="6">
        <v>279.3</v>
      </c>
      <c r="G1132" s="6" t="s">
        <v>2121</v>
      </c>
      <c r="H1132" s="44" t="s">
        <v>284</v>
      </c>
      <c r="I1132" s="44" t="s">
        <v>285</v>
      </c>
    </row>
    <row r="1133" spans="1:9" ht="45" x14ac:dyDescent="0.25">
      <c r="A1133" s="44" t="s">
        <v>281</v>
      </c>
      <c r="B1133" s="6">
        <v>14450003</v>
      </c>
      <c r="C1133" s="44" t="s">
        <v>2119</v>
      </c>
      <c r="D1133" s="44" t="s">
        <v>2123</v>
      </c>
      <c r="E1133" s="6">
        <v>5</v>
      </c>
      <c r="F1133" s="6" t="s">
        <v>2124</v>
      </c>
      <c r="G1133" s="6" t="s">
        <v>2125</v>
      </c>
      <c r="H1133" s="44" t="s">
        <v>284</v>
      </c>
      <c r="I1133" s="44" t="s">
        <v>285</v>
      </c>
    </row>
    <row r="1134" spans="1:9" ht="270" x14ac:dyDescent="0.25">
      <c r="A1134" s="44" t="s">
        <v>158</v>
      </c>
      <c r="B1134" s="6">
        <v>6011013</v>
      </c>
      <c r="C1134" s="44" t="s">
        <v>2126</v>
      </c>
      <c r="D1134" s="44" t="s">
        <v>2127</v>
      </c>
      <c r="E1134" s="6">
        <v>2</v>
      </c>
      <c r="F1134" s="6" t="s">
        <v>2128</v>
      </c>
      <c r="G1134" s="6" t="s">
        <v>2129</v>
      </c>
      <c r="H1134" s="44" t="s">
        <v>164</v>
      </c>
      <c r="I1134" s="44" t="s">
        <v>165</v>
      </c>
    </row>
    <row r="1135" spans="1:9" ht="45" x14ac:dyDescent="0.25">
      <c r="A1135" s="44" t="s">
        <v>88</v>
      </c>
      <c r="B1135" s="6">
        <v>2151034</v>
      </c>
      <c r="C1135" s="44" t="s">
        <v>2130</v>
      </c>
      <c r="D1135" s="44"/>
      <c r="E1135" s="6">
        <v>50</v>
      </c>
      <c r="F1135" s="6">
        <v>30</v>
      </c>
      <c r="G1135" s="6" t="s">
        <v>800</v>
      </c>
      <c r="H1135" s="44" t="s">
        <v>93</v>
      </c>
      <c r="I1135" s="44" t="s">
        <v>94</v>
      </c>
    </row>
    <row r="1136" spans="1:9" ht="45" x14ac:dyDescent="0.25">
      <c r="A1136" s="44" t="s">
        <v>88</v>
      </c>
      <c r="B1136" s="6">
        <v>2151034</v>
      </c>
      <c r="C1136" s="44" t="s">
        <v>2130</v>
      </c>
      <c r="D1136" s="44"/>
      <c r="E1136" s="6">
        <v>50</v>
      </c>
      <c r="F1136" s="6">
        <v>30</v>
      </c>
      <c r="G1136" s="6" t="s">
        <v>800</v>
      </c>
      <c r="H1136" s="44" t="s">
        <v>97</v>
      </c>
      <c r="I1136" s="44" t="s">
        <v>98</v>
      </c>
    </row>
    <row r="1137" spans="1:9" ht="45" x14ac:dyDescent="0.25">
      <c r="A1137" s="44" t="s">
        <v>88</v>
      </c>
      <c r="B1137" s="6">
        <v>2151034</v>
      </c>
      <c r="C1137" s="44" t="s">
        <v>2130</v>
      </c>
      <c r="D1137" s="44"/>
      <c r="E1137" s="6">
        <v>50</v>
      </c>
      <c r="F1137" s="6">
        <v>30</v>
      </c>
      <c r="G1137" s="6" t="s">
        <v>800</v>
      </c>
      <c r="H1137" s="44" t="s">
        <v>91</v>
      </c>
      <c r="I1137" s="44" t="s">
        <v>92</v>
      </c>
    </row>
    <row r="1138" spans="1:9" ht="75" x14ac:dyDescent="0.25">
      <c r="A1138" s="44" t="s">
        <v>136</v>
      </c>
      <c r="B1138" s="6">
        <v>2151034</v>
      </c>
      <c r="C1138" s="44" t="s">
        <v>2130</v>
      </c>
      <c r="D1138" s="44" t="s">
        <v>2131</v>
      </c>
      <c r="E1138" s="6">
        <v>130</v>
      </c>
      <c r="F1138" s="6">
        <v>30</v>
      </c>
      <c r="G1138" s="6" t="s">
        <v>1437</v>
      </c>
      <c r="H1138" s="44" t="s">
        <v>139</v>
      </c>
      <c r="I1138" s="44" t="s">
        <v>140</v>
      </c>
    </row>
    <row r="1139" spans="1:9" ht="30" x14ac:dyDescent="0.25">
      <c r="A1139" s="44" t="s">
        <v>158</v>
      </c>
      <c r="B1139" s="6">
        <v>2151034</v>
      </c>
      <c r="C1139" s="44" t="s">
        <v>2130</v>
      </c>
      <c r="D1139" s="44"/>
      <c r="E1139" s="6">
        <v>20</v>
      </c>
      <c r="F1139" s="6">
        <v>30</v>
      </c>
      <c r="G1139" s="6">
        <v>600</v>
      </c>
      <c r="H1139" s="44" t="s">
        <v>164</v>
      </c>
      <c r="I1139" s="44" t="s">
        <v>165</v>
      </c>
    </row>
    <row r="1140" spans="1:9" ht="60" x14ac:dyDescent="0.25">
      <c r="A1140" s="44" t="s">
        <v>166</v>
      </c>
      <c r="B1140" s="6">
        <v>2151034</v>
      </c>
      <c r="C1140" s="44" t="s">
        <v>2130</v>
      </c>
      <c r="D1140" s="44" t="s">
        <v>2132</v>
      </c>
      <c r="E1140" s="6">
        <v>200</v>
      </c>
      <c r="F1140" s="6">
        <v>30</v>
      </c>
      <c r="G1140" s="6" t="s">
        <v>678</v>
      </c>
      <c r="H1140" s="44" t="s">
        <v>172</v>
      </c>
      <c r="I1140" s="44" t="s">
        <v>173</v>
      </c>
    </row>
    <row r="1141" spans="1:9" ht="75" x14ac:dyDescent="0.25">
      <c r="A1141" s="44" t="s">
        <v>166</v>
      </c>
      <c r="B1141" s="6">
        <v>2151034</v>
      </c>
      <c r="C1141" s="44" t="s">
        <v>2130</v>
      </c>
      <c r="D1141" s="44" t="s">
        <v>2133</v>
      </c>
      <c r="E1141" s="6">
        <v>100</v>
      </c>
      <c r="F1141" s="6">
        <v>30</v>
      </c>
      <c r="G1141" s="6" t="s">
        <v>736</v>
      </c>
      <c r="H1141" s="44" t="s">
        <v>169</v>
      </c>
      <c r="I1141" s="44" t="s">
        <v>170</v>
      </c>
    </row>
    <row r="1142" spans="1:9" ht="60" x14ac:dyDescent="0.25">
      <c r="A1142" s="44" t="s">
        <v>166</v>
      </c>
      <c r="B1142" s="6">
        <v>2032001</v>
      </c>
      <c r="C1142" s="44" t="s">
        <v>2134</v>
      </c>
      <c r="D1142" s="44" t="s">
        <v>2135</v>
      </c>
      <c r="E1142" s="6">
        <v>800</v>
      </c>
      <c r="F1142" s="6">
        <v>120</v>
      </c>
      <c r="G1142" s="6" t="s">
        <v>2136</v>
      </c>
      <c r="H1142" s="44" t="s">
        <v>172</v>
      </c>
      <c r="I1142" s="44" t="s">
        <v>173</v>
      </c>
    </row>
    <row r="1143" spans="1:9" ht="75" x14ac:dyDescent="0.25">
      <c r="A1143" s="44" t="s">
        <v>166</v>
      </c>
      <c r="B1143" s="6">
        <v>2032001</v>
      </c>
      <c r="C1143" s="44" t="s">
        <v>2134</v>
      </c>
      <c r="D1143" s="44" t="s">
        <v>2137</v>
      </c>
      <c r="E1143" s="6">
        <v>60</v>
      </c>
      <c r="F1143" s="6">
        <v>120</v>
      </c>
      <c r="G1143" s="6" t="s">
        <v>948</v>
      </c>
      <c r="H1143" s="44" t="s">
        <v>169</v>
      </c>
      <c r="I1143" s="44" t="s">
        <v>170</v>
      </c>
    </row>
    <row r="1144" spans="1:9" ht="45" x14ac:dyDescent="0.25">
      <c r="A1144" s="44" t="s">
        <v>88</v>
      </c>
      <c r="B1144" s="6">
        <v>2033006</v>
      </c>
      <c r="C1144" s="44" t="s">
        <v>2138</v>
      </c>
      <c r="D1144" s="44" t="s">
        <v>2139</v>
      </c>
      <c r="E1144" s="6">
        <v>30</v>
      </c>
      <c r="F1144" s="6">
        <v>100</v>
      </c>
      <c r="G1144" s="6" t="s">
        <v>736</v>
      </c>
      <c r="H1144" s="44" t="s">
        <v>95</v>
      </c>
      <c r="I1144" s="44" t="s">
        <v>96</v>
      </c>
    </row>
    <row r="1145" spans="1:9" ht="45" x14ac:dyDescent="0.25">
      <c r="A1145" s="44" t="s">
        <v>88</v>
      </c>
      <c r="B1145" s="6">
        <v>2033006</v>
      </c>
      <c r="C1145" s="44" t="s">
        <v>2138</v>
      </c>
      <c r="D1145" s="44"/>
      <c r="E1145" s="6">
        <v>20</v>
      </c>
      <c r="F1145" s="6">
        <v>100</v>
      </c>
      <c r="G1145" s="6" t="s">
        <v>814</v>
      </c>
      <c r="H1145" s="44" t="s">
        <v>95</v>
      </c>
      <c r="I1145" s="44" t="s">
        <v>96</v>
      </c>
    </row>
    <row r="1146" spans="1:9" ht="45" x14ac:dyDescent="0.25">
      <c r="A1146" s="44" t="s">
        <v>136</v>
      </c>
      <c r="B1146" s="6">
        <v>2033006</v>
      </c>
      <c r="C1146" s="44" t="s">
        <v>2138</v>
      </c>
      <c r="D1146" s="44" t="s">
        <v>2140</v>
      </c>
      <c r="E1146" s="6">
        <v>40</v>
      </c>
      <c r="F1146" s="6">
        <v>100</v>
      </c>
      <c r="G1146" s="6" t="s">
        <v>845</v>
      </c>
      <c r="H1146" s="44" t="s">
        <v>146</v>
      </c>
      <c r="I1146" s="44" t="s">
        <v>147</v>
      </c>
    </row>
    <row r="1147" spans="1:9" ht="75" x14ac:dyDescent="0.25">
      <c r="A1147" s="44" t="s">
        <v>148</v>
      </c>
      <c r="B1147" s="6">
        <v>2033006</v>
      </c>
      <c r="C1147" s="44" t="s">
        <v>2138</v>
      </c>
      <c r="D1147" s="44" t="s">
        <v>2141</v>
      </c>
      <c r="E1147" s="6">
        <v>15</v>
      </c>
      <c r="F1147" s="6">
        <v>100</v>
      </c>
      <c r="G1147" s="6" t="s">
        <v>800</v>
      </c>
      <c r="H1147" s="44" t="s">
        <v>154</v>
      </c>
      <c r="I1147" s="44" t="s">
        <v>155</v>
      </c>
    </row>
    <row r="1148" spans="1:9" ht="75" x14ac:dyDescent="0.25">
      <c r="A1148" s="44" t="s">
        <v>148</v>
      </c>
      <c r="B1148" s="6">
        <v>2033006</v>
      </c>
      <c r="C1148" s="44" t="s">
        <v>2138</v>
      </c>
      <c r="D1148" s="44"/>
      <c r="E1148" s="6">
        <v>15</v>
      </c>
      <c r="F1148" s="6">
        <v>100</v>
      </c>
      <c r="G1148" s="6" t="s">
        <v>800</v>
      </c>
      <c r="H1148" s="44" t="s">
        <v>154</v>
      </c>
      <c r="I1148" s="44" t="s">
        <v>155</v>
      </c>
    </row>
    <row r="1149" spans="1:9" ht="45" x14ac:dyDescent="0.25">
      <c r="A1149" s="44" t="s">
        <v>174</v>
      </c>
      <c r="B1149" s="6">
        <v>2033006</v>
      </c>
      <c r="C1149" s="44" t="s">
        <v>2138</v>
      </c>
      <c r="D1149" s="44"/>
      <c r="E1149" s="6">
        <v>30</v>
      </c>
      <c r="F1149" s="6">
        <v>100</v>
      </c>
      <c r="G1149" s="6" t="s">
        <v>736</v>
      </c>
      <c r="H1149" s="44" t="s">
        <v>180</v>
      </c>
      <c r="I1149" s="44" t="s">
        <v>181</v>
      </c>
    </row>
    <row r="1150" spans="1:9" ht="45" x14ac:dyDescent="0.25">
      <c r="A1150" s="44" t="s">
        <v>281</v>
      </c>
      <c r="B1150" s="6">
        <v>2033006</v>
      </c>
      <c r="C1150" s="44" t="s">
        <v>2138</v>
      </c>
      <c r="D1150" s="44" t="s">
        <v>2142</v>
      </c>
      <c r="E1150" s="6">
        <v>1</v>
      </c>
      <c r="F1150" s="6">
        <v>100</v>
      </c>
      <c r="G1150" s="6">
        <v>100</v>
      </c>
      <c r="H1150" s="44" t="s">
        <v>284</v>
      </c>
      <c r="I1150" s="44" t="s">
        <v>285</v>
      </c>
    </row>
    <row r="1151" spans="1:9" ht="45" x14ac:dyDescent="0.25">
      <c r="A1151" s="44" t="s">
        <v>88</v>
      </c>
      <c r="B1151" s="6">
        <v>2123005</v>
      </c>
      <c r="C1151" s="44" t="s">
        <v>2143</v>
      </c>
      <c r="D1151" s="44"/>
      <c r="E1151" s="6">
        <v>100</v>
      </c>
      <c r="F1151" s="6">
        <v>160</v>
      </c>
      <c r="G1151" s="6" t="s">
        <v>683</v>
      </c>
      <c r="H1151" s="44" t="s">
        <v>95</v>
      </c>
      <c r="I1151" s="44" t="s">
        <v>96</v>
      </c>
    </row>
    <row r="1152" spans="1:9" ht="45" x14ac:dyDescent="0.25">
      <c r="A1152" s="44" t="s">
        <v>88</v>
      </c>
      <c r="B1152" s="6">
        <v>2123005</v>
      </c>
      <c r="C1152" s="44" t="s">
        <v>2143</v>
      </c>
      <c r="D1152" s="44"/>
      <c r="E1152" s="6">
        <v>100</v>
      </c>
      <c r="F1152" s="6">
        <v>160</v>
      </c>
      <c r="G1152" s="6" t="s">
        <v>683</v>
      </c>
      <c r="H1152" s="44" t="s">
        <v>95</v>
      </c>
      <c r="I1152" s="44" t="s">
        <v>96</v>
      </c>
    </row>
    <row r="1153" spans="1:9" ht="30" x14ac:dyDescent="0.25">
      <c r="A1153" s="44" t="s">
        <v>158</v>
      </c>
      <c r="B1153" s="6">
        <v>2123005</v>
      </c>
      <c r="C1153" s="44" t="s">
        <v>2143</v>
      </c>
      <c r="D1153" s="44"/>
      <c r="E1153" s="6">
        <v>50</v>
      </c>
      <c r="F1153" s="6">
        <v>160</v>
      </c>
      <c r="G1153" s="6" t="s">
        <v>990</v>
      </c>
      <c r="H1153" s="44" t="s">
        <v>164</v>
      </c>
      <c r="I1153" s="44" t="s">
        <v>165</v>
      </c>
    </row>
    <row r="1154" spans="1:9" ht="60" x14ac:dyDescent="0.25">
      <c r="A1154" s="44" t="s">
        <v>158</v>
      </c>
      <c r="B1154" s="6">
        <v>2123005</v>
      </c>
      <c r="C1154" s="44" t="s">
        <v>2143</v>
      </c>
      <c r="D1154" s="44" t="s">
        <v>2144</v>
      </c>
      <c r="E1154" s="6">
        <v>50</v>
      </c>
      <c r="F1154" s="6">
        <v>160</v>
      </c>
      <c r="G1154" s="6" t="s">
        <v>990</v>
      </c>
      <c r="H1154" s="44" t="s">
        <v>161</v>
      </c>
      <c r="I1154" s="44" t="s">
        <v>162</v>
      </c>
    </row>
    <row r="1155" spans="1:9" ht="30" x14ac:dyDescent="0.25">
      <c r="A1155" s="44" t="s">
        <v>158</v>
      </c>
      <c r="B1155" s="6">
        <v>2123005</v>
      </c>
      <c r="C1155" s="44" t="s">
        <v>2143</v>
      </c>
      <c r="D1155" s="44" t="s">
        <v>2145</v>
      </c>
      <c r="E1155" s="6">
        <v>60</v>
      </c>
      <c r="F1155" s="6">
        <v>160</v>
      </c>
      <c r="G1155" s="6" t="s">
        <v>2146</v>
      </c>
      <c r="H1155" s="44" t="s">
        <v>164</v>
      </c>
      <c r="I1155" s="44" t="s">
        <v>165</v>
      </c>
    </row>
    <row r="1156" spans="1:9" ht="75" x14ac:dyDescent="0.25">
      <c r="A1156" s="44" t="s">
        <v>166</v>
      </c>
      <c r="B1156" s="6">
        <v>2123005</v>
      </c>
      <c r="C1156" s="44" t="s">
        <v>2143</v>
      </c>
      <c r="D1156" s="44" t="s">
        <v>2147</v>
      </c>
      <c r="E1156" s="6">
        <v>1500</v>
      </c>
      <c r="F1156" s="6">
        <v>160</v>
      </c>
      <c r="G1156" s="6" t="s">
        <v>2148</v>
      </c>
      <c r="H1156" s="44" t="s">
        <v>169</v>
      </c>
      <c r="I1156" s="44" t="s">
        <v>170</v>
      </c>
    </row>
    <row r="1157" spans="1:9" ht="45" x14ac:dyDescent="0.25">
      <c r="A1157" s="44" t="s">
        <v>274</v>
      </c>
      <c r="B1157" s="6">
        <v>2123005</v>
      </c>
      <c r="C1157" s="44" t="s">
        <v>2143</v>
      </c>
      <c r="D1157" s="44"/>
      <c r="E1157" s="6">
        <v>50</v>
      </c>
      <c r="F1157" s="6">
        <v>160</v>
      </c>
      <c r="G1157" s="6" t="s">
        <v>990</v>
      </c>
      <c r="H1157" s="44" t="s">
        <v>277</v>
      </c>
      <c r="I1157" s="44" t="s">
        <v>278</v>
      </c>
    </row>
    <row r="1158" spans="1:9" ht="45" x14ac:dyDescent="0.25">
      <c r="A1158" s="44" t="s">
        <v>88</v>
      </c>
      <c r="B1158" s="6">
        <v>2034003</v>
      </c>
      <c r="C1158" s="44" t="s">
        <v>2149</v>
      </c>
      <c r="D1158" s="44" t="s">
        <v>1805</v>
      </c>
      <c r="E1158" s="6">
        <v>45</v>
      </c>
      <c r="F1158" s="6">
        <v>336.4</v>
      </c>
      <c r="G1158" s="6" t="s">
        <v>2150</v>
      </c>
      <c r="H1158" s="44" t="s">
        <v>99</v>
      </c>
      <c r="I1158" s="44" t="s">
        <v>100</v>
      </c>
    </row>
    <row r="1159" spans="1:9" ht="45" x14ac:dyDescent="0.25">
      <c r="A1159" s="44" t="s">
        <v>88</v>
      </c>
      <c r="B1159" s="6">
        <v>2034003</v>
      </c>
      <c r="C1159" s="44" t="s">
        <v>2149</v>
      </c>
      <c r="D1159" s="44" t="s">
        <v>1805</v>
      </c>
      <c r="E1159" s="6">
        <v>45</v>
      </c>
      <c r="F1159" s="6">
        <v>336.4</v>
      </c>
      <c r="G1159" s="6" t="s">
        <v>2150</v>
      </c>
      <c r="H1159" s="44" t="s">
        <v>103</v>
      </c>
      <c r="I1159" s="44" t="s">
        <v>104</v>
      </c>
    </row>
    <row r="1160" spans="1:9" ht="45" x14ac:dyDescent="0.25">
      <c r="A1160" s="44" t="s">
        <v>88</v>
      </c>
      <c r="B1160" s="6">
        <v>2034003</v>
      </c>
      <c r="C1160" s="44" t="s">
        <v>2149</v>
      </c>
      <c r="D1160" s="44" t="s">
        <v>1805</v>
      </c>
      <c r="E1160" s="6">
        <v>45</v>
      </c>
      <c r="F1160" s="6">
        <v>336.4</v>
      </c>
      <c r="G1160" s="6" t="s">
        <v>2150</v>
      </c>
      <c r="H1160" s="44" t="s">
        <v>101</v>
      </c>
      <c r="I1160" s="44" t="s">
        <v>102</v>
      </c>
    </row>
    <row r="1161" spans="1:9" ht="45" x14ac:dyDescent="0.25">
      <c r="A1161" s="44" t="s">
        <v>88</v>
      </c>
      <c r="B1161" s="6">
        <v>2034003</v>
      </c>
      <c r="C1161" s="44" t="s">
        <v>2149</v>
      </c>
      <c r="D1161" s="44" t="s">
        <v>2151</v>
      </c>
      <c r="E1161" s="6">
        <v>30</v>
      </c>
      <c r="F1161" s="6">
        <v>336.4</v>
      </c>
      <c r="G1161" s="6" t="s">
        <v>2152</v>
      </c>
      <c r="H1161" s="44" t="s">
        <v>95</v>
      </c>
      <c r="I1161" s="44" t="s">
        <v>96</v>
      </c>
    </row>
    <row r="1162" spans="1:9" ht="45" x14ac:dyDescent="0.25">
      <c r="A1162" s="44" t="s">
        <v>88</v>
      </c>
      <c r="B1162" s="6">
        <v>2034003</v>
      </c>
      <c r="C1162" s="44" t="s">
        <v>2149</v>
      </c>
      <c r="D1162" s="44" t="s">
        <v>1805</v>
      </c>
      <c r="E1162" s="6">
        <v>45</v>
      </c>
      <c r="F1162" s="6">
        <v>336.4</v>
      </c>
      <c r="G1162" s="6" t="s">
        <v>2150</v>
      </c>
      <c r="H1162" s="44" t="s">
        <v>95</v>
      </c>
      <c r="I1162" s="44" t="s">
        <v>96</v>
      </c>
    </row>
    <row r="1163" spans="1:9" ht="45" x14ac:dyDescent="0.25">
      <c r="A1163" s="44" t="s">
        <v>136</v>
      </c>
      <c r="B1163" s="6">
        <v>2034003</v>
      </c>
      <c r="C1163" s="44" t="s">
        <v>2149</v>
      </c>
      <c r="D1163" s="44" t="s">
        <v>2153</v>
      </c>
      <c r="E1163" s="6">
        <v>10</v>
      </c>
      <c r="F1163" s="6">
        <v>336.4</v>
      </c>
      <c r="G1163" s="6" t="s">
        <v>2154</v>
      </c>
      <c r="H1163" s="44" t="s">
        <v>146</v>
      </c>
      <c r="I1163" s="44" t="s">
        <v>147</v>
      </c>
    </row>
    <row r="1164" spans="1:9" ht="45" x14ac:dyDescent="0.25">
      <c r="A1164" s="44" t="s">
        <v>136</v>
      </c>
      <c r="B1164" s="6">
        <v>2034003</v>
      </c>
      <c r="C1164" s="44" t="s">
        <v>2149</v>
      </c>
      <c r="D1164" s="44" t="s">
        <v>2155</v>
      </c>
      <c r="E1164" s="6">
        <v>1</v>
      </c>
      <c r="F1164" s="6">
        <v>336.4</v>
      </c>
      <c r="G1164" s="6">
        <v>336.4</v>
      </c>
      <c r="H1164" s="44" t="s">
        <v>142</v>
      </c>
      <c r="I1164" s="44" t="s">
        <v>143</v>
      </c>
    </row>
    <row r="1165" spans="1:9" ht="45" x14ac:dyDescent="0.25">
      <c r="A1165" s="44" t="s">
        <v>136</v>
      </c>
      <c r="B1165" s="6">
        <v>2034003</v>
      </c>
      <c r="C1165" s="44" t="s">
        <v>2149</v>
      </c>
      <c r="D1165" s="44" t="s">
        <v>2156</v>
      </c>
      <c r="E1165" s="6">
        <v>1</v>
      </c>
      <c r="F1165" s="6">
        <v>336.4</v>
      </c>
      <c r="G1165" s="6">
        <v>336.4</v>
      </c>
      <c r="H1165" s="44" t="s">
        <v>142</v>
      </c>
      <c r="I1165" s="44" t="s">
        <v>143</v>
      </c>
    </row>
    <row r="1166" spans="1:9" ht="75" x14ac:dyDescent="0.25">
      <c r="A1166" s="44" t="s">
        <v>148</v>
      </c>
      <c r="B1166" s="6">
        <v>2034003</v>
      </c>
      <c r="C1166" s="44" t="s">
        <v>2149</v>
      </c>
      <c r="D1166" s="44"/>
      <c r="E1166" s="6">
        <v>2</v>
      </c>
      <c r="F1166" s="6">
        <v>336.4</v>
      </c>
      <c r="G1166" s="6">
        <v>672.8</v>
      </c>
      <c r="H1166" s="44" t="s">
        <v>154</v>
      </c>
      <c r="I1166" s="44" t="s">
        <v>155</v>
      </c>
    </row>
    <row r="1167" spans="1:9" ht="75" x14ac:dyDescent="0.25">
      <c r="A1167" s="44" t="s">
        <v>148</v>
      </c>
      <c r="B1167" s="6">
        <v>2034003</v>
      </c>
      <c r="C1167" s="44" t="s">
        <v>2149</v>
      </c>
      <c r="D1167" s="44" t="s">
        <v>2157</v>
      </c>
      <c r="E1167" s="6">
        <v>20</v>
      </c>
      <c r="F1167" s="6">
        <v>336.4</v>
      </c>
      <c r="G1167" s="6" t="s">
        <v>2158</v>
      </c>
      <c r="H1167" s="44" t="s">
        <v>154</v>
      </c>
      <c r="I1167" s="44" t="s">
        <v>155</v>
      </c>
    </row>
    <row r="1168" spans="1:9" ht="45" x14ac:dyDescent="0.25">
      <c r="A1168" s="44" t="s">
        <v>207</v>
      </c>
      <c r="B1168" s="6">
        <v>2034003</v>
      </c>
      <c r="C1168" s="44" t="s">
        <v>2149</v>
      </c>
      <c r="D1168" s="44"/>
      <c r="E1168" s="6">
        <v>1</v>
      </c>
      <c r="F1168" s="6">
        <v>336.4</v>
      </c>
      <c r="G1168" s="6">
        <v>336.4</v>
      </c>
      <c r="H1168" s="44" t="s">
        <v>208</v>
      </c>
      <c r="I1168" s="44" t="s">
        <v>207</v>
      </c>
    </row>
    <row r="1169" spans="1:9" ht="75" x14ac:dyDescent="0.25">
      <c r="A1169" s="44" t="s">
        <v>30</v>
      </c>
      <c r="B1169" s="6"/>
      <c r="C1169" s="44" t="s">
        <v>2159</v>
      </c>
      <c r="D1169" s="44" t="s">
        <v>2160</v>
      </c>
      <c r="E1169" s="6">
        <v>3</v>
      </c>
      <c r="F1169" s="6" t="s">
        <v>680</v>
      </c>
      <c r="G1169" s="6" t="s">
        <v>999</v>
      </c>
      <c r="H1169" s="44" t="s">
        <v>35</v>
      </c>
      <c r="I1169" s="44" t="s">
        <v>36</v>
      </c>
    </row>
    <row r="1170" spans="1:9" ht="60" x14ac:dyDescent="0.25">
      <c r="A1170" s="44" t="s">
        <v>30</v>
      </c>
      <c r="B1170" s="6"/>
      <c r="C1170" s="44" t="s">
        <v>2159</v>
      </c>
      <c r="D1170" s="44" t="s">
        <v>2161</v>
      </c>
      <c r="E1170" s="6">
        <v>1</v>
      </c>
      <c r="F1170" s="6" t="s">
        <v>680</v>
      </c>
      <c r="G1170" s="6" t="s">
        <v>680</v>
      </c>
      <c r="H1170" s="44" t="s">
        <v>35</v>
      </c>
      <c r="I1170" s="44" t="s">
        <v>36</v>
      </c>
    </row>
    <row r="1171" spans="1:9" ht="60" x14ac:dyDescent="0.25">
      <c r="A1171" s="44" t="s">
        <v>30</v>
      </c>
      <c r="B1171" s="6"/>
      <c r="C1171" s="44" t="s">
        <v>2159</v>
      </c>
      <c r="D1171" s="44" t="s">
        <v>2162</v>
      </c>
      <c r="E1171" s="6">
        <v>1</v>
      </c>
      <c r="F1171" s="6" t="s">
        <v>849</v>
      </c>
      <c r="G1171" s="6" t="s">
        <v>849</v>
      </c>
      <c r="H1171" s="44" t="s">
        <v>35</v>
      </c>
      <c r="I1171" s="44" t="s">
        <v>36</v>
      </c>
    </row>
    <row r="1172" spans="1:9" ht="75" x14ac:dyDescent="0.25">
      <c r="A1172" s="44" t="s">
        <v>30</v>
      </c>
      <c r="B1172" s="6"/>
      <c r="C1172" s="44" t="s">
        <v>2159</v>
      </c>
      <c r="D1172" s="44" t="s">
        <v>2163</v>
      </c>
      <c r="E1172" s="6">
        <v>1</v>
      </c>
      <c r="F1172" s="6" t="s">
        <v>705</v>
      </c>
      <c r="G1172" s="6" t="s">
        <v>705</v>
      </c>
      <c r="H1172" s="44" t="s">
        <v>35</v>
      </c>
      <c r="I1172" s="44" t="s">
        <v>36</v>
      </c>
    </row>
    <row r="1173" spans="1:9" ht="390" x14ac:dyDescent="0.25">
      <c r="A1173" s="44" t="s">
        <v>30</v>
      </c>
      <c r="B1173" s="6"/>
      <c r="C1173" s="44" t="s">
        <v>2159</v>
      </c>
      <c r="D1173" s="44" t="s">
        <v>2164</v>
      </c>
      <c r="E1173" s="6">
        <v>1</v>
      </c>
      <c r="F1173" s="6" t="s">
        <v>705</v>
      </c>
      <c r="G1173" s="6" t="s">
        <v>705</v>
      </c>
      <c r="H1173" s="44" t="s">
        <v>35</v>
      </c>
      <c r="I1173" s="44" t="s">
        <v>36</v>
      </c>
    </row>
    <row r="1174" spans="1:9" ht="60" x14ac:dyDescent="0.25">
      <c r="A1174" s="44" t="s">
        <v>30</v>
      </c>
      <c r="B1174" s="6"/>
      <c r="C1174" s="44" t="s">
        <v>2159</v>
      </c>
      <c r="D1174" s="44" t="s">
        <v>2165</v>
      </c>
      <c r="E1174" s="6">
        <v>2</v>
      </c>
      <c r="F1174" s="6" t="s">
        <v>736</v>
      </c>
      <c r="G1174" s="6" t="s">
        <v>678</v>
      </c>
      <c r="H1174" s="44" t="s">
        <v>35</v>
      </c>
      <c r="I1174" s="44" t="s">
        <v>36</v>
      </c>
    </row>
    <row r="1175" spans="1:9" ht="60" x14ac:dyDescent="0.25">
      <c r="A1175" s="44" t="s">
        <v>30</v>
      </c>
      <c r="B1175" s="6"/>
      <c r="C1175" s="44" t="s">
        <v>2159</v>
      </c>
      <c r="D1175" s="44" t="s">
        <v>2166</v>
      </c>
      <c r="E1175" s="6">
        <v>1</v>
      </c>
      <c r="F1175" s="6" t="s">
        <v>676</v>
      </c>
      <c r="G1175" s="6" t="s">
        <v>676</v>
      </c>
      <c r="H1175" s="44" t="s">
        <v>35</v>
      </c>
      <c r="I1175" s="44" t="s">
        <v>36</v>
      </c>
    </row>
    <row r="1176" spans="1:9" ht="60" x14ac:dyDescent="0.25">
      <c r="A1176" s="44" t="s">
        <v>30</v>
      </c>
      <c r="B1176" s="6"/>
      <c r="C1176" s="44" t="s">
        <v>2159</v>
      </c>
      <c r="D1176" s="44" t="s">
        <v>2167</v>
      </c>
      <c r="E1176" s="6">
        <v>1</v>
      </c>
      <c r="F1176" s="6" t="s">
        <v>680</v>
      </c>
      <c r="G1176" s="6" t="s">
        <v>680</v>
      </c>
      <c r="H1176" s="44" t="s">
        <v>35</v>
      </c>
      <c r="I1176" s="44" t="s">
        <v>36</v>
      </c>
    </row>
    <row r="1177" spans="1:9" ht="60" x14ac:dyDescent="0.25">
      <c r="A1177" s="44" t="s">
        <v>30</v>
      </c>
      <c r="B1177" s="6"/>
      <c r="C1177" s="44" t="s">
        <v>2159</v>
      </c>
      <c r="D1177" s="44" t="s">
        <v>2168</v>
      </c>
      <c r="E1177" s="6">
        <v>1</v>
      </c>
      <c r="F1177" s="6" t="s">
        <v>883</v>
      </c>
      <c r="G1177" s="6" t="s">
        <v>883</v>
      </c>
      <c r="H1177" s="44" t="s">
        <v>35</v>
      </c>
      <c r="I1177" s="44" t="s">
        <v>36</v>
      </c>
    </row>
    <row r="1178" spans="1:9" ht="60" x14ac:dyDescent="0.25">
      <c r="A1178" s="44" t="s">
        <v>30</v>
      </c>
      <c r="B1178" s="6"/>
      <c r="C1178" s="44" t="s">
        <v>2169</v>
      </c>
      <c r="D1178" s="44" t="s">
        <v>2170</v>
      </c>
      <c r="E1178" s="6">
        <v>1</v>
      </c>
      <c r="F1178" s="6" t="s">
        <v>2171</v>
      </c>
      <c r="G1178" s="6" t="s">
        <v>2171</v>
      </c>
      <c r="H1178" s="44" t="s">
        <v>33</v>
      </c>
      <c r="I1178" s="44" t="s">
        <v>34</v>
      </c>
    </row>
    <row r="1179" spans="1:9" ht="60" x14ac:dyDescent="0.25">
      <c r="A1179" s="44" t="s">
        <v>30</v>
      </c>
      <c r="B1179" s="6"/>
      <c r="C1179" s="44" t="s">
        <v>2169</v>
      </c>
      <c r="D1179" s="44" t="s">
        <v>2172</v>
      </c>
      <c r="E1179" s="6">
        <v>1</v>
      </c>
      <c r="F1179" s="6" t="s">
        <v>2173</v>
      </c>
      <c r="G1179" s="6" t="s">
        <v>2173</v>
      </c>
      <c r="H1179" s="44" t="s">
        <v>33</v>
      </c>
      <c r="I1179" s="44" t="s">
        <v>34</v>
      </c>
    </row>
    <row r="1180" spans="1:9" ht="45" x14ac:dyDescent="0.25">
      <c r="A1180" s="44" t="s">
        <v>88</v>
      </c>
      <c r="B1180" s="6">
        <v>1354003</v>
      </c>
      <c r="C1180" s="44" t="s">
        <v>2174</v>
      </c>
      <c r="D1180" s="44" t="s">
        <v>2175</v>
      </c>
      <c r="E1180" s="6">
        <v>2</v>
      </c>
      <c r="F1180" s="6">
        <v>250</v>
      </c>
      <c r="G1180" s="6">
        <v>500</v>
      </c>
      <c r="H1180" s="44" t="s">
        <v>99</v>
      </c>
      <c r="I1180" s="44" t="s">
        <v>100</v>
      </c>
    </row>
    <row r="1181" spans="1:9" ht="45" x14ac:dyDescent="0.25">
      <c r="A1181" s="44" t="s">
        <v>88</v>
      </c>
      <c r="B1181" s="6">
        <v>1354003</v>
      </c>
      <c r="C1181" s="44" t="s">
        <v>2174</v>
      </c>
      <c r="D1181" s="44" t="s">
        <v>2176</v>
      </c>
      <c r="E1181" s="6">
        <v>6</v>
      </c>
      <c r="F1181" s="6">
        <v>600</v>
      </c>
      <c r="G1181" s="6" t="s">
        <v>880</v>
      </c>
      <c r="H1181" s="44" t="s">
        <v>95</v>
      </c>
      <c r="I1181" s="44" t="s">
        <v>96</v>
      </c>
    </row>
    <row r="1182" spans="1:9" ht="45" x14ac:dyDescent="0.25">
      <c r="A1182" s="44" t="s">
        <v>88</v>
      </c>
      <c r="B1182" s="6">
        <v>1354003</v>
      </c>
      <c r="C1182" s="44" t="s">
        <v>2174</v>
      </c>
      <c r="D1182" s="44" t="s">
        <v>2175</v>
      </c>
      <c r="E1182" s="6">
        <v>2</v>
      </c>
      <c r="F1182" s="6">
        <v>250</v>
      </c>
      <c r="G1182" s="6">
        <v>500</v>
      </c>
      <c r="H1182" s="44" t="s">
        <v>95</v>
      </c>
      <c r="I1182" s="44" t="s">
        <v>96</v>
      </c>
    </row>
    <row r="1183" spans="1:9" ht="45" x14ac:dyDescent="0.25">
      <c r="A1183" s="44" t="s">
        <v>88</v>
      </c>
      <c r="B1183" s="6">
        <v>1354003</v>
      </c>
      <c r="C1183" s="44" t="s">
        <v>2174</v>
      </c>
      <c r="D1183" s="44" t="s">
        <v>2175</v>
      </c>
      <c r="E1183" s="6">
        <v>2</v>
      </c>
      <c r="F1183" s="6">
        <v>250</v>
      </c>
      <c r="G1183" s="6">
        <v>500</v>
      </c>
      <c r="H1183" s="44" t="s">
        <v>103</v>
      </c>
      <c r="I1183" s="44" t="s">
        <v>104</v>
      </c>
    </row>
    <row r="1184" spans="1:9" ht="45" x14ac:dyDescent="0.25">
      <c r="A1184" s="44" t="s">
        <v>88</v>
      </c>
      <c r="B1184" s="6">
        <v>1354003</v>
      </c>
      <c r="C1184" s="44" t="s">
        <v>2174</v>
      </c>
      <c r="D1184" s="44" t="s">
        <v>2175</v>
      </c>
      <c r="E1184" s="6">
        <v>2</v>
      </c>
      <c r="F1184" s="6">
        <v>250</v>
      </c>
      <c r="G1184" s="6">
        <v>500</v>
      </c>
      <c r="H1184" s="44" t="s">
        <v>101</v>
      </c>
      <c r="I1184" s="44" t="s">
        <v>102</v>
      </c>
    </row>
    <row r="1185" spans="1:9" ht="45" x14ac:dyDescent="0.25">
      <c r="A1185" s="44" t="s">
        <v>136</v>
      </c>
      <c r="B1185" s="6">
        <v>1354003</v>
      </c>
      <c r="C1185" s="44" t="s">
        <v>2174</v>
      </c>
      <c r="D1185" s="44"/>
      <c r="E1185" s="6">
        <v>6</v>
      </c>
      <c r="F1185" s="6">
        <v>100</v>
      </c>
      <c r="G1185" s="6">
        <v>600</v>
      </c>
      <c r="H1185" s="44" t="s">
        <v>146</v>
      </c>
      <c r="I1185" s="44" t="s">
        <v>147</v>
      </c>
    </row>
    <row r="1186" spans="1:9" ht="30" x14ac:dyDescent="0.25">
      <c r="A1186" s="44" t="s">
        <v>158</v>
      </c>
      <c r="B1186" s="6">
        <v>1354003</v>
      </c>
      <c r="C1186" s="44" t="s">
        <v>2174</v>
      </c>
      <c r="D1186" s="44" t="s">
        <v>827</v>
      </c>
      <c r="E1186" s="6">
        <v>2</v>
      </c>
      <c r="F1186" s="6">
        <v>70</v>
      </c>
      <c r="G1186" s="6">
        <v>140</v>
      </c>
      <c r="H1186" s="44" t="s">
        <v>164</v>
      </c>
      <c r="I1186" s="44" t="s">
        <v>165</v>
      </c>
    </row>
    <row r="1187" spans="1:9" ht="60" x14ac:dyDescent="0.25">
      <c r="A1187" s="44" t="s">
        <v>158</v>
      </c>
      <c r="B1187" s="6">
        <v>1354003</v>
      </c>
      <c r="C1187" s="44" t="s">
        <v>2174</v>
      </c>
      <c r="D1187" s="44"/>
      <c r="E1187" s="6">
        <v>2</v>
      </c>
      <c r="F1187" s="6">
        <v>250</v>
      </c>
      <c r="G1187" s="6">
        <v>500</v>
      </c>
      <c r="H1187" s="44" t="s">
        <v>161</v>
      </c>
      <c r="I1187" s="44" t="s">
        <v>162</v>
      </c>
    </row>
    <row r="1188" spans="1:9" ht="60" x14ac:dyDescent="0.25">
      <c r="A1188" s="44" t="s">
        <v>166</v>
      </c>
      <c r="B1188" s="6">
        <v>1354003</v>
      </c>
      <c r="C1188" s="44" t="s">
        <v>2174</v>
      </c>
      <c r="D1188" s="44" t="s">
        <v>2177</v>
      </c>
      <c r="E1188" s="6">
        <v>60</v>
      </c>
      <c r="F1188" s="6">
        <v>250</v>
      </c>
      <c r="G1188" s="6" t="s">
        <v>987</v>
      </c>
      <c r="H1188" s="44" t="s">
        <v>172</v>
      </c>
      <c r="I1188" s="44" t="s">
        <v>173</v>
      </c>
    </row>
    <row r="1189" spans="1:9" ht="45" x14ac:dyDescent="0.25">
      <c r="A1189" s="44" t="s">
        <v>136</v>
      </c>
      <c r="B1189" s="6">
        <v>2201001</v>
      </c>
      <c r="C1189" s="44" t="s">
        <v>2178</v>
      </c>
      <c r="D1189" s="44" t="s">
        <v>2179</v>
      </c>
      <c r="E1189" s="6">
        <v>2</v>
      </c>
      <c r="F1189" s="6">
        <v>108</v>
      </c>
      <c r="G1189" s="6">
        <v>216</v>
      </c>
      <c r="H1189" s="44" t="s">
        <v>142</v>
      </c>
      <c r="I1189" s="44" t="s">
        <v>143</v>
      </c>
    </row>
    <row r="1190" spans="1:9" ht="45" x14ac:dyDescent="0.25">
      <c r="A1190" s="44" t="s">
        <v>209</v>
      </c>
      <c r="B1190" s="6">
        <v>1326001</v>
      </c>
      <c r="C1190" s="44" t="s">
        <v>2180</v>
      </c>
      <c r="D1190" s="44"/>
      <c r="E1190" s="6">
        <v>2</v>
      </c>
      <c r="F1190" s="6">
        <v>8</v>
      </c>
      <c r="G1190" s="6">
        <v>16</v>
      </c>
      <c r="H1190" s="44" t="s">
        <v>210</v>
      </c>
      <c r="I1190" s="44" t="s">
        <v>209</v>
      </c>
    </row>
    <row r="1191" spans="1:9" ht="45" x14ac:dyDescent="0.25">
      <c r="A1191" s="44" t="s">
        <v>70</v>
      </c>
      <c r="B1191" s="6">
        <v>1252012</v>
      </c>
      <c r="C1191" s="44" t="s">
        <v>2181</v>
      </c>
      <c r="D1191" s="44" t="s">
        <v>2182</v>
      </c>
      <c r="E1191" s="6">
        <v>5</v>
      </c>
      <c r="F1191" s="6" t="s">
        <v>726</v>
      </c>
      <c r="G1191" s="6" t="s">
        <v>747</v>
      </c>
      <c r="H1191" s="44" t="s">
        <v>73</v>
      </c>
      <c r="I1191" s="44" t="s">
        <v>74</v>
      </c>
    </row>
    <row r="1192" spans="1:9" ht="45" x14ac:dyDescent="0.25">
      <c r="A1192" s="44" t="s">
        <v>136</v>
      </c>
      <c r="B1192" s="6">
        <v>25780001</v>
      </c>
      <c r="C1192" s="44" t="s">
        <v>2183</v>
      </c>
      <c r="D1192" s="44" t="s">
        <v>2184</v>
      </c>
      <c r="E1192" s="6">
        <v>2</v>
      </c>
      <c r="F1192" s="6">
        <v>250</v>
      </c>
      <c r="G1192" s="6">
        <v>500</v>
      </c>
      <c r="H1192" s="44" t="s">
        <v>142</v>
      </c>
      <c r="I1192" s="44" t="s">
        <v>143</v>
      </c>
    </row>
    <row r="1193" spans="1:9" ht="45" x14ac:dyDescent="0.25">
      <c r="A1193" s="44" t="s">
        <v>136</v>
      </c>
      <c r="B1193" s="6">
        <v>25780001</v>
      </c>
      <c r="C1193" s="44" t="s">
        <v>2183</v>
      </c>
      <c r="D1193" s="44" t="s">
        <v>2185</v>
      </c>
      <c r="E1193" s="6">
        <v>3</v>
      </c>
      <c r="F1193" s="6">
        <v>600</v>
      </c>
      <c r="G1193" s="6" t="s">
        <v>861</v>
      </c>
      <c r="H1193" s="44" t="s">
        <v>142</v>
      </c>
      <c r="I1193" s="44" t="s">
        <v>143</v>
      </c>
    </row>
    <row r="1194" spans="1:9" ht="30" x14ac:dyDescent="0.25">
      <c r="A1194" s="44" t="s">
        <v>247</v>
      </c>
      <c r="B1194" s="6">
        <v>25780001</v>
      </c>
      <c r="C1194" s="44" t="s">
        <v>2183</v>
      </c>
      <c r="D1194" s="44" t="s">
        <v>2186</v>
      </c>
      <c r="E1194" s="6">
        <v>6</v>
      </c>
      <c r="F1194" s="6">
        <v>600</v>
      </c>
      <c r="G1194" s="6" t="s">
        <v>880</v>
      </c>
      <c r="H1194" s="44" t="s">
        <v>250</v>
      </c>
      <c r="I1194" s="44" t="s">
        <v>251</v>
      </c>
    </row>
    <row r="1195" spans="1:9" ht="30" x14ac:dyDescent="0.25">
      <c r="A1195" s="44" t="s">
        <v>247</v>
      </c>
      <c r="B1195" s="6">
        <v>25780001</v>
      </c>
      <c r="C1195" s="44" t="s">
        <v>2183</v>
      </c>
      <c r="D1195" s="44" t="s">
        <v>2187</v>
      </c>
      <c r="E1195" s="6">
        <v>2</v>
      </c>
      <c r="F1195" s="6">
        <v>600</v>
      </c>
      <c r="G1195" s="6" t="s">
        <v>923</v>
      </c>
      <c r="H1195" s="44" t="s">
        <v>250</v>
      </c>
      <c r="I1195" s="44" t="s">
        <v>251</v>
      </c>
    </row>
    <row r="1196" spans="1:9" ht="45" x14ac:dyDescent="0.25">
      <c r="A1196" s="44" t="s">
        <v>281</v>
      </c>
      <c r="B1196" s="6">
        <v>25780001</v>
      </c>
      <c r="C1196" s="44" t="s">
        <v>2183</v>
      </c>
      <c r="D1196" s="44" t="s">
        <v>2188</v>
      </c>
      <c r="E1196" s="6">
        <v>1</v>
      </c>
      <c r="F1196" s="6" t="s">
        <v>990</v>
      </c>
      <c r="G1196" s="6" t="s">
        <v>990</v>
      </c>
      <c r="H1196" s="44" t="s">
        <v>284</v>
      </c>
      <c r="I1196" s="44" t="s">
        <v>285</v>
      </c>
    </row>
    <row r="1197" spans="1:9" ht="120" x14ac:dyDescent="0.25">
      <c r="A1197" s="44" t="s">
        <v>305</v>
      </c>
      <c r="B1197" s="6">
        <v>25780001</v>
      </c>
      <c r="C1197" s="44" t="s">
        <v>2183</v>
      </c>
      <c r="D1197" s="44" t="s">
        <v>2189</v>
      </c>
      <c r="E1197" s="6">
        <v>3</v>
      </c>
      <c r="F1197" s="6" t="s">
        <v>2190</v>
      </c>
      <c r="G1197" s="6" t="s">
        <v>2191</v>
      </c>
      <c r="H1197" s="44" t="s">
        <v>308</v>
      </c>
      <c r="I1197" s="44" t="s">
        <v>309</v>
      </c>
    </row>
    <row r="1198" spans="1:9" ht="30" x14ac:dyDescent="0.25">
      <c r="A1198" s="44" t="s">
        <v>247</v>
      </c>
      <c r="B1198" s="6"/>
      <c r="C1198" s="44" t="s">
        <v>2192</v>
      </c>
      <c r="D1198" s="44" t="s">
        <v>2193</v>
      </c>
      <c r="E1198" s="6">
        <v>6</v>
      </c>
      <c r="F1198" s="6">
        <v>300</v>
      </c>
      <c r="G1198" s="6" t="s">
        <v>861</v>
      </c>
      <c r="H1198" s="44" t="s">
        <v>250</v>
      </c>
      <c r="I1198" s="44" t="s">
        <v>251</v>
      </c>
    </row>
    <row r="1199" spans="1:9" ht="30" x14ac:dyDescent="0.25">
      <c r="A1199" s="44" t="s">
        <v>247</v>
      </c>
      <c r="B1199" s="6"/>
      <c r="C1199" s="44" t="s">
        <v>2192</v>
      </c>
      <c r="D1199" s="44" t="s">
        <v>2194</v>
      </c>
      <c r="E1199" s="6">
        <v>2</v>
      </c>
      <c r="F1199" s="6">
        <v>500</v>
      </c>
      <c r="G1199" s="6" t="s">
        <v>726</v>
      </c>
      <c r="H1199" s="44" t="s">
        <v>250</v>
      </c>
      <c r="I1199" s="44" t="s">
        <v>251</v>
      </c>
    </row>
    <row r="1200" spans="1:9" ht="105" x14ac:dyDescent="0.25">
      <c r="A1200" s="44" t="s">
        <v>291</v>
      </c>
      <c r="B1200" s="6"/>
      <c r="C1200" s="44" t="s">
        <v>2192</v>
      </c>
      <c r="D1200" s="44" t="s">
        <v>2195</v>
      </c>
      <c r="E1200" s="6">
        <v>2</v>
      </c>
      <c r="F1200" s="6">
        <v>600</v>
      </c>
      <c r="G1200" s="6">
        <v>1.2</v>
      </c>
      <c r="H1200" s="44" t="s">
        <v>294</v>
      </c>
      <c r="I1200" s="44" t="s">
        <v>295</v>
      </c>
    </row>
    <row r="1201" spans="1:9" ht="45" x14ac:dyDescent="0.25">
      <c r="A1201" s="44" t="s">
        <v>70</v>
      </c>
      <c r="B1201" s="6">
        <v>1093006</v>
      </c>
      <c r="C1201" s="44" t="s">
        <v>2196</v>
      </c>
      <c r="D1201" s="44"/>
      <c r="E1201" s="6">
        <v>500</v>
      </c>
      <c r="F1201" s="6">
        <v>250</v>
      </c>
      <c r="G1201" s="6">
        <v>125</v>
      </c>
      <c r="H1201" s="44" t="s">
        <v>73</v>
      </c>
      <c r="I1201" s="44" t="s">
        <v>74</v>
      </c>
    </row>
    <row r="1202" spans="1:9" ht="60" x14ac:dyDescent="0.25">
      <c r="A1202" s="44" t="s">
        <v>158</v>
      </c>
      <c r="B1202" s="6">
        <v>119400043</v>
      </c>
      <c r="C1202" s="44" t="s">
        <v>2197</v>
      </c>
      <c r="D1202" s="44"/>
      <c r="E1202" s="6">
        <v>1</v>
      </c>
      <c r="F1202" s="6">
        <v>250</v>
      </c>
      <c r="G1202" s="6">
        <v>250</v>
      </c>
      <c r="H1202" s="44" t="s">
        <v>161</v>
      </c>
      <c r="I1202" s="44" t="s">
        <v>162</v>
      </c>
    </row>
    <row r="1203" spans="1:9" ht="60" x14ac:dyDescent="0.25">
      <c r="A1203" s="44" t="s">
        <v>158</v>
      </c>
      <c r="B1203" s="6">
        <v>119400042</v>
      </c>
      <c r="C1203" s="44" t="s">
        <v>2198</v>
      </c>
      <c r="D1203" s="44"/>
      <c r="E1203" s="6">
        <v>2</v>
      </c>
      <c r="F1203" s="6">
        <v>80</v>
      </c>
      <c r="G1203" s="6">
        <v>160</v>
      </c>
      <c r="H1203" s="44" t="s">
        <v>161</v>
      </c>
      <c r="I1203" s="44" t="s">
        <v>162</v>
      </c>
    </row>
    <row r="1204" spans="1:9" ht="30" x14ac:dyDescent="0.25">
      <c r="A1204" s="44" t="s">
        <v>158</v>
      </c>
      <c r="B1204" s="6">
        <v>2156001</v>
      </c>
      <c r="C1204" s="44" t="s">
        <v>2199</v>
      </c>
      <c r="D1204" s="44" t="s">
        <v>827</v>
      </c>
      <c r="E1204" s="6">
        <v>2</v>
      </c>
      <c r="F1204" s="6">
        <v>350</v>
      </c>
      <c r="G1204" s="6">
        <v>700</v>
      </c>
      <c r="H1204" s="44" t="s">
        <v>164</v>
      </c>
      <c r="I1204" s="44" t="s">
        <v>165</v>
      </c>
    </row>
    <row r="1205" spans="1:9" ht="45" x14ac:dyDescent="0.25">
      <c r="A1205" s="44" t="s">
        <v>305</v>
      </c>
      <c r="B1205" s="6">
        <v>2156001</v>
      </c>
      <c r="C1205" s="44" t="s">
        <v>2199</v>
      </c>
      <c r="D1205" s="44"/>
      <c r="E1205" s="6">
        <v>1</v>
      </c>
      <c r="F1205" s="6">
        <v>350</v>
      </c>
      <c r="G1205" s="6">
        <v>350</v>
      </c>
      <c r="H1205" s="44" t="s">
        <v>308</v>
      </c>
      <c r="I1205" s="44" t="s">
        <v>309</v>
      </c>
    </row>
    <row r="1206" spans="1:9" ht="45" x14ac:dyDescent="0.25">
      <c r="A1206" s="44" t="s">
        <v>88</v>
      </c>
      <c r="B1206" s="6">
        <v>2003055</v>
      </c>
      <c r="C1206" s="44" t="s">
        <v>2200</v>
      </c>
      <c r="D1206" s="44"/>
      <c r="E1206" s="6">
        <v>1</v>
      </c>
      <c r="F1206" s="6">
        <v>50</v>
      </c>
      <c r="G1206" s="6">
        <v>50</v>
      </c>
      <c r="H1206" s="44" t="s">
        <v>97</v>
      </c>
      <c r="I1206" s="44" t="s">
        <v>98</v>
      </c>
    </row>
    <row r="1207" spans="1:9" ht="45" x14ac:dyDescent="0.25">
      <c r="A1207" s="44" t="s">
        <v>88</v>
      </c>
      <c r="B1207" s="6">
        <v>2003055</v>
      </c>
      <c r="C1207" s="44" t="s">
        <v>2200</v>
      </c>
      <c r="D1207" s="44"/>
      <c r="E1207" s="6">
        <v>1</v>
      </c>
      <c r="F1207" s="6">
        <v>50</v>
      </c>
      <c r="G1207" s="6">
        <v>50</v>
      </c>
      <c r="H1207" s="44" t="s">
        <v>93</v>
      </c>
      <c r="I1207" s="44" t="s">
        <v>94</v>
      </c>
    </row>
    <row r="1208" spans="1:9" ht="45" x14ac:dyDescent="0.25">
      <c r="A1208" s="44" t="s">
        <v>88</v>
      </c>
      <c r="B1208" s="6">
        <v>2003055</v>
      </c>
      <c r="C1208" s="44" t="s">
        <v>2200</v>
      </c>
      <c r="D1208" s="44"/>
      <c r="E1208" s="6">
        <v>1</v>
      </c>
      <c r="F1208" s="6">
        <v>50</v>
      </c>
      <c r="G1208" s="6">
        <v>50</v>
      </c>
      <c r="H1208" s="44" t="s">
        <v>91</v>
      </c>
      <c r="I1208" s="44" t="s">
        <v>92</v>
      </c>
    </row>
    <row r="1209" spans="1:9" ht="45" x14ac:dyDescent="0.25">
      <c r="A1209" s="44" t="s">
        <v>136</v>
      </c>
      <c r="B1209" s="6">
        <v>2003055</v>
      </c>
      <c r="C1209" s="44" t="s">
        <v>2200</v>
      </c>
      <c r="D1209" s="44" t="s">
        <v>2201</v>
      </c>
      <c r="E1209" s="6">
        <v>4</v>
      </c>
      <c r="F1209" s="6">
        <v>50</v>
      </c>
      <c r="G1209" s="6">
        <v>200</v>
      </c>
      <c r="H1209" s="44" t="s">
        <v>146</v>
      </c>
      <c r="I1209" s="44" t="s">
        <v>147</v>
      </c>
    </row>
    <row r="1210" spans="1:9" ht="30" x14ac:dyDescent="0.25">
      <c r="A1210" s="44" t="s">
        <v>158</v>
      </c>
      <c r="B1210" s="6">
        <v>2003055</v>
      </c>
      <c r="C1210" s="44" t="s">
        <v>2200</v>
      </c>
      <c r="D1210" s="44"/>
      <c r="E1210" s="6">
        <v>2</v>
      </c>
      <c r="F1210" s="6">
        <v>50</v>
      </c>
      <c r="G1210" s="6">
        <v>100</v>
      </c>
      <c r="H1210" s="44" t="s">
        <v>164</v>
      </c>
      <c r="I1210" s="44" t="s">
        <v>165</v>
      </c>
    </row>
    <row r="1211" spans="1:9" ht="45" x14ac:dyDescent="0.25">
      <c r="A1211" s="44" t="s">
        <v>88</v>
      </c>
      <c r="B1211" s="6">
        <v>2081012</v>
      </c>
      <c r="C1211" s="44" t="s">
        <v>2202</v>
      </c>
      <c r="D1211" s="44" t="s">
        <v>2203</v>
      </c>
      <c r="E1211" s="6">
        <v>2</v>
      </c>
      <c r="F1211" s="6" t="s">
        <v>946</v>
      </c>
      <c r="G1211" s="6" t="s">
        <v>849</v>
      </c>
      <c r="H1211" s="44" t="s">
        <v>95</v>
      </c>
      <c r="I1211" s="44" t="s">
        <v>96</v>
      </c>
    </row>
    <row r="1212" spans="1:9" ht="45" x14ac:dyDescent="0.25">
      <c r="A1212" s="44" t="s">
        <v>88</v>
      </c>
      <c r="B1212" s="6">
        <v>2081012</v>
      </c>
      <c r="C1212" s="44" t="s">
        <v>2202</v>
      </c>
      <c r="D1212" s="44" t="s">
        <v>2204</v>
      </c>
      <c r="E1212" s="6">
        <v>3</v>
      </c>
      <c r="F1212" s="6" t="s">
        <v>946</v>
      </c>
      <c r="G1212" s="6" t="s">
        <v>1600</v>
      </c>
      <c r="H1212" s="44" t="s">
        <v>95</v>
      </c>
      <c r="I1212" s="44" t="s">
        <v>96</v>
      </c>
    </row>
    <row r="1213" spans="1:9" ht="75" x14ac:dyDescent="0.25">
      <c r="A1213" s="44" t="s">
        <v>136</v>
      </c>
      <c r="B1213" s="6">
        <v>2081012</v>
      </c>
      <c r="C1213" s="44" t="s">
        <v>2202</v>
      </c>
      <c r="D1213" s="44" t="s">
        <v>2205</v>
      </c>
      <c r="E1213" s="6">
        <v>1</v>
      </c>
      <c r="F1213" s="6" t="s">
        <v>946</v>
      </c>
      <c r="G1213" s="6" t="s">
        <v>946</v>
      </c>
      <c r="H1213" s="44" t="s">
        <v>142</v>
      </c>
      <c r="I1213" s="44" t="s">
        <v>143</v>
      </c>
    </row>
    <row r="1214" spans="1:9" ht="60" x14ac:dyDescent="0.25">
      <c r="A1214" s="44" t="s">
        <v>158</v>
      </c>
      <c r="B1214" s="6">
        <v>2081012</v>
      </c>
      <c r="C1214" s="44" t="s">
        <v>2202</v>
      </c>
      <c r="D1214" s="44" t="s">
        <v>2206</v>
      </c>
      <c r="E1214" s="6">
        <v>1</v>
      </c>
      <c r="F1214" s="6" t="s">
        <v>946</v>
      </c>
      <c r="G1214" s="6" t="s">
        <v>946</v>
      </c>
      <c r="H1214" s="44" t="s">
        <v>161</v>
      </c>
      <c r="I1214" s="44" t="s">
        <v>162</v>
      </c>
    </row>
    <row r="1215" spans="1:9" ht="30" x14ac:dyDescent="0.25">
      <c r="A1215" s="44" t="s">
        <v>158</v>
      </c>
      <c r="B1215" s="6">
        <v>2081012</v>
      </c>
      <c r="C1215" s="44" t="s">
        <v>2202</v>
      </c>
      <c r="D1215" s="44" t="s">
        <v>2207</v>
      </c>
      <c r="E1215" s="6">
        <v>1</v>
      </c>
      <c r="F1215" s="6" t="s">
        <v>946</v>
      </c>
      <c r="G1215" s="6" t="s">
        <v>946</v>
      </c>
      <c r="H1215" s="44" t="s">
        <v>164</v>
      </c>
      <c r="I1215" s="44" t="s">
        <v>165</v>
      </c>
    </row>
    <row r="1216" spans="1:9" ht="45" x14ac:dyDescent="0.25">
      <c r="A1216" s="44" t="s">
        <v>88</v>
      </c>
      <c r="B1216" s="6">
        <v>14280001</v>
      </c>
      <c r="C1216" s="44" t="s">
        <v>2208</v>
      </c>
      <c r="D1216" s="44" t="s">
        <v>2209</v>
      </c>
      <c r="E1216" s="6">
        <v>2</v>
      </c>
      <c r="F1216" s="6">
        <v>220</v>
      </c>
      <c r="G1216" s="6">
        <v>440</v>
      </c>
      <c r="H1216" s="44" t="s">
        <v>99</v>
      </c>
      <c r="I1216" s="44" t="s">
        <v>100</v>
      </c>
    </row>
    <row r="1217" spans="1:9" ht="45" x14ac:dyDescent="0.25">
      <c r="A1217" s="44" t="s">
        <v>88</v>
      </c>
      <c r="B1217" s="6">
        <v>14280001</v>
      </c>
      <c r="C1217" s="44" t="s">
        <v>2208</v>
      </c>
      <c r="D1217" s="44" t="s">
        <v>2209</v>
      </c>
      <c r="E1217" s="6">
        <v>2</v>
      </c>
      <c r="F1217" s="6">
        <v>220</v>
      </c>
      <c r="G1217" s="6">
        <v>440</v>
      </c>
      <c r="H1217" s="44" t="s">
        <v>95</v>
      </c>
      <c r="I1217" s="44" t="s">
        <v>96</v>
      </c>
    </row>
    <row r="1218" spans="1:9" ht="45" x14ac:dyDescent="0.25">
      <c r="A1218" s="44" t="s">
        <v>88</v>
      </c>
      <c r="B1218" s="6">
        <v>14280001</v>
      </c>
      <c r="C1218" s="44" t="s">
        <v>2208</v>
      </c>
      <c r="D1218" s="44" t="s">
        <v>2209</v>
      </c>
      <c r="E1218" s="6">
        <v>2</v>
      </c>
      <c r="F1218" s="6">
        <v>220</v>
      </c>
      <c r="G1218" s="6">
        <v>440</v>
      </c>
      <c r="H1218" s="44" t="s">
        <v>103</v>
      </c>
      <c r="I1218" s="44" t="s">
        <v>104</v>
      </c>
    </row>
    <row r="1219" spans="1:9" ht="45" x14ac:dyDescent="0.25">
      <c r="A1219" s="44" t="s">
        <v>88</v>
      </c>
      <c r="B1219" s="6">
        <v>14280001</v>
      </c>
      <c r="C1219" s="44" t="s">
        <v>2208</v>
      </c>
      <c r="D1219" s="44" t="s">
        <v>2209</v>
      </c>
      <c r="E1219" s="6">
        <v>2</v>
      </c>
      <c r="F1219" s="6">
        <v>220</v>
      </c>
      <c r="G1219" s="6">
        <v>440</v>
      </c>
      <c r="H1219" s="44" t="s">
        <v>101</v>
      </c>
      <c r="I1219" s="44" t="s">
        <v>102</v>
      </c>
    </row>
    <row r="1220" spans="1:9" ht="45" x14ac:dyDescent="0.25">
      <c r="A1220" s="44" t="s">
        <v>207</v>
      </c>
      <c r="B1220" s="6">
        <v>1352001</v>
      </c>
      <c r="C1220" s="44" t="s">
        <v>2210</v>
      </c>
      <c r="D1220" s="44" t="s">
        <v>2211</v>
      </c>
      <c r="E1220" s="6">
        <v>2</v>
      </c>
      <c r="F1220" s="6">
        <v>180</v>
      </c>
      <c r="G1220" s="6">
        <v>360</v>
      </c>
      <c r="H1220" s="44" t="s">
        <v>208</v>
      </c>
      <c r="I1220" s="44" t="s">
        <v>207</v>
      </c>
    </row>
    <row r="1221" spans="1:9" ht="45" x14ac:dyDescent="0.25">
      <c r="A1221" s="44" t="s">
        <v>70</v>
      </c>
      <c r="B1221" s="6">
        <v>2360001</v>
      </c>
      <c r="C1221" s="44" t="s">
        <v>2212</v>
      </c>
      <c r="D1221" s="44" t="s">
        <v>2213</v>
      </c>
      <c r="E1221" s="6">
        <v>1</v>
      </c>
      <c r="F1221" s="6" t="s">
        <v>999</v>
      </c>
      <c r="G1221" s="6" t="s">
        <v>999</v>
      </c>
      <c r="H1221" s="44" t="s">
        <v>73</v>
      </c>
      <c r="I1221" s="44" t="s">
        <v>74</v>
      </c>
    </row>
    <row r="1222" spans="1:9" ht="45" x14ac:dyDescent="0.25">
      <c r="A1222" s="44" t="s">
        <v>136</v>
      </c>
      <c r="B1222" s="6">
        <v>1187007</v>
      </c>
      <c r="C1222" s="44" t="s">
        <v>2214</v>
      </c>
      <c r="D1222" s="44" t="s">
        <v>2215</v>
      </c>
      <c r="E1222" s="6">
        <v>6</v>
      </c>
      <c r="F1222" s="6">
        <v>500</v>
      </c>
      <c r="G1222" s="6" t="s">
        <v>736</v>
      </c>
      <c r="H1222" s="44" t="s">
        <v>146</v>
      </c>
      <c r="I1222" s="44" t="s">
        <v>147</v>
      </c>
    </row>
    <row r="1223" spans="1:9" ht="45" x14ac:dyDescent="0.25">
      <c r="A1223" s="44" t="s">
        <v>209</v>
      </c>
      <c r="B1223" s="6">
        <v>1187007</v>
      </c>
      <c r="C1223" s="44" t="s">
        <v>2214</v>
      </c>
      <c r="D1223" s="44" t="s">
        <v>2216</v>
      </c>
      <c r="E1223" s="6">
        <v>1</v>
      </c>
      <c r="F1223" s="6">
        <v>35</v>
      </c>
      <c r="G1223" s="6">
        <v>35</v>
      </c>
      <c r="H1223" s="44" t="s">
        <v>210</v>
      </c>
      <c r="I1223" s="44" t="s">
        <v>209</v>
      </c>
    </row>
    <row r="1224" spans="1:9" ht="45" x14ac:dyDescent="0.25">
      <c r="A1224" s="44" t="s">
        <v>209</v>
      </c>
      <c r="B1224" s="6">
        <v>119700010</v>
      </c>
      <c r="C1224" s="44" t="s">
        <v>2217</v>
      </c>
      <c r="D1224" s="44"/>
      <c r="E1224" s="6">
        <v>1</v>
      </c>
      <c r="F1224" s="6">
        <v>14.175000000000001</v>
      </c>
      <c r="G1224" s="6">
        <v>14.175000000000001</v>
      </c>
      <c r="H1224" s="44" t="s">
        <v>210</v>
      </c>
      <c r="I1224" s="44" t="s">
        <v>209</v>
      </c>
    </row>
    <row r="1225" spans="1:9" ht="30" x14ac:dyDescent="0.25">
      <c r="A1225" s="44" t="s">
        <v>158</v>
      </c>
      <c r="B1225" s="6">
        <v>104100031</v>
      </c>
      <c r="C1225" s="44" t="s">
        <v>2218</v>
      </c>
      <c r="D1225" s="44"/>
      <c r="E1225" s="6">
        <v>5</v>
      </c>
      <c r="F1225" s="6">
        <v>56.085999999999999</v>
      </c>
      <c r="G1225" s="6">
        <v>280.43</v>
      </c>
      <c r="H1225" s="44" t="s">
        <v>164</v>
      </c>
      <c r="I1225" s="44" t="s">
        <v>165</v>
      </c>
    </row>
    <row r="1226" spans="1:9" ht="45" x14ac:dyDescent="0.25">
      <c r="A1226" s="44" t="s">
        <v>158</v>
      </c>
      <c r="B1226" s="6">
        <v>104100030</v>
      </c>
      <c r="C1226" s="44" t="s">
        <v>2219</v>
      </c>
      <c r="D1226" s="44"/>
      <c r="E1226" s="6">
        <v>5</v>
      </c>
      <c r="F1226" s="6">
        <v>40.406999999999996</v>
      </c>
      <c r="G1226" s="6">
        <v>202.035</v>
      </c>
      <c r="H1226" s="44" t="s">
        <v>164</v>
      </c>
      <c r="I1226" s="44" t="s">
        <v>165</v>
      </c>
    </row>
    <row r="1227" spans="1:9" ht="90" x14ac:dyDescent="0.25">
      <c r="A1227" s="44" t="s">
        <v>207</v>
      </c>
      <c r="B1227" s="6">
        <v>104300026</v>
      </c>
      <c r="C1227" s="44" t="s">
        <v>2220</v>
      </c>
      <c r="D1227" s="44" t="s">
        <v>2221</v>
      </c>
      <c r="E1227" s="6">
        <v>3</v>
      </c>
      <c r="F1227" s="6">
        <v>220.98</v>
      </c>
      <c r="G1227" s="6">
        <v>662.94</v>
      </c>
      <c r="H1227" s="44" t="s">
        <v>208</v>
      </c>
      <c r="I1227" s="44" t="s">
        <v>207</v>
      </c>
    </row>
    <row r="1228" spans="1:9" ht="45" x14ac:dyDescent="0.25">
      <c r="A1228" s="44" t="s">
        <v>136</v>
      </c>
      <c r="B1228" s="6">
        <v>1125001</v>
      </c>
      <c r="C1228" s="44" t="s">
        <v>2222</v>
      </c>
      <c r="D1228" s="44" t="s">
        <v>2223</v>
      </c>
      <c r="E1228" s="6">
        <v>10</v>
      </c>
      <c r="F1228" s="6">
        <v>150</v>
      </c>
      <c r="G1228" s="6" t="s">
        <v>800</v>
      </c>
      <c r="H1228" s="44" t="s">
        <v>146</v>
      </c>
      <c r="I1228" s="44" t="s">
        <v>147</v>
      </c>
    </row>
    <row r="1229" spans="1:9" ht="60" x14ac:dyDescent="0.25">
      <c r="A1229" s="44" t="s">
        <v>291</v>
      </c>
      <c r="B1229" s="6"/>
      <c r="C1229" s="44" t="s">
        <v>2224</v>
      </c>
      <c r="D1229" s="44" t="s">
        <v>2225</v>
      </c>
      <c r="E1229" s="6">
        <v>1</v>
      </c>
      <c r="F1229" s="6" t="s">
        <v>814</v>
      </c>
      <c r="G1229" s="6" t="s">
        <v>814</v>
      </c>
      <c r="H1229" s="44" t="s">
        <v>294</v>
      </c>
      <c r="I1229" s="44" t="s">
        <v>295</v>
      </c>
    </row>
    <row r="1230" spans="1:9" ht="60" x14ac:dyDescent="0.25">
      <c r="A1230" s="44" t="s">
        <v>291</v>
      </c>
      <c r="B1230" s="6"/>
      <c r="C1230" s="44" t="s">
        <v>2224</v>
      </c>
      <c r="D1230" s="44" t="s">
        <v>2226</v>
      </c>
      <c r="E1230" s="6">
        <v>1</v>
      </c>
      <c r="F1230" s="6" t="s">
        <v>845</v>
      </c>
      <c r="G1230" s="6" t="s">
        <v>845</v>
      </c>
      <c r="H1230" s="44" t="s">
        <v>294</v>
      </c>
      <c r="I1230" s="44" t="s">
        <v>295</v>
      </c>
    </row>
    <row r="1231" spans="1:9" ht="135" x14ac:dyDescent="0.25">
      <c r="A1231" s="44" t="s">
        <v>291</v>
      </c>
      <c r="B1231" s="6"/>
      <c r="C1231" s="44" t="s">
        <v>2224</v>
      </c>
      <c r="D1231" s="44" t="s">
        <v>2227</v>
      </c>
      <c r="E1231" s="6">
        <v>1</v>
      </c>
      <c r="F1231" s="6" t="s">
        <v>1245</v>
      </c>
      <c r="G1231" s="6" t="s">
        <v>1245</v>
      </c>
      <c r="H1231" s="44" t="s">
        <v>294</v>
      </c>
      <c r="I1231" s="44" t="s">
        <v>295</v>
      </c>
    </row>
    <row r="1232" spans="1:9" ht="60" x14ac:dyDescent="0.25">
      <c r="A1232" s="44" t="s">
        <v>291</v>
      </c>
      <c r="B1232" s="6"/>
      <c r="C1232" s="44" t="s">
        <v>2224</v>
      </c>
      <c r="D1232" s="44" t="s">
        <v>2228</v>
      </c>
      <c r="E1232" s="6">
        <v>1</v>
      </c>
      <c r="F1232" s="6" t="s">
        <v>678</v>
      </c>
      <c r="G1232" s="6" t="s">
        <v>678</v>
      </c>
      <c r="H1232" s="44" t="s">
        <v>294</v>
      </c>
      <c r="I1232" s="44" t="s">
        <v>295</v>
      </c>
    </row>
    <row r="1233" spans="1:9" ht="57.75" customHeight="1" x14ac:dyDescent="0.25">
      <c r="A1233" s="44" t="s">
        <v>291</v>
      </c>
      <c r="B1233" s="6"/>
      <c r="C1233" s="44" t="s">
        <v>2224</v>
      </c>
      <c r="D1233" s="44" t="s">
        <v>2229</v>
      </c>
      <c r="E1233" s="6">
        <v>1</v>
      </c>
      <c r="F1233" s="6" t="s">
        <v>736</v>
      </c>
      <c r="G1233" s="6" t="s">
        <v>736</v>
      </c>
      <c r="H1233" s="44" t="s">
        <v>294</v>
      </c>
      <c r="I1233" s="44" t="s">
        <v>295</v>
      </c>
    </row>
    <row r="1234" spans="1:9" ht="165" x14ac:dyDescent="0.25">
      <c r="A1234" s="44" t="s">
        <v>291</v>
      </c>
      <c r="B1234" s="6"/>
      <c r="C1234" s="44" t="s">
        <v>2224</v>
      </c>
      <c r="D1234" s="44" t="s">
        <v>2230</v>
      </c>
      <c r="E1234" s="6">
        <v>1</v>
      </c>
      <c r="F1234" s="6" t="s">
        <v>736</v>
      </c>
      <c r="G1234" s="6" t="s">
        <v>736</v>
      </c>
      <c r="H1234" s="44" t="s">
        <v>294</v>
      </c>
      <c r="I1234" s="44" t="s">
        <v>295</v>
      </c>
    </row>
    <row r="1235" spans="1:9" ht="75" x14ac:dyDescent="0.25">
      <c r="A1235" s="44" t="s">
        <v>148</v>
      </c>
      <c r="B1235" s="6"/>
      <c r="C1235" s="44" t="s">
        <v>2231</v>
      </c>
      <c r="D1235" s="44"/>
      <c r="E1235" s="6">
        <v>6</v>
      </c>
      <c r="F1235" s="6" t="s">
        <v>742</v>
      </c>
      <c r="G1235" s="6" t="s">
        <v>987</v>
      </c>
      <c r="H1235" s="44" t="s">
        <v>154</v>
      </c>
      <c r="I1235" s="44" t="s">
        <v>155</v>
      </c>
    </row>
    <row r="1236" spans="1:9" ht="60" x14ac:dyDescent="0.25">
      <c r="A1236" s="44" t="s">
        <v>158</v>
      </c>
      <c r="B1236" s="6">
        <v>2184001</v>
      </c>
      <c r="C1236" s="44" t="s">
        <v>2232</v>
      </c>
      <c r="D1236" s="44"/>
      <c r="E1236" s="6">
        <v>1</v>
      </c>
      <c r="F1236" s="6">
        <v>250</v>
      </c>
      <c r="G1236" s="6">
        <v>250</v>
      </c>
      <c r="H1236" s="44" t="s">
        <v>161</v>
      </c>
      <c r="I1236" s="44" t="s">
        <v>162</v>
      </c>
    </row>
    <row r="1237" spans="1:9" ht="45" x14ac:dyDescent="0.25">
      <c r="A1237" s="44" t="s">
        <v>70</v>
      </c>
      <c r="B1237" s="6">
        <v>1082018</v>
      </c>
      <c r="C1237" s="44" t="s">
        <v>2233</v>
      </c>
      <c r="D1237" s="44" t="s">
        <v>2234</v>
      </c>
      <c r="E1237" s="6">
        <v>300</v>
      </c>
      <c r="F1237" s="6">
        <v>2</v>
      </c>
      <c r="G1237" s="6">
        <v>600</v>
      </c>
      <c r="H1237" s="44" t="s">
        <v>73</v>
      </c>
      <c r="I1237" s="44" t="s">
        <v>74</v>
      </c>
    </row>
    <row r="1238" spans="1:9" ht="45" x14ac:dyDescent="0.25">
      <c r="A1238" s="44" t="s">
        <v>70</v>
      </c>
      <c r="B1238" s="6">
        <v>1082018</v>
      </c>
      <c r="C1238" s="44" t="s">
        <v>2233</v>
      </c>
      <c r="D1238" s="44" t="s">
        <v>2235</v>
      </c>
      <c r="E1238" s="6">
        <v>300</v>
      </c>
      <c r="F1238" s="6">
        <v>2</v>
      </c>
      <c r="G1238" s="6">
        <v>600</v>
      </c>
      <c r="H1238" s="44" t="s">
        <v>73</v>
      </c>
      <c r="I1238" s="44" t="s">
        <v>74</v>
      </c>
    </row>
    <row r="1239" spans="1:9" ht="45" x14ac:dyDescent="0.25">
      <c r="A1239" s="44" t="s">
        <v>274</v>
      </c>
      <c r="B1239" s="6">
        <v>157200002</v>
      </c>
      <c r="C1239" s="44" t="s">
        <v>2236</v>
      </c>
      <c r="D1239" s="44" t="s">
        <v>2237</v>
      </c>
      <c r="E1239" s="6">
        <v>10</v>
      </c>
      <c r="F1239" s="6">
        <v>80</v>
      </c>
      <c r="G1239" s="6">
        <v>800</v>
      </c>
      <c r="H1239" s="44" t="s">
        <v>277</v>
      </c>
      <c r="I1239" s="44" t="s">
        <v>278</v>
      </c>
    </row>
    <row r="1240" spans="1:9" ht="45" x14ac:dyDescent="0.25">
      <c r="A1240" s="44" t="s">
        <v>88</v>
      </c>
      <c r="B1240" s="6">
        <v>25010002</v>
      </c>
      <c r="C1240" s="44" t="s">
        <v>2238</v>
      </c>
      <c r="D1240" s="44" t="s">
        <v>2239</v>
      </c>
      <c r="E1240" s="6">
        <v>2</v>
      </c>
      <c r="F1240" s="6">
        <v>0</v>
      </c>
      <c r="G1240" s="6">
        <v>0</v>
      </c>
      <c r="H1240" s="44" t="s">
        <v>103</v>
      </c>
      <c r="I1240" s="44" t="s">
        <v>104</v>
      </c>
    </row>
    <row r="1241" spans="1:9" ht="45" x14ac:dyDescent="0.25">
      <c r="A1241" s="44" t="s">
        <v>88</v>
      </c>
      <c r="B1241" s="6">
        <v>25010002</v>
      </c>
      <c r="C1241" s="44" t="s">
        <v>2238</v>
      </c>
      <c r="D1241" s="44"/>
      <c r="E1241" s="6">
        <v>30</v>
      </c>
      <c r="F1241" s="6">
        <v>250</v>
      </c>
      <c r="G1241" s="6" t="s">
        <v>1298</v>
      </c>
      <c r="H1241" s="44" t="s">
        <v>95</v>
      </c>
      <c r="I1241" s="44" t="s">
        <v>96</v>
      </c>
    </row>
    <row r="1242" spans="1:9" ht="45" x14ac:dyDescent="0.25">
      <c r="A1242" s="44" t="s">
        <v>88</v>
      </c>
      <c r="B1242" s="6">
        <v>25010002</v>
      </c>
      <c r="C1242" s="44" t="s">
        <v>2238</v>
      </c>
      <c r="D1242" s="44"/>
      <c r="E1242" s="6">
        <v>26</v>
      </c>
      <c r="F1242" s="6">
        <v>250</v>
      </c>
      <c r="G1242" s="6" t="s">
        <v>1767</v>
      </c>
      <c r="H1242" s="44" t="s">
        <v>95</v>
      </c>
      <c r="I1242" s="44" t="s">
        <v>96</v>
      </c>
    </row>
    <row r="1243" spans="1:9" ht="45" x14ac:dyDescent="0.25">
      <c r="A1243" s="44" t="s">
        <v>88</v>
      </c>
      <c r="B1243" s="6">
        <v>25010002</v>
      </c>
      <c r="C1243" s="44" t="s">
        <v>2238</v>
      </c>
      <c r="D1243" s="44" t="s">
        <v>2239</v>
      </c>
      <c r="E1243" s="6">
        <v>2</v>
      </c>
      <c r="F1243" s="6">
        <v>0</v>
      </c>
      <c r="G1243" s="6">
        <v>0</v>
      </c>
      <c r="H1243" s="44" t="s">
        <v>95</v>
      </c>
      <c r="I1243" s="44" t="s">
        <v>96</v>
      </c>
    </row>
    <row r="1244" spans="1:9" ht="45" x14ac:dyDescent="0.25">
      <c r="A1244" s="44" t="s">
        <v>88</v>
      </c>
      <c r="B1244" s="6">
        <v>25010002</v>
      </c>
      <c r="C1244" s="44" t="s">
        <v>2238</v>
      </c>
      <c r="D1244" s="44" t="s">
        <v>2239</v>
      </c>
      <c r="E1244" s="6">
        <v>2</v>
      </c>
      <c r="F1244" s="6">
        <v>0</v>
      </c>
      <c r="G1244" s="6">
        <v>0</v>
      </c>
      <c r="H1244" s="44" t="s">
        <v>99</v>
      </c>
      <c r="I1244" s="44" t="s">
        <v>100</v>
      </c>
    </row>
    <row r="1245" spans="1:9" ht="45" x14ac:dyDescent="0.25">
      <c r="A1245" s="44" t="s">
        <v>88</v>
      </c>
      <c r="B1245" s="6">
        <v>25010002</v>
      </c>
      <c r="C1245" s="44" t="s">
        <v>2238</v>
      </c>
      <c r="D1245" s="44" t="s">
        <v>2239</v>
      </c>
      <c r="E1245" s="6">
        <v>2</v>
      </c>
      <c r="F1245" s="6" t="s">
        <v>765</v>
      </c>
      <c r="G1245" s="6" t="s">
        <v>767</v>
      </c>
      <c r="H1245" s="44" t="s">
        <v>101</v>
      </c>
      <c r="I1245" s="44" t="s">
        <v>102</v>
      </c>
    </row>
    <row r="1246" spans="1:9" ht="75" x14ac:dyDescent="0.25">
      <c r="A1246" s="44" t="s">
        <v>148</v>
      </c>
      <c r="B1246" s="6">
        <v>25010002</v>
      </c>
      <c r="C1246" s="44" t="s">
        <v>2238</v>
      </c>
      <c r="D1246" s="44" t="s">
        <v>2240</v>
      </c>
      <c r="E1246" s="6">
        <v>4</v>
      </c>
      <c r="F1246" s="6">
        <v>620</v>
      </c>
      <c r="G1246" s="6" t="s">
        <v>2241</v>
      </c>
      <c r="H1246" s="44" t="s">
        <v>154</v>
      </c>
      <c r="I1246" s="44" t="s">
        <v>155</v>
      </c>
    </row>
    <row r="1247" spans="1:9" ht="75" x14ac:dyDescent="0.25">
      <c r="A1247" s="44" t="s">
        <v>166</v>
      </c>
      <c r="B1247" s="6">
        <v>25010002</v>
      </c>
      <c r="C1247" s="44" t="s">
        <v>2238</v>
      </c>
      <c r="D1247" s="44" t="s">
        <v>2242</v>
      </c>
      <c r="E1247" s="6">
        <v>45</v>
      </c>
      <c r="F1247" s="6">
        <v>300</v>
      </c>
      <c r="G1247" s="6" t="s">
        <v>2243</v>
      </c>
      <c r="H1247" s="44" t="s">
        <v>169</v>
      </c>
      <c r="I1247" s="44" t="s">
        <v>170</v>
      </c>
    </row>
    <row r="1248" spans="1:9" ht="45" x14ac:dyDescent="0.25">
      <c r="A1248" s="44" t="s">
        <v>174</v>
      </c>
      <c r="B1248" s="6">
        <v>25010002</v>
      </c>
      <c r="C1248" s="44" t="s">
        <v>2238</v>
      </c>
      <c r="D1248" s="44"/>
      <c r="E1248" s="6">
        <v>10</v>
      </c>
      <c r="F1248" s="6">
        <v>300</v>
      </c>
      <c r="G1248" s="6" t="s">
        <v>736</v>
      </c>
      <c r="H1248" s="44" t="s">
        <v>180</v>
      </c>
      <c r="I1248" s="44" t="s">
        <v>181</v>
      </c>
    </row>
    <row r="1249" spans="1:9" ht="45" x14ac:dyDescent="0.25">
      <c r="A1249" s="44" t="s">
        <v>182</v>
      </c>
      <c r="B1249" s="6">
        <v>25010002</v>
      </c>
      <c r="C1249" s="44" t="s">
        <v>2238</v>
      </c>
      <c r="D1249" s="44" t="s">
        <v>2244</v>
      </c>
      <c r="E1249" s="6">
        <v>3</v>
      </c>
      <c r="F1249" s="6">
        <v>180</v>
      </c>
      <c r="G1249" s="6">
        <v>540</v>
      </c>
      <c r="H1249" s="44" t="s">
        <v>188</v>
      </c>
      <c r="I1249" s="44" t="s">
        <v>189</v>
      </c>
    </row>
    <row r="1250" spans="1:9" ht="45" x14ac:dyDescent="0.25">
      <c r="A1250" s="44" t="s">
        <v>207</v>
      </c>
      <c r="B1250" s="6">
        <v>25010002</v>
      </c>
      <c r="C1250" s="44" t="s">
        <v>2238</v>
      </c>
      <c r="D1250" s="44" t="s">
        <v>2245</v>
      </c>
      <c r="E1250" s="6">
        <v>1</v>
      </c>
      <c r="F1250" s="6">
        <v>300</v>
      </c>
      <c r="G1250" s="6">
        <v>300</v>
      </c>
      <c r="H1250" s="44" t="s">
        <v>208</v>
      </c>
      <c r="I1250" s="44" t="s">
        <v>207</v>
      </c>
    </row>
    <row r="1251" spans="1:9" ht="30" x14ac:dyDescent="0.25">
      <c r="A1251" s="44" t="s">
        <v>247</v>
      </c>
      <c r="B1251" s="6">
        <v>25010002</v>
      </c>
      <c r="C1251" s="44" t="s">
        <v>2238</v>
      </c>
      <c r="D1251" s="44" t="s">
        <v>2246</v>
      </c>
      <c r="E1251" s="6">
        <v>4</v>
      </c>
      <c r="F1251" s="6">
        <v>200</v>
      </c>
      <c r="G1251" s="6">
        <v>800</v>
      </c>
      <c r="H1251" s="44" t="s">
        <v>250</v>
      </c>
      <c r="I1251" s="44" t="s">
        <v>251</v>
      </c>
    </row>
    <row r="1252" spans="1:9" ht="45" x14ac:dyDescent="0.25">
      <c r="A1252" s="44" t="s">
        <v>286</v>
      </c>
      <c r="B1252" s="6">
        <v>25010002</v>
      </c>
      <c r="C1252" s="44" t="s">
        <v>2238</v>
      </c>
      <c r="D1252" s="44" t="s">
        <v>2247</v>
      </c>
      <c r="E1252" s="6">
        <v>2</v>
      </c>
      <c r="F1252" s="6" t="s">
        <v>2248</v>
      </c>
      <c r="G1252" s="6" t="s">
        <v>2249</v>
      </c>
      <c r="H1252" s="44" t="s">
        <v>289</v>
      </c>
      <c r="I1252" s="44" t="s">
        <v>290</v>
      </c>
    </row>
    <row r="1253" spans="1:9" ht="75" x14ac:dyDescent="0.25">
      <c r="A1253" s="44" t="s">
        <v>286</v>
      </c>
      <c r="B1253" s="6"/>
      <c r="C1253" s="44" t="s">
        <v>2250</v>
      </c>
      <c r="D1253" s="44" t="s">
        <v>2251</v>
      </c>
      <c r="E1253" s="6">
        <v>3</v>
      </c>
      <c r="F1253" s="6">
        <v>290.452</v>
      </c>
      <c r="G1253" s="6">
        <v>871.35599999999999</v>
      </c>
      <c r="H1253" s="44" t="s">
        <v>289</v>
      </c>
      <c r="I1253" s="44" t="s">
        <v>290</v>
      </c>
    </row>
    <row r="1254" spans="1:9" ht="75" x14ac:dyDescent="0.25">
      <c r="A1254" s="44" t="s">
        <v>291</v>
      </c>
      <c r="B1254" s="6"/>
      <c r="C1254" s="44" t="s">
        <v>2252</v>
      </c>
      <c r="D1254" s="44" t="s">
        <v>2253</v>
      </c>
      <c r="E1254" s="6">
        <v>1</v>
      </c>
      <c r="F1254" s="6" t="s">
        <v>2243</v>
      </c>
      <c r="G1254" s="6" t="s">
        <v>2243</v>
      </c>
      <c r="H1254" s="44" t="s">
        <v>294</v>
      </c>
      <c r="I1254" s="44" t="s">
        <v>295</v>
      </c>
    </row>
    <row r="1255" spans="1:9" ht="45" x14ac:dyDescent="0.25">
      <c r="A1255" s="44" t="s">
        <v>209</v>
      </c>
      <c r="B1255" s="6">
        <v>1205001</v>
      </c>
      <c r="C1255" s="44" t="s">
        <v>2254</v>
      </c>
      <c r="D1255" s="44" t="s">
        <v>2255</v>
      </c>
      <c r="E1255" s="6">
        <v>5</v>
      </c>
      <c r="F1255" s="6">
        <v>4</v>
      </c>
      <c r="G1255" s="6">
        <v>20</v>
      </c>
      <c r="H1255" s="44" t="s">
        <v>210</v>
      </c>
      <c r="I1255" s="44" t="s">
        <v>209</v>
      </c>
    </row>
    <row r="1256" spans="1:9" ht="45" x14ac:dyDescent="0.25">
      <c r="A1256" s="44" t="s">
        <v>274</v>
      </c>
      <c r="B1256" s="6">
        <v>2048013</v>
      </c>
      <c r="C1256" s="44" t="s">
        <v>2256</v>
      </c>
      <c r="D1256" s="44"/>
      <c r="E1256" s="6">
        <v>1</v>
      </c>
      <c r="F1256" s="6">
        <v>250</v>
      </c>
      <c r="G1256" s="6">
        <v>250</v>
      </c>
      <c r="H1256" s="44" t="s">
        <v>277</v>
      </c>
      <c r="I1256" s="44" t="s">
        <v>278</v>
      </c>
    </row>
    <row r="1257" spans="1:9" ht="45" x14ac:dyDescent="0.25">
      <c r="A1257" s="44" t="s">
        <v>88</v>
      </c>
      <c r="B1257" s="6">
        <v>2049009</v>
      </c>
      <c r="C1257" s="44" t="s">
        <v>2257</v>
      </c>
      <c r="D1257" s="44"/>
      <c r="E1257" s="6">
        <v>24</v>
      </c>
      <c r="F1257" s="6">
        <v>280</v>
      </c>
      <c r="G1257" s="6" t="s">
        <v>2258</v>
      </c>
      <c r="H1257" s="44" t="s">
        <v>93</v>
      </c>
      <c r="I1257" s="44" t="s">
        <v>94</v>
      </c>
    </row>
    <row r="1258" spans="1:9" ht="45" x14ac:dyDescent="0.25">
      <c r="A1258" s="44" t="s">
        <v>88</v>
      </c>
      <c r="B1258" s="6">
        <v>2049009</v>
      </c>
      <c r="C1258" s="44" t="s">
        <v>2257</v>
      </c>
      <c r="D1258" s="44"/>
      <c r="E1258" s="6">
        <v>24</v>
      </c>
      <c r="F1258" s="6">
        <v>280</v>
      </c>
      <c r="G1258" s="6" t="s">
        <v>2258</v>
      </c>
      <c r="H1258" s="44" t="s">
        <v>97</v>
      </c>
      <c r="I1258" s="44" t="s">
        <v>98</v>
      </c>
    </row>
    <row r="1259" spans="1:9" ht="45" x14ac:dyDescent="0.25">
      <c r="A1259" s="44" t="s">
        <v>88</v>
      </c>
      <c r="B1259" s="6">
        <v>2049009</v>
      </c>
      <c r="C1259" s="44" t="s">
        <v>2257</v>
      </c>
      <c r="D1259" s="44"/>
      <c r="E1259" s="6">
        <v>24</v>
      </c>
      <c r="F1259" s="6">
        <v>280</v>
      </c>
      <c r="G1259" s="6" t="s">
        <v>2258</v>
      </c>
      <c r="H1259" s="44" t="s">
        <v>91</v>
      </c>
      <c r="I1259" s="44" t="s">
        <v>92</v>
      </c>
    </row>
    <row r="1260" spans="1:9" ht="60" x14ac:dyDescent="0.25">
      <c r="A1260" s="44" t="s">
        <v>166</v>
      </c>
      <c r="B1260" s="6">
        <v>2049009</v>
      </c>
      <c r="C1260" s="44" t="s">
        <v>2257</v>
      </c>
      <c r="D1260" s="44" t="s">
        <v>2259</v>
      </c>
      <c r="E1260" s="6">
        <v>60</v>
      </c>
      <c r="F1260" s="6">
        <v>280</v>
      </c>
      <c r="G1260" s="6" t="s">
        <v>2260</v>
      </c>
      <c r="H1260" s="44" t="s">
        <v>172</v>
      </c>
      <c r="I1260" s="44" t="s">
        <v>173</v>
      </c>
    </row>
    <row r="1261" spans="1:9" ht="45" x14ac:dyDescent="0.25">
      <c r="A1261" s="44" t="s">
        <v>136</v>
      </c>
      <c r="B1261" s="6"/>
      <c r="C1261" s="44" t="s">
        <v>2261</v>
      </c>
      <c r="D1261" s="44" t="s">
        <v>2262</v>
      </c>
      <c r="E1261" s="6">
        <v>6</v>
      </c>
      <c r="F1261" s="6">
        <v>250</v>
      </c>
      <c r="G1261" s="6" t="s">
        <v>800</v>
      </c>
      <c r="H1261" s="44" t="s">
        <v>142</v>
      </c>
      <c r="I1261" s="44" t="s">
        <v>143</v>
      </c>
    </row>
    <row r="1262" spans="1:9" ht="30" x14ac:dyDescent="0.25">
      <c r="A1262" s="44" t="s">
        <v>205</v>
      </c>
      <c r="B1262" s="6"/>
      <c r="C1262" s="44" t="s">
        <v>2261</v>
      </c>
      <c r="D1262" s="44" t="s">
        <v>2263</v>
      </c>
      <c r="E1262" s="6">
        <v>5</v>
      </c>
      <c r="F1262" s="6">
        <v>200</v>
      </c>
      <c r="G1262" s="6" t="s">
        <v>726</v>
      </c>
      <c r="H1262" s="44" t="s">
        <v>206</v>
      </c>
      <c r="I1262" s="44" t="s">
        <v>205</v>
      </c>
    </row>
    <row r="1263" spans="1:9" ht="30" x14ac:dyDescent="0.25">
      <c r="A1263" s="44" t="s">
        <v>205</v>
      </c>
      <c r="B1263" s="6"/>
      <c r="C1263" s="44" t="s">
        <v>2261</v>
      </c>
      <c r="D1263" s="44" t="s">
        <v>2264</v>
      </c>
      <c r="E1263" s="6">
        <v>5</v>
      </c>
      <c r="F1263" s="6">
        <v>100</v>
      </c>
      <c r="G1263" s="6">
        <v>500</v>
      </c>
      <c r="H1263" s="44" t="s">
        <v>206</v>
      </c>
      <c r="I1263" s="44" t="s">
        <v>205</v>
      </c>
    </row>
    <row r="1264" spans="1:9" ht="75" x14ac:dyDescent="0.25">
      <c r="A1264" s="44" t="s">
        <v>136</v>
      </c>
      <c r="B1264" s="6">
        <v>6011402</v>
      </c>
      <c r="C1264" s="44" t="s">
        <v>2265</v>
      </c>
      <c r="D1264" s="44" t="s">
        <v>2266</v>
      </c>
      <c r="E1264" s="6">
        <v>1</v>
      </c>
      <c r="F1264" s="6" t="s">
        <v>736</v>
      </c>
      <c r="G1264" s="6" t="s">
        <v>736</v>
      </c>
      <c r="H1264" s="44" t="s">
        <v>139</v>
      </c>
      <c r="I1264" s="44" t="s">
        <v>140</v>
      </c>
    </row>
    <row r="1265" spans="1:9" ht="60" x14ac:dyDescent="0.25">
      <c r="A1265" s="44" t="s">
        <v>136</v>
      </c>
      <c r="B1265" s="6">
        <v>6011402</v>
      </c>
      <c r="C1265" s="44" t="s">
        <v>2265</v>
      </c>
      <c r="D1265" s="44" t="s">
        <v>2267</v>
      </c>
      <c r="E1265" s="6">
        <v>1</v>
      </c>
      <c r="F1265" s="6" t="s">
        <v>726</v>
      </c>
      <c r="G1265" s="6" t="s">
        <v>726</v>
      </c>
      <c r="H1265" s="44" t="s">
        <v>144</v>
      </c>
      <c r="I1265" s="44" t="s">
        <v>145</v>
      </c>
    </row>
    <row r="1266" spans="1:9" ht="60" x14ac:dyDescent="0.25">
      <c r="A1266" s="44" t="s">
        <v>136</v>
      </c>
      <c r="B1266" s="6">
        <v>6011402</v>
      </c>
      <c r="C1266" s="44" t="s">
        <v>2265</v>
      </c>
      <c r="D1266" s="44" t="s">
        <v>2268</v>
      </c>
      <c r="E1266" s="6">
        <v>1</v>
      </c>
      <c r="F1266" s="6">
        <v>800</v>
      </c>
      <c r="G1266" s="6">
        <v>800</v>
      </c>
      <c r="H1266" s="44" t="s">
        <v>144</v>
      </c>
      <c r="I1266" s="44" t="s">
        <v>145</v>
      </c>
    </row>
    <row r="1267" spans="1:9" ht="45" x14ac:dyDescent="0.25">
      <c r="A1267" s="44" t="s">
        <v>70</v>
      </c>
      <c r="B1267" s="6">
        <v>216100006</v>
      </c>
      <c r="C1267" s="44" t="s">
        <v>2269</v>
      </c>
      <c r="D1267" s="44"/>
      <c r="E1267" s="6">
        <v>1</v>
      </c>
      <c r="F1267" s="6" t="s">
        <v>1213</v>
      </c>
      <c r="G1267" s="6" t="s">
        <v>1213</v>
      </c>
      <c r="H1267" s="44" t="s">
        <v>73</v>
      </c>
      <c r="I1267" s="44" t="s">
        <v>74</v>
      </c>
    </row>
    <row r="1268" spans="1:9" ht="45" x14ac:dyDescent="0.25">
      <c r="A1268" s="44" t="s">
        <v>88</v>
      </c>
      <c r="B1268" s="6">
        <v>216100006</v>
      </c>
      <c r="C1268" s="44" t="s">
        <v>2269</v>
      </c>
      <c r="D1268" s="44" t="s">
        <v>2270</v>
      </c>
      <c r="E1268" s="6">
        <v>2</v>
      </c>
      <c r="F1268" s="6" t="s">
        <v>1213</v>
      </c>
      <c r="G1268" s="6" t="s">
        <v>2271</v>
      </c>
      <c r="H1268" s="44" t="s">
        <v>95</v>
      </c>
      <c r="I1268" s="44" t="s">
        <v>96</v>
      </c>
    </row>
    <row r="1269" spans="1:9" ht="45" x14ac:dyDescent="0.25">
      <c r="A1269" s="44" t="s">
        <v>88</v>
      </c>
      <c r="B1269" s="6">
        <v>216100006</v>
      </c>
      <c r="C1269" s="44" t="s">
        <v>2269</v>
      </c>
      <c r="D1269" s="44"/>
      <c r="E1269" s="6">
        <v>4</v>
      </c>
      <c r="F1269" s="6" t="s">
        <v>1213</v>
      </c>
      <c r="G1269" s="6" t="s">
        <v>2272</v>
      </c>
      <c r="H1269" s="44" t="s">
        <v>95</v>
      </c>
      <c r="I1269" s="44" t="s">
        <v>96</v>
      </c>
    </row>
    <row r="1270" spans="1:9" ht="45" x14ac:dyDescent="0.25">
      <c r="A1270" s="44" t="s">
        <v>88</v>
      </c>
      <c r="B1270" s="6">
        <v>216100006</v>
      </c>
      <c r="C1270" s="44" t="s">
        <v>2269</v>
      </c>
      <c r="D1270" s="44"/>
      <c r="E1270" s="6">
        <v>3</v>
      </c>
      <c r="F1270" s="6" t="s">
        <v>1213</v>
      </c>
      <c r="G1270" s="6" t="s">
        <v>2273</v>
      </c>
      <c r="H1270" s="44" t="s">
        <v>95</v>
      </c>
      <c r="I1270" s="44" t="s">
        <v>96</v>
      </c>
    </row>
    <row r="1271" spans="1:9" ht="45" x14ac:dyDescent="0.25">
      <c r="A1271" s="44" t="s">
        <v>88</v>
      </c>
      <c r="B1271" s="6">
        <v>216100006</v>
      </c>
      <c r="C1271" s="44" t="s">
        <v>2269</v>
      </c>
      <c r="D1271" s="44" t="s">
        <v>2274</v>
      </c>
      <c r="E1271" s="6">
        <v>4</v>
      </c>
      <c r="F1271" s="6" t="s">
        <v>1213</v>
      </c>
      <c r="G1271" s="6" t="s">
        <v>2272</v>
      </c>
      <c r="H1271" s="44" t="s">
        <v>95</v>
      </c>
      <c r="I1271" s="44" t="s">
        <v>96</v>
      </c>
    </row>
    <row r="1272" spans="1:9" ht="45" x14ac:dyDescent="0.25">
      <c r="A1272" s="44" t="s">
        <v>88</v>
      </c>
      <c r="B1272" s="6">
        <v>216100006</v>
      </c>
      <c r="C1272" s="44" t="s">
        <v>2269</v>
      </c>
      <c r="D1272" s="44"/>
      <c r="E1272" s="6">
        <v>2</v>
      </c>
      <c r="F1272" s="6" t="s">
        <v>1213</v>
      </c>
      <c r="G1272" s="6" t="s">
        <v>2271</v>
      </c>
      <c r="H1272" s="44" t="s">
        <v>95</v>
      </c>
      <c r="I1272" s="44" t="s">
        <v>96</v>
      </c>
    </row>
    <row r="1273" spans="1:9" ht="45" x14ac:dyDescent="0.25">
      <c r="A1273" s="44" t="s">
        <v>88</v>
      </c>
      <c r="B1273" s="6">
        <v>216100006</v>
      </c>
      <c r="C1273" s="44" t="s">
        <v>2269</v>
      </c>
      <c r="D1273" s="44" t="s">
        <v>2270</v>
      </c>
      <c r="E1273" s="6">
        <v>2</v>
      </c>
      <c r="F1273" s="6" t="s">
        <v>1213</v>
      </c>
      <c r="G1273" s="6" t="s">
        <v>2271</v>
      </c>
      <c r="H1273" s="44" t="s">
        <v>103</v>
      </c>
      <c r="I1273" s="44" t="s">
        <v>104</v>
      </c>
    </row>
    <row r="1274" spans="1:9" ht="45" x14ac:dyDescent="0.25">
      <c r="A1274" s="44" t="s">
        <v>88</v>
      </c>
      <c r="B1274" s="6">
        <v>216100006</v>
      </c>
      <c r="C1274" s="44" t="s">
        <v>2269</v>
      </c>
      <c r="D1274" s="44" t="s">
        <v>2270</v>
      </c>
      <c r="E1274" s="6">
        <v>2</v>
      </c>
      <c r="F1274" s="6" t="s">
        <v>1213</v>
      </c>
      <c r="G1274" s="6" t="s">
        <v>2271</v>
      </c>
      <c r="H1274" s="44" t="s">
        <v>101</v>
      </c>
      <c r="I1274" s="44" t="s">
        <v>102</v>
      </c>
    </row>
    <row r="1275" spans="1:9" ht="45" x14ac:dyDescent="0.25">
      <c r="A1275" s="44" t="s">
        <v>88</v>
      </c>
      <c r="B1275" s="6">
        <v>216100006</v>
      </c>
      <c r="C1275" s="44" t="s">
        <v>2269</v>
      </c>
      <c r="D1275" s="44" t="s">
        <v>2275</v>
      </c>
      <c r="E1275" s="6">
        <v>8</v>
      </c>
      <c r="F1275" s="6" t="s">
        <v>1213</v>
      </c>
      <c r="G1275" s="6" t="s">
        <v>2276</v>
      </c>
      <c r="H1275" s="44" t="s">
        <v>99</v>
      </c>
      <c r="I1275" s="44" t="s">
        <v>100</v>
      </c>
    </row>
    <row r="1276" spans="1:9" ht="45" x14ac:dyDescent="0.25">
      <c r="A1276" s="44" t="s">
        <v>88</v>
      </c>
      <c r="B1276" s="6">
        <v>216100006</v>
      </c>
      <c r="C1276" s="44" t="s">
        <v>2269</v>
      </c>
      <c r="D1276" s="44"/>
      <c r="E1276" s="6">
        <v>2</v>
      </c>
      <c r="F1276" s="6" t="s">
        <v>1213</v>
      </c>
      <c r="G1276" s="6" t="s">
        <v>2271</v>
      </c>
      <c r="H1276" s="44" t="s">
        <v>95</v>
      </c>
      <c r="I1276" s="44" t="s">
        <v>96</v>
      </c>
    </row>
    <row r="1277" spans="1:9" ht="45" x14ac:dyDescent="0.25">
      <c r="A1277" s="44" t="s">
        <v>88</v>
      </c>
      <c r="B1277" s="6">
        <v>216100006</v>
      </c>
      <c r="C1277" s="44" t="s">
        <v>2269</v>
      </c>
      <c r="D1277" s="44"/>
      <c r="E1277" s="6">
        <v>10</v>
      </c>
      <c r="F1277" s="6" t="s">
        <v>1213</v>
      </c>
      <c r="G1277" s="6" t="s">
        <v>2277</v>
      </c>
      <c r="H1277" s="44" t="s">
        <v>95</v>
      </c>
      <c r="I1277" s="44" t="s">
        <v>96</v>
      </c>
    </row>
    <row r="1278" spans="1:9" ht="45" x14ac:dyDescent="0.25">
      <c r="A1278" s="44" t="s">
        <v>88</v>
      </c>
      <c r="B1278" s="6">
        <v>216100006</v>
      </c>
      <c r="C1278" s="44" t="s">
        <v>2269</v>
      </c>
      <c r="D1278" s="44" t="s">
        <v>2278</v>
      </c>
      <c r="E1278" s="6">
        <v>4</v>
      </c>
      <c r="F1278" s="6" t="s">
        <v>1213</v>
      </c>
      <c r="G1278" s="6" t="s">
        <v>2272</v>
      </c>
      <c r="H1278" s="44" t="s">
        <v>95</v>
      </c>
      <c r="I1278" s="44" t="s">
        <v>96</v>
      </c>
    </row>
    <row r="1279" spans="1:9" ht="45" x14ac:dyDescent="0.25">
      <c r="A1279" s="44" t="s">
        <v>136</v>
      </c>
      <c r="B1279" s="6">
        <v>216100006</v>
      </c>
      <c r="C1279" s="44" t="s">
        <v>2269</v>
      </c>
      <c r="D1279" s="44" t="s">
        <v>2279</v>
      </c>
      <c r="E1279" s="6">
        <v>1</v>
      </c>
      <c r="F1279" s="6" t="s">
        <v>1213</v>
      </c>
      <c r="G1279" s="6" t="s">
        <v>1213</v>
      </c>
      <c r="H1279" s="44" t="s">
        <v>142</v>
      </c>
      <c r="I1279" s="44" t="s">
        <v>143</v>
      </c>
    </row>
    <row r="1280" spans="1:9" ht="75" x14ac:dyDescent="0.25">
      <c r="A1280" s="44" t="s">
        <v>136</v>
      </c>
      <c r="B1280" s="6">
        <v>216100006</v>
      </c>
      <c r="C1280" s="44" t="s">
        <v>2269</v>
      </c>
      <c r="D1280" s="44" t="s">
        <v>2280</v>
      </c>
      <c r="E1280" s="6">
        <v>1</v>
      </c>
      <c r="F1280" s="6" t="s">
        <v>1213</v>
      </c>
      <c r="G1280" s="6" t="s">
        <v>1213</v>
      </c>
      <c r="H1280" s="44" t="s">
        <v>139</v>
      </c>
      <c r="I1280" s="44" t="s">
        <v>140</v>
      </c>
    </row>
    <row r="1281" spans="1:9" ht="45" x14ac:dyDescent="0.25">
      <c r="A1281" s="44" t="s">
        <v>136</v>
      </c>
      <c r="B1281" s="6">
        <v>216100006</v>
      </c>
      <c r="C1281" s="44" t="s">
        <v>2269</v>
      </c>
      <c r="D1281" s="44" t="s">
        <v>2281</v>
      </c>
      <c r="E1281" s="6">
        <v>2</v>
      </c>
      <c r="F1281" s="6" t="s">
        <v>1213</v>
      </c>
      <c r="G1281" s="6" t="s">
        <v>2271</v>
      </c>
      <c r="H1281" s="44" t="s">
        <v>146</v>
      </c>
      <c r="I1281" s="44" t="s">
        <v>147</v>
      </c>
    </row>
    <row r="1282" spans="1:9" ht="75" x14ac:dyDescent="0.25">
      <c r="A1282" s="44" t="s">
        <v>136</v>
      </c>
      <c r="B1282" s="6">
        <v>216100006</v>
      </c>
      <c r="C1282" s="44" t="s">
        <v>2269</v>
      </c>
      <c r="D1282" s="44" t="s">
        <v>2282</v>
      </c>
      <c r="E1282" s="6">
        <v>4</v>
      </c>
      <c r="F1282" s="6" t="s">
        <v>1213</v>
      </c>
      <c r="G1282" s="6" t="s">
        <v>2272</v>
      </c>
      <c r="H1282" s="44" t="s">
        <v>139</v>
      </c>
      <c r="I1282" s="44" t="s">
        <v>140</v>
      </c>
    </row>
    <row r="1283" spans="1:9" ht="60" x14ac:dyDescent="0.25">
      <c r="A1283" s="44" t="s">
        <v>158</v>
      </c>
      <c r="B1283" s="6">
        <v>216100006</v>
      </c>
      <c r="C1283" s="44" t="s">
        <v>2269</v>
      </c>
      <c r="D1283" s="44"/>
      <c r="E1283" s="6">
        <v>2</v>
      </c>
      <c r="F1283" s="6" t="s">
        <v>1213</v>
      </c>
      <c r="G1283" s="6" t="s">
        <v>2271</v>
      </c>
      <c r="H1283" s="44" t="s">
        <v>161</v>
      </c>
      <c r="I1283" s="44" t="s">
        <v>162</v>
      </c>
    </row>
    <row r="1284" spans="1:9" ht="30" x14ac:dyDescent="0.25">
      <c r="A1284" s="44" t="s">
        <v>158</v>
      </c>
      <c r="B1284" s="6">
        <v>216100006</v>
      </c>
      <c r="C1284" s="44" t="s">
        <v>2269</v>
      </c>
      <c r="D1284" s="44" t="s">
        <v>2283</v>
      </c>
      <c r="E1284" s="6">
        <v>3</v>
      </c>
      <c r="F1284" s="6" t="s">
        <v>1213</v>
      </c>
      <c r="G1284" s="6" t="s">
        <v>2273</v>
      </c>
      <c r="H1284" s="44" t="s">
        <v>164</v>
      </c>
      <c r="I1284" s="44" t="s">
        <v>165</v>
      </c>
    </row>
    <row r="1285" spans="1:9" ht="30" x14ac:dyDescent="0.25">
      <c r="A1285" s="44" t="s">
        <v>158</v>
      </c>
      <c r="B1285" s="6">
        <v>216100006</v>
      </c>
      <c r="C1285" s="44" t="s">
        <v>2269</v>
      </c>
      <c r="D1285" s="44"/>
      <c r="E1285" s="6">
        <v>2</v>
      </c>
      <c r="F1285" s="6" t="s">
        <v>1213</v>
      </c>
      <c r="G1285" s="6" t="s">
        <v>2271</v>
      </c>
      <c r="H1285" s="44" t="s">
        <v>164</v>
      </c>
      <c r="I1285" s="44" t="s">
        <v>165</v>
      </c>
    </row>
    <row r="1286" spans="1:9" ht="75" x14ac:dyDescent="0.25">
      <c r="A1286" s="44" t="s">
        <v>166</v>
      </c>
      <c r="B1286" s="6">
        <v>216100006</v>
      </c>
      <c r="C1286" s="44" t="s">
        <v>2269</v>
      </c>
      <c r="D1286" s="44" t="s">
        <v>2284</v>
      </c>
      <c r="E1286" s="6">
        <v>20</v>
      </c>
      <c r="F1286" s="6" t="s">
        <v>1213</v>
      </c>
      <c r="G1286" s="6" t="s">
        <v>1339</v>
      </c>
      <c r="H1286" s="44" t="s">
        <v>169</v>
      </c>
      <c r="I1286" s="44" t="s">
        <v>170</v>
      </c>
    </row>
    <row r="1287" spans="1:9" ht="60" x14ac:dyDescent="0.25">
      <c r="A1287" s="44" t="s">
        <v>166</v>
      </c>
      <c r="B1287" s="6">
        <v>216100006</v>
      </c>
      <c r="C1287" s="44" t="s">
        <v>2269</v>
      </c>
      <c r="D1287" s="44"/>
      <c r="E1287" s="6">
        <v>6</v>
      </c>
      <c r="F1287" s="6" t="s">
        <v>1213</v>
      </c>
      <c r="G1287" s="6" t="s">
        <v>2260</v>
      </c>
      <c r="H1287" s="44" t="s">
        <v>172</v>
      </c>
      <c r="I1287" s="44" t="s">
        <v>173</v>
      </c>
    </row>
    <row r="1288" spans="1:9" ht="75" x14ac:dyDescent="0.25">
      <c r="A1288" s="44" t="s">
        <v>166</v>
      </c>
      <c r="B1288" s="6">
        <v>216100006</v>
      </c>
      <c r="C1288" s="44" t="s">
        <v>2269</v>
      </c>
      <c r="D1288" s="44" t="s">
        <v>2285</v>
      </c>
      <c r="E1288" s="6">
        <v>20</v>
      </c>
      <c r="F1288" s="6" t="s">
        <v>1213</v>
      </c>
      <c r="G1288" s="6" t="s">
        <v>1339</v>
      </c>
      <c r="H1288" s="44" t="s">
        <v>169</v>
      </c>
      <c r="I1288" s="44" t="s">
        <v>170</v>
      </c>
    </row>
    <row r="1289" spans="1:9" ht="60" x14ac:dyDescent="0.25">
      <c r="A1289" s="44" t="s">
        <v>166</v>
      </c>
      <c r="B1289" s="6">
        <v>216100006</v>
      </c>
      <c r="C1289" s="44" t="s">
        <v>2269</v>
      </c>
      <c r="D1289" s="44" t="s">
        <v>2286</v>
      </c>
      <c r="E1289" s="6">
        <v>40</v>
      </c>
      <c r="F1289" s="6" t="s">
        <v>1213</v>
      </c>
      <c r="G1289" s="6" t="s">
        <v>686</v>
      </c>
      <c r="H1289" s="44" t="s">
        <v>172</v>
      </c>
      <c r="I1289" s="44" t="s">
        <v>173</v>
      </c>
    </row>
    <row r="1290" spans="1:9" ht="60" x14ac:dyDescent="0.25">
      <c r="A1290" s="44" t="s">
        <v>166</v>
      </c>
      <c r="B1290" s="6">
        <v>216100006</v>
      </c>
      <c r="C1290" s="44" t="s">
        <v>2269</v>
      </c>
      <c r="D1290" s="44" t="s">
        <v>2287</v>
      </c>
      <c r="E1290" s="6">
        <v>30</v>
      </c>
      <c r="F1290" s="6" t="s">
        <v>1213</v>
      </c>
      <c r="G1290" s="6" t="s">
        <v>2288</v>
      </c>
      <c r="H1290" s="44" t="s">
        <v>172</v>
      </c>
      <c r="I1290" s="44" t="s">
        <v>173</v>
      </c>
    </row>
    <row r="1291" spans="1:9" ht="30" x14ac:dyDescent="0.25">
      <c r="A1291" s="44" t="s">
        <v>202</v>
      </c>
      <c r="B1291" s="6">
        <v>216100006</v>
      </c>
      <c r="C1291" s="44" t="s">
        <v>2269</v>
      </c>
      <c r="D1291" s="44" t="s">
        <v>2289</v>
      </c>
      <c r="E1291" s="6">
        <v>1</v>
      </c>
      <c r="F1291" s="6" t="s">
        <v>1213</v>
      </c>
      <c r="G1291" s="6" t="s">
        <v>1213</v>
      </c>
      <c r="H1291" s="44" t="s">
        <v>203</v>
      </c>
      <c r="I1291" s="44" t="s">
        <v>204</v>
      </c>
    </row>
    <row r="1292" spans="1:9" ht="45" x14ac:dyDescent="0.25">
      <c r="A1292" s="44" t="s">
        <v>207</v>
      </c>
      <c r="B1292" s="6">
        <v>216100006</v>
      </c>
      <c r="C1292" s="44" t="s">
        <v>2269</v>
      </c>
      <c r="D1292" s="44" t="s">
        <v>2290</v>
      </c>
      <c r="E1292" s="6">
        <v>1</v>
      </c>
      <c r="F1292" s="6" t="s">
        <v>1213</v>
      </c>
      <c r="G1292" s="6" t="s">
        <v>1213</v>
      </c>
      <c r="H1292" s="44" t="s">
        <v>208</v>
      </c>
      <c r="I1292" s="44" t="s">
        <v>207</v>
      </c>
    </row>
    <row r="1293" spans="1:9" ht="30" x14ac:dyDescent="0.25">
      <c r="A1293" s="44" t="s">
        <v>247</v>
      </c>
      <c r="B1293" s="6">
        <v>216100006</v>
      </c>
      <c r="C1293" s="44" t="s">
        <v>2269</v>
      </c>
      <c r="D1293" s="44"/>
      <c r="E1293" s="6">
        <v>1</v>
      </c>
      <c r="F1293" s="6" t="s">
        <v>1213</v>
      </c>
      <c r="G1293" s="6" t="s">
        <v>1213</v>
      </c>
      <c r="H1293" s="44" t="s">
        <v>250</v>
      </c>
      <c r="I1293" s="44" t="s">
        <v>251</v>
      </c>
    </row>
    <row r="1294" spans="1:9" ht="45" x14ac:dyDescent="0.25">
      <c r="A1294" s="44" t="s">
        <v>281</v>
      </c>
      <c r="B1294" s="6">
        <v>216100006</v>
      </c>
      <c r="C1294" s="44" t="s">
        <v>2269</v>
      </c>
      <c r="D1294" s="44" t="s">
        <v>817</v>
      </c>
      <c r="E1294" s="6">
        <v>1</v>
      </c>
      <c r="F1294" s="6" t="s">
        <v>1213</v>
      </c>
      <c r="G1294" s="6" t="s">
        <v>1213</v>
      </c>
      <c r="H1294" s="44" t="s">
        <v>284</v>
      </c>
      <c r="I1294" s="44" t="s">
        <v>285</v>
      </c>
    </row>
    <row r="1295" spans="1:9" ht="45" x14ac:dyDescent="0.25">
      <c r="A1295" s="44" t="s">
        <v>286</v>
      </c>
      <c r="B1295" s="6">
        <v>216100006</v>
      </c>
      <c r="C1295" s="44" t="s">
        <v>2269</v>
      </c>
      <c r="D1295" s="44" t="s">
        <v>2291</v>
      </c>
      <c r="E1295" s="6">
        <v>1</v>
      </c>
      <c r="F1295" s="6" t="s">
        <v>1213</v>
      </c>
      <c r="G1295" s="6" t="s">
        <v>1213</v>
      </c>
      <c r="H1295" s="44" t="s">
        <v>289</v>
      </c>
      <c r="I1295" s="44" t="s">
        <v>290</v>
      </c>
    </row>
    <row r="1296" spans="1:9" ht="45" x14ac:dyDescent="0.25">
      <c r="A1296" s="44" t="s">
        <v>291</v>
      </c>
      <c r="B1296" s="6">
        <v>216100006</v>
      </c>
      <c r="C1296" s="44" t="s">
        <v>2269</v>
      </c>
      <c r="D1296" s="44" t="s">
        <v>2292</v>
      </c>
      <c r="E1296" s="6">
        <v>2</v>
      </c>
      <c r="F1296" s="6" t="s">
        <v>1213</v>
      </c>
      <c r="G1296" s="6" t="s">
        <v>2271</v>
      </c>
      <c r="H1296" s="44" t="s">
        <v>294</v>
      </c>
      <c r="I1296" s="44" t="s">
        <v>295</v>
      </c>
    </row>
    <row r="1297" spans="1:9" ht="30" x14ac:dyDescent="0.25">
      <c r="A1297" s="44" t="s">
        <v>296</v>
      </c>
      <c r="B1297" s="6">
        <v>216100006</v>
      </c>
      <c r="C1297" s="44" t="s">
        <v>2269</v>
      </c>
      <c r="D1297" s="44"/>
      <c r="E1297" s="6">
        <v>4</v>
      </c>
      <c r="F1297" s="6" t="s">
        <v>1213</v>
      </c>
      <c r="G1297" s="6" t="s">
        <v>2272</v>
      </c>
      <c r="H1297" s="44" t="s">
        <v>299</v>
      </c>
      <c r="I1297" s="44" t="s">
        <v>300</v>
      </c>
    </row>
    <row r="1298" spans="1:9" ht="45" x14ac:dyDescent="0.25">
      <c r="A1298" s="44" t="s">
        <v>296</v>
      </c>
      <c r="B1298" s="6">
        <v>216100006</v>
      </c>
      <c r="C1298" s="44" t="s">
        <v>2269</v>
      </c>
      <c r="D1298" s="44" t="s">
        <v>2293</v>
      </c>
      <c r="E1298" s="6">
        <v>2</v>
      </c>
      <c r="F1298" s="6" t="s">
        <v>1213</v>
      </c>
      <c r="G1298" s="6" t="s">
        <v>2271</v>
      </c>
      <c r="H1298" s="44" t="s">
        <v>299</v>
      </c>
      <c r="I1298" s="44" t="s">
        <v>300</v>
      </c>
    </row>
    <row r="1299" spans="1:9" ht="45" x14ac:dyDescent="0.25">
      <c r="A1299" s="44" t="s">
        <v>88</v>
      </c>
      <c r="B1299" s="6">
        <v>1069001</v>
      </c>
      <c r="C1299" s="44" t="s">
        <v>2294</v>
      </c>
      <c r="D1299" s="44" t="s">
        <v>2295</v>
      </c>
      <c r="E1299" s="6">
        <v>20</v>
      </c>
      <c r="F1299" s="6">
        <v>20</v>
      </c>
      <c r="G1299" s="6">
        <v>400</v>
      </c>
      <c r="H1299" s="44" t="s">
        <v>97</v>
      </c>
      <c r="I1299" s="44" t="s">
        <v>98</v>
      </c>
    </row>
    <row r="1300" spans="1:9" ht="45" x14ac:dyDescent="0.25">
      <c r="A1300" s="44" t="s">
        <v>88</v>
      </c>
      <c r="B1300" s="6">
        <v>1069001</v>
      </c>
      <c r="C1300" s="44" t="s">
        <v>2294</v>
      </c>
      <c r="D1300" s="44" t="s">
        <v>2295</v>
      </c>
      <c r="E1300" s="6">
        <v>20</v>
      </c>
      <c r="F1300" s="6">
        <v>20</v>
      </c>
      <c r="G1300" s="6">
        <v>400</v>
      </c>
      <c r="H1300" s="44" t="s">
        <v>93</v>
      </c>
      <c r="I1300" s="44" t="s">
        <v>94</v>
      </c>
    </row>
    <row r="1301" spans="1:9" ht="45" x14ac:dyDescent="0.25">
      <c r="A1301" s="44" t="s">
        <v>88</v>
      </c>
      <c r="B1301" s="6">
        <v>1069001</v>
      </c>
      <c r="C1301" s="44" t="s">
        <v>2294</v>
      </c>
      <c r="D1301" s="44" t="s">
        <v>2295</v>
      </c>
      <c r="E1301" s="6">
        <v>20</v>
      </c>
      <c r="F1301" s="6">
        <v>20</v>
      </c>
      <c r="G1301" s="6">
        <v>400</v>
      </c>
      <c r="H1301" s="44" t="s">
        <v>91</v>
      </c>
      <c r="I1301" s="44" t="s">
        <v>92</v>
      </c>
    </row>
    <row r="1302" spans="1:9" ht="256.5" customHeight="1" x14ac:dyDescent="0.25">
      <c r="A1302" s="44" t="s">
        <v>286</v>
      </c>
      <c r="B1302" s="6">
        <v>1069001</v>
      </c>
      <c r="C1302" s="44" t="s">
        <v>2294</v>
      </c>
      <c r="D1302" s="44" t="s">
        <v>2296</v>
      </c>
      <c r="E1302" s="6">
        <v>1</v>
      </c>
      <c r="F1302" s="6" t="s">
        <v>987</v>
      </c>
      <c r="G1302" s="6" t="s">
        <v>987</v>
      </c>
      <c r="H1302" s="44" t="s">
        <v>289</v>
      </c>
      <c r="I1302" s="44" t="s">
        <v>290</v>
      </c>
    </row>
    <row r="1303" spans="1:9" ht="29.25" customHeight="1" x14ac:dyDescent="0.25">
      <c r="A1303" s="44" t="s">
        <v>136</v>
      </c>
      <c r="B1303" s="6">
        <v>2288005</v>
      </c>
      <c r="C1303" s="44" t="s">
        <v>2297</v>
      </c>
      <c r="D1303" s="44" t="s">
        <v>2298</v>
      </c>
      <c r="E1303" s="6">
        <v>10</v>
      </c>
      <c r="F1303" s="6">
        <v>500</v>
      </c>
      <c r="G1303" s="6" t="s">
        <v>747</v>
      </c>
      <c r="H1303" s="44" t="s">
        <v>146</v>
      </c>
      <c r="I1303" s="44" t="s">
        <v>147</v>
      </c>
    </row>
    <row r="1304" spans="1:9" ht="29.25" customHeight="1" x14ac:dyDescent="0.25">
      <c r="A1304" s="44" t="s">
        <v>88</v>
      </c>
      <c r="B1304" s="6">
        <v>2288005</v>
      </c>
      <c r="C1304" s="44" t="s">
        <v>2299</v>
      </c>
      <c r="D1304" s="44"/>
      <c r="E1304" s="6">
        <v>4</v>
      </c>
      <c r="F1304" s="6" t="s">
        <v>923</v>
      </c>
      <c r="G1304" s="6" t="s">
        <v>1465</v>
      </c>
      <c r="H1304" s="44" t="s">
        <v>95</v>
      </c>
      <c r="I1304" s="44" t="s">
        <v>96</v>
      </c>
    </row>
    <row r="1305" spans="1:9" ht="45" x14ac:dyDescent="0.25">
      <c r="A1305" s="44" t="s">
        <v>291</v>
      </c>
      <c r="B1305" s="6">
        <v>2288005</v>
      </c>
      <c r="C1305" s="44" t="s">
        <v>2299</v>
      </c>
      <c r="D1305" s="44" t="s">
        <v>2300</v>
      </c>
      <c r="E1305" s="6">
        <v>2</v>
      </c>
      <c r="F1305" s="6" t="s">
        <v>923</v>
      </c>
      <c r="G1305" s="6" t="s">
        <v>867</v>
      </c>
      <c r="H1305" s="44" t="s">
        <v>294</v>
      </c>
      <c r="I1305" s="44" t="s">
        <v>295</v>
      </c>
    </row>
    <row r="1306" spans="1:9" x14ac:dyDescent="0.25">
      <c r="A1306" s="1516" t="s">
        <v>695</v>
      </c>
      <c r="B1306" s="1517"/>
      <c r="C1306" s="1517"/>
      <c r="D1306" s="1517"/>
      <c r="E1306" s="1517"/>
      <c r="F1306" s="1518"/>
      <c r="G1306" s="44" t="s">
        <v>677</v>
      </c>
      <c r="H1306" s="1519"/>
      <c r="I1306" s="1520"/>
    </row>
  </sheetData>
  <mergeCells count="2">
    <mergeCell ref="A1306:F1306"/>
    <mergeCell ref="H1306:I1306"/>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I170"/>
  <sheetViews>
    <sheetView topLeftCell="A162" workbookViewId="0">
      <selection activeCell="C143" sqref="C143"/>
    </sheetView>
  </sheetViews>
  <sheetFormatPr baseColWidth="10" defaultColWidth="11.42578125" defaultRowHeight="15" x14ac:dyDescent="0.25"/>
  <cols>
    <col min="1" max="1" width="16.28515625" customWidth="1"/>
    <col min="2" max="2" width="0" hidden="1" customWidth="1"/>
    <col min="3" max="3" width="22.42578125" customWidth="1"/>
    <col min="4" max="4" width="39.7109375" customWidth="1"/>
    <col min="8" max="8" width="19" customWidth="1"/>
    <col min="9" max="9" width="24.28515625" customWidth="1"/>
  </cols>
  <sheetData>
    <row r="1" spans="1:9" ht="18" x14ac:dyDescent="0.3">
      <c r="A1" s="5" t="s">
        <v>688</v>
      </c>
    </row>
    <row r="3" spans="1:9" ht="18" x14ac:dyDescent="0.3">
      <c r="A3" s="5" t="s">
        <v>2301</v>
      </c>
    </row>
    <row r="5" spans="1:9" x14ac:dyDescent="0.25">
      <c r="A5" s="44" t="s">
        <v>689</v>
      </c>
      <c r="B5" s="44" t="s">
        <v>690</v>
      </c>
      <c r="C5" s="44" t="s">
        <v>691</v>
      </c>
      <c r="D5" s="44" t="s">
        <v>692</v>
      </c>
      <c r="E5" s="44" t="s">
        <v>693</v>
      </c>
      <c r="F5" s="44" t="s">
        <v>694</v>
      </c>
      <c r="G5" s="44" t="s">
        <v>695</v>
      </c>
      <c r="H5" s="44" t="s">
        <v>1</v>
      </c>
      <c r="I5" s="44" t="s">
        <v>2</v>
      </c>
    </row>
    <row r="6" spans="1:9" ht="105" x14ac:dyDescent="0.25">
      <c r="A6" s="44" t="s">
        <v>75</v>
      </c>
      <c r="B6" s="6">
        <v>1217001</v>
      </c>
      <c r="C6" s="44" t="s">
        <v>871</v>
      </c>
      <c r="D6" s="44" t="s">
        <v>2302</v>
      </c>
      <c r="E6" s="6">
        <v>10</v>
      </c>
      <c r="F6" s="6">
        <v>115</v>
      </c>
      <c r="G6" s="6" t="s">
        <v>1907</v>
      </c>
      <c r="H6" s="44" t="s">
        <v>78</v>
      </c>
      <c r="I6" s="44" t="s">
        <v>79</v>
      </c>
    </row>
    <row r="7" spans="1:9" ht="105" x14ac:dyDescent="0.25">
      <c r="A7" s="44" t="s">
        <v>75</v>
      </c>
      <c r="B7" s="6">
        <v>121700024</v>
      </c>
      <c r="C7" s="44" t="s">
        <v>873</v>
      </c>
      <c r="D7" s="44" t="s">
        <v>2303</v>
      </c>
      <c r="E7" s="6">
        <v>10</v>
      </c>
      <c r="F7" s="6">
        <v>77.085999999999999</v>
      </c>
      <c r="G7" s="6">
        <v>770.86</v>
      </c>
      <c r="H7" s="44" t="s">
        <v>78</v>
      </c>
      <c r="I7" s="44" t="s">
        <v>79</v>
      </c>
    </row>
    <row r="8" spans="1:9" ht="30" x14ac:dyDescent="0.25">
      <c r="A8" s="44" t="s">
        <v>75</v>
      </c>
      <c r="B8" s="6">
        <v>121700022</v>
      </c>
      <c r="C8" s="44" t="s">
        <v>878</v>
      </c>
      <c r="D8" s="44" t="s">
        <v>2304</v>
      </c>
      <c r="E8" s="6">
        <v>2</v>
      </c>
      <c r="F8" s="6">
        <v>70.3</v>
      </c>
      <c r="G8" s="6">
        <v>140.6</v>
      </c>
      <c r="H8" s="44" t="s">
        <v>78</v>
      </c>
      <c r="I8" s="44" t="s">
        <v>79</v>
      </c>
    </row>
    <row r="9" spans="1:9" ht="30" x14ac:dyDescent="0.25">
      <c r="A9" s="44" t="s">
        <v>75</v>
      </c>
      <c r="B9" s="6">
        <v>121700022</v>
      </c>
      <c r="C9" s="44" t="s">
        <v>878</v>
      </c>
      <c r="D9" s="44" t="s">
        <v>2305</v>
      </c>
      <c r="E9" s="6">
        <v>10</v>
      </c>
      <c r="F9" s="6">
        <v>72.608999999999995</v>
      </c>
      <c r="G9" s="6">
        <v>726.09</v>
      </c>
      <c r="H9" s="44" t="s">
        <v>78</v>
      </c>
      <c r="I9" s="44" t="s">
        <v>79</v>
      </c>
    </row>
    <row r="10" spans="1:9" ht="90" x14ac:dyDescent="0.25">
      <c r="A10" s="44" t="s">
        <v>105</v>
      </c>
      <c r="B10" s="6">
        <v>1288004</v>
      </c>
      <c r="C10" s="44" t="s">
        <v>897</v>
      </c>
      <c r="D10" s="44" t="s">
        <v>2306</v>
      </c>
      <c r="E10" s="6">
        <v>80</v>
      </c>
      <c r="F10" s="6">
        <v>35</v>
      </c>
      <c r="G10" s="6" t="s">
        <v>1213</v>
      </c>
      <c r="H10" s="44" t="s">
        <v>110</v>
      </c>
      <c r="I10" s="44" t="s">
        <v>111</v>
      </c>
    </row>
    <row r="11" spans="1:9" ht="30" x14ac:dyDescent="0.25">
      <c r="A11" s="44" t="s">
        <v>124</v>
      </c>
      <c r="B11" s="6">
        <v>1132001</v>
      </c>
      <c r="C11" s="44" t="s">
        <v>2307</v>
      </c>
      <c r="D11" s="44" t="s">
        <v>2308</v>
      </c>
      <c r="E11" s="6">
        <v>10</v>
      </c>
      <c r="F11" s="6">
        <v>7</v>
      </c>
      <c r="G11" s="6">
        <v>70</v>
      </c>
      <c r="H11" s="44" t="s">
        <v>127</v>
      </c>
      <c r="I11" s="44" t="s">
        <v>128</v>
      </c>
    </row>
    <row r="12" spans="1:9" ht="30" x14ac:dyDescent="0.25">
      <c r="A12" s="44" t="s">
        <v>75</v>
      </c>
      <c r="B12" s="6"/>
      <c r="C12" s="44" t="s">
        <v>953</v>
      </c>
      <c r="D12" s="44" t="s">
        <v>2309</v>
      </c>
      <c r="E12" s="6">
        <v>5</v>
      </c>
      <c r="F12" s="6">
        <v>40</v>
      </c>
      <c r="G12" s="6">
        <v>200</v>
      </c>
      <c r="H12" s="44" t="s">
        <v>78</v>
      </c>
      <c r="I12" s="44" t="s">
        <v>79</v>
      </c>
    </row>
    <row r="13" spans="1:9" ht="30" x14ac:dyDescent="0.25">
      <c r="A13" s="44" t="s">
        <v>124</v>
      </c>
      <c r="B13" s="6">
        <v>1081001</v>
      </c>
      <c r="C13" s="44" t="s">
        <v>2310</v>
      </c>
      <c r="D13" s="44" t="s">
        <v>2311</v>
      </c>
      <c r="E13" s="6">
        <v>200</v>
      </c>
      <c r="F13" s="6">
        <v>1.5</v>
      </c>
      <c r="G13" s="6">
        <v>300</v>
      </c>
      <c r="H13" s="44" t="s">
        <v>127</v>
      </c>
      <c r="I13" s="44" t="s">
        <v>128</v>
      </c>
    </row>
    <row r="14" spans="1:9" ht="30" x14ac:dyDescent="0.25">
      <c r="A14" s="44" t="s">
        <v>353</v>
      </c>
      <c r="B14" s="6">
        <v>6010402</v>
      </c>
      <c r="C14" s="44" t="s">
        <v>1022</v>
      </c>
      <c r="D14" s="44" t="s">
        <v>2312</v>
      </c>
      <c r="E14" s="6">
        <v>25</v>
      </c>
      <c r="F14" s="6" t="s">
        <v>726</v>
      </c>
      <c r="G14" s="6" t="s">
        <v>707</v>
      </c>
      <c r="H14" s="44" t="s">
        <v>372</v>
      </c>
      <c r="I14" s="44" t="s">
        <v>373</v>
      </c>
    </row>
    <row r="15" spans="1:9" ht="30" x14ac:dyDescent="0.25">
      <c r="A15" s="44" t="s">
        <v>75</v>
      </c>
      <c r="B15" s="6">
        <v>1280001</v>
      </c>
      <c r="C15" s="44" t="s">
        <v>1205</v>
      </c>
      <c r="D15" s="44" t="s">
        <v>2313</v>
      </c>
      <c r="E15" s="6">
        <v>20</v>
      </c>
      <c r="F15" s="6">
        <v>8</v>
      </c>
      <c r="G15" s="6">
        <v>160</v>
      </c>
      <c r="H15" s="44" t="s">
        <v>78</v>
      </c>
      <c r="I15" s="44" t="s">
        <v>79</v>
      </c>
    </row>
    <row r="16" spans="1:9" ht="30" x14ac:dyDescent="0.25">
      <c r="A16" s="44" t="s">
        <v>75</v>
      </c>
      <c r="B16" s="6">
        <v>163300014</v>
      </c>
      <c r="C16" s="44" t="s">
        <v>1207</v>
      </c>
      <c r="D16" s="44" t="s">
        <v>2314</v>
      </c>
      <c r="E16" s="6">
        <v>6</v>
      </c>
      <c r="F16" s="6">
        <v>41.392000000000003</v>
      </c>
      <c r="G16" s="6">
        <v>248.352</v>
      </c>
      <c r="H16" s="44" t="s">
        <v>78</v>
      </c>
      <c r="I16" s="44" t="s">
        <v>79</v>
      </c>
    </row>
    <row r="17" spans="1:9" ht="30" x14ac:dyDescent="0.25">
      <c r="A17" s="44" t="s">
        <v>75</v>
      </c>
      <c r="B17" s="6">
        <v>163300014</v>
      </c>
      <c r="C17" s="44" t="s">
        <v>1207</v>
      </c>
      <c r="D17" s="44" t="s">
        <v>2315</v>
      </c>
      <c r="E17" s="6">
        <v>15</v>
      </c>
      <c r="F17" s="6">
        <v>18</v>
      </c>
      <c r="G17" s="6">
        <v>270</v>
      </c>
      <c r="H17" s="44" t="s">
        <v>78</v>
      </c>
      <c r="I17" s="44" t="s">
        <v>79</v>
      </c>
    </row>
    <row r="18" spans="1:9" ht="30" x14ac:dyDescent="0.25">
      <c r="A18" s="44" t="s">
        <v>75</v>
      </c>
      <c r="B18" s="6">
        <v>163300014</v>
      </c>
      <c r="C18" s="44" t="s">
        <v>1207</v>
      </c>
      <c r="D18" s="44" t="s">
        <v>2316</v>
      </c>
      <c r="E18" s="6">
        <v>5</v>
      </c>
      <c r="F18" s="6">
        <v>23</v>
      </c>
      <c r="G18" s="6">
        <v>115</v>
      </c>
      <c r="H18" s="44" t="s">
        <v>78</v>
      </c>
      <c r="I18" s="44" t="s">
        <v>79</v>
      </c>
    </row>
    <row r="19" spans="1:9" ht="30" x14ac:dyDescent="0.25">
      <c r="A19" s="44" t="s">
        <v>75</v>
      </c>
      <c r="B19" s="6">
        <v>163300014</v>
      </c>
      <c r="C19" s="44" t="s">
        <v>1207</v>
      </c>
      <c r="D19" s="44" t="s">
        <v>2317</v>
      </c>
      <c r="E19" s="6">
        <v>10</v>
      </c>
      <c r="F19" s="6">
        <v>86.9</v>
      </c>
      <c r="G19" s="6">
        <v>869</v>
      </c>
      <c r="H19" s="44" t="s">
        <v>78</v>
      </c>
      <c r="I19" s="44" t="s">
        <v>79</v>
      </c>
    </row>
    <row r="20" spans="1:9" ht="30" x14ac:dyDescent="0.25">
      <c r="A20" s="44" t="s">
        <v>75</v>
      </c>
      <c r="B20" s="6">
        <v>163300014</v>
      </c>
      <c r="C20" s="44" t="s">
        <v>1207</v>
      </c>
      <c r="D20" s="44" t="s">
        <v>2318</v>
      </c>
      <c r="E20" s="6">
        <v>1</v>
      </c>
      <c r="F20" s="6">
        <v>300</v>
      </c>
      <c r="G20" s="6">
        <v>300</v>
      </c>
      <c r="H20" s="44" t="s">
        <v>78</v>
      </c>
      <c r="I20" s="44" t="s">
        <v>79</v>
      </c>
    </row>
    <row r="21" spans="1:9" ht="45" x14ac:dyDescent="0.25">
      <c r="A21" s="44" t="s">
        <v>334</v>
      </c>
      <c r="B21" s="6">
        <v>218800012</v>
      </c>
      <c r="C21" s="44" t="s">
        <v>2319</v>
      </c>
      <c r="D21" s="44" t="s">
        <v>2320</v>
      </c>
      <c r="E21" s="6">
        <v>1</v>
      </c>
      <c r="F21" s="6">
        <v>815.1</v>
      </c>
      <c r="G21" s="6">
        <v>815.1</v>
      </c>
      <c r="H21" s="44" t="s">
        <v>337</v>
      </c>
      <c r="I21" s="44" t="s">
        <v>338</v>
      </c>
    </row>
    <row r="22" spans="1:9" ht="60" x14ac:dyDescent="0.25">
      <c r="A22" s="44" t="s">
        <v>105</v>
      </c>
      <c r="B22" s="6"/>
      <c r="C22" s="44" t="s">
        <v>2321</v>
      </c>
      <c r="D22" s="44"/>
      <c r="E22" s="6">
        <v>1</v>
      </c>
      <c r="F22" s="6" t="s">
        <v>1183</v>
      </c>
      <c r="G22" s="6" t="s">
        <v>1183</v>
      </c>
      <c r="H22" s="44" t="s">
        <v>108</v>
      </c>
      <c r="I22" s="44" t="s">
        <v>109</v>
      </c>
    </row>
    <row r="23" spans="1:9" ht="60" x14ac:dyDescent="0.25">
      <c r="A23" s="44" t="s">
        <v>334</v>
      </c>
      <c r="B23" s="6"/>
      <c r="C23" s="44" t="s">
        <v>2321</v>
      </c>
      <c r="D23" s="44" t="s">
        <v>2322</v>
      </c>
      <c r="E23" s="6">
        <v>1</v>
      </c>
      <c r="F23" s="6" t="s">
        <v>842</v>
      </c>
      <c r="G23" s="6" t="s">
        <v>842</v>
      </c>
      <c r="H23" s="44" t="s">
        <v>337</v>
      </c>
      <c r="I23" s="44" t="s">
        <v>338</v>
      </c>
    </row>
    <row r="24" spans="1:9" ht="45" x14ac:dyDescent="0.25">
      <c r="A24" s="44" t="s">
        <v>334</v>
      </c>
      <c r="B24" s="6"/>
      <c r="C24" s="44" t="s">
        <v>2321</v>
      </c>
      <c r="D24" s="44" t="s">
        <v>2323</v>
      </c>
      <c r="E24" s="6">
        <v>1</v>
      </c>
      <c r="F24" s="6" t="s">
        <v>1914</v>
      </c>
      <c r="G24" s="6" t="s">
        <v>1914</v>
      </c>
      <c r="H24" s="44" t="s">
        <v>337</v>
      </c>
      <c r="I24" s="44" t="s">
        <v>338</v>
      </c>
    </row>
    <row r="25" spans="1:9" ht="45" x14ac:dyDescent="0.25">
      <c r="A25" s="44" t="s">
        <v>334</v>
      </c>
      <c r="B25" s="6"/>
      <c r="C25" s="44" t="s">
        <v>2321</v>
      </c>
      <c r="D25" s="44" t="s">
        <v>2324</v>
      </c>
      <c r="E25" s="6">
        <v>1</v>
      </c>
      <c r="F25" s="6" t="s">
        <v>1914</v>
      </c>
      <c r="G25" s="6" t="s">
        <v>1914</v>
      </c>
      <c r="H25" s="44" t="s">
        <v>337</v>
      </c>
      <c r="I25" s="44" t="s">
        <v>338</v>
      </c>
    </row>
    <row r="26" spans="1:9" ht="90" x14ac:dyDescent="0.25">
      <c r="A26" s="44" t="s">
        <v>334</v>
      </c>
      <c r="B26" s="6"/>
      <c r="C26" s="44" t="s">
        <v>2321</v>
      </c>
      <c r="D26" s="44" t="s">
        <v>2325</v>
      </c>
      <c r="E26" s="6">
        <v>1</v>
      </c>
      <c r="F26" s="6" t="s">
        <v>747</v>
      </c>
      <c r="G26" s="6" t="s">
        <v>747</v>
      </c>
      <c r="H26" s="44" t="s">
        <v>337</v>
      </c>
      <c r="I26" s="44" t="s">
        <v>338</v>
      </c>
    </row>
    <row r="27" spans="1:9" ht="75" x14ac:dyDescent="0.25">
      <c r="A27" s="44" t="s">
        <v>334</v>
      </c>
      <c r="B27" s="6"/>
      <c r="C27" s="44" t="s">
        <v>2321</v>
      </c>
      <c r="D27" s="44" t="s">
        <v>2326</v>
      </c>
      <c r="E27" s="6">
        <v>1</v>
      </c>
      <c r="F27" s="6" t="s">
        <v>842</v>
      </c>
      <c r="G27" s="6" t="s">
        <v>842</v>
      </c>
      <c r="H27" s="44" t="s">
        <v>337</v>
      </c>
      <c r="I27" s="44" t="s">
        <v>338</v>
      </c>
    </row>
    <row r="28" spans="1:9" ht="30" x14ac:dyDescent="0.25">
      <c r="A28" s="44" t="s">
        <v>124</v>
      </c>
      <c r="B28" s="6"/>
      <c r="C28" s="44" t="s">
        <v>2327</v>
      </c>
      <c r="D28" s="44" t="s">
        <v>2328</v>
      </c>
      <c r="E28" s="6">
        <v>1</v>
      </c>
      <c r="F28" s="6" t="s">
        <v>680</v>
      </c>
      <c r="G28" s="6" t="s">
        <v>680</v>
      </c>
      <c r="H28" s="44" t="s">
        <v>127</v>
      </c>
      <c r="I28" s="44" t="s">
        <v>128</v>
      </c>
    </row>
    <row r="29" spans="1:9" ht="30" x14ac:dyDescent="0.25">
      <c r="A29" s="44" t="s">
        <v>124</v>
      </c>
      <c r="B29" s="6"/>
      <c r="C29" s="44" t="s">
        <v>2327</v>
      </c>
      <c r="D29" s="44" t="s">
        <v>2329</v>
      </c>
      <c r="E29" s="6">
        <v>1</v>
      </c>
      <c r="F29" s="6" t="s">
        <v>680</v>
      </c>
      <c r="G29" s="6" t="s">
        <v>680</v>
      </c>
      <c r="H29" s="44" t="s">
        <v>127</v>
      </c>
      <c r="I29" s="44" t="s">
        <v>128</v>
      </c>
    </row>
    <row r="30" spans="1:9" ht="30" x14ac:dyDescent="0.25">
      <c r="A30" s="44" t="s">
        <v>124</v>
      </c>
      <c r="B30" s="6"/>
      <c r="C30" s="44" t="s">
        <v>2327</v>
      </c>
      <c r="D30" s="44" t="s">
        <v>2330</v>
      </c>
      <c r="E30" s="6">
        <v>1</v>
      </c>
      <c r="F30" s="6">
        <v>200</v>
      </c>
      <c r="G30" s="6">
        <v>200</v>
      </c>
      <c r="H30" s="44" t="s">
        <v>127</v>
      </c>
      <c r="I30" s="44" t="s">
        <v>128</v>
      </c>
    </row>
    <row r="31" spans="1:9" ht="30" x14ac:dyDescent="0.25">
      <c r="A31" s="44" t="s">
        <v>124</v>
      </c>
      <c r="B31" s="6"/>
      <c r="C31" s="44" t="s">
        <v>2327</v>
      </c>
      <c r="D31" s="44" t="s">
        <v>2331</v>
      </c>
      <c r="E31" s="6">
        <v>20</v>
      </c>
      <c r="F31" s="6">
        <v>200</v>
      </c>
      <c r="G31" s="6" t="s">
        <v>845</v>
      </c>
      <c r="H31" s="44" t="s">
        <v>127</v>
      </c>
      <c r="I31" s="44" t="s">
        <v>128</v>
      </c>
    </row>
    <row r="32" spans="1:9" ht="45" x14ac:dyDescent="0.25">
      <c r="A32" s="44" t="s">
        <v>124</v>
      </c>
      <c r="B32" s="6"/>
      <c r="C32" s="44" t="s">
        <v>2327</v>
      </c>
      <c r="D32" s="44" t="s">
        <v>2332</v>
      </c>
      <c r="E32" s="6">
        <v>100</v>
      </c>
      <c r="F32" s="6">
        <v>70</v>
      </c>
      <c r="G32" s="6" t="s">
        <v>849</v>
      </c>
      <c r="H32" s="44" t="s">
        <v>127</v>
      </c>
      <c r="I32" s="44" t="s">
        <v>128</v>
      </c>
    </row>
    <row r="33" spans="1:9" ht="30" x14ac:dyDescent="0.25">
      <c r="A33" s="44" t="s">
        <v>124</v>
      </c>
      <c r="B33" s="6"/>
      <c r="C33" s="44" t="s">
        <v>2327</v>
      </c>
      <c r="D33" s="44" t="s">
        <v>2333</v>
      </c>
      <c r="E33" s="6">
        <v>1</v>
      </c>
      <c r="F33" s="6">
        <v>500</v>
      </c>
      <c r="G33" s="6">
        <v>500</v>
      </c>
      <c r="H33" s="44" t="s">
        <v>127</v>
      </c>
      <c r="I33" s="44" t="s">
        <v>128</v>
      </c>
    </row>
    <row r="34" spans="1:9" ht="30" x14ac:dyDescent="0.25">
      <c r="A34" s="44" t="s">
        <v>124</v>
      </c>
      <c r="B34" s="6"/>
      <c r="C34" s="44" t="s">
        <v>2327</v>
      </c>
      <c r="D34" s="44" t="s">
        <v>2334</v>
      </c>
      <c r="E34" s="6">
        <v>1</v>
      </c>
      <c r="F34" s="6" t="s">
        <v>849</v>
      </c>
      <c r="G34" s="6" t="s">
        <v>849</v>
      </c>
      <c r="H34" s="44" t="s">
        <v>127</v>
      </c>
      <c r="I34" s="44" t="s">
        <v>128</v>
      </c>
    </row>
    <row r="35" spans="1:9" ht="30" x14ac:dyDescent="0.25">
      <c r="A35" s="44" t="s">
        <v>124</v>
      </c>
      <c r="B35" s="6"/>
      <c r="C35" s="44" t="s">
        <v>2327</v>
      </c>
      <c r="D35" s="44" t="s">
        <v>2335</v>
      </c>
      <c r="E35" s="6">
        <v>1</v>
      </c>
      <c r="F35" s="6">
        <v>600</v>
      </c>
      <c r="G35" s="6">
        <v>600</v>
      </c>
      <c r="H35" s="44" t="s">
        <v>127</v>
      </c>
      <c r="I35" s="44" t="s">
        <v>128</v>
      </c>
    </row>
    <row r="36" spans="1:9" ht="30" x14ac:dyDescent="0.25">
      <c r="A36" s="44" t="s">
        <v>124</v>
      </c>
      <c r="B36" s="6"/>
      <c r="C36" s="44" t="s">
        <v>2327</v>
      </c>
      <c r="D36" s="44" t="s">
        <v>2336</v>
      </c>
      <c r="E36" s="6">
        <v>1</v>
      </c>
      <c r="F36" s="6">
        <v>500</v>
      </c>
      <c r="G36" s="6">
        <v>500</v>
      </c>
      <c r="H36" s="44" t="s">
        <v>127</v>
      </c>
      <c r="I36" s="44" t="s">
        <v>128</v>
      </c>
    </row>
    <row r="37" spans="1:9" ht="30" x14ac:dyDescent="0.25">
      <c r="A37" s="44" t="s">
        <v>124</v>
      </c>
      <c r="B37" s="6"/>
      <c r="C37" s="44" t="s">
        <v>2327</v>
      </c>
      <c r="D37" s="44" t="s">
        <v>2337</v>
      </c>
      <c r="E37" s="6">
        <v>1</v>
      </c>
      <c r="F37" s="6" t="s">
        <v>747</v>
      </c>
      <c r="G37" s="6" t="s">
        <v>747</v>
      </c>
      <c r="H37" s="44" t="s">
        <v>127</v>
      </c>
      <c r="I37" s="44" t="s">
        <v>128</v>
      </c>
    </row>
    <row r="38" spans="1:9" ht="30" x14ac:dyDescent="0.25">
      <c r="A38" s="44" t="s">
        <v>124</v>
      </c>
      <c r="B38" s="6"/>
      <c r="C38" s="44" t="s">
        <v>2327</v>
      </c>
      <c r="D38" s="44" t="s">
        <v>2338</v>
      </c>
      <c r="E38" s="6">
        <v>48</v>
      </c>
      <c r="F38" s="6">
        <v>130</v>
      </c>
      <c r="G38" s="6" t="s">
        <v>2339</v>
      </c>
      <c r="H38" s="44" t="s">
        <v>127</v>
      </c>
      <c r="I38" s="44" t="s">
        <v>128</v>
      </c>
    </row>
    <row r="39" spans="1:9" ht="30" x14ac:dyDescent="0.25">
      <c r="A39" s="44" t="s">
        <v>124</v>
      </c>
      <c r="B39" s="6"/>
      <c r="C39" s="44" t="s">
        <v>2327</v>
      </c>
      <c r="D39" s="44" t="s">
        <v>2340</v>
      </c>
      <c r="E39" s="6">
        <v>1</v>
      </c>
      <c r="F39" s="6">
        <v>500</v>
      </c>
      <c r="G39" s="6">
        <v>500</v>
      </c>
      <c r="H39" s="44" t="s">
        <v>127</v>
      </c>
      <c r="I39" s="44" t="s">
        <v>128</v>
      </c>
    </row>
    <row r="40" spans="1:9" ht="30" x14ac:dyDescent="0.25">
      <c r="A40" s="44" t="s">
        <v>124</v>
      </c>
      <c r="B40" s="6"/>
      <c r="C40" s="44" t="s">
        <v>2327</v>
      </c>
      <c r="D40" s="44" t="s">
        <v>2341</v>
      </c>
      <c r="E40" s="6">
        <v>1</v>
      </c>
      <c r="F40" s="6">
        <v>500</v>
      </c>
      <c r="G40" s="6">
        <v>500</v>
      </c>
      <c r="H40" s="44" t="s">
        <v>127</v>
      </c>
      <c r="I40" s="44" t="s">
        <v>128</v>
      </c>
    </row>
    <row r="41" spans="1:9" ht="30" x14ac:dyDescent="0.25">
      <c r="A41" s="44" t="s">
        <v>124</v>
      </c>
      <c r="B41" s="6"/>
      <c r="C41" s="44" t="s">
        <v>2327</v>
      </c>
      <c r="D41" s="44" t="s">
        <v>2342</v>
      </c>
      <c r="E41" s="6">
        <v>128</v>
      </c>
      <c r="F41" s="6">
        <v>3</v>
      </c>
      <c r="G41" s="6">
        <v>384</v>
      </c>
      <c r="H41" s="44" t="s">
        <v>127</v>
      </c>
      <c r="I41" s="44" t="s">
        <v>128</v>
      </c>
    </row>
    <row r="42" spans="1:9" ht="30" x14ac:dyDescent="0.25">
      <c r="A42" s="44" t="s">
        <v>124</v>
      </c>
      <c r="B42" s="6"/>
      <c r="C42" s="44" t="s">
        <v>2327</v>
      </c>
      <c r="D42" s="44" t="s">
        <v>2343</v>
      </c>
      <c r="E42" s="6">
        <v>4</v>
      </c>
      <c r="F42" s="6">
        <v>200</v>
      </c>
      <c r="G42" s="6">
        <v>800</v>
      </c>
      <c r="H42" s="44" t="s">
        <v>127</v>
      </c>
      <c r="I42" s="44" t="s">
        <v>128</v>
      </c>
    </row>
    <row r="43" spans="1:9" ht="60" x14ac:dyDescent="0.25">
      <c r="A43" s="44" t="s">
        <v>124</v>
      </c>
      <c r="B43" s="6"/>
      <c r="C43" s="44" t="s">
        <v>2327</v>
      </c>
      <c r="D43" s="44" t="s">
        <v>2344</v>
      </c>
      <c r="E43" s="6">
        <v>6</v>
      </c>
      <c r="F43" s="6" t="s">
        <v>742</v>
      </c>
      <c r="G43" s="6" t="s">
        <v>987</v>
      </c>
      <c r="H43" s="44" t="s">
        <v>127</v>
      </c>
      <c r="I43" s="44" t="s">
        <v>128</v>
      </c>
    </row>
    <row r="44" spans="1:9" ht="105" x14ac:dyDescent="0.25">
      <c r="A44" s="44" t="s">
        <v>75</v>
      </c>
      <c r="B44" s="6"/>
      <c r="C44" s="44" t="s">
        <v>2345</v>
      </c>
      <c r="D44" s="44" t="s">
        <v>2346</v>
      </c>
      <c r="E44" s="6">
        <v>1</v>
      </c>
      <c r="F44" s="6" t="s">
        <v>794</v>
      </c>
      <c r="G44" s="6" t="s">
        <v>794</v>
      </c>
      <c r="H44" s="44" t="s">
        <v>78</v>
      </c>
      <c r="I44" s="44" t="s">
        <v>79</v>
      </c>
    </row>
    <row r="45" spans="1:9" ht="30" x14ac:dyDescent="0.25">
      <c r="A45" s="44" t="s">
        <v>124</v>
      </c>
      <c r="B45" s="6">
        <v>6010510</v>
      </c>
      <c r="C45" s="44" t="s">
        <v>1538</v>
      </c>
      <c r="D45" s="44"/>
      <c r="E45" s="6">
        <v>1600</v>
      </c>
      <c r="F45" s="6">
        <v>40</v>
      </c>
      <c r="G45" s="6">
        <v>64</v>
      </c>
      <c r="H45" s="44" t="s">
        <v>127</v>
      </c>
      <c r="I45" s="44" t="s">
        <v>128</v>
      </c>
    </row>
    <row r="46" spans="1:9" ht="30" x14ac:dyDescent="0.25">
      <c r="A46" s="44" t="s">
        <v>124</v>
      </c>
      <c r="B46" s="6">
        <v>161600036</v>
      </c>
      <c r="C46" s="44" t="s">
        <v>2347</v>
      </c>
      <c r="D46" s="44" t="s">
        <v>2348</v>
      </c>
      <c r="E46" s="6">
        <v>6</v>
      </c>
      <c r="F46" s="6">
        <v>20</v>
      </c>
      <c r="G46" s="6">
        <v>120</v>
      </c>
      <c r="H46" s="44" t="s">
        <v>127</v>
      </c>
      <c r="I46" s="44" t="s">
        <v>128</v>
      </c>
    </row>
    <row r="47" spans="1:9" ht="30" x14ac:dyDescent="0.25">
      <c r="A47" s="44" t="s">
        <v>124</v>
      </c>
      <c r="B47" s="6">
        <v>161600036</v>
      </c>
      <c r="C47" s="44" t="s">
        <v>2347</v>
      </c>
      <c r="D47" s="44" t="s">
        <v>2349</v>
      </c>
      <c r="E47" s="6">
        <v>2</v>
      </c>
      <c r="F47" s="6">
        <v>40</v>
      </c>
      <c r="G47" s="6">
        <v>80</v>
      </c>
      <c r="H47" s="44" t="s">
        <v>127</v>
      </c>
      <c r="I47" s="44" t="s">
        <v>128</v>
      </c>
    </row>
    <row r="48" spans="1:9" ht="30" x14ac:dyDescent="0.25">
      <c r="A48" s="44" t="s">
        <v>124</v>
      </c>
      <c r="B48" s="6">
        <v>161600036</v>
      </c>
      <c r="C48" s="44" t="s">
        <v>2347</v>
      </c>
      <c r="D48" s="44" t="s">
        <v>2350</v>
      </c>
      <c r="E48" s="6">
        <v>10</v>
      </c>
      <c r="F48" s="6">
        <v>30</v>
      </c>
      <c r="G48" s="6">
        <v>300</v>
      </c>
      <c r="H48" s="44" t="s">
        <v>127</v>
      </c>
      <c r="I48" s="44" t="s">
        <v>128</v>
      </c>
    </row>
    <row r="49" spans="1:9" ht="30" x14ac:dyDescent="0.25">
      <c r="A49" s="44" t="s">
        <v>124</v>
      </c>
      <c r="B49" s="6">
        <v>161600036</v>
      </c>
      <c r="C49" s="44" t="s">
        <v>2347</v>
      </c>
      <c r="D49" s="44" t="s">
        <v>2351</v>
      </c>
      <c r="E49" s="6">
        <v>2</v>
      </c>
      <c r="F49" s="6">
        <v>80</v>
      </c>
      <c r="G49" s="6">
        <v>160</v>
      </c>
      <c r="H49" s="44" t="s">
        <v>127</v>
      </c>
      <c r="I49" s="44" t="s">
        <v>128</v>
      </c>
    </row>
    <row r="50" spans="1:9" ht="30" x14ac:dyDescent="0.25">
      <c r="A50" s="44" t="s">
        <v>124</v>
      </c>
      <c r="B50" s="6">
        <v>161600036</v>
      </c>
      <c r="C50" s="44" t="s">
        <v>2347</v>
      </c>
      <c r="D50" s="44" t="s">
        <v>2352</v>
      </c>
      <c r="E50" s="6">
        <v>6</v>
      </c>
      <c r="F50" s="6">
        <v>20</v>
      </c>
      <c r="G50" s="6">
        <v>120</v>
      </c>
      <c r="H50" s="44" t="s">
        <v>127</v>
      </c>
      <c r="I50" s="44" t="s">
        <v>128</v>
      </c>
    </row>
    <row r="51" spans="1:9" ht="30" x14ac:dyDescent="0.25">
      <c r="A51" s="44" t="s">
        <v>124</v>
      </c>
      <c r="B51" s="6">
        <v>161600036</v>
      </c>
      <c r="C51" s="44" t="s">
        <v>2347</v>
      </c>
      <c r="D51" s="44" t="s">
        <v>2353</v>
      </c>
      <c r="E51" s="6">
        <v>4</v>
      </c>
      <c r="F51" s="6">
        <v>20</v>
      </c>
      <c r="G51" s="6">
        <v>80</v>
      </c>
      <c r="H51" s="44" t="s">
        <v>127</v>
      </c>
      <c r="I51" s="44" t="s">
        <v>128</v>
      </c>
    </row>
    <row r="52" spans="1:9" ht="30" x14ac:dyDescent="0.25">
      <c r="A52" s="44" t="s">
        <v>124</v>
      </c>
      <c r="B52" s="6">
        <v>161600036</v>
      </c>
      <c r="C52" s="44" t="s">
        <v>2347</v>
      </c>
      <c r="D52" s="44" t="s">
        <v>2354</v>
      </c>
      <c r="E52" s="6">
        <v>2</v>
      </c>
      <c r="F52" s="6">
        <v>60</v>
      </c>
      <c r="G52" s="6">
        <v>120</v>
      </c>
      <c r="H52" s="44" t="s">
        <v>127</v>
      </c>
      <c r="I52" s="44" t="s">
        <v>128</v>
      </c>
    </row>
    <row r="53" spans="1:9" ht="30" x14ac:dyDescent="0.25">
      <c r="A53" s="44" t="s">
        <v>124</v>
      </c>
      <c r="B53" s="6">
        <v>161600036</v>
      </c>
      <c r="C53" s="44" t="s">
        <v>2347</v>
      </c>
      <c r="D53" s="44" t="s">
        <v>2355</v>
      </c>
      <c r="E53" s="6">
        <v>3</v>
      </c>
      <c r="F53" s="6">
        <v>35</v>
      </c>
      <c r="G53" s="6">
        <v>105</v>
      </c>
      <c r="H53" s="44" t="s">
        <v>127</v>
      </c>
      <c r="I53" s="44" t="s">
        <v>128</v>
      </c>
    </row>
    <row r="54" spans="1:9" ht="30" x14ac:dyDescent="0.25">
      <c r="A54" s="44" t="s">
        <v>124</v>
      </c>
      <c r="B54" s="6">
        <v>161600036</v>
      </c>
      <c r="C54" s="44" t="s">
        <v>2347</v>
      </c>
      <c r="D54" s="44" t="s">
        <v>2356</v>
      </c>
      <c r="E54" s="6">
        <v>3</v>
      </c>
      <c r="F54" s="6">
        <v>25</v>
      </c>
      <c r="G54" s="6">
        <v>75</v>
      </c>
      <c r="H54" s="44" t="s">
        <v>127</v>
      </c>
      <c r="I54" s="44" t="s">
        <v>128</v>
      </c>
    </row>
    <row r="55" spans="1:9" ht="30" x14ac:dyDescent="0.25">
      <c r="A55" s="44" t="s">
        <v>124</v>
      </c>
      <c r="B55" s="6">
        <v>161600036</v>
      </c>
      <c r="C55" s="44" t="s">
        <v>2347</v>
      </c>
      <c r="D55" s="44" t="s">
        <v>2357</v>
      </c>
      <c r="E55" s="6">
        <v>1</v>
      </c>
      <c r="F55" s="6">
        <v>60</v>
      </c>
      <c r="G55" s="6">
        <v>60</v>
      </c>
      <c r="H55" s="44" t="s">
        <v>127</v>
      </c>
      <c r="I55" s="44" t="s">
        <v>128</v>
      </c>
    </row>
    <row r="56" spans="1:9" ht="30" x14ac:dyDescent="0.25">
      <c r="A56" s="44" t="s">
        <v>124</v>
      </c>
      <c r="B56" s="6">
        <v>161600036</v>
      </c>
      <c r="C56" s="44" t="s">
        <v>2347</v>
      </c>
      <c r="D56" s="44" t="s">
        <v>2358</v>
      </c>
      <c r="E56" s="6">
        <v>2</v>
      </c>
      <c r="F56" s="6">
        <v>25</v>
      </c>
      <c r="G56" s="6">
        <v>50</v>
      </c>
      <c r="H56" s="44" t="s">
        <v>127</v>
      </c>
      <c r="I56" s="44" t="s">
        <v>128</v>
      </c>
    </row>
    <row r="57" spans="1:9" ht="30" x14ac:dyDescent="0.25">
      <c r="A57" s="44" t="s">
        <v>124</v>
      </c>
      <c r="B57" s="6">
        <v>25080007</v>
      </c>
      <c r="C57" s="44" t="s">
        <v>2347</v>
      </c>
      <c r="D57" s="44" t="s">
        <v>2359</v>
      </c>
      <c r="E57" s="6">
        <v>1</v>
      </c>
      <c r="F57" s="6">
        <v>500</v>
      </c>
      <c r="G57" s="6">
        <v>500</v>
      </c>
      <c r="H57" s="44" t="s">
        <v>127</v>
      </c>
      <c r="I57" s="44" t="s">
        <v>128</v>
      </c>
    </row>
    <row r="58" spans="1:9" ht="30" x14ac:dyDescent="0.25">
      <c r="A58" s="44" t="s">
        <v>124</v>
      </c>
      <c r="B58" s="6">
        <v>25080007</v>
      </c>
      <c r="C58" s="44" t="s">
        <v>2347</v>
      </c>
      <c r="D58" s="44" t="s">
        <v>2360</v>
      </c>
      <c r="E58" s="6">
        <v>15</v>
      </c>
      <c r="F58" s="6">
        <v>50</v>
      </c>
      <c r="G58" s="6">
        <v>750</v>
      </c>
      <c r="H58" s="44" t="s">
        <v>127</v>
      </c>
      <c r="I58" s="44" t="s">
        <v>128</v>
      </c>
    </row>
    <row r="59" spans="1:9" ht="30" x14ac:dyDescent="0.25">
      <c r="A59" s="44" t="s">
        <v>124</v>
      </c>
      <c r="B59" s="6">
        <v>25080007</v>
      </c>
      <c r="C59" s="44" t="s">
        <v>2347</v>
      </c>
      <c r="D59" s="44" t="s">
        <v>2361</v>
      </c>
      <c r="E59" s="6">
        <v>15</v>
      </c>
      <c r="F59" s="6">
        <v>50</v>
      </c>
      <c r="G59" s="6">
        <v>750</v>
      </c>
      <c r="H59" s="44" t="s">
        <v>127</v>
      </c>
      <c r="I59" s="44" t="s">
        <v>128</v>
      </c>
    </row>
    <row r="60" spans="1:9" ht="60" x14ac:dyDescent="0.25">
      <c r="A60" s="44" t="s">
        <v>124</v>
      </c>
      <c r="B60" s="6">
        <v>25080007</v>
      </c>
      <c r="C60" s="44" t="s">
        <v>2362</v>
      </c>
      <c r="D60" s="44" t="s">
        <v>2363</v>
      </c>
      <c r="E60" s="6">
        <v>70</v>
      </c>
      <c r="F60" s="6">
        <v>70</v>
      </c>
      <c r="G60" s="6" t="s">
        <v>2364</v>
      </c>
      <c r="H60" s="44" t="s">
        <v>127</v>
      </c>
      <c r="I60" s="44" t="s">
        <v>128</v>
      </c>
    </row>
    <row r="61" spans="1:9" ht="60" x14ac:dyDescent="0.25">
      <c r="A61" s="44" t="s">
        <v>124</v>
      </c>
      <c r="B61" s="6">
        <v>25080007</v>
      </c>
      <c r="C61" s="44" t="s">
        <v>2362</v>
      </c>
      <c r="D61" s="44" t="s">
        <v>2365</v>
      </c>
      <c r="E61" s="6">
        <v>1</v>
      </c>
      <c r="F61" s="6" t="s">
        <v>800</v>
      </c>
      <c r="G61" s="6" t="s">
        <v>800</v>
      </c>
      <c r="H61" s="44" t="s">
        <v>127</v>
      </c>
      <c r="I61" s="44" t="s">
        <v>128</v>
      </c>
    </row>
    <row r="62" spans="1:9" ht="30" x14ac:dyDescent="0.25">
      <c r="A62" s="44" t="s">
        <v>124</v>
      </c>
      <c r="B62" s="6">
        <v>25080036</v>
      </c>
      <c r="C62" s="44" t="s">
        <v>2366</v>
      </c>
      <c r="D62" s="44"/>
      <c r="E62" s="6">
        <v>1</v>
      </c>
      <c r="F62" s="6">
        <v>400</v>
      </c>
      <c r="G62" s="6">
        <v>400</v>
      </c>
      <c r="H62" s="44" t="s">
        <v>127</v>
      </c>
      <c r="I62" s="44" t="s">
        <v>128</v>
      </c>
    </row>
    <row r="63" spans="1:9" ht="45" x14ac:dyDescent="0.25">
      <c r="A63" s="44" t="s">
        <v>124</v>
      </c>
      <c r="B63" s="6">
        <v>25080023</v>
      </c>
      <c r="C63" s="44" t="s">
        <v>2367</v>
      </c>
      <c r="D63" s="44" t="s">
        <v>2368</v>
      </c>
      <c r="E63" s="6">
        <v>1</v>
      </c>
      <c r="F63" s="6" t="s">
        <v>940</v>
      </c>
      <c r="G63" s="6" t="s">
        <v>940</v>
      </c>
      <c r="H63" s="44" t="s">
        <v>127</v>
      </c>
      <c r="I63" s="44" t="s">
        <v>128</v>
      </c>
    </row>
    <row r="64" spans="1:9" ht="45" x14ac:dyDescent="0.25">
      <c r="A64" s="44" t="s">
        <v>124</v>
      </c>
      <c r="B64" s="6">
        <v>25080023</v>
      </c>
      <c r="C64" s="44" t="s">
        <v>2367</v>
      </c>
      <c r="D64" s="44" t="s">
        <v>2369</v>
      </c>
      <c r="E64" s="6">
        <v>2</v>
      </c>
      <c r="F64" s="6" t="s">
        <v>940</v>
      </c>
      <c r="G64" s="6" t="s">
        <v>2370</v>
      </c>
      <c r="H64" s="44" t="s">
        <v>127</v>
      </c>
      <c r="I64" s="44" t="s">
        <v>128</v>
      </c>
    </row>
    <row r="65" spans="1:9" ht="255" x14ac:dyDescent="0.25">
      <c r="A65" s="44" t="s">
        <v>75</v>
      </c>
      <c r="B65" s="6">
        <v>261200088</v>
      </c>
      <c r="C65" s="44" t="s">
        <v>2371</v>
      </c>
      <c r="D65" s="44" t="s">
        <v>2372</v>
      </c>
      <c r="E65" s="6">
        <v>1</v>
      </c>
      <c r="F65" s="6" t="s">
        <v>1275</v>
      </c>
      <c r="G65" s="6" t="s">
        <v>1275</v>
      </c>
      <c r="H65" s="44" t="s">
        <v>78</v>
      </c>
      <c r="I65" s="44" t="s">
        <v>79</v>
      </c>
    </row>
    <row r="66" spans="1:9" ht="30" x14ac:dyDescent="0.25">
      <c r="A66" s="44" t="s">
        <v>75</v>
      </c>
      <c r="B66" s="6">
        <v>1189002</v>
      </c>
      <c r="C66" s="44" t="s">
        <v>1746</v>
      </c>
      <c r="D66" s="44" t="s">
        <v>2373</v>
      </c>
      <c r="E66" s="6">
        <v>1</v>
      </c>
      <c r="F66" s="6">
        <v>294.34500000000003</v>
      </c>
      <c r="G66" s="6">
        <v>294.34500000000003</v>
      </c>
      <c r="H66" s="44" t="s">
        <v>78</v>
      </c>
      <c r="I66" s="44" t="s">
        <v>79</v>
      </c>
    </row>
    <row r="67" spans="1:9" ht="30" x14ac:dyDescent="0.25">
      <c r="A67" s="44" t="s">
        <v>75</v>
      </c>
      <c r="B67" s="6">
        <v>1189002</v>
      </c>
      <c r="C67" s="44" t="s">
        <v>1746</v>
      </c>
      <c r="D67" s="44" t="s">
        <v>2374</v>
      </c>
      <c r="E67" s="6">
        <v>1</v>
      </c>
      <c r="F67" s="6">
        <v>170</v>
      </c>
      <c r="G67" s="6">
        <v>170</v>
      </c>
      <c r="H67" s="44" t="s">
        <v>78</v>
      </c>
      <c r="I67" s="44" t="s">
        <v>79</v>
      </c>
    </row>
    <row r="68" spans="1:9" ht="45" x14ac:dyDescent="0.25">
      <c r="A68" s="44" t="s">
        <v>124</v>
      </c>
      <c r="B68" s="6"/>
      <c r="C68" s="44" t="s">
        <v>2375</v>
      </c>
      <c r="D68" s="44"/>
      <c r="E68" s="6">
        <v>1</v>
      </c>
      <c r="F68" s="6" t="s">
        <v>845</v>
      </c>
      <c r="G68" s="6" t="s">
        <v>845</v>
      </c>
      <c r="H68" s="44" t="s">
        <v>127</v>
      </c>
      <c r="I68" s="44" t="s">
        <v>128</v>
      </c>
    </row>
    <row r="69" spans="1:9" ht="45" x14ac:dyDescent="0.25">
      <c r="A69" s="44" t="s">
        <v>216</v>
      </c>
      <c r="B69" s="6">
        <v>14820001</v>
      </c>
      <c r="C69" s="44" t="s">
        <v>2376</v>
      </c>
      <c r="D69" s="44" t="s">
        <v>2377</v>
      </c>
      <c r="E69" s="6">
        <v>1</v>
      </c>
      <c r="F69" s="6" t="s">
        <v>678</v>
      </c>
      <c r="G69" s="6" t="s">
        <v>678</v>
      </c>
      <c r="H69" s="44" t="s">
        <v>219</v>
      </c>
      <c r="I69" s="44" t="s">
        <v>220</v>
      </c>
    </row>
    <row r="70" spans="1:9" ht="30" x14ac:dyDescent="0.25">
      <c r="A70" s="44" t="s">
        <v>75</v>
      </c>
      <c r="B70" s="6"/>
      <c r="C70" s="44" t="s">
        <v>2378</v>
      </c>
      <c r="D70" s="44"/>
      <c r="E70" s="6">
        <v>1</v>
      </c>
      <c r="F70" s="6" t="s">
        <v>2379</v>
      </c>
      <c r="G70" s="6" t="s">
        <v>2379</v>
      </c>
      <c r="H70" s="44" t="s">
        <v>78</v>
      </c>
      <c r="I70" s="44" t="s">
        <v>79</v>
      </c>
    </row>
    <row r="71" spans="1:9" ht="45" x14ac:dyDescent="0.25">
      <c r="A71" s="44" t="s">
        <v>334</v>
      </c>
      <c r="B71" s="6"/>
      <c r="C71" s="44" t="s">
        <v>2380</v>
      </c>
      <c r="D71" s="44" t="s">
        <v>2381</v>
      </c>
      <c r="E71" s="6">
        <v>1</v>
      </c>
      <c r="F71" s="6" t="s">
        <v>2382</v>
      </c>
      <c r="G71" s="6" t="s">
        <v>2382</v>
      </c>
      <c r="H71" s="44" t="s">
        <v>337</v>
      </c>
      <c r="I71" s="44" t="s">
        <v>338</v>
      </c>
    </row>
    <row r="72" spans="1:9" ht="30" x14ac:dyDescent="0.25">
      <c r="A72" s="44" t="s">
        <v>124</v>
      </c>
      <c r="B72" s="6">
        <v>2087001</v>
      </c>
      <c r="C72" s="44" t="s">
        <v>2383</v>
      </c>
      <c r="D72" s="44" t="s">
        <v>2384</v>
      </c>
      <c r="E72" s="6">
        <v>6</v>
      </c>
      <c r="F72" s="6">
        <v>400</v>
      </c>
      <c r="G72" s="6" t="s">
        <v>867</v>
      </c>
      <c r="H72" s="44" t="s">
        <v>127</v>
      </c>
      <c r="I72" s="44" t="s">
        <v>128</v>
      </c>
    </row>
    <row r="73" spans="1:9" ht="60" x14ac:dyDescent="0.25">
      <c r="A73" s="44" t="s">
        <v>105</v>
      </c>
      <c r="B73" s="6"/>
      <c r="C73" s="44" t="s">
        <v>696</v>
      </c>
      <c r="D73" s="44" t="s">
        <v>2385</v>
      </c>
      <c r="E73" s="6">
        <v>1</v>
      </c>
      <c r="F73" s="6" t="s">
        <v>680</v>
      </c>
      <c r="G73" s="6" t="s">
        <v>680</v>
      </c>
      <c r="H73" s="44" t="s">
        <v>108</v>
      </c>
      <c r="I73" s="44" t="s">
        <v>109</v>
      </c>
    </row>
    <row r="74" spans="1:9" ht="75" x14ac:dyDescent="0.25">
      <c r="A74" s="44" t="s">
        <v>105</v>
      </c>
      <c r="B74" s="6"/>
      <c r="C74" s="44" t="s">
        <v>696</v>
      </c>
      <c r="D74" s="44" t="s">
        <v>2386</v>
      </c>
      <c r="E74" s="6">
        <v>1</v>
      </c>
      <c r="F74" s="6" t="s">
        <v>838</v>
      </c>
      <c r="G74" s="6" t="s">
        <v>838</v>
      </c>
      <c r="H74" s="44" t="s">
        <v>108</v>
      </c>
      <c r="I74" s="44" t="s">
        <v>109</v>
      </c>
    </row>
    <row r="75" spans="1:9" ht="60" x14ac:dyDescent="0.25">
      <c r="A75" s="44" t="s">
        <v>105</v>
      </c>
      <c r="B75" s="6"/>
      <c r="C75" s="44" t="s">
        <v>696</v>
      </c>
      <c r="D75" s="44" t="s">
        <v>2387</v>
      </c>
      <c r="E75" s="6">
        <v>1</v>
      </c>
      <c r="F75" s="6" t="s">
        <v>680</v>
      </c>
      <c r="G75" s="6" t="s">
        <v>680</v>
      </c>
      <c r="H75" s="44" t="s">
        <v>108</v>
      </c>
      <c r="I75" s="44" t="s">
        <v>109</v>
      </c>
    </row>
    <row r="76" spans="1:9" ht="75" x14ac:dyDescent="0.25">
      <c r="A76" s="44" t="s">
        <v>105</v>
      </c>
      <c r="B76" s="6"/>
      <c r="C76" s="44" t="s">
        <v>696</v>
      </c>
      <c r="D76" s="44" t="s">
        <v>2388</v>
      </c>
      <c r="E76" s="6">
        <v>1</v>
      </c>
      <c r="F76" s="6" t="s">
        <v>845</v>
      </c>
      <c r="G76" s="6" t="s">
        <v>845</v>
      </c>
      <c r="H76" s="44" t="s">
        <v>108</v>
      </c>
      <c r="I76" s="44" t="s">
        <v>109</v>
      </c>
    </row>
    <row r="77" spans="1:9" ht="105" x14ac:dyDescent="0.25">
      <c r="A77" s="44" t="s">
        <v>105</v>
      </c>
      <c r="B77" s="6"/>
      <c r="C77" s="44" t="s">
        <v>696</v>
      </c>
      <c r="D77" s="44" t="s">
        <v>2389</v>
      </c>
      <c r="E77" s="6">
        <v>1</v>
      </c>
      <c r="F77" s="6" t="s">
        <v>736</v>
      </c>
      <c r="G77" s="6" t="s">
        <v>736</v>
      </c>
      <c r="H77" s="44" t="s">
        <v>108</v>
      </c>
      <c r="I77" s="44" t="s">
        <v>109</v>
      </c>
    </row>
    <row r="78" spans="1:9" ht="45" x14ac:dyDescent="0.25">
      <c r="A78" s="44" t="s">
        <v>105</v>
      </c>
      <c r="B78" s="6"/>
      <c r="C78" s="44" t="s">
        <v>696</v>
      </c>
      <c r="D78" s="44" t="s">
        <v>2390</v>
      </c>
      <c r="E78" s="6">
        <v>1</v>
      </c>
      <c r="F78" s="6" t="s">
        <v>681</v>
      </c>
      <c r="G78" s="6" t="s">
        <v>681</v>
      </c>
      <c r="H78" s="44" t="s">
        <v>112</v>
      </c>
      <c r="I78" s="44" t="s">
        <v>113</v>
      </c>
    </row>
    <row r="79" spans="1:9" ht="45" x14ac:dyDescent="0.25">
      <c r="A79" s="44" t="s">
        <v>105</v>
      </c>
      <c r="B79" s="6"/>
      <c r="C79" s="44" t="s">
        <v>696</v>
      </c>
      <c r="D79" s="44" t="s">
        <v>2391</v>
      </c>
      <c r="E79" s="6">
        <v>1</v>
      </c>
      <c r="F79" s="6" t="s">
        <v>747</v>
      </c>
      <c r="G79" s="6" t="s">
        <v>747</v>
      </c>
      <c r="H79" s="44" t="s">
        <v>112</v>
      </c>
      <c r="I79" s="44" t="s">
        <v>113</v>
      </c>
    </row>
    <row r="80" spans="1:9" ht="60" x14ac:dyDescent="0.25">
      <c r="A80" s="44" t="s">
        <v>105</v>
      </c>
      <c r="B80" s="6"/>
      <c r="C80" s="44" t="s">
        <v>696</v>
      </c>
      <c r="D80" s="44" t="s">
        <v>2392</v>
      </c>
      <c r="E80" s="6">
        <v>1</v>
      </c>
      <c r="F80" s="6" t="s">
        <v>987</v>
      </c>
      <c r="G80" s="6" t="s">
        <v>987</v>
      </c>
      <c r="H80" s="44" t="s">
        <v>108</v>
      </c>
      <c r="I80" s="44" t="s">
        <v>109</v>
      </c>
    </row>
    <row r="81" spans="1:9" ht="60" x14ac:dyDescent="0.25">
      <c r="A81" s="44" t="s">
        <v>105</v>
      </c>
      <c r="B81" s="6"/>
      <c r="C81" s="44" t="s">
        <v>696</v>
      </c>
      <c r="D81" s="44" t="s">
        <v>2393</v>
      </c>
      <c r="E81" s="6">
        <v>1</v>
      </c>
      <c r="F81" s="6" t="s">
        <v>999</v>
      </c>
      <c r="G81" s="6" t="s">
        <v>999</v>
      </c>
      <c r="H81" s="44" t="s">
        <v>108</v>
      </c>
      <c r="I81" s="44" t="s">
        <v>109</v>
      </c>
    </row>
    <row r="82" spans="1:9" ht="60" x14ac:dyDescent="0.25">
      <c r="A82" s="44" t="s">
        <v>105</v>
      </c>
      <c r="B82" s="6"/>
      <c r="C82" s="44" t="s">
        <v>696</v>
      </c>
      <c r="D82" s="44" t="s">
        <v>2394</v>
      </c>
      <c r="E82" s="6">
        <v>1</v>
      </c>
      <c r="F82" s="6" t="s">
        <v>838</v>
      </c>
      <c r="G82" s="6" t="s">
        <v>838</v>
      </c>
      <c r="H82" s="44" t="s">
        <v>108</v>
      </c>
      <c r="I82" s="44" t="s">
        <v>109</v>
      </c>
    </row>
    <row r="83" spans="1:9" ht="60" x14ac:dyDescent="0.25">
      <c r="A83" s="44" t="s">
        <v>105</v>
      </c>
      <c r="B83" s="6"/>
      <c r="C83" s="44" t="s">
        <v>696</v>
      </c>
      <c r="D83" s="44" t="s">
        <v>2395</v>
      </c>
      <c r="E83" s="6">
        <v>1</v>
      </c>
      <c r="F83" s="6" t="s">
        <v>747</v>
      </c>
      <c r="G83" s="6" t="s">
        <v>747</v>
      </c>
      <c r="H83" s="44" t="s">
        <v>112</v>
      </c>
      <c r="I83" s="44" t="s">
        <v>113</v>
      </c>
    </row>
    <row r="84" spans="1:9" ht="45" x14ac:dyDescent="0.25">
      <c r="A84" s="44" t="s">
        <v>105</v>
      </c>
      <c r="B84" s="6"/>
      <c r="C84" s="44" t="s">
        <v>696</v>
      </c>
      <c r="D84" s="44" t="s">
        <v>2396</v>
      </c>
      <c r="E84" s="6">
        <v>1</v>
      </c>
      <c r="F84" s="6" t="s">
        <v>676</v>
      </c>
      <c r="G84" s="6" t="s">
        <v>676</v>
      </c>
      <c r="H84" s="44" t="s">
        <v>110</v>
      </c>
      <c r="I84" s="44" t="s">
        <v>111</v>
      </c>
    </row>
    <row r="85" spans="1:9" ht="120" x14ac:dyDescent="0.25">
      <c r="A85" s="44" t="s">
        <v>105</v>
      </c>
      <c r="B85" s="6"/>
      <c r="C85" s="44" t="s">
        <v>696</v>
      </c>
      <c r="D85" s="44" t="s">
        <v>2397</v>
      </c>
      <c r="E85" s="6">
        <v>1</v>
      </c>
      <c r="F85" s="6" t="s">
        <v>681</v>
      </c>
      <c r="G85" s="6" t="s">
        <v>681</v>
      </c>
      <c r="H85" s="44" t="s">
        <v>112</v>
      </c>
      <c r="I85" s="44" t="s">
        <v>113</v>
      </c>
    </row>
    <row r="86" spans="1:9" ht="105" x14ac:dyDescent="0.25">
      <c r="A86" s="44" t="s">
        <v>105</v>
      </c>
      <c r="B86" s="6"/>
      <c r="C86" s="44" t="s">
        <v>696</v>
      </c>
      <c r="D86" s="44" t="s">
        <v>2398</v>
      </c>
      <c r="E86" s="6">
        <v>1</v>
      </c>
      <c r="F86" s="6" t="s">
        <v>814</v>
      </c>
      <c r="G86" s="6" t="s">
        <v>814</v>
      </c>
      <c r="H86" s="44" t="s">
        <v>110</v>
      </c>
      <c r="I86" s="44" t="s">
        <v>111</v>
      </c>
    </row>
    <row r="87" spans="1:9" ht="60" x14ac:dyDescent="0.25">
      <c r="A87" s="44" t="s">
        <v>105</v>
      </c>
      <c r="B87" s="6"/>
      <c r="C87" s="44" t="s">
        <v>696</v>
      </c>
      <c r="D87" s="44" t="s">
        <v>2399</v>
      </c>
      <c r="E87" s="6">
        <v>1</v>
      </c>
      <c r="F87" s="6" t="s">
        <v>849</v>
      </c>
      <c r="G87" s="6" t="s">
        <v>849</v>
      </c>
      <c r="H87" s="44" t="s">
        <v>108</v>
      </c>
      <c r="I87" s="44" t="s">
        <v>109</v>
      </c>
    </row>
    <row r="88" spans="1:9" ht="45" x14ac:dyDescent="0.25">
      <c r="A88" s="44" t="s">
        <v>105</v>
      </c>
      <c r="B88" s="6"/>
      <c r="C88" s="44" t="s">
        <v>696</v>
      </c>
      <c r="D88" s="44" t="s">
        <v>2400</v>
      </c>
      <c r="E88" s="6">
        <v>1</v>
      </c>
      <c r="F88" s="6" t="s">
        <v>1149</v>
      </c>
      <c r="G88" s="6" t="s">
        <v>1149</v>
      </c>
      <c r="H88" s="44" t="s">
        <v>112</v>
      </c>
      <c r="I88" s="44" t="s">
        <v>113</v>
      </c>
    </row>
    <row r="89" spans="1:9" ht="60" x14ac:dyDescent="0.25">
      <c r="A89" s="44" t="s">
        <v>105</v>
      </c>
      <c r="B89" s="6"/>
      <c r="C89" s="44" t="s">
        <v>696</v>
      </c>
      <c r="D89" s="44" t="s">
        <v>2401</v>
      </c>
      <c r="E89" s="6">
        <v>1</v>
      </c>
      <c r="F89" s="6" t="s">
        <v>990</v>
      </c>
      <c r="G89" s="6" t="s">
        <v>990</v>
      </c>
      <c r="H89" s="44" t="s">
        <v>108</v>
      </c>
      <c r="I89" s="44" t="s">
        <v>109</v>
      </c>
    </row>
    <row r="90" spans="1:9" ht="90" x14ac:dyDescent="0.25">
      <c r="A90" s="44" t="s">
        <v>105</v>
      </c>
      <c r="B90" s="6"/>
      <c r="C90" s="44" t="s">
        <v>696</v>
      </c>
      <c r="D90" s="44" t="s">
        <v>2402</v>
      </c>
      <c r="E90" s="6">
        <v>1</v>
      </c>
      <c r="F90" s="6" t="s">
        <v>2403</v>
      </c>
      <c r="G90" s="6" t="s">
        <v>2403</v>
      </c>
      <c r="H90" s="44" t="s">
        <v>108</v>
      </c>
      <c r="I90" s="44" t="s">
        <v>109</v>
      </c>
    </row>
    <row r="91" spans="1:9" ht="105" x14ac:dyDescent="0.25">
      <c r="A91" s="44" t="s">
        <v>105</v>
      </c>
      <c r="B91" s="6"/>
      <c r="C91" s="44" t="s">
        <v>696</v>
      </c>
      <c r="D91" s="44" t="s">
        <v>2404</v>
      </c>
      <c r="E91" s="6">
        <v>2</v>
      </c>
      <c r="F91" s="6" t="s">
        <v>814</v>
      </c>
      <c r="G91" s="6" t="s">
        <v>845</v>
      </c>
      <c r="H91" s="44" t="s">
        <v>110</v>
      </c>
      <c r="I91" s="44" t="s">
        <v>111</v>
      </c>
    </row>
    <row r="92" spans="1:9" ht="60" x14ac:dyDescent="0.25">
      <c r="A92" s="44" t="s">
        <v>105</v>
      </c>
      <c r="B92" s="6"/>
      <c r="C92" s="44" t="s">
        <v>696</v>
      </c>
      <c r="D92" s="44" t="s">
        <v>2405</v>
      </c>
      <c r="E92" s="6">
        <v>1</v>
      </c>
      <c r="F92" s="6" t="s">
        <v>680</v>
      </c>
      <c r="G92" s="6" t="s">
        <v>680</v>
      </c>
      <c r="H92" s="44" t="s">
        <v>108</v>
      </c>
      <c r="I92" s="44" t="s">
        <v>109</v>
      </c>
    </row>
    <row r="93" spans="1:9" ht="90" x14ac:dyDescent="0.25">
      <c r="A93" s="44" t="s">
        <v>105</v>
      </c>
      <c r="B93" s="6"/>
      <c r="C93" s="44" t="s">
        <v>696</v>
      </c>
      <c r="D93" s="44" t="s">
        <v>2406</v>
      </c>
      <c r="E93" s="6">
        <v>1</v>
      </c>
      <c r="F93" s="6" t="s">
        <v>680</v>
      </c>
      <c r="G93" s="6" t="s">
        <v>680</v>
      </c>
      <c r="H93" s="44" t="s">
        <v>112</v>
      </c>
      <c r="I93" s="44" t="s">
        <v>113</v>
      </c>
    </row>
    <row r="94" spans="1:9" ht="90" x14ac:dyDescent="0.25">
      <c r="A94" s="44" t="s">
        <v>105</v>
      </c>
      <c r="B94" s="6"/>
      <c r="C94" s="44" t="s">
        <v>696</v>
      </c>
      <c r="D94" s="44" t="s">
        <v>2407</v>
      </c>
      <c r="E94" s="6">
        <v>4</v>
      </c>
      <c r="F94" s="6" t="s">
        <v>814</v>
      </c>
      <c r="G94" s="6" t="s">
        <v>990</v>
      </c>
      <c r="H94" s="44" t="s">
        <v>110</v>
      </c>
      <c r="I94" s="44" t="s">
        <v>111</v>
      </c>
    </row>
    <row r="95" spans="1:9" ht="45" x14ac:dyDescent="0.25">
      <c r="A95" s="44" t="s">
        <v>105</v>
      </c>
      <c r="B95" s="6"/>
      <c r="C95" s="44" t="s">
        <v>696</v>
      </c>
      <c r="D95" s="44" t="s">
        <v>2408</v>
      </c>
      <c r="E95" s="6">
        <v>1</v>
      </c>
      <c r="F95" s="6" t="s">
        <v>680</v>
      </c>
      <c r="G95" s="6" t="s">
        <v>680</v>
      </c>
      <c r="H95" s="44" t="s">
        <v>112</v>
      </c>
      <c r="I95" s="44" t="s">
        <v>113</v>
      </c>
    </row>
    <row r="96" spans="1:9" ht="60" x14ac:dyDescent="0.25">
      <c r="A96" s="44" t="s">
        <v>105</v>
      </c>
      <c r="B96" s="6"/>
      <c r="C96" s="44" t="s">
        <v>696</v>
      </c>
      <c r="D96" s="44" t="s">
        <v>2409</v>
      </c>
      <c r="E96" s="6">
        <v>1</v>
      </c>
      <c r="F96" s="6" t="s">
        <v>680</v>
      </c>
      <c r="G96" s="6" t="s">
        <v>680</v>
      </c>
      <c r="H96" s="44" t="s">
        <v>112</v>
      </c>
      <c r="I96" s="44" t="s">
        <v>113</v>
      </c>
    </row>
    <row r="97" spans="1:9" ht="60" x14ac:dyDescent="0.25">
      <c r="A97" s="44" t="s">
        <v>105</v>
      </c>
      <c r="B97" s="6"/>
      <c r="C97" s="44" t="s">
        <v>696</v>
      </c>
      <c r="D97" s="44" t="s">
        <v>2410</v>
      </c>
      <c r="E97" s="6">
        <v>1</v>
      </c>
      <c r="F97" s="6" t="s">
        <v>990</v>
      </c>
      <c r="G97" s="6" t="s">
        <v>990</v>
      </c>
      <c r="H97" s="44" t="s">
        <v>108</v>
      </c>
      <c r="I97" s="44" t="s">
        <v>109</v>
      </c>
    </row>
    <row r="98" spans="1:9" ht="195" x14ac:dyDescent="0.25">
      <c r="A98" s="44" t="s">
        <v>105</v>
      </c>
      <c r="B98" s="6"/>
      <c r="C98" s="44" t="s">
        <v>696</v>
      </c>
      <c r="D98" s="44" t="s">
        <v>2411</v>
      </c>
      <c r="E98" s="6">
        <v>1</v>
      </c>
      <c r="F98" s="6" t="s">
        <v>1149</v>
      </c>
      <c r="G98" s="6" t="s">
        <v>1149</v>
      </c>
      <c r="H98" s="44" t="s">
        <v>108</v>
      </c>
      <c r="I98" s="44" t="s">
        <v>109</v>
      </c>
    </row>
    <row r="99" spans="1:9" ht="45" x14ac:dyDescent="0.25">
      <c r="A99" s="44" t="s">
        <v>105</v>
      </c>
      <c r="B99" s="6"/>
      <c r="C99" s="44" t="s">
        <v>696</v>
      </c>
      <c r="D99" s="44" t="s">
        <v>2412</v>
      </c>
      <c r="E99" s="6">
        <v>1</v>
      </c>
      <c r="F99" s="6" t="s">
        <v>700</v>
      </c>
      <c r="G99" s="6" t="s">
        <v>700</v>
      </c>
      <c r="H99" s="44" t="s">
        <v>110</v>
      </c>
      <c r="I99" s="44" t="s">
        <v>111</v>
      </c>
    </row>
    <row r="100" spans="1:9" ht="60" x14ac:dyDescent="0.25">
      <c r="A100" s="44" t="s">
        <v>105</v>
      </c>
      <c r="B100" s="6"/>
      <c r="C100" s="44" t="s">
        <v>696</v>
      </c>
      <c r="D100" s="44" t="s">
        <v>2413</v>
      </c>
      <c r="E100" s="6">
        <v>1</v>
      </c>
      <c r="F100" s="6" t="s">
        <v>680</v>
      </c>
      <c r="G100" s="6" t="s">
        <v>680</v>
      </c>
      <c r="H100" s="44" t="s">
        <v>108</v>
      </c>
      <c r="I100" s="44" t="s">
        <v>109</v>
      </c>
    </row>
    <row r="101" spans="1:9" ht="45" x14ac:dyDescent="0.25">
      <c r="A101" s="44" t="s">
        <v>105</v>
      </c>
      <c r="B101" s="6"/>
      <c r="C101" s="44" t="s">
        <v>696</v>
      </c>
      <c r="D101" s="44" t="s">
        <v>2414</v>
      </c>
      <c r="E101" s="6">
        <v>1</v>
      </c>
      <c r="F101" s="6" t="s">
        <v>680</v>
      </c>
      <c r="G101" s="6" t="s">
        <v>680</v>
      </c>
      <c r="H101" s="44" t="s">
        <v>112</v>
      </c>
      <c r="I101" s="44" t="s">
        <v>113</v>
      </c>
    </row>
    <row r="102" spans="1:9" ht="60" x14ac:dyDescent="0.25">
      <c r="A102" s="44" t="s">
        <v>105</v>
      </c>
      <c r="B102" s="6"/>
      <c r="C102" s="44" t="s">
        <v>696</v>
      </c>
      <c r="D102" s="44" t="s">
        <v>2415</v>
      </c>
      <c r="E102" s="6">
        <v>1</v>
      </c>
      <c r="F102" s="6" t="s">
        <v>726</v>
      </c>
      <c r="G102" s="6" t="s">
        <v>726</v>
      </c>
      <c r="H102" s="44" t="s">
        <v>108</v>
      </c>
      <c r="I102" s="44" t="s">
        <v>109</v>
      </c>
    </row>
    <row r="103" spans="1:9" ht="60" x14ac:dyDescent="0.25">
      <c r="A103" s="44" t="s">
        <v>105</v>
      </c>
      <c r="B103" s="6"/>
      <c r="C103" s="44" t="s">
        <v>696</v>
      </c>
      <c r="D103" s="44" t="s">
        <v>2416</v>
      </c>
      <c r="E103" s="6">
        <v>1</v>
      </c>
      <c r="F103" s="6" t="s">
        <v>845</v>
      </c>
      <c r="G103" s="6" t="s">
        <v>845</v>
      </c>
      <c r="H103" s="44" t="s">
        <v>108</v>
      </c>
      <c r="I103" s="44" t="s">
        <v>109</v>
      </c>
    </row>
    <row r="104" spans="1:9" ht="120" x14ac:dyDescent="0.25">
      <c r="A104" s="44" t="s">
        <v>105</v>
      </c>
      <c r="B104" s="6"/>
      <c r="C104" s="44" t="s">
        <v>696</v>
      </c>
      <c r="D104" s="44" t="s">
        <v>2417</v>
      </c>
      <c r="E104" s="6">
        <v>1</v>
      </c>
      <c r="F104" s="6" t="s">
        <v>747</v>
      </c>
      <c r="G104" s="6" t="s">
        <v>747</v>
      </c>
      <c r="H104" s="44" t="s">
        <v>112</v>
      </c>
      <c r="I104" s="44" t="s">
        <v>113</v>
      </c>
    </row>
    <row r="105" spans="1:9" ht="45" x14ac:dyDescent="0.25">
      <c r="A105" s="44" t="s">
        <v>75</v>
      </c>
      <c r="B105" s="6">
        <v>162400002</v>
      </c>
      <c r="C105" s="44" t="s">
        <v>2418</v>
      </c>
      <c r="D105" s="44"/>
      <c r="E105" s="6">
        <v>1</v>
      </c>
      <c r="F105" s="6">
        <v>70.358000000000004</v>
      </c>
      <c r="G105" s="6">
        <v>70.358000000000004</v>
      </c>
      <c r="H105" s="44" t="s">
        <v>78</v>
      </c>
      <c r="I105" s="44" t="s">
        <v>79</v>
      </c>
    </row>
    <row r="106" spans="1:9" ht="45" x14ac:dyDescent="0.25">
      <c r="A106" s="44" t="s">
        <v>75</v>
      </c>
      <c r="B106" s="6">
        <v>162400001</v>
      </c>
      <c r="C106" s="44" t="s">
        <v>2419</v>
      </c>
      <c r="D106" s="44"/>
      <c r="E106" s="6">
        <v>1</v>
      </c>
      <c r="F106" s="6">
        <v>35.179000000000002</v>
      </c>
      <c r="G106" s="6">
        <v>35.179000000000002</v>
      </c>
      <c r="H106" s="44" t="s">
        <v>78</v>
      </c>
      <c r="I106" s="44" t="s">
        <v>79</v>
      </c>
    </row>
    <row r="107" spans="1:9" ht="30" x14ac:dyDescent="0.25">
      <c r="A107" s="44" t="s">
        <v>75</v>
      </c>
      <c r="B107" s="6">
        <v>155600003</v>
      </c>
      <c r="C107" s="44" t="s">
        <v>2420</v>
      </c>
      <c r="D107" s="44"/>
      <c r="E107" s="6">
        <v>24</v>
      </c>
      <c r="F107" s="6">
        <v>205</v>
      </c>
      <c r="G107" s="6">
        <v>4.92</v>
      </c>
      <c r="H107" s="44" t="s">
        <v>78</v>
      </c>
      <c r="I107" s="44" t="s">
        <v>79</v>
      </c>
    </row>
    <row r="108" spans="1:9" ht="30" x14ac:dyDescent="0.25">
      <c r="A108" s="44" t="s">
        <v>75</v>
      </c>
      <c r="B108" s="6">
        <v>12490024</v>
      </c>
      <c r="C108" s="44" t="s">
        <v>2421</v>
      </c>
      <c r="D108" s="44"/>
      <c r="E108" s="6">
        <v>10</v>
      </c>
      <c r="F108" s="6">
        <v>93</v>
      </c>
      <c r="G108" s="6">
        <v>930</v>
      </c>
      <c r="H108" s="44" t="s">
        <v>78</v>
      </c>
      <c r="I108" s="44" t="s">
        <v>79</v>
      </c>
    </row>
    <row r="109" spans="1:9" ht="30" x14ac:dyDescent="0.25">
      <c r="A109" s="44" t="s">
        <v>124</v>
      </c>
      <c r="B109" s="6">
        <v>1160009</v>
      </c>
      <c r="C109" s="44" t="s">
        <v>2422</v>
      </c>
      <c r="D109" s="44" t="s">
        <v>2423</v>
      </c>
      <c r="E109" s="6">
        <v>36</v>
      </c>
      <c r="F109" s="6">
        <v>2.5</v>
      </c>
      <c r="G109" s="6">
        <v>90</v>
      </c>
      <c r="H109" s="44" t="s">
        <v>127</v>
      </c>
      <c r="I109" s="44" t="s">
        <v>128</v>
      </c>
    </row>
    <row r="110" spans="1:9" ht="30" x14ac:dyDescent="0.25">
      <c r="A110" s="44" t="s">
        <v>124</v>
      </c>
      <c r="B110" s="6">
        <v>1160008</v>
      </c>
      <c r="C110" s="44" t="s">
        <v>2424</v>
      </c>
      <c r="D110" s="44" t="s">
        <v>2425</v>
      </c>
      <c r="E110" s="6">
        <v>24</v>
      </c>
      <c r="F110" s="6">
        <v>2.5</v>
      </c>
      <c r="G110" s="6">
        <v>60</v>
      </c>
      <c r="H110" s="44" t="s">
        <v>127</v>
      </c>
      <c r="I110" s="44" t="s">
        <v>128</v>
      </c>
    </row>
    <row r="111" spans="1:9" ht="30" x14ac:dyDescent="0.25">
      <c r="A111" s="44" t="s">
        <v>124</v>
      </c>
      <c r="B111" s="6">
        <v>1127026</v>
      </c>
      <c r="C111" s="44" t="s">
        <v>2426</v>
      </c>
      <c r="D111" s="44" t="s">
        <v>2427</v>
      </c>
      <c r="E111" s="6">
        <v>10</v>
      </c>
      <c r="F111" s="6">
        <v>20</v>
      </c>
      <c r="G111" s="6">
        <v>200</v>
      </c>
      <c r="H111" s="44" t="s">
        <v>127</v>
      </c>
      <c r="I111" s="44" t="s">
        <v>128</v>
      </c>
    </row>
    <row r="112" spans="1:9" ht="30" x14ac:dyDescent="0.25">
      <c r="A112" s="44" t="s">
        <v>124</v>
      </c>
      <c r="B112" s="6">
        <v>1129002</v>
      </c>
      <c r="C112" s="44" t="s">
        <v>2428</v>
      </c>
      <c r="D112" s="44" t="s">
        <v>2429</v>
      </c>
      <c r="E112" s="6">
        <v>6</v>
      </c>
      <c r="F112" s="6">
        <v>4</v>
      </c>
      <c r="G112" s="6">
        <v>24</v>
      </c>
      <c r="H112" s="44" t="s">
        <v>127</v>
      </c>
      <c r="I112" s="44" t="s">
        <v>128</v>
      </c>
    </row>
    <row r="113" spans="1:9" ht="60" x14ac:dyDescent="0.25">
      <c r="A113" s="44" t="s">
        <v>353</v>
      </c>
      <c r="B113" s="6">
        <v>6011012</v>
      </c>
      <c r="C113" s="44" t="s">
        <v>2430</v>
      </c>
      <c r="D113" s="44" t="s">
        <v>2431</v>
      </c>
      <c r="E113" s="6">
        <v>1006</v>
      </c>
      <c r="F113" s="6">
        <v>59.642000000000003</v>
      </c>
      <c r="G113" s="6" t="s">
        <v>2432</v>
      </c>
      <c r="H113" s="44" t="s">
        <v>374</v>
      </c>
      <c r="I113" s="44" t="s">
        <v>375</v>
      </c>
    </row>
    <row r="114" spans="1:9" ht="45" x14ac:dyDescent="0.25">
      <c r="A114" s="44" t="s">
        <v>75</v>
      </c>
      <c r="B114" s="6">
        <v>2151034</v>
      </c>
      <c r="C114" s="44" t="s">
        <v>2130</v>
      </c>
      <c r="D114" s="44" t="s">
        <v>2433</v>
      </c>
      <c r="E114" s="6">
        <v>23</v>
      </c>
      <c r="F114" s="6">
        <v>30</v>
      </c>
      <c r="G114" s="6">
        <v>690</v>
      </c>
      <c r="H114" s="44" t="s">
        <v>78</v>
      </c>
      <c r="I114" s="44" t="s">
        <v>79</v>
      </c>
    </row>
    <row r="115" spans="1:9" ht="30" x14ac:dyDescent="0.25">
      <c r="A115" s="44" t="s">
        <v>124</v>
      </c>
      <c r="B115" s="6">
        <v>1368001</v>
      </c>
      <c r="C115" s="44" t="s">
        <v>2434</v>
      </c>
      <c r="D115" s="44" t="s">
        <v>2435</v>
      </c>
      <c r="E115" s="6">
        <v>10</v>
      </c>
      <c r="F115" s="6">
        <v>60</v>
      </c>
      <c r="G115" s="6">
        <v>600</v>
      </c>
      <c r="H115" s="44" t="s">
        <v>127</v>
      </c>
      <c r="I115" s="44" t="s">
        <v>128</v>
      </c>
    </row>
    <row r="116" spans="1:9" ht="30" x14ac:dyDescent="0.25">
      <c r="A116" s="44" t="s">
        <v>124</v>
      </c>
      <c r="B116" s="6">
        <v>1150001</v>
      </c>
      <c r="C116" s="44" t="s">
        <v>2436</v>
      </c>
      <c r="D116" s="44" t="s">
        <v>2437</v>
      </c>
      <c r="E116" s="6">
        <v>10</v>
      </c>
      <c r="F116" s="6">
        <v>90</v>
      </c>
      <c r="G116" s="6">
        <v>900</v>
      </c>
      <c r="H116" s="44" t="s">
        <v>127</v>
      </c>
      <c r="I116" s="44" t="s">
        <v>128</v>
      </c>
    </row>
    <row r="117" spans="1:9" ht="30" x14ac:dyDescent="0.25">
      <c r="A117" s="44" t="s">
        <v>124</v>
      </c>
      <c r="B117" s="6">
        <v>1150001</v>
      </c>
      <c r="C117" s="44" t="s">
        <v>2436</v>
      </c>
      <c r="D117" s="44" t="s">
        <v>2438</v>
      </c>
      <c r="E117" s="6">
        <v>10</v>
      </c>
      <c r="F117" s="6">
        <v>100</v>
      </c>
      <c r="G117" s="6" t="s">
        <v>726</v>
      </c>
      <c r="H117" s="44" t="s">
        <v>127</v>
      </c>
      <c r="I117" s="44" t="s">
        <v>128</v>
      </c>
    </row>
    <row r="118" spans="1:9" ht="30" x14ac:dyDescent="0.25">
      <c r="A118" s="44" t="s">
        <v>124</v>
      </c>
      <c r="B118" s="6">
        <v>1150001</v>
      </c>
      <c r="C118" s="44" t="s">
        <v>2436</v>
      </c>
      <c r="D118" s="44" t="s">
        <v>2439</v>
      </c>
      <c r="E118" s="6">
        <v>10</v>
      </c>
      <c r="F118" s="6">
        <v>12</v>
      </c>
      <c r="G118" s="6">
        <v>120</v>
      </c>
      <c r="H118" s="44" t="s">
        <v>127</v>
      </c>
      <c r="I118" s="44" t="s">
        <v>128</v>
      </c>
    </row>
    <row r="119" spans="1:9" ht="30" x14ac:dyDescent="0.25">
      <c r="A119" s="44" t="s">
        <v>124</v>
      </c>
      <c r="B119" s="6">
        <v>1150001</v>
      </c>
      <c r="C119" s="44" t="s">
        <v>2436</v>
      </c>
      <c r="D119" s="44" t="s">
        <v>2440</v>
      </c>
      <c r="E119" s="6">
        <v>10</v>
      </c>
      <c r="F119" s="6">
        <v>100</v>
      </c>
      <c r="G119" s="6" t="s">
        <v>726</v>
      </c>
      <c r="H119" s="44" t="s">
        <v>127</v>
      </c>
      <c r="I119" s="44" t="s">
        <v>128</v>
      </c>
    </row>
    <row r="120" spans="1:9" ht="30" x14ac:dyDescent="0.25">
      <c r="A120" s="44" t="s">
        <v>124</v>
      </c>
      <c r="B120" s="6">
        <v>1150001</v>
      </c>
      <c r="C120" s="44" t="s">
        <v>2436</v>
      </c>
      <c r="D120" s="44" t="s">
        <v>2441</v>
      </c>
      <c r="E120" s="6">
        <v>40</v>
      </c>
      <c r="F120" s="6">
        <v>120</v>
      </c>
      <c r="G120" s="6" t="s">
        <v>1465</v>
      </c>
      <c r="H120" s="44" t="s">
        <v>127</v>
      </c>
      <c r="I120" s="44" t="s">
        <v>128</v>
      </c>
    </row>
    <row r="121" spans="1:9" ht="30" x14ac:dyDescent="0.25">
      <c r="A121" s="44" t="s">
        <v>124</v>
      </c>
      <c r="B121" s="6">
        <v>1150001</v>
      </c>
      <c r="C121" s="44" t="s">
        <v>2436</v>
      </c>
      <c r="D121" s="44" t="s">
        <v>2442</v>
      </c>
      <c r="E121" s="6">
        <v>10</v>
      </c>
      <c r="F121" s="6">
        <v>20</v>
      </c>
      <c r="G121" s="6">
        <v>200</v>
      </c>
      <c r="H121" s="44" t="s">
        <v>127</v>
      </c>
      <c r="I121" s="44" t="s">
        <v>128</v>
      </c>
    </row>
    <row r="122" spans="1:9" ht="30" x14ac:dyDescent="0.25">
      <c r="A122" s="44" t="s">
        <v>124</v>
      </c>
      <c r="B122" s="6">
        <v>1150001</v>
      </c>
      <c r="C122" s="44" t="s">
        <v>2436</v>
      </c>
      <c r="D122" s="44" t="s">
        <v>2443</v>
      </c>
      <c r="E122" s="6">
        <v>20</v>
      </c>
      <c r="F122" s="6">
        <v>10</v>
      </c>
      <c r="G122" s="6">
        <v>200</v>
      </c>
      <c r="H122" s="44" t="s">
        <v>127</v>
      </c>
      <c r="I122" s="44" t="s">
        <v>128</v>
      </c>
    </row>
    <row r="123" spans="1:9" ht="30" x14ac:dyDescent="0.25">
      <c r="A123" s="44" t="s">
        <v>124</v>
      </c>
      <c r="B123" s="6">
        <v>1150001</v>
      </c>
      <c r="C123" s="44" t="s">
        <v>2436</v>
      </c>
      <c r="D123" s="44" t="s">
        <v>2444</v>
      </c>
      <c r="E123" s="6">
        <v>40</v>
      </c>
      <c r="F123" s="6">
        <v>200</v>
      </c>
      <c r="G123" s="6" t="s">
        <v>990</v>
      </c>
      <c r="H123" s="44" t="s">
        <v>127</v>
      </c>
      <c r="I123" s="44" t="s">
        <v>128</v>
      </c>
    </row>
    <row r="124" spans="1:9" ht="30" x14ac:dyDescent="0.25">
      <c r="A124" s="44" t="s">
        <v>124</v>
      </c>
      <c r="B124" s="6">
        <v>1150001</v>
      </c>
      <c r="C124" s="44" t="s">
        <v>2436</v>
      </c>
      <c r="D124" s="44" t="s">
        <v>2445</v>
      </c>
      <c r="E124" s="6">
        <v>10</v>
      </c>
      <c r="F124" s="6">
        <v>15</v>
      </c>
      <c r="G124" s="6">
        <v>150</v>
      </c>
      <c r="H124" s="44" t="s">
        <v>127</v>
      </c>
      <c r="I124" s="44" t="s">
        <v>128</v>
      </c>
    </row>
    <row r="125" spans="1:9" ht="30" x14ac:dyDescent="0.25">
      <c r="A125" s="44" t="s">
        <v>124</v>
      </c>
      <c r="B125" s="6">
        <v>1150001</v>
      </c>
      <c r="C125" s="44" t="s">
        <v>2436</v>
      </c>
      <c r="D125" s="44" t="s">
        <v>2446</v>
      </c>
      <c r="E125" s="6">
        <v>10</v>
      </c>
      <c r="F125" s="6">
        <v>40</v>
      </c>
      <c r="G125" s="6">
        <v>400</v>
      </c>
      <c r="H125" s="44" t="s">
        <v>127</v>
      </c>
      <c r="I125" s="44" t="s">
        <v>128</v>
      </c>
    </row>
    <row r="126" spans="1:9" ht="30" x14ac:dyDescent="0.25">
      <c r="A126" s="44" t="s">
        <v>124</v>
      </c>
      <c r="B126" s="6">
        <v>1150001</v>
      </c>
      <c r="C126" s="44" t="s">
        <v>2436</v>
      </c>
      <c r="D126" s="44" t="s">
        <v>2447</v>
      </c>
      <c r="E126" s="6">
        <v>20</v>
      </c>
      <c r="F126" s="6">
        <v>12.5</v>
      </c>
      <c r="G126" s="6">
        <v>250</v>
      </c>
      <c r="H126" s="44" t="s">
        <v>127</v>
      </c>
      <c r="I126" s="44" t="s">
        <v>128</v>
      </c>
    </row>
    <row r="127" spans="1:9" ht="30" x14ac:dyDescent="0.25">
      <c r="A127" s="44" t="s">
        <v>124</v>
      </c>
      <c r="B127" s="6">
        <v>1150001</v>
      </c>
      <c r="C127" s="44" t="s">
        <v>2436</v>
      </c>
      <c r="D127" s="44" t="s">
        <v>2448</v>
      </c>
      <c r="E127" s="6">
        <v>10</v>
      </c>
      <c r="F127" s="6">
        <v>150</v>
      </c>
      <c r="G127" s="6" t="s">
        <v>800</v>
      </c>
      <c r="H127" s="44" t="s">
        <v>127</v>
      </c>
      <c r="I127" s="44" t="s">
        <v>128</v>
      </c>
    </row>
    <row r="128" spans="1:9" ht="30" x14ac:dyDescent="0.25">
      <c r="A128" s="44" t="s">
        <v>124</v>
      </c>
      <c r="B128" s="6">
        <v>1150001</v>
      </c>
      <c r="C128" s="44" t="s">
        <v>2436</v>
      </c>
      <c r="D128" s="44" t="s">
        <v>2449</v>
      </c>
      <c r="E128" s="6">
        <v>10</v>
      </c>
      <c r="F128" s="6">
        <v>50</v>
      </c>
      <c r="G128" s="6">
        <v>500</v>
      </c>
      <c r="H128" s="44" t="s">
        <v>127</v>
      </c>
      <c r="I128" s="44" t="s">
        <v>128</v>
      </c>
    </row>
    <row r="129" spans="1:9" ht="30" x14ac:dyDescent="0.25">
      <c r="A129" s="44" t="s">
        <v>124</v>
      </c>
      <c r="B129" s="6">
        <v>1150001</v>
      </c>
      <c r="C129" s="44" t="s">
        <v>2436</v>
      </c>
      <c r="D129" s="44" t="s">
        <v>2450</v>
      </c>
      <c r="E129" s="6">
        <v>18</v>
      </c>
      <c r="F129" s="6">
        <v>100</v>
      </c>
      <c r="G129" s="6" t="s">
        <v>861</v>
      </c>
      <c r="H129" s="44" t="s">
        <v>127</v>
      </c>
      <c r="I129" s="44" t="s">
        <v>128</v>
      </c>
    </row>
    <row r="130" spans="1:9" ht="45" x14ac:dyDescent="0.25">
      <c r="A130" s="44" t="s">
        <v>334</v>
      </c>
      <c r="B130" s="6">
        <v>1117001</v>
      </c>
      <c r="C130" s="44" t="s">
        <v>2451</v>
      </c>
      <c r="D130" s="44" t="s">
        <v>2452</v>
      </c>
      <c r="E130" s="6">
        <v>6</v>
      </c>
      <c r="F130" s="6">
        <v>8.1</v>
      </c>
      <c r="G130" s="6">
        <v>48.6</v>
      </c>
      <c r="H130" s="44" t="s">
        <v>337</v>
      </c>
      <c r="I130" s="44" t="s">
        <v>338</v>
      </c>
    </row>
    <row r="131" spans="1:9" ht="30" x14ac:dyDescent="0.25">
      <c r="A131" s="44" t="s">
        <v>75</v>
      </c>
      <c r="B131" s="6">
        <v>157200002</v>
      </c>
      <c r="C131" s="44" t="s">
        <v>2236</v>
      </c>
      <c r="D131" s="44" t="s">
        <v>2453</v>
      </c>
      <c r="E131" s="6">
        <v>2</v>
      </c>
      <c r="F131" s="6">
        <v>80</v>
      </c>
      <c r="G131" s="6">
        <v>160</v>
      </c>
      <c r="H131" s="44" t="s">
        <v>78</v>
      </c>
      <c r="I131" s="44" t="s">
        <v>79</v>
      </c>
    </row>
    <row r="132" spans="1:9" ht="90" x14ac:dyDescent="0.25">
      <c r="A132" s="44" t="s">
        <v>75</v>
      </c>
      <c r="B132" s="6">
        <v>1192001</v>
      </c>
      <c r="C132" s="44" t="s">
        <v>2454</v>
      </c>
      <c r="D132" s="44" t="s">
        <v>2455</v>
      </c>
      <c r="E132" s="6">
        <v>12</v>
      </c>
      <c r="F132" s="6">
        <v>43</v>
      </c>
      <c r="G132" s="6">
        <v>516</v>
      </c>
      <c r="H132" s="44" t="s">
        <v>78</v>
      </c>
      <c r="I132" s="44" t="s">
        <v>79</v>
      </c>
    </row>
    <row r="133" spans="1:9" ht="90" x14ac:dyDescent="0.25">
      <c r="A133" s="44" t="s">
        <v>75</v>
      </c>
      <c r="B133" s="6">
        <v>1192001</v>
      </c>
      <c r="C133" s="44" t="s">
        <v>2454</v>
      </c>
      <c r="D133" s="44" t="s">
        <v>2456</v>
      </c>
      <c r="E133" s="6">
        <v>12</v>
      </c>
      <c r="F133" s="6">
        <v>43</v>
      </c>
      <c r="G133" s="6">
        <v>516</v>
      </c>
      <c r="H133" s="44" t="s">
        <v>78</v>
      </c>
      <c r="I133" s="44" t="s">
        <v>79</v>
      </c>
    </row>
    <row r="134" spans="1:9" ht="75" x14ac:dyDescent="0.25">
      <c r="A134" s="44" t="s">
        <v>75</v>
      </c>
      <c r="B134" s="6">
        <v>1192001</v>
      </c>
      <c r="C134" s="44" t="s">
        <v>2454</v>
      </c>
      <c r="D134" s="44" t="s">
        <v>2457</v>
      </c>
      <c r="E134" s="6">
        <v>40</v>
      </c>
      <c r="F134" s="6">
        <v>43</v>
      </c>
      <c r="G134" s="6" t="s">
        <v>2458</v>
      </c>
      <c r="H134" s="44" t="s">
        <v>78</v>
      </c>
      <c r="I134" s="44" t="s">
        <v>79</v>
      </c>
    </row>
    <row r="135" spans="1:9" ht="45" x14ac:dyDescent="0.25">
      <c r="A135" s="44" t="s">
        <v>75</v>
      </c>
      <c r="B135" s="6">
        <v>1192001</v>
      </c>
      <c r="C135" s="44" t="s">
        <v>2454</v>
      </c>
      <c r="D135" s="44" t="s">
        <v>2459</v>
      </c>
      <c r="E135" s="6">
        <v>3</v>
      </c>
      <c r="F135" s="6">
        <v>85</v>
      </c>
      <c r="G135" s="6">
        <v>255</v>
      </c>
      <c r="H135" s="44" t="s">
        <v>78</v>
      </c>
      <c r="I135" s="44" t="s">
        <v>79</v>
      </c>
    </row>
    <row r="136" spans="1:9" ht="60" x14ac:dyDescent="0.25">
      <c r="A136" s="44" t="s">
        <v>75</v>
      </c>
      <c r="B136" s="6">
        <v>1192001</v>
      </c>
      <c r="C136" s="44" t="s">
        <v>2454</v>
      </c>
      <c r="D136" s="44" t="s">
        <v>2460</v>
      </c>
      <c r="E136" s="6">
        <v>40</v>
      </c>
      <c r="F136" s="6">
        <v>55.189</v>
      </c>
      <c r="G136" s="6" t="s">
        <v>2461</v>
      </c>
      <c r="H136" s="44" t="s">
        <v>78</v>
      </c>
      <c r="I136" s="44" t="s">
        <v>79</v>
      </c>
    </row>
    <row r="137" spans="1:9" ht="90" x14ac:dyDescent="0.25">
      <c r="A137" s="44" t="s">
        <v>75</v>
      </c>
      <c r="B137" s="6">
        <v>1192001</v>
      </c>
      <c r="C137" s="44" t="s">
        <v>2454</v>
      </c>
      <c r="D137" s="44" t="s">
        <v>2462</v>
      </c>
      <c r="E137" s="6">
        <v>40</v>
      </c>
      <c r="F137" s="6">
        <v>50</v>
      </c>
      <c r="G137" s="6" t="s">
        <v>814</v>
      </c>
      <c r="H137" s="44" t="s">
        <v>78</v>
      </c>
      <c r="I137" s="44" t="s">
        <v>79</v>
      </c>
    </row>
    <row r="138" spans="1:9" ht="75" x14ac:dyDescent="0.25">
      <c r="A138" s="44" t="s">
        <v>75</v>
      </c>
      <c r="B138" s="6">
        <v>1192001</v>
      </c>
      <c r="C138" s="44" t="s">
        <v>2454</v>
      </c>
      <c r="D138" s="44" t="s">
        <v>2463</v>
      </c>
      <c r="E138" s="6">
        <v>4</v>
      </c>
      <c r="F138" s="6">
        <v>46</v>
      </c>
      <c r="G138" s="6">
        <v>184</v>
      </c>
      <c r="H138" s="44" t="s">
        <v>78</v>
      </c>
      <c r="I138" s="44" t="s">
        <v>79</v>
      </c>
    </row>
    <row r="139" spans="1:9" ht="45" x14ac:dyDescent="0.25">
      <c r="A139" s="44" t="s">
        <v>75</v>
      </c>
      <c r="B139" s="6">
        <v>1192001</v>
      </c>
      <c r="C139" s="44" t="s">
        <v>2454</v>
      </c>
      <c r="D139" s="44" t="s">
        <v>2464</v>
      </c>
      <c r="E139" s="6">
        <v>20</v>
      </c>
      <c r="F139" s="6">
        <v>15</v>
      </c>
      <c r="G139" s="6">
        <v>300</v>
      </c>
      <c r="H139" s="44" t="s">
        <v>78</v>
      </c>
      <c r="I139" s="44" t="s">
        <v>79</v>
      </c>
    </row>
    <row r="140" spans="1:9" ht="75" x14ac:dyDescent="0.25">
      <c r="A140" s="44" t="s">
        <v>75</v>
      </c>
      <c r="B140" s="6">
        <v>1192001</v>
      </c>
      <c r="C140" s="44" t="s">
        <v>2454</v>
      </c>
      <c r="D140" s="44" t="s">
        <v>2465</v>
      </c>
      <c r="E140" s="6">
        <v>4</v>
      </c>
      <c r="F140" s="6">
        <v>46</v>
      </c>
      <c r="G140" s="6">
        <v>184</v>
      </c>
      <c r="H140" s="44" t="s">
        <v>78</v>
      </c>
      <c r="I140" s="44" t="s">
        <v>79</v>
      </c>
    </row>
    <row r="141" spans="1:9" ht="75" x14ac:dyDescent="0.25">
      <c r="A141" s="44" t="s">
        <v>75</v>
      </c>
      <c r="B141" s="6">
        <v>1192001</v>
      </c>
      <c r="C141" s="44" t="s">
        <v>2454</v>
      </c>
      <c r="D141" s="44" t="s">
        <v>2466</v>
      </c>
      <c r="E141" s="6">
        <v>20</v>
      </c>
      <c r="F141" s="6">
        <v>46</v>
      </c>
      <c r="G141" s="6">
        <v>920</v>
      </c>
      <c r="H141" s="44" t="s">
        <v>78</v>
      </c>
      <c r="I141" s="44" t="s">
        <v>79</v>
      </c>
    </row>
    <row r="142" spans="1:9" ht="75" x14ac:dyDescent="0.25">
      <c r="A142" s="44" t="s">
        <v>75</v>
      </c>
      <c r="B142" s="6">
        <v>1192001</v>
      </c>
      <c r="C142" s="44" t="s">
        <v>2454</v>
      </c>
      <c r="D142" s="44" t="s">
        <v>2467</v>
      </c>
      <c r="E142" s="6">
        <v>20</v>
      </c>
      <c r="F142" s="6">
        <v>46</v>
      </c>
      <c r="G142" s="6">
        <v>920</v>
      </c>
      <c r="H142" s="44" t="s">
        <v>78</v>
      </c>
      <c r="I142" s="44" t="s">
        <v>79</v>
      </c>
    </row>
    <row r="143" spans="1:9" ht="75" x14ac:dyDescent="0.25">
      <c r="A143" s="44" t="s">
        <v>75</v>
      </c>
      <c r="B143" s="6">
        <v>1192001</v>
      </c>
      <c r="C143" s="44" t="s">
        <v>2454</v>
      </c>
      <c r="D143" s="44" t="s">
        <v>2468</v>
      </c>
      <c r="E143" s="6">
        <v>5</v>
      </c>
      <c r="F143" s="6">
        <v>50</v>
      </c>
      <c r="G143" s="6">
        <v>250</v>
      </c>
      <c r="H143" s="44" t="s">
        <v>78</v>
      </c>
      <c r="I143" s="44" t="s">
        <v>79</v>
      </c>
    </row>
    <row r="144" spans="1:9" ht="75" x14ac:dyDescent="0.25">
      <c r="A144" s="44" t="s">
        <v>75</v>
      </c>
      <c r="B144" s="6">
        <v>1192001</v>
      </c>
      <c r="C144" s="44" t="s">
        <v>2454</v>
      </c>
      <c r="D144" s="44" t="s">
        <v>2469</v>
      </c>
      <c r="E144" s="6">
        <v>12</v>
      </c>
      <c r="F144" s="6">
        <v>43</v>
      </c>
      <c r="G144" s="6">
        <v>516</v>
      </c>
      <c r="H144" s="44" t="s">
        <v>78</v>
      </c>
      <c r="I144" s="44" t="s">
        <v>79</v>
      </c>
    </row>
    <row r="145" spans="1:9" ht="75" x14ac:dyDescent="0.25">
      <c r="A145" s="44" t="s">
        <v>75</v>
      </c>
      <c r="B145" s="6">
        <v>1192001</v>
      </c>
      <c r="C145" s="44" t="s">
        <v>2454</v>
      </c>
      <c r="D145" s="44" t="s">
        <v>2470</v>
      </c>
      <c r="E145" s="6">
        <v>12</v>
      </c>
      <c r="F145" s="6">
        <v>43</v>
      </c>
      <c r="G145" s="6">
        <v>516</v>
      </c>
      <c r="H145" s="44" t="s">
        <v>78</v>
      </c>
      <c r="I145" s="44" t="s">
        <v>79</v>
      </c>
    </row>
    <row r="146" spans="1:9" ht="75" x14ac:dyDescent="0.25">
      <c r="A146" s="44" t="s">
        <v>75</v>
      </c>
      <c r="B146" s="6">
        <v>1192001</v>
      </c>
      <c r="C146" s="44" t="s">
        <v>2454</v>
      </c>
      <c r="D146" s="44" t="s">
        <v>2471</v>
      </c>
      <c r="E146" s="6">
        <v>10</v>
      </c>
      <c r="F146" s="6">
        <v>46</v>
      </c>
      <c r="G146" s="6">
        <v>460</v>
      </c>
      <c r="H146" s="44" t="s">
        <v>78</v>
      </c>
      <c r="I146" s="44" t="s">
        <v>79</v>
      </c>
    </row>
    <row r="147" spans="1:9" ht="75" x14ac:dyDescent="0.25">
      <c r="A147" s="44" t="s">
        <v>75</v>
      </c>
      <c r="B147" s="6">
        <v>1192001</v>
      </c>
      <c r="C147" s="44" t="s">
        <v>2454</v>
      </c>
      <c r="D147" s="44" t="s">
        <v>2472</v>
      </c>
      <c r="E147" s="6">
        <v>6</v>
      </c>
      <c r="F147" s="6">
        <v>46</v>
      </c>
      <c r="G147" s="6">
        <v>276</v>
      </c>
      <c r="H147" s="44" t="s">
        <v>78</v>
      </c>
      <c r="I147" s="44" t="s">
        <v>79</v>
      </c>
    </row>
    <row r="148" spans="1:9" ht="45" x14ac:dyDescent="0.25">
      <c r="A148" s="44" t="s">
        <v>75</v>
      </c>
      <c r="B148" s="6">
        <v>1192001</v>
      </c>
      <c r="C148" s="44" t="s">
        <v>2454</v>
      </c>
      <c r="D148" s="44" t="s">
        <v>2464</v>
      </c>
      <c r="E148" s="6">
        <v>20</v>
      </c>
      <c r="F148" s="6">
        <v>15</v>
      </c>
      <c r="G148" s="6">
        <v>300</v>
      </c>
      <c r="H148" s="44" t="s">
        <v>78</v>
      </c>
      <c r="I148" s="44" t="s">
        <v>79</v>
      </c>
    </row>
    <row r="149" spans="1:9" ht="75" x14ac:dyDescent="0.25">
      <c r="A149" s="44" t="s">
        <v>75</v>
      </c>
      <c r="B149" s="6">
        <v>1192001</v>
      </c>
      <c r="C149" s="44" t="s">
        <v>2454</v>
      </c>
      <c r="D149" s="44" t="s">
        <v>2473</v>
      </c>
      <c r="E149" s="6">
        <v>10</v>
      </c>
      <c r="F149" s="6">
        <v>50</v>
      </c>
      <c r="G149" s="6">
        <v>500</v>
      </c>
      <c r="H149" s="44" t="s">
        <v>78</v>
      </c>
      <c r="I149" s="44" t="s">
        <v>79</v>
      </c>
    </row>
    <row r="150" spans="1:9" ht="75" x14ac:dyDescent="0.25">
      <c r="A150" s="44" t="s">
        <v>75</v>
      </c>
      <c r="B150" s="6">
        <v>1192001</v>
      </c>
      <c r="C150" s="44" t="s">
        <v>2454</v>
      </c>
      <c r="D150" s="44" t="s">
        <v>2474</v>
      </c>
      <c r="E150" s="6">
        <v>6</v>
      </c>
      <c r="F150" s="6">
        <v>46</v>
      </c>
      <c r="G150" s="6">
        <v>276</v>
      </c>
      <c r="H150" s="44" t="s">
        <v>78</v>
      </c>
      <c r="I150" s="44" t="s">
        <v>79</v>
      </c>
    </row>
    <row r="151" spans="1:9" ht="45" x14ac:dyDescent="0.25">
      <c r="A151" s="44" t="s">
        <v>75</v>
      </c>
      <c r="B151" s="6">
        <v>1192001</v>
      </c>
      <c r="C151" s="44" t="s">
        <v>2454</v>
      </c>
      <c r="D151" s="44" t="s">
        <v>2475</v>
      </c>
      <c r="E151" s="6">
        <v>6</v>
      </c>
      <c r="F151" s="6">
        <v>70</v>
      </c>
      <c r="G151" s="6">
        <v>420</v>
      </c>
      <c r="H151" s="44" t="s">
        <v>78</v>
      </c>
      <c r="I151" s="44" t="s">
        <v>79</v>
      </c>
    </row>
    <row r="152" spans="1:9" ht="90" x14ac:dyDescent="0.25">
      <c r="A152" s="44" t="s">
        <v>75</v>
      </c>
      <c r="B152" s="6">
        <v>1192001</v>
      </c>
      <c r="C152" s="44" t="s">
        <v>2454</v>
      </c>
      <c r="D152" s="44" t="s">
        <v>2476</v>
      </c>
      <c r="E152" s="6">
        <v>12</v>
      </c>
      <c r="F152" s="6">
        <v>43</v>
      </c>
      <c r="G152" s="6">
        <v>516</v>
      </c>
      <c r="H152" s="44" t="s">
        <v>78</v>
      </c>
      <c r="I152" s="44" t="s">
        <v>79</v>
      </c>
    </row>
    <row r="153" spans="1:9" ht="90" x14ac:dyDescent="0.25">
      <c r="A153" s="44" t="s">
        <v>75</v>
      </c>
      <c r="B153" s="6">
        <v>1192001</v>
      </c>
      <c r="C153" s="44" t="s">
        <v>2454</v>
      </c>
      <c r="D153" s="44" t="s">
        <v>2477</v>
      </c>
      <c r="E153" s="6">
        <v>12</v>
      </c>
      <c r="F153" s="6">
        <v>43</v>
      </c>
      <c r="G153" s="6">
        <v>516</v>
      </c>
      <c r="H153" s="44" t="s">
        <v>78</v>
      </c>
      <c r="I153" s="44" t="s">
        <v>79</v>
      </c>
    </row>
    <row r="154" spans="1:9" ht="60" x14ac:dyDescent="0.25">
      <c r="A154" s="44" t="s">
        <v>75</v>
      </c>
      <c r="B154" s="6">
        <v>1192001</v>
      </c>
      <c r="C154" s="44" t="s">
        <v>2454</v>
      </c>
      <c r="D154" s="44" t="s">
        <v>2478</v>
      </c>
      <c r="E154" s="6">
        <v>10</v>
      </c>
      <c r="F154" s="6">
        <v>72</v>
      </c>
      <c r="G154" s="6">
        <v>720</v>
      </c>
      <c r="H154" s="44" t="s">
        <v>78</v>
      </c>
      <c r="I154" s="44" t="s">
        <v>79</v>
      </c>
    </row>
    <row r="155" spans="1:9" ht="75" x14ac:dyDescent="0.25">
      <c r="A155" s="44" t="s">
        <v>75</v>
      </c>
      <c r="B155" s="6">
        <v>1192001</v>
      </c>
      <c r="C155" s="44" t="s">
        <v>2454</v>
      </c>
      <c r="D155" s="44" t="s">
        <v>2479</v>
      </c>
      <c r="E155" s="6">
        <v>12</v>
      </c>
      <c r="F155" s="6">
        <v>43</v>
      </c>
      <c r="G155" s="6">
        <v>516</v>
      </c>
      <c r="H155" s="44" t="s">
        <v>78</v>
      </c>
      <c r="I155" s="44" t="s">
        <v>79</v>
      </c>
    </row>
    <row r="156" spans="1:9" ht="60" x14ac:dyDescent="0.25">
      <c r="A156" s="44" t="s">
        <v>75</v>
      </c>
      <c r="B156" s="6">
        <v>1192001</v>
      </c>
      <c r="C156" s="44" t="s">
        <v>2454</v>
      </c>
      <c r="D156" s="44" t="s">
        <v>2480</v>
      </c>
      <c r="E156" s="6">
        <v>10</v>
      </c>
      <c r="F156" s="6">
        <v>43</v>
      </c>
      <c r="G156" s="6">
        <v>430</v>
      </c>
      <c r="H156" s="44" t="s">
        <v>78</v>
      </c>
      <c r="I156" s="44" t="s">
        <v>79</v>
      </c>
    </row>
    <row r="157" spans="1:9" ht="75" x14ac:dyDescent="0.25">
      <c r="A157" s="44" t="s">
        <v>75</v>
      </c>
      <c r="B157" s="6">
        <v>1192001</v>
      </c>
      <c r="C157" s="44" t="s">
        <v>2454</v>
      </c>
      <c r="D157" s="44" t="s">
        <v>2481</v>
      </c>
      <c r="E157" s="6">
        <v>8</v>
      </c>
      <c r="F157" s="6">
        <v>50</v>
      </c>
      <c r="G157" s="6">
        <v>400</v>
      </c>
      <c r="H157" s="44" t="s">
        <v>78</v>
      </c>
      <c r="I157" s="44" t="s">
        <v>79</v>
      </c>
    </row>
    <row r="158" spans="1:9" ht="75" x14ac:dyDescent="0.25">
      <c r="A158" s="44" t="s">
        <v>75</v>
      </c>
      <c r="B158" s="6">
        <v>1192001</v>
      </c>
      <c r="C158" s="44" t="s">
        <v>2454</v>
      </c>
      <c r="D158" s="44" t="s">
        <v>2482</v>
      </c>
      <c r="E158" s="6">
        <v>12</v>
      </c>
      <c r="F158" s="6">
        <v>43</v>
      </c>
      <c r="G158" s="6">
        <v>516</v>
      </c>
      <c r="H158" s="44" t="s">
        <v>78</v>
      </c>
      <c r="I158" s="44" t="s">
        <v>79</v>
      </c>
    </row>
    <row r="159" spans="1:9" ht="90" x14ac:dyDescent="0.25">
      <c r="A159" s="44" t="s">
        <v>75</v>
      </c>
      <c r="B159" s="6">
        <v>1192001</v>
      </c>
      <c r="C159" s="44" t="s">
        <v>2454</v>
      </c>
      <c r="D159" s="44" t="s">
        <v>2483</v>
      </c>
      <c r="E159" s="6">
        <v>12</v>
      </c>
      <c r="F159" s="6">
        <v>43</v>
      </c>
      <c r="G159" s="6">
        <v>516</v>
      </c>
      <c r="H159" s="44" t="s">
        <v>78</v>
      </c>
      <c r="I159" s="44" t="s">
        <v>79</v>
      </c>
    </row>
    <row r="160" spans="1:9" ht="60" x14ac:dyDescent="0.25">
      <c r="A160" s="44" t="s">
        <v>75</v>
      </c>
      <c r="B160" s="6">
        <v>1192001</v>
      </c>
      <c r="C160" s="44" t="s">
        <v>2454</v>
      </c>
      <c r="D160" s="44" t="s">
        <v>2484</v>
      </c>
      <c r="E160" s="6">
        <v>2</v>
      </c>
      <c r="F160" s="6">
        <v>43</v>
      </c>
      <c r="G160" s="6">
        <v>86</v>
      </c>
      <c r="H160" s="44" t="s">
        <v>78</v>
      </c>
      <c r="I160" s="44" t="s">
        <v>79</v>
      </c>
    </row>
    <row r="161" spans="1:9" ht="75" x14ac:dyDescent="0.25">
      <c r="A161" s="44" t="s">
        <v>75</v>
      </c>
      <c r="B161" s="6">
        <v>1192001</v>
      </c>
      <c r="C161" s="44" t="s">
        <v>2454</v>
      </c>
      <c r="D161" s="44" t="s">
        <v>2485</v>
      </c>
      <c r="E161" s="6">
        <v>12</v>
      </c>
      <c r="F161" s="6">
        <v>43</v>
      </c>
      <c r="G161" s="6">
        <v>516</v>
      </c>
      <c r="H161" s="44" t="s">
        <v>78</v>
      </c>
      <c r="I161" s="44" t="s">
        <v>79</v>
      </c>
    </row>
    <row r="162" spans="1:9" ht="60" x14ac:dyDescent="0.25">
      <c r="A162" s="44" t="s">
        <v>75</v>
      </c>
      <c r="B162" s="6">
        <v>1192001</v>
      </c>
      <c r="C162" s="44" t="s">
        <v>2454</v>
      </c>
      <c r="D162" s="44" t="s">
        <v>2486</v>
      </c>
      <c r="E162" s="6">
        <v>12</v>
      </c>
      <c r="F162" s="6">
        <v>43</v>
      </c>
      <c r="G162" s="6">
        <v>516</v>
      </c>
      <c r="H162" s="44" t="s">
        <v>78</v>
      </c>
      <c r="I162" s="44" t="s">
        <v>79</v>
      </c>
    </row>
    <row r="163" spans="1:9" ht="30" x14ac:dyDescent="0.25">
      <c r="A163" s="44" t="s">
        <v>75</v>
      </c>
      <c r="B163" s="6">
        <v>1192001</v>
      </c>
      <c r="C163" s="44" t="s">
        <v>2454</v>
      </c>
      <c r="D163" s="44" t="s">
        <v>2487</v>
      </c>
      <c r="E163" s="6">
        <v>1</v>
      </c>
      <c r="F163" s="6">
        <v>294.34500000000003</v>
      </c>
      <c r="G163" s="6">
        <v>294.34500000000003</v>
      </c>
      <c r="H163" s="44" t="s">
        <v>78</v>
      </c>
      <c r="I163" s="44" t="s">
        <v>79</v>
      </c>
    </row>
    <row r="164" spans="1:9" ht="75" x14ac:dyDescent="0.25">
      <c r="A164" s="44" t="s">
        <v>75</v>
      </c>
      <c r="B164" s="6">
        <v>1192001</v>
      </c>
      <c r="C164" s="44" t="s">
        <v>2454</v>
      </c>
      <c r="D164" s="44" t="s">
        <v>2488</v>
      </c>
      <c r="E164" s="6">
        <v>4</v>
      </c>
      <c r="F164" s="6">
        <v>156.37100000000001</v>
      </c>
      <c r="G164" s="6">
        <v>625.48400000000004</v>
      </c>
      <c r="H164" s="44" t="s">
        <v>78</v>
      </c>
      <c r="I164" s="44" t="s">
        <v>79</v>
      </c>
    </row>
    <row r="165" spans="1:9" ht="75" x14ac:dyDescent="0.25">
      <c r="A165" s="44" t="s">
        <v>75</v>
      </c>
      <c r="B165" s="6">
        <v>1192001</v>
      </c>
      <c r="C165" s="44" t="s">
        <v>2454</v>
      </c>
      <c r="D165" s="44" t="s">
        <v>2489</v>
      </c>
      <c r="E165" s="6">
        <v>4</v>
      </c>
      <c r="F165" s="6">
        <v>50</v>
      </c>
      <c r="G165" s="6">
        <v>200</v>
      </c>
      <c r="H165" s="44" t="s">
        <v>78</v>
      </c>
      <c r="I165" s="44" t="s">
        <v>79</v>
      </c>
    </row>
    <row r="166" spans="1:9" ht="75" x14ac:dyDescent="0.25">
      <c r="A166" s="44" t="s">
        <v>75</v>
      </c>
      <c r="B166" s="6">
        <v>1192001</v>
      </c>
      <c r="C166" s="44" t="s">
        <v>2454</v>
      </c>
      <c r="D166" s="44" t="s">
        <v>2490</v>
      </c>
      <c r="E166" s="6">
        <v>5</v>
      </c>
      <c r="F166" s="6">
        <v>50</v>
      </c>
      <c r="G166" s="6">
        <v>250</v>
      </c>
      <c r="H166" s="44" t="s">
        <v>78</v>
      </c>
      <c r="I166" s="44" t="s">
        <v>79</v>
      </c>
    </row>
    <row r="167" spans="1:9" ht="45" x14ac:dyDescent="0.25">
      <c r="A167" s="44" t="s">
        <v>105</v>
      </c>
      <c r="B167" s="6">
        <v>2049009</v>
      </c>
      <c r="C167" s="44" t="s">
        <v>2257</v>
      </c>
      <c r="D167" s="44"/>
      <c r="E167" s="6">
        <v>12</v>
      </c>
      <c r="F167" s="6">
        <v>280</v>
      </c>
      <c r="G167" s="6" t="s">
        <v>2491</v>
      </c>
      <c r="H167" s="44" t="s">
        <v>110</v>
      </c>
      <c r="I167" s="44" t="s">
        <v>111</v>
      </c>
    </row>
    <row r="168" spans="1:9" ht="45" x14ac:dyDescent="0.25">
      <c r="A168" s="44" t="s">
        <v>124</v>
      </c>
      <c r="B168" s="6">
        <v>6011402</v>
      </c>
      <c r="C168" s="44" t="s">
        <v>2265</v>
      </c>
      <c r="D168" s="44"/>
      <c r="E168" s="6">
        <v>5</v>
      </c>
      <c r="F168" s="6">
        <v>140</v>
      </c>
      <c r="G168" s="6">
        <v>700</v>
      </c>
      <c r="H168" s="44" t="s">
        <v>127</v>
      </c>
      <c r="I168" s="44" t="s">
        <v>128</v>
      </c>
    </row>
    <row r="169" spans="1:9" ht="30" x14ac:dyDescent="0.25">
      <c r="A169" s="44" t="s">
        <v>124</v>
      </c>
      <c r="B169" s="6">
        <v>1127021</v>
      </c>
      <c r="C169" s="44" t="s">
        <v>2492</v>
      </c>
      <c r="D169" s="44" t="s">
        <v>2493</v>
      </c>
      <c r="E169" s="6">
        <v>25</v>
      </c>
      <c r="F169" s="6">
        <v>63.115000000000002</v>
      </c>
      <c r="G169" s="6" t="s">
        <v>2494</v>
      </c>
      <c r="H169" s="44" t="s">
        <v>127</v>
      </c>
      <c r="I169" s="44" t="s">
        <v>128</v>
      </c>
    </row>
    <row r="170" spans="1:9" ht="30" x14ac:dyDescent="0.25">
      <c r="A170" s="1516" t="s">
        <v>695</v>
      </c>
      <c r="B170" s="1517"/>
      <c r="C170" s="1517"/>
      <c r="D170" s="1517"/>
      <c r="E170" s="1517"/>
      <c r="F170" s="1518"/>
      <c r="G170" s="44" t="s">
        <v>679</v>
      </c>
      <c r="H170" s="1519"/>
      <c r="I170" s="1520"/>
    </row>
  </sheetData>
  <mergeCells count="2">
    <mergeCell ref="A170:F170"/>
    <mergeCell ref="H170:I170"/>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K78"/>
  <sheetViews>
    <sheetView topLeftCell="A48" zoomScale="70" zoomScaleNormal="70" workbookViewId="0">
      <selection activeCell="L50" sqref="L50"/>
    </sheetView>
  </sheetViews>
  <sheetFormatPr baseColWidth="10" defaultColWidth="11.42578125" defaultRowHeight="15" x14ac:dyDescent="0.25"/>
  <cols>
    <col min="1" max="1" width="19.140625" customWidth="1"/>
    <col min="2" max="2" width="12.42578125" customWidth="1"/>
    <col min="3" max="3" width="20.85546875" customWidth="1"/>
    <col min="4" max="4" width="37.85546875" customWidth="1"/>
    <col min="5" max="5" width="5.5703125" customWidth="1"/>
    <col min="6" max="6" width="12.140625" customWidth="1"/>
    <col min="7" max="7" width="16.140625" customWidth="1"/>
    <col min="8" max="8" width="16.5703125" customWidth="1"/>
    <col min="9" max="9" width="25.85546875" customWidth="1"/>
    <col min="10" max="10" width="17.140625" customWidth="1"/>
    <col min="11" max="11" width="13.42578125" customWidth="1"/>
  </cols>
  <sheetData>
    <row r="1" spans="1:9" ht="18" x14ac:dyDescent="0.3">
      <c r="A1" s="5" t="s">
        <v>688</v>
      </c>
    </row>
    <row r="3" spans="1:9" ht="18" x14ac:dyDescent="0.3">
      <c r="A3" s="5" t="s">
        <v>3133</v>
      </c>
    </row>
    <row r="5" spans="1:9" ht="30" x14ac:dyDescent="0.25">
      <c r="A5" s="73" t="s">
        <v>689</v>
      </c>
      <c r="B5" s="73" t="s">
        <v>690</v>
      </c>
      <c r="C5" s="73" t="s">
        <v>691</v>
      </c>
      <c r="D5" s="73" t="s">
        <v>692</v>
      </c>
      <c r="E5" s="73" t="s">
        <v>693</v>
      </c>
      <c r="F5" s="73" t="s">
        <v>694</v>
      </c>
      <c r="G5" s="73" t="s">
        <v>695</v>
      </c>
      <c r="H5" s="73" t="s">
        <v>1</v>
      </c>
      <c r="I5" s="73" t="s">
        <v>2</v>
      </c>
    </row>
    <row r="6" spans="1:9" ht="60" x14ac:dyDescent="0.25">
      <c r="A6" s="74" t="s">
        <v>182</v>
      </c>
      <c r="B6" s="75">
        <v>6010401</v>
      </c>
      <c r="C6" s="74" t="s">
        <v>2495</v>
      </c>
      <c r="D6" s="138" t="s">
        <v>2496</v>
      </c>
      <c r="E6" s="75">
        <v>12</v>
      </c>
      <c r="F6" s="75" t="s">
        <v>2497</v>
      </c>
      <c r="G6" s="115">
        <v>50362632</v>
      </c>
      <c r="H6" s="74" t="s">
        <v>187</v>
      </c>
      <c r="I6" s="74" t="s">
        <v>135</v>
      </c>
    </row>
    <row r="7" spans="1:9" ht="90" x14ac:dyDescent="0.25">
      <c r="A7" s="74" t="s">
        <v>3134</v>
      </c>
      <c r="B7" s="75">
        <v>6010401</v>
      </c>
      <c r="C7" s="74" t="s">
        <v>2495</v>
      </c>
      <c r="D7" s="74" t="s">
        <v>2498</v>
      </c>
      <c r="E7" s="75">
        <v>1</v>
      </c>
      <c r="F7" s="75">
        <v>0</v>
      </c>
      <c r="G7" s="75">
        <v>0</v>
      </c>
      <c r="H7" s="74" t="s">
        <v>351</v>
      </c>
      <c r="I7" s="74" t="s">
        <v>352</v>
      </c>
    </row>
    <row r="8" spans="1:9" ht="90" x14ac:dyDescent="0.25">
      <c r="A8" s="74" t="s">
        <v>3134</v>
      </c>
      <c r="B8" s="75">
        <v>6010401</v>
      </c>
      <c r="C8" s="74" t="s">
        <v>2495</v>
      </c>
      <c r="D8" s="74" t="s">
        <v>2499</v>
      </c>
      <c r="E8" s="75">
        <v>3</v>
      </c>
      <c r="F8" s="75">
        <v>0</v>
      </c>
      <c r="G8" s="75">
        <v>0</v>
      </c>
      <c r="H8" s="74" t="s">
        <v>351</v>
      </c>
      <c r="I8" s="74" t="s">
        <v>352</v>
      </c>
    </row>
    <row r="9" spans="1:9" ht="50.25" customHeight="1" x14ac:dyDescent="0.25">
      <c r="A9" s="74" t="s">
        <v>348</v>
      </c>
      <c r="B9" s="75">
        <v>6010401</v>
      </c>
      <c r="C9" s="74" t="s">
        <v>2495</v>
      </c>
      <c r="D9" s="74"/>
      <c r="E9" s="75">
        <v>8</v>
      </c>
      <c r="F9" s="75">
        <v>0</v>
      </c>
      <c r="G9" s="75">
        <v>0</v>
      </c>
      <c r="H9" s="74" t="s">
        <v>351</v>
      </c>
      <c r="I9" s="74" t="s">
        <v>352</v>
      </c>
    </row>
    <row r="10" spans="1:9" ht="30" x14ac:dyDescent="0.25">
      <c r="A10" s="74" t="s">
        <v>348</v>
      </c>
      <c r="B10" s="75">
        <v>6010401</v>
      </c>
      <c r="C10" s="74" t="s">
        <v>2495</v>
      </c>
      <c r="D10" s="74" t="s">
        <v>2500</v>
      </c>
      <c r="E10" s="75">
        <v>1</v>
      </c>
      <c r="F10" s="75">
        <v>600</v>
      </c>
      <c r="G10" s="75">
        <v>600</v>
      </c>
      <c r="H10" s="74" t="s">
        <v>351</v>
      </c>
      <c r="I10" s="74" t="s">
        <v>352</v>
      </c>
    </row>
    <row r="11" spans="1:9" ht="75" x14ac:dyDescent="0.25">
      <c r="A11" s="74" t="s">
        <v>348</v>
      </c>
      <c r="B11" s="75">
        <v>6010401</v>
      </c>
      <c r="C11" s="74" t="s">
        <v>2495</v>
      </c>
      <c r="D11" s="74" t="s">
        <v>2501</v>
      </c>
      <c r="E11" s="75">
        <v>2</v>
      </c>
      <c r="F11" s="75" t="s">
        <v>800</v>
      </c>
      <c r="G11" s="115">
        <v>3000000</v>
      </c>
      <c r="H11" s="74" t="s">
        <v>351</v>
      </c>
      <c r="I11" s="74" t="s">
        <v>352</v>
      </c>
    </row>
    <row r="12" spans="1:9" ht="75" x14ac:dyDescent="0.25">
      <c r="A12" s="74" t="s">
        <v>348</v>
      </c>
      <c r="B12" s="75">
        <v>6010401</v>
      </c>
      <c r="C12" s="74" t="s">
        <v>2495</v>
      </c>
      <c r="D12" s="74" t="s">
        <v>2502</v>
      </c>
      <c r="E12" s="75">
        <v>20</v>
      </c>
      <c r="F12" s="75" t="s">
        <v>726</v>
      </c>
      <c r="G12" s="115">
        <v>20000000</v>
      </c>
      <c r="H12" s="74" t="s">
        <v>351</v>
      </c>
      <c r="I12" s="74" t="s">
        <v>352</v>
      </c>
    </row>
    <row r="13" spans="1:9" ht="30" x14ac:dyDescent="0.25">
      <c r="A13" s="74" t="s">
        <v>348</v>
      </c>
      <c r="B13" s="75">
        <v>6010401</v>
      </c>
      <c r="C13" s="74" t="s">
        <v>2495</v>
      </c>
      <c r="D13" s="74" t="s">
        <v>2503</v>
      </c>
      <c r="E13" s="75">
        <v>2</v>
      </c>
      <c r="F13" s="75" t="s">
        <v>814</v>
      </c>
      <c r="G13" s="115">
        <v>4000000</v>
      </c>
      <c r="H13" s="74" t="s">
        <v>351</v>
      </c>
      <c r="I13" s="74" t="s">
        <v>352</v>
      </c>
    </row>
    <row r="14" spans="1:9" ht="105" x14ac:dyDescent="0.25">
      <c r="A14" s="74" t="s">
        <v>348</v>
      </c>
      <c r="B14" s="75">
        <v>6010401</v>
      </c>
      <c r="C14" s="74" t="s">
        <v>2495</v>
      </c>
      <c r="D14" s="74" t="s">
        <v>2504</v>
      </c>
      <c r="E14" s="75">
        <v>10</v>
      </c>
      <c r="F14" s="75" t="s">
        <v>726</v>
      </c>
      <c r="G14" s="115">
        <v>10000000</v>
      </c>
      <c r="H14" s="74" t="s">
        <v>351</v>
      </c>
      <c r="I14" s="74" t="s">
        <v>352</v>
      </c>
    </row>
    <row r="15" spans="1:9" ht="30" x14ac:dyDescent="0.25">
      <c r="A15" s="74" t="s">
        <v>348</v>
      </c>
      <c r="B15" s="75">
        <v>6010401</v>
      </c>
      <c r="C15" s="74" t="s">
        <v>2495</v>
      </c>
      <c r="D15" s="74"/>
      <c r="E15" s="75">
        <v>3</v>
      </c>
      <c r="F15" s="75" t="s">
        <v>726</v>
      </c>
      <c r="G15" s="115">
        <v>3000000</v>
      </c>
      <c r="H15" s="74" t="s">
        <v>351</v>
      </c>
      <c r="I15" s="74" t="s">
        <v>352</v>
      </c>
    </row>
    <row r="16" spans="1:9" ht="60" x14ac:dyDescent="0.25">
      <c r="A16" s="74" t="s">
        <v>348</v>
      </c>
      <c r="B16" s="75">
        <v>6010401</v>
      </c>
      <c r="C16" s="74" t="s">
        <v>2495</v>
      </c>
      <c r="D16" s="74" t="s">
        <v>2505</v>
      </c>
      <c r="E16" s="75">
        <v>6</v>
      </c>
      <c r="F16" s="75" t="s">
        <v>814</v>
      </c>
      <c r="G16" s="115">
        <v>12000000</v>
      </c>
      <c r="H16" s="74" t="s">
        <v>351</v>
      </c>
      <c r="I16" s="74" t="s">
        <v>352</v>
      </c>
    </row>
    <row r="17" spans="1:11" ht="45" x14ac:dyDescent="0.25">
      <c r="A17" s="74" t="s">
        <v>348</v>
      </c>
      <c r="B17" s="75">
        <v>6010401</v>
      </c>
      <c r="C17" s="74" t="s">
        <v>2495</v>
      </c>
      <c r="D17" s="74" t="s">
        <v>2506</v>
      </c>
      <c r="E17" s="75">
        <v>0</v>
      </c>
      <c r="F17" s="75">
        <v>0</v>
      </c>
      <c r="G17" s="75">
        <v>0</v>
      </c>
      <c r="H17" s="74" t="s">
        <v>351</v>
      </c>
      <c r="I17" s="74" t="s">
        <v>352</v>
      </c>
    </row>
    <row r="18" spans="1:11" ht="30" x14ac:dyDescent="0.25">
      <c r="A18" s="74" t="s">
        <v>348</v>
      </c>
      <c r="B18" s="75">
        <v>6010401</v>
      </c>
      <c r="C18" s="74" t="s">
        <v>2495</v>
      </c>
      <c r="D18" s="74" t="s">
        <v>2507</v>
      </c>
      <c r="E18" s="75">
        <v>1</v>
      </c>
      <c r="F18" s="75">
        <v>0</v>
      </c>
      <c r="G18" s="75">
        <v>0</v>
      </c>
      <c r="H18" s="74" t="s">
        <v>351</v>
      </c>
      <c r="I18" s="74" t="s">
        <v>352</v>
      </c>
    </row>
    <row r="19" spans="1:11" ht="60" x14ac:dyDescent="0.25">
      <c r="A19" s="74" t="s">
        <v>348</v>
      </c>
      <c r="B19" s="75">
        <v>6010401</v>
      </c>
      <c r="C19" s="74" t="s">
        <v>2495</v>
      </c>
      <c r="D19" s="74" t="s">
        <v>2508</v>
      </c>
      <c r="E19" s="75">
        <v>3</v>
      </c>
      <c r="F19" s="75" t="s">
        <v>736</v>
      </c>
      <c r="G19" s="115">
        <v>9000000</v>
      </c>
      <c r="H19" s="74" t="s">
        <v>351</v>
      </c>
      <c r="I19" s="74" t="s">
        <v>352</v>
      </c>
    </row>
    <row r="20" spans="1:11" ht="75" x14ac:dyDescent="0.25">
      <c r="A20" s="74" t="s">
        <v>348</v>
      </c>
      <c r="B20" s="75">
        <v>6010401</v>
      </c>
      <c r="C20" s="74" t="s">
        <v>2495</v>
      </c>
      <c r="D20" s="74" t="s">
        <v>2509</v>
      </c>
      <c r="E20" s="75">
        <v>1</v>
      </c>
      <c r="F20" s="75">
        <v>800</v>
      </c>
      <c r="G20" s="75">
        <v>800</v>
      </c>
      <c r="H20" s="74" t="s">
        <v>351</v>
      </c>
      <c r="I20" s="74" t="s">
        <v>352</v>
      </c>
    </row>
    <row r="21" spans="1:11" ht="30" x14ac:dyDescent="0.25">
      <c r="A21" s="74" t="s">
        <v>348</v>
      </c>
      <c r="B21" s="75">
        <v>6010401</v>
      </c>
      <c r="C21" s="74" t="s">
        <v>2495</v>
      </c>
      <c r="D21" s="74"/>
      <c r="E21" s="75">
        <v>6</v>
      </c>
      <c r="F21" s="75">
        <v>0</v>
      </c>
      <c r="G21" s="75">
        <v>0</v>
      </c>
      <c r="H21" s="74" t="s">
        <v>351</v>
      </c>
      <c r="I21" s="74" t="s">
        <v>352</v>
      </c>
    </row>
    <row r="22" spans="1:11" ht="30" x14ac:dyDescent="0.25">
      <c r="A22" s="74" t="s">
        <v>348</v>
      </c>
      <c r="B22" s="75">
        <v>6010401</v>
      </c>
      <c r="C22" s="74" t="s">
        <v>2495</v>
      </c>
      <c r="D22" s="74" t="s">
        <v>2510</v>
      </c>
      <c r="E22" s="75">
        <v>3</v>
      </c>
      <c r="F22" s="75" t="s">
        <v>726</v>
      </c>
      <c r="G22" s="115">
        <v>3000000</v>
      </c>
      <c r="H22" s="74" t="s">
        <v>351</v>
      </c>
      <c r="I22" s="74" t="s">
        <v>352</v>
      </c>
    </row>
    <row r="23" spans="1:11" ht="30" x14ac:dyDescent="0.25">
      <c r="A23" s="74" t="s">
        <v>348</v>
      </c>
      <c r="B23" s="75">
        <v>6010401</v>
      </c>
      <c r="C23" s="74" t="s">
        <v>2495</v>
      </c>
      <c r="D23" s="74" t="s">
        <v>2511</v>
      </c>
      <c r="E23" s="75">
        <v>1</v>
      </c>
      <c r="F23" s="75" t="s">
        <v>712</v>
      </c>
      <c r="G23" s="115">
        <v>70000000</v>
      </c>
      <c r="H23" s="74" t="s">
        <v>351</v>
      </c>
      <c r="I23" s="74" t="s">
        <v>352</v>
      </c>
    </row>
    <row r="24" spans="1:11" ht="30" x14ac:dyDescent="0.25">
      <c r="A24" s="74" t="s">
        <v>348</v>
      </c>
      <c r="B24" s="75">
        <v>6010401</v>
      </c>
      <c r="C24" s="74" t="s">
        <v>2495</v>
      </c>
      <c r="D24" s="74" t="s">
        <v>2512</v>
      </c>
      <c r="E24" s="75">
        <v>1</v>
      </c>
      <c r="F24" s="75" t="s">
        <v>1183</v>
      </c>
      <c r="G24" s="115">
        <v>80000000</v>
      </c>
      <c r="H24" s="74" t="s">
        <v>351</v>
      </c>
      <c r="I24" s="74" t="s">
        <v>352</v>
      </c>
    </row>
    <row r="25" spans="1:11" ht="30" x14ac:dyDescent="0.25">
      <c r="A25" s="74" t="s">
        <v>348</v>
      </c>
      <c r="B25" s="75">
        <v>6010401</v>
      </c>
      <c r="C25" s="74" t="s">
        <v>2495</v>
      </c>
      <c r="D25" s="74" t="s">
        <v>2513</v>
      </c>
      <c r="E25" s="75">
        <v>1</v>
      </c>
      <c r="F25" s="75" t="s">
        <v>883</v>
      </c>
      <c r="G25" s="115">
        <v>20000000</v>
      </c>
      <c r="H25" s="74" t="s">
        <v>351</v>
      </c>
      <c r="I25" s="74" t="s">
        <v>352</v>
      </c>
    </row>
    <row r="26" spans="1:11" ht="30" x14ac:dyDescent="0.25">
      <c r="A26" s="74" t="s">
        <v>348</v>
      </c>
      <c r="B26" s="75">
        <v>6010401</v>
      </c>
      <c r="C26" s="74" t="s">
        <v>2495</v>
      </c>
      <c r="D26" s="74" t="s">
        <v>2514</v>
      </c>
      <c r="E26" s="75">
        <v>2</v>
      </c>
      <c r="F26" s="75" t="s">
        <v>742</v>
      </c>
      <c r="G26" s="115">
        <v>5000000</v>
      </c>
      <c r="H26" s="74" t="s">
        <v>351</v>
      </c>
      <c r="I26" s="74" t="s">
        <v>352</v>
      </c>
    </row>
    <row r="27" spans="1:11" ht="30" x14ac:dyDescent="0.25">
      <c r="A27" s="74" t="s">
        <v>348</v>
      </c>
      <c r="B27" s="75">
        <v>6010401</v>
      </c>
      <c r="C27" s="74" t="s">
        <v>2495</v>
      </c>
      <c r="D27" s="74"/>
      <c r="E27" s="75">
        <v>50</v>
      </c>
      <c r="F27" s="75" t="s">
        <v>736</v>
      </c>
      <c r="G27" s="115">
        <v>150000000</v>
      </c>
      <c r="H27" s="74" t="s">
        <v>351</v>
      </c>
      <c r="I27" s="74" t="s">
        <v>352</v>
      </c>
    </row>
    <row r="28" spans="1:11" ht="45" x14ac:dyDescent="0.25">
      <c r="A28" s="74" t="s">
        <v>348</v>
      </c>
      <c r="B28" s="75">
        <v>6010401</v>
      </c>
      <c r="C28" s="74" t="s">
        <v>2495</v>
      </c>
      <c r="D28" s="74" t="s">
        <v>2515</v>
      </c>
      <c r="E28" s="75">
        <v>2</v>
      </c>
      <c r="F28" s="75" t="s">
        <v>742</v>
      </c>
      <c r="G28" s="115">
        <v>5000000</v>
      </c>
      <c r="H28" s="74" t="s">
        <v>351</v>
      </c>
      <c r="I28" s="74" t="s">
        <v>352</v>
      </c>
    </row>
    <row r="29" spans="1:11" ht="30" x14ac:dyDescent="0.25">
      <c r="A29" s="74" t="s">
        <v>348</v>
      </c>
      <c r="B29" s="75">
        <v>6010401</v>
      </c>
      <c r="C29" s="74" t="s">
        <v>2495</v>
      </c>
      <c r="D29" s="74" t="s">
        <v>2516</v>
      </c>
      <c r="E29" s="75">
        <v>1</v>
      </c>
      <c r="F29" s="75" t="s">
        <v>861</v>
      </c>
      <c r="G29" s="115">
        <v>1800000</v>
      </c>
      <c r="H29" s="74" t="s">
        <v>351</v>
      </c>
      <c r="I29" s="74" t="s">
        <v>352</v>
      </c>
    </row>
    <row r="30" spans="1:11" ht="60" x14ac:dyDescent="0.25">
      <c r="A30" s="74" t="s">
        <v>129</v>
      </c>
      <c r="B30" s="75">
        <v>6010402</v>
      </c>
      <c r="C30" s="74" t="s">
        <v>1022</v>
      </c>
      <c r="D30" s="139" t="s">
        <v>2517</v>
      </c>
      <c r="E30" s="75">
        <v>1</v>
      </c>
      <c r="F30" s="75" t="s">
        <v>1400</v>
      </c>
      <c r="G30" s="115">
        <v>65000000</v>
      </c>
      <c r="H30" s="74" t="s">
        <v>134</v>
      </c>
      <c r="I30" s="74" t="s">
        <v>135</v>
      </c>
      <c r="K30">
        <f>3000000*1.69*12</f>
        <v>60840000</v>
      </c>
    </row>
    <row r="31" spans="1:11" ht="60" x14ac:dyDescent="0.25">
      <c r="A31" s="74" t="s">
        <v>129</v>
      </c>
      <c r="B31" s="75">
        <v>6010402</v>
      </c>
      <c r="C31" s="74" t="s">
        <v>1022</v>
      </c>
      <c r="D31" s="139" t="s">
        <v>2518</v>
      </c>
      <c r="E31" s="75">
        <v>1</v>
      </c>
      <c r="F31" s="75" t="s">
        <v>2519</v>
      </c>
      <c r="G31" s="115">
        <v>121000000</v>
      </c>
      <c r="H31" s="74" t="s">
        <v>134</v>
      </c>
      <c r="I31" s="74" t="s">
        <v>135</v>
      </c>
      <c r="K31">
        <f>4200000*1.69*12</f>
        <v>85176000</v>
      </c>
    </row>
    <row r="32" spans="1:11" ht="60" x14ac:dyDescent="0.25">
      <c r="A32" s="74" t="s">
        <v>129</v>
      </c>
      <c r="B32" s="75">
        <v>6010402</v>
      </c>
      <c r="C32" s="74" t="s">
        <v>1022</v>
      </c>
      <c r="D32" s="139" t="s">
        <v>2520</v>
      </c>
      <c r="E32" s="75">
        <v>1</v>
      </c>
      <c r="F32" s="75" t="s">
        <v>2521</v>
      </c>
      <c r="G32" s="115">
        <v>94000000</v>
      </c>
      <c r="H32" s="74" t="s">
        <v>134</v>
      </c>
      <c r="I32" s="74" t="s">
        <v>135</v>
      </c>
      <c r="K32">
        <f>4000000*1.69*12</f>
        <v>81120000</v>
      </c>
    </row>
    <row r="33" spans="1:11" ht="60" x14ac:dyDescent="0.25">
      <c r="A33" s="74" t="s">
        <v>129</v>
      </c>
      <c r="B33" s="75">
        <v>6010402</v>
      </c>
      <c r="C33" s="74" t="s">
        <v>1022</v>
      </c>
      <c r="D33" s="139" t="s">
        <v>2522</v>
      </c>
      <c r="E33" s="75">
        <v>1</v>
      </c>
      <c r="F33" s="75" t="s">
        <v>2523</v>
      </c>
      <c r="G33" s="115">
        <v>87000000</v>
      </c>
      <c r="H33" s="74" t="s">
        <v>134</v>
      </c>
      <c r="I33" s="74" t="s">
        <v>135</v>
      </c>
    </row>
    <row r="34" spans="1:11" ht="60" x14ac:dyDescent="0.25">
      <c r="A34" s="74" t="s">
        <v>129</v>
      </c>
      <c r="B34" s="75">
        <v>6010402</v>
      </c>
      <c r="C34" s="74" t="s">
        <v>1022</v>
      </c>
      <c r="D34" s="139" t="s">
        <v>2524</v>
      </c>
      <c r="E34" s="75">
        <v>1</v>
      </c>
      <c r="F34" s="75" t="s">
        <v>2519</v>
      </c>
      <c r="G34" s="115">
        <v>121000000</v>
      </c>
      <c r="H34" s="74" t="s">
        <v>134</v>
      </c>
      <c r="I34" s="74" t="s">
        <v>135</v>
      </c>
    </row>
    <row r="35" spans="1:11" ht="60" x14ac:dyDescent="0.25">
      <c r="A35" s="74" t="s">
        <v>129</v>
      </c>
      <c r="B35" s="75">
        <v>6010402</v>
      </c>
      <c r="C35" s="74" t="s">
        <v>1022</v>
      </c>
      <c r="D35" s="139" t="s">
        <v>2525</v>
      </c>
      <c r="E35" s="75">
        <v>1</v>
      </c>
      <c r="F35" s="75" t="s">
        <v>981</v>
      </c>
      <c r="G35" s="115">
        <v>45000000</v>
      </c>
      <c r="H35" s="74" t="s">
        <v>134</v>
      </c>
      <c r="I35" s="74" t="s">
        <v>135</v>
      </c>
    </row>
    <row r="36" spans="1:11" ht="60" x14ac:dyDescent="0.25">
      <c r="A36" s="74" t="s">
        <v>129</v>
      </c>
      <c r="B36" s="75">
        <v>6010402</v>
      </c>
      <c r="C36" s="74" t="s">
        <v>1022</v>
      </c>
      <c r="D36" s="139" t="s">
        <v>2526</v>
      </c>
      <c r="E36" s="75">
        <v>1</v>
      </c>
      <c r="F36" s="75" t="s">
        <v>680</v>
      </c>
      <c r="G36" s="115">
        <v>10000000</v>
      </c>
      <c r="H36" s="74" t="s">
        <v>134</v>
      </c>
      <c r="I36" s="74" t="s">
        <v>135</v>
      </c>
    </row>
    <row r="37" spans="1:11" ht="75" x14ac:dyDescent="0.25">
      <c r="A37" s="74" t="s">
        <v>148</v>
      </c>
      <c r="B37" s="75">
        <v>6010402</v>
      </c>
      <c r="C37" s="74" t="s">
        <v>1022</v>
      </c>
      <c r="D37" s="140" t="s">
        <v>2527</v>
      </c>
      <c r="E37" s="75">
        <v>1</v>
      </c>
      <c r="F37" s="75" t="s">
        <v>1183</v>
      </c>
      <c r="G37" s="115">
        <v>80000000</v>
      </c>
      <c r="H37" s="74" t="s">
        <v>153</v>
      </c>
      <c r="I37" s="74" t="s">
        <v>135</v>
      </c>
    </row>
    <row r="38" spans="1:11" ht="60" x14ac:dyDescent="0.25">
      <c r="A38" s="74" t="s">
        <v>148</v>
      </c>
      <c r="B38" s="75">
        <v>6010402</v>
      </c>
      <c r="C38" s="74" t="s">
        <v>1022</v>
      </c>
      <c r="D38" s="140" t="s">
        <v>2528</v>
      </c>
      <c r="E38" s="75">
        <v>1</v>
      </c>
      <c r="F38" s="75" t="s">
        <v>681</v>
      </c>
      <c r="G38" s="115">
        <v>40000000</v>
      </c>
      <c r="H38" s="74" t="s">
        <v>153</v>
      </c>
      <c r="I38" s="74" t="s">
        <v>135</v>
      </c>
    </row>
    <row r="39" spans="1:11" ht="60" x14ac:dyDescent="0.25">
      <c r="A39" s="74" t="s">
        <v>148</v>
      </c>
      <c r="B39" s="75">
        <v>6010402</v>
      </c>
      <c r="C39" s="74" t="s">
        <v>1022</v>
      </c>
      <c r="D39" s="140" t="s">
        <v>2529</v>
      </c>
      <c r="E39" s="75">
        <v>2</v>
      </c>
      <c r="F39" s="75" t="s">
        <v>845</v>
      </c>
      <c r="G39" s="115">
        <v>8000000</v>
      </c>
      <c r="H39" s="74" t="s">
        <v>153</v>
      </c>
      <c r="I39" s="74" t="s">
        <v>135</v>
      </c>
    </row>
    <row r="40" spans="1:11" ht="60" x14ac:dyDescent="0.25">
      <c r="A40" s="74" t="s">
        <v>158</v>
      </c>
      <c r="B40" s="75">
        <v>6010402</v>
      </c>
      <c r="C40" s="74" t="s">
        <v>1022</v>
      </c>
      <c r="D40" s="142" t="s">
        <v>2530</v>
      </c>
      <c r="E40" s="75">
        <v>2</v>
      </c>
      <c r="F40" s="75" t="s">
        <v>883</v>
      </c>
      <c r="G40" s="115">
        <v>40000000</v>
      </c>
      <c r="H40" s="74" t="s">
        <v>163</v>
      </c>
      <c r="I40" s="74" t="s">
        <v>135</v>
      </c>
    </row>
    <row r="41" spans="1:11" ht="60" x14ac:dyDescent="0.25">
      <c r="A41" s="74" t="s">
        <v>174</v>
      </c>
      <c r="B41" s="75">
        <v>6010402</v>
      </c>
      <c r="C41" s="74" t="s">
        <v>1022</v>
      </c>
      <c r="D41" s="141" t="s">
        <v>2531</v>
      </c>
      <c r="E41" s="75">
        <v>1</v>
      </c>
      <c r="F41" s="75" t="s">
        <v>880</v>
      </c>
      <c r="G41" s="115">
        <v>3600000</v>
      </c>
      <c r="H41" s="74" t="s">
        <v>179</v>
      </c>
      <c r="I41" s="74" t="s">
        <v>135</v>
      </c>
      <c r="J41">
        <v>4120000</v>
      </c>
      <c r="K41" s="1">
        <f>+G41-J41</f>
        <v>-520000</v>
      </c>
    </row>
    <row r="42" spans="1:11" ht="60" x14ac:dyDescent="0.25">
      <c r="A42" s="74" t="s">
        <v>174</v>
      </c>
      <c r="B42" s="75">
        <v>6010402</v>
      </c>
      <c r="C42" s="74" t="s">
        <v>1022</v>
      </c>
      <c r="D42" s="141" t="s">
        <v>2532</v>
      </c>
      <c r="E42" s="75">
        <v>1</v>
      </c>
      <c r="F42" s="75" t="s">
        <v>1078</v>
      </c>
      <c r="G42" s="115">
        <v>4600000</v>
      </c>
      <c r="H42" s="74" t="s">
        <v>179</v>
      </c>
      <c r="I42" s="74" t="s">
        <v>135</v>
      </c>
      <c r="J42">
        <v>4120000</v>
      </c>
      <c r="K42" s="1">
        <f>+G42-J42</f>
        <v>480000</v>
      </c>
    </row>
    <row r="43" spans="1:11" ht="60" x14ac:dyDescent="0.25">
      <c r="A43" s="74" t="s">
        <v>174</v>
      </c>
      <c r="B43" s="75">
        <v>6010402</v>
      </c>
      <c r="C43" s="74" t="s">
        <v>1022</v>
      </c>
      <c r="D43" s="141" t="s">
        <v>2533</v>
      </c>
      <c r="E43" s="75">
        <v>1</v>
      </c>
      <c r="F43" s="75" t="s">
        <v>1259</v>
      </c>
      <c r="G43" s="115">
        <v>17000000</v>
      </c>
      <c r="H43" s="74" t="s">
        <v>179</v>
      </c>
      <c r="I43" s="74" t="s">
        <v>135</v>
      </c>
      <c r="J43">
        <v>17000000</v>
      </c>
      <c r="K43" s="1">
        <f>+G43-J43</f>
        <v>0</v>
      </c>
    </row>
    <row r="44" spans="1:11" ht="60" x14ac:dyDescent="0.25">
      <c r="A44" s="74" t="s">
        <v>174</v>
      </c>
      <c r="B44" s="75">
        <v>6010402</v>
      </c>
      <c r="C44" s="74" t="s">
        <v>1022</v>
      </c>
      <c r="D44" s="141" t="s">
        <v>2534</v>
      </c>
      <c r="E44" s="75">
        <v>1</v>
      </c>
      <c r="F44" s="75" t="s">
        <v>1245</v>
      </c>
      <c r="G44" s="115">
        <v>3200000</v>
      </c>
      <c r="H44" s="74" t="s">
        <v>179</v>
      </c>
      <c r="I44" s="74" t="s">
        <v>135</v>
      </c>
      <c r="J44">
        <f>5120000+440000</f>
        <v>5560000</v>
      </c>
      <c r="K44" s="1">
        <f>+G44-J44</f>
        <v>-2360000</v>
      </c>
    </row>
    <row r="45" spans="1:11" ht="60" x14ac:dyDescent="0.25">
      <c r="A45" s="74" t="s">
        <v>174</v>
      </c>
      <c r="B45" s="75">
        <v>6010402</v>
      </c>
      <c r="C45" s="74" t="s">
        <v>1022</v>
      </c>
      <c r="D45" s="141" t="s">
        <v>2535</v>
      </c>
      <c r="E45" s="75">
        <v>2</v>
      </c>
      <c r="F45" s="75" t="s">
        <v>707</v>
      </c>
      <c r="G45" s="115">
        <v>50000000</v>
      </c>
      <c r="H45" s="74" t="s">
        <v>179</v>
      </c>
      <c r="I45" s="74" t="s">
        <v>135</v>
      </c>
    </row>
    <row r="46" spans="1:11" ht="90" x14ac:dyDescent="0.25">
      <c r="A46" s="74" t="s">
        <v>174</v>
      </c>
      <c r="B46" s="75">
        <v>6010402</v>
      </c>
      <c r="C46" s="74" t="s">
        <v>1022</v>
      </c>
      <c r="D46" s="141" t="s">
        <v>2536</v>
      </c>
      <c r="E46" s="75">
        <v>2</v>
      </c>
      <c r="F46" s="75" t="s">
        <v>1002</v>
      </c>
      <c r="G46" s="115">
        <v>72000000</v>
      </c>
      <c r="H46" s="74" t="s">
        <v>179</v>
      </c>
      <c r="I46" s="74" t="s">
        <v>135</v>
      </c>
    </row>
    <row r="47" spans="1:11" ht="75" x14ac:dyDescent="0.25">
      <c r="A47" s="74" t="s">
        <v>174</v>
      </c>
      <c r="B47" s="75">
        <v>6010402</v>
      </c>
      <c r="C47" s="74" t="s">
        <v>1022</v>
      </c>
      <c r="D47" s="141" t="s">
        <v>2537</v>
      </c>
      <c r="E47" s="75">
        <v>1</v>
      </c>
      <c r="F47" s="75" t="s">
        <v>2538</v>
      </c>
      <c r="G47" s="115">
        <v>58500000</v>
      </c>
      <c r="H47" s="74" t="s">
        <v>179</v>
      </c>
      <c r="I47" s="74" t="s">
        <v>135</v>
      </c>
    </row>
    <row r="48" spans="1:11" ht="60" x14ac:dyDescent="0.25">
      <c r="A48" s="74" t="s">
        <v>174</v>
      </c>
      <c r="B48" s="75">
        <v>6010402</v>
      </c>
      <c r="C48" s="74" t="s">
        <v>1022</v>
      </c>
      <c r="D48" s="141" t="s">
        <v>2539</v>
      </c>
      <c r="E48" s="75">
        <v>2</v>
      </c>
      <c r="F48" s="75" t="s">
        <v>1078</v>
      </c>
      <c r="G48" s="115">
        <v>9200000</v>
      </c>
      <c r="H48" s="74" t="s">
        <v>179</v>
      </c>
      <c r="I48" s="74" t="s">
        <v>135</v>
      </c>
      <c r="J48">
        <f>4120000*2</f>
        <v>8240000</v>
      </c>
      <c r="K48" s="1">
        <f>+G48-J48</f>
        <v>960000</v>
      </c>
    </row>
    <row r="49" spans="1:11" ht="60" x14ac:dyDescent="0.25">
      <c r="A49" s="74" t="s">
        <v>174</v>
      </c>
      <c r="B49" s="75">
        <v>6010402</v>
      </c>
      <c r="C49" s="74" t="s">
        <v>1022</v>
      </c>
      <c r="D49" s="141" t="s">
        <v>2540</v>
      </c>
      <c r="E49" s="75">
        <v>2</v>
      </c>
      <c r="F49" s="75" t="s">
        <v>1078</v>
      </c>
      <c r="G49" s="115">
        <v>9200000</v>
      </c>
      <c r="H49" s="74" t="s">
        <v>179</v>
      </c>
      <c r="I49" s="74" t="s">
        <v>135</v>
      </c>
      <c r="J49">
        <f>+J48</f>
        <v>8240000</v>
      </c>
      <c r="K49" s="1">
        <f>+G49-J49</f>
        <v>960000</v>
      </c>
    </row>
    <row r="50" spans="1:11" ht="60" x14ac:dyDescent="0.25">
      <c r="A50" s="74" t="s">
        <v>174</v>
      </c>
      <c r="B50" s="75">
        <v>6010402</v>
      </c>
      <c r="C50" s="74" t="s">
        <v>1022</v>
      </c>
      <c r="D50" s="141" t="s">
        <v>2541</v>
      </c>
      <c r="E50" s="75">
        <v>1</v>
      </c>
      <c r="F50" s="75" t="s">
        <v>999</v>
      </c>
      <c r="G50" s="115">
        <v>30000000</v>
      </c>
      <c r="H50" s="74" t="s">
        <v>179</v>
      </c>
      <c r="I50" s="74" t="s">
        <v>135</v>
      </c>
    </row>
    <row r="51" spans="1:11" ht="60" x14ac:dyDescent="0.25">
      <c r="A51" s="74" t="s">
        <v>174</v>
      </c>
      <c r="B51" s="75">
        <v>6010402</v>
      </c>
      <c r="C51" s="74" t="s">
        <v>1022</v>
      </c>
      <c r="D51" s="141" t="s">
        <v>2542</v>
      </c>
      <c r="E51" s="75">
        <v>1</v>
      </c>
      <c r="F51" s="75" t="s">
        <v>1078</v>
      </c>
      <c r="G51" s="115">
        <v>4600000</v>
      </c>
      <c r="H51" s="74" t="s">
        <v>179</v>
      </c>
      <c r="I51" s="74" t="s">
        <v>135</v>
      </c>
      <c r="J51">
        <v>4120000</v>
      </c>
      <c r="K51" s="1">
        <f>+G51-J51</f>
        <v>480000</v>
      </c>
    </row>
    <row r="52" spans="1:11" ht="60" x14ac:dyDescent="0.25">
      <c r="A52" s="74" t="s">
        <v>182</v>
      </c>
      <c r="B52" s="75">
        <v>6010402</v>
      </c>
      <c r="C52" s="74" t="s">
        <v>1022</v>
      </c>
      <c r="D52" s="138" t="s">
        <v>2543</v>
      </c>
      <c r="E52" s="75">
        <v>12</v>
      </c>
      <c r="F52" s="75" t="s">
        <v>2544</v>
      </c>
      <c r="G52" s="115">
        <v>54799488</v>
      </c>
      <c r="H52" s="74" t="s">
        <v>187</v>
      </c>
      <c r="I52" s="74" t="s">
        <v>135</v>
      </c>
    </row>
    <row r="53" spans="1:11" ht="60" x14ac:dyDescent="0.25">
      <c r="A53" s="74" t="s">
        <v>182</v>
      </c>
      <c r="B53" s="75">
        <v>6010402</v>
      </c>
      <c r="C53" s="74" t="s">
        <v>1022</v>
      </c>
      <c r="D53" s="138" t="s">
        <v>2545</v>
      </c>
      <c r="E53" s="75">
        <v>1</v>
      </c>
      <c r="F53" s="75" t="s">
        <v>2546</v>
      </c>
      <c r="G53" s="115">
        <v>98081502</v>
      </c>
      <c r="H53" s="74" t="s">
        <v>187</v>
      </c>
      <c r="I53" s="74" t="s">
        <v>135</v>
      </c>
    </row>
    <row r="54" spans="1:11" ht="60" hidden="1" x14ac:dyDescent="0.25">
      <c r="A54" s="74" t="s">
        <v>348</v>
      </c>
      <c r="B54" s="75">
        <v>6010402</v>
      </c>
      <c r="C54" s="74" t="s">
        <v>1022</v>
      </c>
      <c r="D54" s="74" t="s">
        <v>2547</v>
      </c>
      <c r="E54" s="75">
        <v>4</v>
      </c>
      <c r="F54" s="75" t="s">
        <v>707</v>
      </c>
      <c r="G54" s="115">
        <v>100000000</v>
      </c>
      <c r="H54" s="74" t="s">
        <v>351</v>
      </c>
      <c r="I54" s="74" t="s">
        <v>352</v>
      </c>
    </row>
    <row r="55" spans="1:11" ht="45" hidden="1" x14ac:dyDescent="0.25">
      <c r="A55" s="74" t="s">
        <v>348</v>
      </c>
      <c r="B55" s="75">
        <v>6010402</v>
      </c>
      <c r="C55" s="74" t="s">
        <v>1022</v>
      </c>
      <c r="D55" s="74" t="s">
        <v>2548</v>
      </c>
      <c r="E55" s="75">
        <v>32</v>
      </c>
      <c r="F55" s="75" t="s">
        <v>923</v>
      </c>
      <c r="G55" s="115">
        <v>38400000</v>
      </c>
      <c r="H55" s="74" t="s">
        <v>351</v>
      </c>
      <c r="I55" s="74" t="s">
        <v>352</v>
      </c>
    </row>
    <row r="56" spans="1:11" ht="45" hidden="1" x14ac:dyDescent="0.25">
      <c r="A56" s="74" t="s">
        <v>353</v>
      </c>
      <c r="B56" s="75">
        <v>6010402</v>
      </c>
      <c r="C56" s="74" t="s">
        <v>1022</v>
      </c>
      <c r="D56" s="74" t="s">
        <v>2549</v>
      </c>
      <c r="E56" s="75">
        <v>1</v>
      </c>
      <c r="F56" s="75">
        <v>500</v>
      </c>
      <c r="G56" s="75">
        <v>500</v>
      </c>
      <c r="H56" s="74" t="s">
        <v>356</v>
      </c>
      <c r="I56" s="74" t="s">
        <v>357</v>
      </c>
    </row>
    <row r="57" spans="1:11" ht="75" hidden="1" x14ac:dyDescent="0.25">
      <c r="A57" s="74" t="s">
        <v>353</v>
      </c>
      <c r="B57" s="75">
        <v>6010402</v>
      </c>
      <c r="C57" s="74" t="s">
        <v>1022</v>
      </c>
      <c r="D57" s="74" t="s">
        <v>2550</v>
      </c>
      <c r="E57" s="75">
        <v>12</v>
      </c>
      <c r="F57" s="75" t="s">
        <v>861</v>
      </c>
      <c r="G57" s="115">
        <v>21600000</v>
      </c>
      <c r="H57" s="74" t="s">
        <v>356</v>
      </c>
      <c r="I57" s="74" t="s">
        <v>357</v>
      </c>
    </row>
    <row r="58" spans="1:11" ht="45" hidden="1" x14ac:dyDescent="0.25">
      <c r="A58" s="74" t="s">
        <v>353</v>
      </c>
      <c r="B58" s="75">
        <v>6010402</v>
      </c>
      <c r="C58" s="74" t="s">
        <v>1022</v>
      </c>
      <c r="D58" s="74" t="s">
        <v>2551</v>
      </c>
      <c r="E58" s="75">
        <v>1</v>
      </c>
      <c r="F58" s="75" t="s">
        <v>726</v>
      </c>
      <c r="G58" s="115">
        <v>1000000</v>
      </c>
      <c r="H58" s="74" t="s">
        <v>356</v>
      </c>
      <c r="I58" s="74" t="s">
        <v>357</v>
      </c>
    </row>
    <row r="59" spans="1:11" ht="45" hidden="1" x14ac:dyDescent="0.25">
      <c r="A59" s="74" t="s">
        <v>353</v>
      </c>
      <c r="B59" s="75">
        <v>6010402</v>
      </c>
      <c r="C59" s="74" t="s">
        <v>1022</v>
      </c>
      <c r="D59" s="74" t="s">
        <v>2552</v>
      </c>
      <c r="E59" s="75">
        <v>250</v>
      </c>
      <c r="F59" s="75" t="s">
        <v>726</v>
      </c>
      <c r="G59" s="115">
        <v>250000000</v>
      </c>
      <c r="H59" s="74" t="s">
        <v>356</v>
      </c>
      <c r="I59" s="74" t="s">
        <v>357</v>
      </c>
    </row>
    <row r="60" spans="1:11" ht="45" hidden="1" x14ac:dyDescent="0.25">
      <c r="A60" s="74" t="s">
        <v>353</v>
      </c>
      <c r="B60" s="75">
        <v>6010402</v>
      </c>
      <c r="C60" s="74" t="s">
        <v>1022</v>
      </c>
      <c r="D60" s="74"/>
      <c r="E60" s="75">
        <v>3</v>
      </c>
      <c r="F60" s="75" t="s">
        <v>726</v>
      </c>
      <c r="G60" s="115">
        <v>3000000</v>
      </c>
      <c r="H60" s="74" t="s">
        <v>356</v>
      </c>
      <c r="I60" s="74" t="s">
        <v>357</v>
      </c>
    </row>
    <row r="61" spans="1:11" ht="60" hidden="1" x14ac:dyDescent="0.25">
      <c r="A61" s="74" t="s">
        <v>13</v>
      </c>
      <c r="B61" s="75">
        <v>2056001</v>
      </c>
      <c r="C61" s="74" t="s">
        <v>1075</v>
      </c>
      <c r="D61" s="74"/>
      <c r="E61" s="75">
        <v>1</v>
      </c>
      <c r="F61" s="75" t="s">
        <v>1077</v>
      </c>
      <c r="G61" s="115">
        <v>2300000</v>
      </c>
      <c r="H61" s="74" t="s">
        <v>16</v>
      </c>
      <c r="I61" s="74" t="s">
        <v>17</v>
      </c>
    </row>
    <row r="62" spans="1:11" ht="60" hidden="1" x14ac:dyDescent="0.25">
      <c r="A62" s="74" t="s">
        <v>13</v>
      </c>
      <c r="B62" s="75">
        <v>6060001</v>
      </c>
      <c r="C62" s="74" t="s">
        <v>1157</v>
      </c>
      <c r="D62" s="74"/>
      <c r="E62" s="75">
        <v>2</v>
      </c>
      <c r="F62" s="75" t="s">
        <v>742</v>
      </c>
      <c r="G62" s="115">
        <v>5000000</v>
      </c>
      <c r="H62" s="74" t="s">
        <v>16</v>
      </c>
      <c r="I62" s="74" t="s">
        <v>17</v>
      </c>
    </row>
    <row r="63" spans="1:11" ht="60" hidden="1" x14ac:dyDescent="0.25">
      <c r="A63" s="74" t="s">
        <v>136</v>
      </c>
      <c r="B63" s="75">
        <v>6060001</v>
      </c>
      <c r="C63" s="74" t="s">
        <v>1157</v>
      </c>
      <c r="D63" s="74" t="s">
        <v>2554</v>
      </c>
      <c r="E63" s="75">
        <v>1</v>
      </c>
      <c r="F63" s="75" t="s">
        <v>849</v>
      </c>
      <c r="G63" s="115">
        <v>7000000</v>
      </c>
      <c r="H63" s="74" t="s">
        <v>141</v>
      </c>
      <c r="I63" s="74" t="s">
        <v>135</v>
      </c>
    </row>
    <row r="64" spans="1:11" ht="105" hidden="1" x14ac:dyDescent="0.25">
      <c r="A64" s="74" t="s">
        <v>148</v>
      </c>
      <c r="B64" s="75">
        <v>6060001</v>
      </c>
      <c r="C64" s="74" t="s">
        <v>1157</v>
      </c>
      <c r="D64" s="74" t="s">
        <v>2555</v>
      </c>
      <c r="E64" s="75">
        <v>1</v>
      </c>
      <c r="F64" s="75" t="s">
        <v>845</v>
      </c>
      <c r="G64" s="115">
        <v>4000000</v>
      </c>
      <c r="H64" s="74" t="s">
        <v>153</v>
      </c>
      <c r="I64" s="74" t="s">
        <v>135</v>
      </c>
    </row>
    <row r="65" spans="1:9" ht="30" hidden="1" x14ac:dyDescent="0.25">
      <c r="A65" s="74" t="s">
        <v>348</v>
      </c>
      <c r="B65" s="75">
        <v>6060001</v>
      </c>
      <c r="C65" s="74" t="s">
        <v>1157</v>
      </c>
      <c r="D65" s="74" t="s">
        <v>2556</v>
      </c>
      <c r="E65" s="75">
        <v>1</v>
      </c>
      <c r="F65" s="75" t="s">
        <v>736</v>
      </c>
      <c r="G65" s="115">
        <v>3000000</v>
      </c>
      <c r="H65" s="74" t="s">
        <v>351</v>
      </c>
      <c r="I65" s="74" t="s">
        <v>352</v>
      </c>
    </row>
    <row r="66" spans="1:9" ht="60" hidden="1" x14ac:dyDescent="0.25">
      <c r="A66" s="74" t="s">
        <v>348</v>
      </c>
      <c r="B66" s="75">
        <v>6060001</v>
      </c>
      <c r="C66" s="74" t="s">
        <v>1157</v>
      </c>
      <c r="D66" s="74" t="s">
        <v>2557</v>
      </c>
      <c r="E66" s="75">
        <v>1</v>
      </c>
      <c r="F66" s="75" t="s">
        <v>747</v>
      </c>
      <c r="G66" s="115">
        <v>5000000</v>
      </c>
      <c r="H66" s="74" t="s">
        <v>351</v>
      </c>
      <c r="I66" s="74" t="s">
        <v>352</v>
      </c>
    </row>
    <row r="67" spans="1:9" ht="75" hidden="1" x14ac:dyDescent="0.25">
      <c r="A67" s="74" t="s">
        <v>348</v>
      </c>
      <c r="B67" s="75">
        <v>6060001</v>
      </c>
      <c r="C67" s="74" t="s">
        <v>1157</v>
      </c>
      <c r="D67" s="74" t="s">
        <v>2558</v>
      </c>
      <c r="E67" s="75">
        <v>4</v>
      </c>
      <c r="F67" s="75" t="s">
        <v>726</v>
      </c>
      <c r="G67" s="115">
        <v>4000000</v>
      </c>
      <c r="H67" s="74" t="s">
        <v>351</v>
      </c>
      <c r="I67" s="74" t="s">
        <v>352</v>
      </c>
    </row>
    <row r="68" spans="1:9" ht="45" hidden="1" x14ac:dyDescent="0.25">
      <c r="A68" s="74" t="s">
        <v>353</v>
      </c>
      <c r="B68" s="75">
        <v>6060001</v>
      </c>
      <c r="C68" s="74" t="s">
        <v>1157</v>
      </c>
      <c r="D68" s="74" t="s">
        <v>2559</v>
      </c>
      <c r="E68" s="75">
        <v>2</v>
      </c>
      <c r="F68" s="75" t="s">
        <v>726</v>
      </c>
      <c r="G68" s="115">
        <v>2000000</v>
      </c>
      <c r="H68" s="74" t="s">
        <v>356</v>
      </c>
      <c r="I68" s="74" t="s">
        <v>357</v>
      </c>
    </row>
    <row r="69" spans="1:9" ht="45" x14ac:dyDescent="0.25">
      <c r="A69" s="74" t="s">
        <v>353</v>
      </c>
      <c r="B69" s="75">
        <v>6060001</v>
      </c>
      <c r="C69" s="74" t="s">
        <v>1157</v>
      </c>
      <c r="D69" s="74"/>
      <c r="E69" s="75">
        <v>2</v>
      </c>
      <c r="F69" s="75" t="s">
        <v>726</v>
      </c>
      <c r="G69" s="115">
        <v>2000000</v>
      </c>
      <c r="H69" s="74" t="s">
        <v>356</v>
      </c>
      <c r="I69" s="74" t="s">
        <v>357</v>
      </c>
    </row>
    <row r="70" spans="1:9" ht="45" x14ac:dyDescent="0.25">
      <c r="A70" s="74" t="s">
        <v>353</v>
      </c>
      <c r="B70" s="75">
        <v>6060001</v>
      </c>
      <c r="C70" s="74" t="s">
        <v>1157</v>
      </c>
      <c r="D70" s="74" t="s">
        <v>2560</v>
      </c>
      <c r="E70" s="75">
        <v>8</v>
      </c>
      <c r="F70" s="75">
        <v>800</v>
      </c>
      <c r="G70" s="115">
        <v>6400000</v>
      </c>
      <c r="H70" s="74" t="s">
        <v>356</v>
      </c>
      <c r="I70" s="74" t="s">
        <v>357</v>
      </c>
    </row>
    <row r="71" spans="1:9" ht="45" x14ac:dyDescent="0.25">
      <c r="A71" s="74" t="s">
        <v>353</v>
      </c>
      <c r="B71" s="75">
        <v>6060001</v>
      </c>
      <c r="C71" s="74" t="s">
        <v>1157</v>
      </c>
      <c r="D71" s="74" t="s">
        <v>2561</v>
      </c>
      <c r="E71" s="75">
        <v>50</v>
      </c>
      <c r="F71" s="75" t="s">
        <v>736</v>
      </c>
      <c r="G71" s="115">
        <v>150000000</v>
      </c>
      <c r="H71" s="74" t="s">
        <v>356</v>
      </c>
      <c r="I71" s="74" t="s">
        <v>357</v>
      </c>
    </row>
    <row r="72" spans="1:9" ht="60" x14ac:dyDescent="0.25">
      <c r="A72" s="74" t="s">
        <v>13</v>
      </c>
      <c r="B72" s="75"/>
      <c r="C72" s="74" t="s">
        <v>2321</v>
      </c>
      <c r="D72" s="74"/>
      <c r="E72" s="75">
        <v>1</v>
      </c>
      <c r="F72" s="75" t="s">
        <v>940</v>
      </c>
      <c r="G72" s="115">
        <v>2700000</v>
      </c>
      <c r="H72" s="74" t="s">
        <v>16</v>
      </c>
      <c r="I72" s="74" t="s">
        <v>17</v>
      </c>
    </row>
    <row r="73" spans="1:9" ht="60" x14ac:dyDescent="0.25">
      <c r="A73" s="74" t="s">
        <v>136</v>
      </c>
      <c r="B73" s="75"/>
      <c r="C73" s="74" t="s">
        <v>696</v>
      </c>
      <c r="D73" s="74" t="s">
        <v>2562</v>
      </c>
      <c r="E73" s="75">
        <v>12</v>
      </c>
      <c r="F73" s="75" t="s">
        <v>845</v>
      </c>
      <c r="G73" s="115">
        <v>48000000</v>
      </c>
      <c r="H73" s="74" t="s">
        <v>141</v>
      </c>
      <c r="I73" s="74" t="s">
        <v>135</v>
      </c>
    </row>
    <row r="74" spans="1:9" ht="75" x14ac:dyDescent="0.25">
      <c r="A74" s="74" t="s">
        <v>182</v>
      </c>
      <c r="B74" s="75">
        <v>6010601</v>
      </c>
      <c r="C74" s="74" t="s">
        <v>2563</v>
      </c>
      <c r="D74" s="74" t="s">
        <v>2564</v>
      </c>
      <c r="E74" s="75">
        <v>15</v>
      </c>
      <c r="F74" s="75">
        <v>800</v>
      </c>
      <c r="G74" s="115">
        <v>12000000</v>
      </c>
      <c r="H74" s="74" t="s">
        <v>187</v>
      </c>
      <c r="I74" s="74" t="s">
        <v>135</v>
      </c>
    </row>
    <row r="75" spans="1:9" ht="120" x14ac:dyDescent="0.25">
      <c r="A75" s="74" t="s">
        <v>182</v>
      </c>
      <c r="B75" s="75">
        <v>6011401</v>
      </c>
      <c r="C75" s="74" t="s">
        <v>2565</v>
      </c>
      <c r="D75" s="74" t="s">
        <v>2566</v>
      </c>
      <c r="E75" s="75">
        <v>30</v>
      </c>
      <c r="F75" s="75">
        <v>311</v>
      </c>
      <c r="G75" s="115">
        <v>9330000</v>
      </c>
      <c r="H75" s="74" t="s">
        <v>187</v>
      </c>
      <c r="I75" s="74" t="s">
        <v>135</v>
      </c>
    </row>
    <row r="76" spans="1:9" x14ac:dyDescent="0.25">
      <c r="A76" s="1516" t="s">
        <v>695</v>
      </c>
      <c r="B76" s="1517"/>
      <c r="C76" s="1517"/>
      <c r="D76" s="1517"/>
      <c r="E76" s="1517"/>
      <c r="F76" s="1518"/>
      <c r="G76" s="99">
        <v>2249774422</v>
      </c>
      <c r="H76" s="1519"/>
      <c r="I76" s="1520"/>
    </row>
    <row r="77" spans="1:9" x14ac:dyDescent="0.25">
      <c r="G77" s="1">
        <f>SUM(G6:G75)</f>
        <v>2248675522</v>
      </c>
    </row>
    <row r="78" spans="1:9" x14ac:dyDescent="0.25">
      <c r="G78" s="1">
        <f>+G76-G77</f>
        <v>1098900</v>
      </c>
    </row>
  </sheetData>
  <mergeCells count="2">
    <mergeCell ref="A76:F76"/>
    <mergeCell ref="H76:I76"/>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A1:I85"/>
  <sheetViews>
    <sheetView topLeftCell="A79" zoomScale="80" zoomScaleNormal="80" workbookViewId="0">
      <selection activeCell="L84" sqref="L84"/>
    </sheetView>
  </sheetViews>
  <sheetFormatPr baseColWidth="10" defaultColWidth="11.42578125" defaultRowHeight="15" x14ac:dyDescent="0.25"/>
  <cols>
    <col min="1" max="1" width="15.140625" customWidth="1"/>
    <col min="2" max="2" width="10.28515625" customWidth="1"/>
    <col min="3" max="3" width="15.140625" customWidth="1"/>
    <col min="4" max="4" width="26.42578125" customWidth="1"/>
    <col min="5" max="5" width="6.42578125" customWidth="1"/>
    <col min="6" max="6" width="11.140625" customWidth="1"/>
    <col min="7" max="7" width="14.42578125" customWidth="1"/>
    <col min="8" max="8" width="16.42578125" customWidth="1"/>
    <col min="9" max="9" width="25.42578125" customWidth="1"/>
  </cols>
  <sheetData>
    <row r="1" spans="1:9" ht="18" x14ac:dyDescent="0.3">
      <c r="A1" s="5" t="s">
        <v>688</v>
      </c>
    </row>
    <row r="3" spans="1:9" ht="18" x14ac:dyDescent="0.3">
      <c r="A3" s="5" t="s">
        <v>2567</v>
      </c>
    </row>
    <row r="5" spans="1:9" x14ac:dyDescent="0.25">
      <c r="A5" s="44" t="s">
        <v>689</v>
      </c>
      <c r="B5" s="44" t="s">
        <v>690</v>
      </c>
      <c r="C5" s="44" t="s">
        <v>691</v>
      </c>
      <c r="D5" s="44" t="s">
        <v>692</v>
      </c>
      <c r="E5" s="44" t="s">
        <v>693</v>
      </c>
      <c r="F5" s="44" t="s">
        <v>694</v>
      </c>
      <c r="G5" s="44" t="s">
        <v>695</v>
      </c>
      <c r="H5" s="44" t="s">
        <v>1</v>
      </c>
      <c r="I5" s="44" t="s">
        <v>2</v>
      </c>
    </row>
    <row r="6" spans="1:9" ht="60" x14ac:dyDescent="0.25">
      <c r="A6" s="44" t="s">
        <v>56</v>
      </c>
      <c r="B6" s="6">
        <v>10070006</v>
      </c>
      <c r="C6" s="44" t="s">
        <v>2568</v>
      </c>
      <c r="D6" s="44"/>
      <c r="E6" s="6">
        <v>10</v>
      </c>
      <c r="F6" s="6">
        <v>739</v>
      </c>
      <c r="G6" s="6">
        <v>7.39</v>
      </c>
      <c r="H6" s="44" t="s">
        <v>63</v>
      </c>
      <c r="I6" s="44" t="s">
        <v>64</v>
      </c>
    </row>
    <row r="7" spans="1:9" ht="60" x14ac:dyDescent="0.25">
      <c r="A7" s="44" t="s">
        <v>56</v>
      </c>
      <c r="B7" s="6">
        <v>10060002</v>
      </c>
      <c r="C7" s="44" t="s">
        <v>941</v>
      </c>
      <c r="D7" s="44"/>
      <c r="E7" s="6">
        <v>60</v>
      </c>
      <c r="F7" s="6">
        <v>339</v>
      </c>
      <c r="G7" s="6">
        <v>20.34</v>
      </c>
      <c r="H7" s="44" t="s">
        <v>63</v>
      </c>
      <c r="I7" s="44" t="s">
        <v>64</v>
      </c>
    </row>
    <row r="8" spans="1:9" ht="60" x14ac:dyDescent="0.25">
      <c r="A8" s="44" t="s">
        <v>56</v>
      </c>
      <c r="B8" s="6">
        <v>2516001</v>
      </c>
      <c r="C8" s="44" t="s">
        <v>1009</v>
      </c>
      <c r="D8" s="44"/>
      <c r="E8" s="6">
        <v>6</v>
      </c>
      <c r="F8" s="6">
        <v>400</v>
      </c>
      <c r="G8" s="6" t="s">
        <v>867</v>
      </c>
      <c r="H8" s="44" t="s">
        <v>63</v>
      </c>
      <c r="I8" s="44" t="s">
        <v>64</v>
      </c>
    </row>
    <row r="9" spans="1:9" ht="60" x14ac:dyDescent="0.25">
      <c r="A9" s="44" t="s">
        <v>56</v>
      </c>
      <c r="B9" s="6">
        <v>139900005</v>
      </c>
      <c r="C9" s="44" t="s">
        <v>2569</v>
      </c>
      <c r="D9" s="44"/>
      <c r="E9" s="6">
        <v>4</v>
      </c>
      <c r="F9" s="6">
        <v>46.39</v>
      </c>
      <c r="G9" s="6">
        <v>185.56</v>
      </c>
      <c r="H9" s="44" t="s">
        <v>63</v>
      </c>
      <c r="I9" s="44" t="s">
        <v>64</v>
      </c>
    </row>
    <row r="10" spans="1:9" ht="90" x14ac:dyDescent="0.25">
      <c r="A10" s="44" t="s">
        <v>56</v>
      </c>
      <c r="B10" s="6">
        <v>100900003</v>
      </c>
      <c r="C10" s="44" t="s">
        <v>1027</v>
      </c>
      <c r="D10" s="44"/>
      <c r="E10" s="6">
        <v>100</v>
      </c>
      <c r="F10" s="6">
        <v>974</v>
      </c>
      <c r="G10" s="6">
        <v>97.4</v>
      </c>
      <c r="H10" s="44" t="s">
        <v>63</v>
      </c>
      <c r="I10" s="44" t="s">
        <v>64</v>
      </c>
    </row>
    <row r="11" spans="1:9" ht="75" x14ac:dyDescent="0.25">
      <c r="A11" s="44" t="s">
        <v>56</v>
      </c>
      <c r="B11" s="6">
        <v>11790007</v>
      </c>
      <c r="C11" s="44" t="s">
        <v>2570</v>
      </c>
      <c r="D11" s="44"/>
      <c r="E11" s="6">
        <v>30</v>
      </c>
      <c r="F11" s="6">
        <v>818</v>
      </c>
      <c r="G11" s="6">
        <v>24.54</v>
      </c>
      <c r="H11" s="44" t="s">
        <v>63</v>
      </c>
      <c r="I11" s="44" t="s">
        <v>64</v>
      </c>
    </row>
    <row r="12" spans="1:9" ht="60" x14ac:dyDescent="0.25">
      <c r="A12" s="44" t="s">
        <v>56</v>
      </c>
      <c r="B12" s="6">
        <v>1180005</v>
      </c>
      <c r="C12" s="44" t="s">
        <v>2571</v>
      </c>
      <c r="D12" s="44"/>
      <c r="E12" s="6">
        <v>16</v>
      </c>
      <c r="F12" s="6">
        <v>1.796</v>
      </c>
      <c r="G12" s="6">
        <v>28.736000000000001</v>
      </c>
      <c r="H12" s="44" t="s">
        <v>63</v>
      </c>
      <c r="I12" s="44" t="s">
        <v>64</v>
      </c>
    </row>
    <row r="13" spans="1:9" ht="75" x14ac:dyDescent="0.25">
      <c r="A13" s="44" t="s">
        <v>56</v>
      </c>
      <c r="B13" s="6">
        <v>1180002</v>
      </c>
      <c r="C13" s="44" t="s">
        <v>2572</v>
      </c>
      <c r="D13" s="44"/>
      <c r="E13" s="6">
        <v>10</v>
      </c>
      <c r="F13" s="6">
        <v>8.0860000000000003</v>
      </c>
      <c r="G13" s="6">
        <v>80.86</v>
      </c>
      <c r="H13" s="44" t="s">
        <v>63</v>
      </c>
      <c r="I13" s="44" t="s">
        <v>64</v>
      </c>
    </row>
    <row r="14" spans="1:9" ht="60" x14ac:dyDescent="0.25">
      <c r="A14" s="44" t="s">
        <v>56</v>
      </c>
      <c r="B14" s="6">
        <v>142200109</v>
      </c>
      <c r="C14" s="44" t="s">
        <v>2573</v>
      </c>
      <c r="D14" s="44"/>
      <c r="E14" s="6">
        <v>200</v>
      </c>
      <c r="F14" s="6">
        <v>2</v>
      </c>
      <c r="G14" s="6">
        <v>400</v>
      </c>
      <c r="H14" s="44" t="s">
        <v>63</v>
      </c>
      <c r="I14" s="44" t="s">
        <v>64</v>
      </c>
    </row>
    <row r="15" spans="1:9" ht="60" x14ac:dyDescent="0.25">
      <c r="A15" s="44" t="s">
        <v>56</v>
      </c>
      <c r="B15" s="6">
        <v>142200110</v>
      </c>
      <c r="C15" s="44" t="s">
        <v>2574</v>
      </c>
      <c r="D15" s="44"/>
      <c r="E15" s="6">
        <v>3</v>
      </c>
      <c r="F15" s="6">
        <v>50</v>
      </c>
      <c r="G15" s="6">
        <v>150</v>
      </c>
      <c r="H15" s="44" t="s">
        <v>63</v>
      </c>
      <c r="I15" s="44" t="s">
        <v>64</v>
      </c>
    </row>
    <row r="16" spans="1:9" ht="60" x14ac:dyDescent="0.25">
      <c r="A16" s="44" t="s">
        <v>56</v>
      </c>
      <c r="B16" s="6">
        <v>142200110</v>
      </c>
      <c r="C16" s="44" t="s">
        <v>2574</v>
      </c>
      <c r="D16" s="44"/>
      <c r="E16" s="6">
        <v>5</v>
      </c>
      <c r="F16" s="6">
        <v>50</v>
      </c>
      <c r="G16" s="6">
        <v>250</v>
      </c>
      <c r="H16" s="44" t="s">
        <v>63</v>
      </c>
      <c r="I16" s="44" t="s">
        <v>64</v>
      </c>
    </row>
    <row r="17" spans="1:9" ht="60" x14ac:dyDescent="0.25">
      <c r="A17" s="44" t="s">
        <v>56</v>
      </c>
      <c r="B17" s="6">
        <v>142200053</v>
      </c>
      <c r="C17" s="44" t="s">
        <v>2575</v>
      </c>
      <c r="D17" s="44"/>
      <c r="E17" s="6">
        <v>160</v>
      </c>
      <c r="F17" s="6">
        <v>2.605</v>
      </c>
      <c r="G17" s="6">
        <v>416.8</v>
      </c>
      <c r="H17" s="44" t="s">
        <v>63</v>
      </c>
      <c r="I17" s="44" t="s">
        <v>64</v>
      </c>
    </row>
    <row r="18" spans="1:9" ht="60" x14ac:dyDescent="0.25">
      <c r="A18" s="44" t="s">
        <v>56</v>
      </c>
      <c r="B18" s="6">
        <v>1076003</v>
      </c>
      <c r="C18" s="44" t="s">
        <v>2576</v>
      </c>
      <c r="D18" s="44"/>
      <c r="E18" s="6">
        <v>10</v>
      </c>
      <c r="F18" s="6">
        <v>3.2719999999999998</v>
      </c>
      <c r="G18" s="6">
        <v>32.72</v>
      </c>
      <c r="H18" s="44" t="s">
        <v>63</v>
      </c>
      <c r="I18" s="44" t="s">
        <v>64</v>
      </c>
    </row>
    <row r="19" spans="1:9" ht="60" x14ac:dyDescent="0.25">
      <c r="A19" s="44" t="s">
        <v>56</v>
      </c>
      <c r="B19" s="6">
        <v>101200031</v>
      </c>
      <c r="C19" s="44" t="s">
        <v>2577</v>
      </c>
      <c r="D19" s="44"/>
      <c r="E19" s="6">
        <v>5</v>
      </c>
      <c r="F19" s="6">
        <v>1.915</v>
      </c>
      <c r="G19" s="6">
        <v>9.5749999999999993</v>
      </c>
      <c r="H19" s="44" t="s">
        <v>63</v>
      </c>
      <c r="I19" s="44" t="s">
        <v>64</v>
      </c>
    </row>
    <row r="20" spans="1:9" ht="60" x14ac:dyDescent="0.25">
      <c r="A20" s="44" t="s">
        <v>56</v>
      </c>
      <c r="B20" s="6">
        <v>2056001</v>
      </c>
      <c r="C20" s="44" t="s">
        <v>1075</v>
      </c>
      <c r="D20" s="44"/>
      <c r="E20" s="6">
        <v>5</v>
      </c>
      <c r="F20" s="6" t="s">
        <v>1077</v>
      </c>
      <c r="G20" s="6" t="s">
        <v>1095</v>
      </c>
      <c r="H20" s="44" t="s">
        <v>63</v>
      </c>
      <c r="I20" s="44" t="s">
        <v>64</v>
      </c>
    </row>
    <row r="21" spans="1:9" ht="60" x14ac:dyDescent="0.25">
      <c r="A21" s="44" t="s">
        <v>56</v>
      </c>
      <c r="B21" s="6">
        <v>2060010</v>
      </c>
      <c r="C21" s="44" t="s">
        <v>1125</v>
      </c>
      <c r="D21" s="44"/>
      <c r="E21" s="6">
        <v>10</v>
      </c>
      <c r="F21" s="6" t="s">
        <v>751</v>
      </c>
      <c r="G21" s="6" t="s">
        <v>1130</v>
      </c>
      <c r="H21" s="44" t="s">
        <v>63</v>
      </c>
      <c r="I21" s="44" t="s">
        <v>64</v>
      </c>
    </row>
    <row r="22" spans="1:9" ht="60" x14ac:dyDescent="0.25">
      <c r="A22" s="44" t="s">
        <v>56</v>
      </c>
      <c r="B22" s="6">
        <v>119800003</v>
      </c>
      <c r="C22" s="44" t="s">
        <v>1175</v>
      </c>
      <c r="D22" s="44"/>
      <c r="E22" s="6">
        <v>25</v>
      </c>
      <c r="F22" s="6">
        <v>2.0960000000000001</v>
      </c>
      <c r="G22" s="6">
        <v>52.4</v>
      </c>
      <c r="H22" s="44" t="s">
        <v>63</v>
      </c>
      <c r="I22" s="44" t="s">
        <v>64</v>
      </c>
    </row>
    <row r="23" spans="1:9" ht="60" x14ac:dyDescent="0.25">
      <c r="A23" s="44" t="s">
        <v>56</v>
      </c>
      <c r="B23" s="6">
        <v>144200006</v>
      </c>
      <c r="C23" s="44" t="s">
        <v>2578</v>
      </c>
      <c r="D23" s="44"/>
      <c r="E23" s="6">
        <v>6</v>
      </c>
      <c r="F23" s="6">
        <v>3.0640000000000001</v>
      </c>
      <c r="G23" s="6">
        <v>18.384</v>
      </c>
      <c r="H23" s="44" t="s">
        <v>63</v>
      </c>
      <c r="I23" s="44" t="s">
        <v>64</v>
      </c>
    </row>
    <row r="24" spans="1:9" ht="60" x14ac:dyDescent="0.25">
      <c r="A24" s="44" t="s">
        <v>56</v>
      </c>
      <c r="B24" s="6">
        <v>1002001</v>
      </c>
      <c r="C24" s="44" t="s">
        <v>2579</v>
      </c>
      <c r="D24" s="44"/>
      <c r="E24" s="6">
        <v>20</v>
      </c>
      <c r="F24" s="6">
        <v>5.0910000000000002</v>
      </c>
      <c r="G24" s="6">
        <v>101.82</v>
      </c>
      <c r="H24" s="44" t="s">
        <v>63</v>
      </c>
      <c r="I24" s="44" t="s">
        <v>64</v>
      </c>
    </row>
    <row r="25" spans="1:9" ht="60" x14ac:dyDescent="0.25">
      <c r="A25" s="44" t="s">
        <v>56</v>
      </c>
      <c r="B25" s="6">
        <v>1002002</v>
      </c>
      <c r="C25" s="44" t="s">
        <v>2580</v>
      </c>
      <c r="D25" s="44"/>
      <c r="E25" s="6">
        <v>80</v>
      </c>
      <c r="F25" s="6">
        <v>5.0910000000000002</v>
      </c>
      <c r="G25" s="6">
        <v>407.28</v>
      </c>
      <c r="H25" s="44" t="s">
        <v>63</v>
      </c>
      <c r="I25" s="44" t="s">
        <v>64</v>
      </c>
    </row>
    <row r="26" spans="1:9" ht="60" x14ac:dyDescent="0.25">
      <c r="A26" s="44" t="s">
        <v>56</v>
      </c>
      <c r="B26" s="6">
        <v>10260003</v>
      </c>
      <c r="C26" s="44" t="s">
        <v>1535</v>
      </c>
      <c r="D26" s="44"/>
      <c r="E26" s="6">
        <v>700</v>
      </c>
      <c r="F26" s="6">
        <v>379</v>
      </c>
      <c r="G26" s="6">
        <v>265.3</v>
      </c>
      <c r="H26" s="44" t="s">
        <v>63</v>
      </c>
      <c r="I26" s="44" t="s">
        <v>64</v>
      </c>
    </row>
    <row r="27" spans="1:9" ht="60" x14ac:dyDescent="0.25">
      <c r="A27" s="44" t="s">
        <v>56</v>
      </c>
      <c r="B27" s="6">
        <v>6010510</v>
      </c>
      <c r="C27" s="44" t="s">
        <v>1538</v>
      </c>
      <c r="D27" s="44"/>
      <c r="E27" s="6">
        <v>240000</v>
      </c>
      <c r="F27" s="6">
        <v>60</v>
      </c>
      <c r="G27" s="6" t="s">
        <v>1523</v>
      </c>
      <c r="H27" s="44" t="s">
        <v>63</v>
      </c>
      <c r="I27" s="44" t="s">
        <v>64</v>
      </c>
    </row>
    <row r="28" spans="1:9" ht="60" x14ac:dyDescent="0.25">
      <c r="A28" s="44" t="s">
        <v>56</v>
      </c>
      <c r="B28" s="6">
        <v>1023002</v>
      </c>
      <c r="C28" s="44" t="s">
        <v>1551</v>
      </c>
      <c r="D28" s="44"/>
      <c r="E28" s="6">
        <v>30</v>
      </c>
      <c r="F28" s="6">
        <v>497</v>
      </c>
      <c r="G28" s="6">
        <v>14.91</v>
      </c>
      <c r="H28" s="44" t="s">
        <v>63</v>
      </c>
      <c r="I28" s="44" t="s">
        <v>64</v>
      </c>
    </row>
    <row r="29" spans="1:9" ht="60" x14ac:dyDescent="0.25">
      <c r="A29" s="44" t="s">
        <v>56</v>
      </c>
      <c r="B29" s="6">
        <v>1024001</v>
      </c>
      <c r="C29" s="44" t="s">
        <v>2581</v>
      </c>
      <c r="D29" s="44"/>
      <c r="E29" s="6">
        <v>20</v>
      </c>
      <c r="F29" s="6">
        <v>1.786</v>
      </c>
      <c r="G29" s="6">
        <v>35.72</v>
      </c>
      <c r="H29" s="44" t="s">
        <v>63</v>
      </c>
      <c r="I29" s="44" t="s">
        <v>64</v>
      </c>
    </row>
    <row r="30" spans="1:9" ht="60" x14ac:dyDescent="0.25">
      <c r="A30" s="44" t="s">
        <v>56</v>
      </c>
      <c r="B30" s="6">
        <v>113400003</v>
      </c>
      <c r="C30" s="44" t="s">
        <v>1554</v>
      </c>
      <c r="D30" s="44"/>
      <c r="E30" s="6">
        <v>10</v>
      </c>
      <c r="F30" s="6">
        <v>2.286</v>
      </c>
      <c r="G30" s="6">
        <v>22.86</v>
      </c>
      <c r="H30" s="44" t="s">
        <v>63</v>
      </c>
      <c r="I30" s="44" t="s">
        <v>64</v>
      </c>
    </row>
    <row r="31" spans="1:9" ht="60" x14ac:dyDescent="0.25">
      <c r="A31" s="44" t="s">
        <v>56</v>
      </c>
      <c r="B31" s="6">
        <v>1025001</v>
      </c>
      <c r="C31" s="44" t="s">
        <v>2582</v>
      </c>
      <c r="D31" s="44"/>
      <c r="E31" s="6">
        <v>60</v>
      </c>
      <c r="F31" s="6">
        <v>3.468</v>
      </c>
      <c r="G31" s="6">
        <v>208.08</v>
      </c>
      <c r="H31" s="44" t="s">
        <v>63</v>
      </c>
      <c r="I31" s="44" t="s">
        <v>64</v>
      </c>
    </row>
    <row r="32" spans="1:9" ht="60" x14ac:dyDescent="0.25">
      <c r="A32" s="44" t="s">
        <v>56</v>
      </c>
      <c r="B32" s="6">
        <v>10270012</v>
      </c>
      <c r="C32" s="44" t="s">
        <v>2583</v>
      </c>
      <c r="D32" s="44"/>
      <c r="E32" s="6">
        <v>20</v>
      </c>
      <c r="F32" s="6">
        <v>2.5</v>
      </c>
      <c r="G32" s="6">
        <v>50</v>
      </c>
      <c r="H32" s="44" t="s">
        <v>63</v>
      </c>
      <c r="I32" s="44" t="s">
        <v>64</v>
      </c>
    </row>
    <row r="33" spans="1:9" ht="60" x14ac:dyDescent="0.25">
      <c r="A33" s="44" t="s">
        <v>56</v>
      </c>
      <c r="B33" s="6">
        <v>10270017</v>
      </c>
      <c r="C33" s="44" t="s">
        <v>1637</v>
      </c>
      <c r="D33" s="44"/>
      <c r="E33" s="6">
        <v>400</v>
      </c>
      <c r="F33" s="6">
        <v>521</v>
      </c>
      <c r="G33" s="6">
        <v>208.4</v>
      </c>
      <c r="H33" s="44" t="s">
        <v>63</v>
      </c>
      <c r="I33" s="44" t="s">
        <v>64</v>
      </c>
    </row>
    <row r="34" spans="1:9" ht="60" x14ac:dyDescent="0.25">
      <c r="A34" s="44" t="s">
        <v>56</v>
      </c>
      <c r="B34" s="6">
        <v>10280002</v>
      </c>
      <c r="C34" s="44" t="s">
        <v>1640</v>
      </c>
      <c r="D34" s="44"/>
      <c r="E34" s="6">
        <v>500</v>
      </c>
      <c r="F34" s="6">
        <v>381</v>
      </c>
      <c r="G34" s="6">
        <v>190.5</v>
      </c>
      <c r="H34" s="44" t="s">
        <v>63</v>
      </c>
      <c r="I34" s="44" t="s">
        <v>64</v>
      </c>
    </row>
    <row r="35" spans="1:9" ht="60" x14ac:dyDescent="0.25">
      <c r="A35" s="44" t="s">
        <v>56</v>
      </c>
      <c r="B35" s="6">
        <v>10280002</v>
      </c>
      <c r="C35" s="44" t="s">
        <v>1640</v>
      </c>
      <c r="D35" s="44"/>
      <c r="E35" s="6">
        <v>120</v>
      </c>
      <c r="F35" s="6">
        <v>381</v>
      </c>
      <c r="G35" s="6">
        <v>45.72</v>
      </c>
      <c r="H35" s="44" t="s">
        <v>63</v>
      </c>
      <c r="I35" s="44" t="s">
        <v>64</v>
      </c>
    </row>
    <row r="36" spans="1:9" ht="60" x14ac:dyDescent="0.25">
      <c r="A36" s="44" t="s">
        <v>56</v>
      </c>
      <c r="B36" s="6">
        <v>10280003</v>
      </c>
      <c r="C36" s="44" t="s">
        <v>2584</v>
      </c>
      <c r="D36" s="44"/>
      <c r="E36" s="6">
        <v>60</v>
      </c>
      <c r="F36" s="6">
        <v>471</v>
      </c>
      <c r="G36" s="6">
        <v>28.26</v>
      </c>
      <c r="H36" s="44" t="s">
        <v>63</v>
      </c>
      <c r="I36" s="44" t="s">
        <v>64</v>
      </c>
    </row>
    <row r="37" spans="1:9" ht="60" x14ac:dyDescent="0.25">
      <c r="A37" s="44" t="s">
        <v>56</v>
      </c>
      <c r="B37" s="6">
        <v>10020006</v>
      </c>
      <c r="C37" s="44" t="s">
        <v>2585</v>
      </c>
      <c r="D37" s="44"/>
      <c r="E37" s="6">
        <v>100</v>
      </c>
      <c r="F37" s="6">
        <v>798</v>
      </c>
      <c r="G37" s="6">
        <v>79.8</v>
      </c>
      <c r="H37" s="44" t="s">
        <v>63</v>
      </c>
      <c r="I37" s="44" t="s">
        <v>64</v>
      </c>
    </row>
    <row r="38" spans="1:9" ht="60" x14ac:dyDescent="0.25">
      <c r="A38" s="44" t="s">
        <v>56</v>
      </c>
      <c r="B38" s="6">
        <v>102900026</v>
      </c>
      <c r="C38" s="44" t="s">
        <v>2586</v>
      </c>
      <c r="D38" s="44"/>
      <c r="E38" s="6">
        <v>20</v>
      </c>
      <c r="F38" s="6">
        <v>2</v>
      </c>
      <c r="G38" s="6">
        <v>40</v>
      </c>
      <c r="H38" s="44" t="s">
        <v>63</v>
      </c>
      <c r="I38" s="44" t="s">
        <v>64</v>
      </c>
    </row>
    <row r="39" spans="1:9" ht="60" x14ac:dyDescent="0.25">
      <c r="A39" s="44" t="s">
        <v>56</v>
      </c>
      <c r="B39" s="6">
        <v>102900025</v>
      </c>
      <c r="C39" s="44" t="s">
        <v>2587</v>
      </c>
      <c r="D39" s="44"/>
      <c r="E39" s="6">
        <v>40</v>
      </c>
      <c r="F39" s="6">
        <v>1.746</v>
      </c>
      <c r="G39" s="6">
        <v>69.84</v>
      </c>
      <c r="H39" s="44" t="s">
        <v>63</v>
      </c>
      <c r="I39" s="44" t="s">
        <v>64</v>
      </c>
    </row>
    <row r="40" spans="1:9" ht="60" x14ac:dyDescent="0.25">
      <c r="A40" s="44" t="s">
        <v>56</v>
      </c>
      <c r="B40" s="6">
        <v>113800229</v>
      </c>
      <c r="C40" s="44" t="s">
        <v>1664</v>
      </c>
      <c r="D40" s="44"/>
      <c r="E40" s="6">
        <v>10</v>
      </c>
      <c r="F40" s="6">
        <v>10.471</v>
      </c>
      <c r="G40" s="6">
        <v>104.71</v>
      </c>
      <c r="H40" s="44" t="s">
        <v>63</v>
      </c>
      <c r="I40" s="44" t="s">
        <v>64</v>
      </c>
    </row>
    <row r="41" spans="1:9" ht="60" x14ac:dyDescent="0.25">
      <c r="A41" s="44" t="s">
        <v>56</v>
      </c>
      <c r="B41" s="6">
        <v>1026001</v>
      </c>
      <c r="C41" s="44" t="s">
        <v>2588</v>
      </c>
      <c r="D41" s="44"/>
      <c r="E41" s="6">
        <v>10</v>
      </c>
      <c r="F41" s="6">
        <v>1.429</v>
      </c>
      <c r="G41" s="6">
        <v>14.29</v>
      </c>
      <c r="H41" s="44" t="s">
        <v>63</v>
      </c>
      <c r="I41" s="44" t="s">
        <v>64</v>
      </c>
    </row>
    <row r="42" spans="1:9" ht="60" x14ac:dyDescent="0.25">
      <c r="A42" s="44" t="s">
        <v>56</v>
      </c>
      <c r="B42" s="6">
        <v>103100016</v>
      </c>
      <c r="C42" s="44" t="s">
        <v>2589</v>
      </c>
      <c r="D42" s="44"/>
      <c r="E42" s="6">
        <v>50</v>
      </c>
      <c r="F42" s="6">
        <v>1.036</v>
      </c>
      <c r="G42" s="6">
        <v>51.8</v>
      </c>
      <c r="H42" s="44" t="s">
        <v>63</v>
      </c>
      <c r="I42" s="44" t="s">
        <v>64</v>
      </c>
    </row>
    <row r="43" spans="1:9" ht="60" x14ac:dyDescent="0.25">
      <c r="A43" s="44" t="s">
        <v>56</v>
      </c>
      <c r="B43" s="6">
        <v>103100021</v>
      </c>
      <c r="C43" s="44" t="s">
        <v>1785</v>
      </c>
      <c r="D43" s="44"/>
      <c r="E43" s="6">
        <v>150</v>
      </c>
      <c r="F43" s="6">
        <v>1.5169999999999999</v>
      </c>
      <c r="G43" s="6">
        <v>227.55</v>
      </c>
      <c r="H43" s="44" t="s">
        <v>63</v>
      </c>
      <c r="I43" s="44" t="s">
        <v>64</v>
      </c>
    </row>
    <row r="44" spans="1:9" ht="75" x14ac:dyDescent="0.25">
      <c r="A44" s="44" t="s">
        <v>56</v>
      </c>
      <c r="B44" s="6">
        <v>103100023</v>
      </c>
      <c r="C44" s="44" t="s">
        <v>1786</v>
      </c>
      <c r="D44" s="44"/>
      <c r="E44" s="6">
        <v>30</v>
      </c>
      <c r="F44" s="6">
        <v>2.4750000000000001</v>
      </c>
      <c r="G44" s="6">
        <v>74.25</v>
      </c>
      <c r="H44" s="44" t="s">
        <v>63</v>
      </c>
      <c r="I44" s="44" t="s">
        <v>64</v>
      </c>
    </row>
    <row r="45" spans="1:9" ht="60" x14ac:dyDescent="0.25">
      <c r="A45" s="44" t="s">
        <v>56</v>
      </c>
      <c r="B45" s="6">
        <v>144900056</v>
      </c>
      <c r="C45" s="44" t="s">
        <v>1793</v>
      </c>
      <c r="D45" s="44"/>
      <c r="E45" s="6">
        <v>10</v>
      </c>
      <c r="F45" s="6">
        <v>33.404000000000003</v>
      </c>
      <c r="G45" s="6">
        <v>334.04</v>
      </c>
      <c r="H45" s="44" t="s">
        <v>63</v>
      </c>
      <c r="I45" s="44" t="s">
        <v>64</v>
      </c>
    </row>
    <row r="46" spans="1:9" ht="60" x14ac:dyDescent="0.25">
      <c r="A46" s="44" t="s">
        <v>56</v>
      </c>
      <c r="B46" s="6">
        <v>144900088</v>
      </c>
      <c r="C46" s="44" t="s">
        <v>1794</v>
      </c>
      <c r="D46" s="44"/>
      <c r="E46" s="6">
        <v>4</v>
      </c>
      <c r="F46" s="6">
        <v>89.046000000000006</v>
      </c>
      <c r="G46" s="6">
        <v>356.18400000000003</v>
      </c>
      <c r="H46" s="44" t="s">
        <v>63</v>
      </c>
      <c r="I46" s="44" t="s">
        <v>64</v>
      </c>
    </row>
    <row r="47" spans="1:9" ht="60" x14ac:dyDescent="0.25">
      <c r="A47" s="44" t="s">
        <v>56</v>
      </c>
      <c r="B47" s="6">
        <v>144900073</v>
      </c>
      <c r="C47" s="44" t="s">
        <v>1797</v>
      </c>
      <c r="D47" s="44"/>
      <c r="E47" s="6">
        <v>25</v>
      </c>
      <c r="F47" s="6">
        <v>49.295000000000002</v>
      </c>
      <c r="G47" s="6" t="s">
        <v>2590</v>
      </c>
      <c r="H47" s="44" t="s">
        <v>63</v>
      </c>
      <c r="I47" s="44" t="s">
        <v>64</v>
      </c>
    </row>
    <row r="48" spans="1:9" ht="45" x14ac:dyDescent="0.25">
      <c r="A48" s="44" t="s">
        <v>56</v>
      </c>
      <c r="B48" s="6"/>
      <c r="C48" s="44" t="s">
        <v>696</v>
      </c>
      <c r="D48" s="44" t="s">
        <v>2591</v>
      </c>
      <c r="E48" s="6">
        <v>29</v>
      </c>
      <c r="F48" s="6" t="s">
        <v>814</v>
      </c>
      <c r="G48" s="6" t="s">
        <v>2592</v>
      </c>
      <c r="H48" s="44" t="s">
        <v>59</v>
      </c>
      <c r="I48" s="44" t="s">
        <v>60</v>
      </c>
    </row>
    <row r="49" spans="1:9" ht="92.25" customHeight="1" x14ac:dyDescent="0.25">
      <c r="A49" s="44" t="s">
        <v>56</v>
      </c>
      <c r="B49" s="6"/>
      <c r="C49" s="44" t="s">
        <v>696</v>
      </c>
      <c r="D49" s="44" t="s">
        <v>2593</v>
      </c>
      <c r="E49" s="6">
        <v>50</v>
      </c>
      <c r="F49" s="6" t="s">
        <v>2594</v>
      </c>
      <c r="G49" s="6" t="s">
        <v>2595</v>
      </c>
      <c r="H49" s="44" t="s">
        <v>65</v>
      </c>
      <c r="I49" s="44" t="s">
        <v>66</v>
      </c>
    </row>
    <row r="50" spans="1:9" ht="93.75" customHeight="1" x14ac:dyDescent="0.25">
      <c r="A50" s="44" t="s">
        <v>56</v>
      </c>
      <c r="B50" s="6"/>
      <c r="C50" s="44" t="s">
        <v>696</v>
      </c>
      <c r="D50" s="44" t="s">
        <v>2596</v>
      </c>
      <c r="E50" s="6">
        <v>25</v>
      </c>
      <c r="F50" s="6" t="s">
        <v>2597</v>
      </c>
      <c r="G50" s="6" t="s">
        <v>2598</v>
      </c>
      <c r="H50" s="44" t="s">
        <v>63</v>
      </c>
      <c r="I50" s="44" t="s">
        <v>64</v>
      </c>
    </row>
    <row r="51" spans="1:9" ht="45" x14ac:dyDescent="0.25">
      <c r="A51" s="44" t="s">
        <v>56</v>
      </c>
      <c r="B51" s="6"/>
      <c r="C51" s="44" t="s">
        <v>696</v>
      </c>
      <c r="D51" s="44" t="s">
        <v>2599</v>
      </c>
      <c r="E51" s="6">
        <v>20</v>
      </c>
      <c r="F51" s="6" t="s">
        <v>2382</v>
      </c>
      <c r="G51" s="6" t="s">
        <v>2600</v>
      </c>
      <c r="H51" s="44" t="s">
        <v>61</v>
      </c>
      <c r="I51" s="44" t="s">
        <v>62</v>
      </c>
    </row>
    <row r="52" spans="1:9" ht="155.25" customHeight="1" x14ac:dyDescent="0.25">
      <c r="A52" s="44" t="s">
        <v>376</v>
      </c>
      <c r="B52" s="6"/>
      <c r="C52" s="44" t="s">
        <v>696</v>
      </c>
      <c r="D52" s="44" t="s">
        <v>2601</v>
      </c>
      <c r="E52" s="6">
        <v>1</v>
      </c>
      <c r="F52" s="6" t="s">
        <v>883</v>
      </c>
      <c r="G52" s="6" t="s">
        <v>883</v>
      </c>
      <c r="H52" s="44" t="s">
        <v>381</v>
      </c>
      <c r="I52" s="44" t="s">
        <v>382</v>
      </c>
    </row>
    <row r="53" spans="1:9" ht="225" x14ac:dyDescent="0.25">
      <c r="A53" s="44" t="s">
        <v>376</v>
      </c>
      <c r="B53" s="6"/>
      <c r="C53" s="44" t="s">
        <v>696</v>
      </c>
      <c r="D53" s="44" t="s">
        <v>2602</v>
      </c>
      <c r="E53" s="6">
        <v>5</v>
      </c>
      <c r="F53" s="6" t="s">
        <v>814</v>
      </c>
      <c r="G53" s="6" t="s">
        <v>680</v>
      </c>
      <c r="H53" s="44" t="s">
        <v>381</v>
      </c>
      <c r="I53" s="44" t="s">
        <v>382</v>
      </c>
    </row>
    <row r="54" spans="1:9" ht="150" x14ac:dyDescent="0.25">
      <c r="A54" s="44" t="s">
        <v>376</v>
      </c>
      <c r="B54" s="6"/>
      <c r="C54" s="44" t="s">
        <v>696</v>
      </c>
      <c r="D54" s="44" t="s">
        <v>2603</v>
      </c>
      <c r="E54" s="6">
        <v>5</v>
      </c>
      <c r="F54" s="6" t="s">
        <v>814</v>
      </c>
      <c r="G54" s="6" t="s">
        <v>680</v>
      </c>
      <c r="H54" s="44" t="s">
        <v>381</v>
      </c>
      <c r="I54" s="44" t="s">
        <v>382</v>
      </c>
    </row>
    <row r="55" spans="1:9" ht="165" x14ac:dyDescent="0.25">
      <c r="A55" s="44" t="s">
        <v>376</v>
      </c>
      <c r="B55" s="6"/>
      <c r="C55" s="44" t="s">
        <v>696</v>
      </c>
      <c r="D55" s="44" t="s">
        <v>2604</v>
      </c>
      <c r="E55" s="6">
        <v>5</v>
      </c>
      <c r="F55" s="6" t="s">
        <v>726</v>
      </c>
      <c r="G55" s="6" t="s">
        <v>747</v>
      </c>
      <c r="H55" s="44" t="s">
        <v>381</v>
      </c>
      <c r="I55" s="44" t="s">
        <v>382</v>
      </c>
    </row>
    <row r="56" spans="1:9" ht="165" x14ac:dyDescent="0.25">
      <c r="A56" s="44" t="s">
        <v>376</v>
      </c>
      <c r="B56" s="6"/>
      <c r="C56" s="44" t="s">
        <v>696</v>
      </c>
      <c r="D56" s="44" t="s">
        <v>2605</v>
      </c>
      <c r="E56" s="6">
        <v>2</v>
      </c>
      <c r="F56" s="6" t="s">
        <v>742</v>
      </c>
      <c r="G56" s="6" t="s">
        <v>747</v>
      </c>
      <c r="H56" s="44" t="s">
        <v>381</v>
      </c>
      <c r="I56" s="44" t="s">
        <v>382</v>
      </c>
    </row>
    <row r="57" spans="1:9" ht="90" x14ac:dyDescent="0.25">
      <c r="A57" s="44" t="s">
        <v>376</v>
      </c>
      <c r="B57" s="6"/>
      <c r="C57" s="44" t="s">
        <v>696</v>
      </c>
      <c r="D57" s="44" t="s">
        <v>2606</v>
      </c>
      <c r="E57" s="6">
        <v>14</v>
      </c>
      <c r="F57" s="6" t="s">
        <v>747</v>
      </c>
      <c r="G57" s="6" t="s">
        <v>712</v>
      </c>
      <c r="H57" s="44" t="s">
        <v>391</v>
      </c>
      <c r="I57" s="44" t="s">
        <v>392</v>
      </c>
    </row>
    <row r="58" spans="1:9" ht="90" x14ac:dyDescent="0.25">
      <c r="A58" s="44" t="s">
        <v>376</v>
      </c>
      <c r="B58" s="6"/>
      <c r="C58" s="44" t="s">
        <v>696</v>
      </c>
      <c r="D58" s="44" t="s">
        <v>2607</v>
      </c>
      <c r="E58" s="6">
        <v>25</v>
      </c>
      <c r="F58" s="6" t="s">
        <v>814</v>
      </c>
      <c r="G58" s="6" t="s">
        <v>1149</v>
      </c>
      <c r="H58" s="44" t="s">
        <v>379</v>
      </c>
      <c r="I58" s="44" t="s">
        <v>380</v>
      </c>
    </row>
    <row r="59" spans="1:9" ht="75" x14ac:dyDescent="0.25">
      <c r="A59" s="44" t="s">
        <v>376</v>
      </c>
      <c r="B59" s="6"/>
      <c r="C59" s="44" t="s">
        <v>696</v>
      </c>
      <c r="D59" s="44" t="s">
        <v>2608</v>
      </c>
      <c r="E59" s="6">
        <v>2</v>
      </c>
      <c r="F59" s="6" t="s">
        <v>987</v>
      </c>
      <c r="G59" s="6" t="s">
        <v>999</v>
      </c>
      <c r="H59" s="44" t="s">
        <v>393</v>
      </c>
      <c r="I59" s="44" t="s">
        <v>394</v>
      </c>
    </row>
    <row r="60" spans="1:9" ht="101.25" customHeight="1" x14ac:dyDescent="0.25">
      <c r="A60" s="44" t="s">
        <v>376</v>
      </c>
      <c r="B60" s="6"/>
      <c r="C60" s="44" t="s">
        <v>696</v>
      </c>
      <c r="D60" s="44" t="s">
        <v>2609</v>
      </c>
      <c r="E60" s="6">
        <v>4</v>
      </c>
      <c r="F60" s="6" t="s">
        <v>747</v>
      </c>
      <c r="G60" s="6" t="s">
        <v>883</v>
      </c>
      <c r="H60" s="44" t="s">
        <v>393</v>
      </c>
      <c r="I60" s="44" t="s">
        <v>394</v>
      </c>
    </row>
    <row r="61" spans="1:9" ht="240" x14ac:dyDescent="0.25">
      <c r="A61" s="44" t="s">
        <v>376</v>
      </c>
      <c r="B61" s="6"/>
      <c r="C61" s="44" t="s">
        <v>696</v>
      </c>
      <c r="D61" s="44" t="s">
        <v>2610</v>
      </c>
      <c r="E61" s="6">
        <v>7</v>
      </c>
      <c r="F61" s="6" t="s">
        <v>987</v>
      </c>
      <c r="G61" s="6" t="s">
        <v>710</v>
      </c>
      <c r="H61" s="44" t="s">
        <v>383</v>
      </c>
      <c r="I61" s="44" t="s">
        <v>384</v>
      </c>
    </row>
    <row r="62" spans="1:9" ht="105" x14ac:dyDescent="0.25">
      <c r="A62" s="44" t="s">
        <v>376</v>
      </c>
      <c r="B62" s="6"/>
      <c r="C62" s="44" t="s">
        <v>696</v>
      </c>
      <c r="D62" s="44" t="s">
        <v>2611</v>
      </c>
      <c r="E62" s="6">
        <v>3</v>
      </c>
      <c r="F62" s="6" t="s">
        <v>680</v>
      </c>
      <c r="G62" s="6" t="s">
        <v>999</v>
      </c>
      <c r="H62" s="44" t="s">
        <v>385</v>
      </c>
      <c r="I62" s="44" t="s">
        <v>386</v>
      </c>
    </row>
    <row r="63" spans="1:9" ht="120" x14ac:dyDescent="0.25">
      <c r="A63" s="44" t="s">
        <v>376</v>
      </c>
      <c r="B63" s="6"/>
      <c r="C63" s="44" t="s">
        <v>696</v>
      </c>
      <c r="D63" s="44" t="s">
        <v>2612</v>
      </c>
      <c r="E63" s="6">
        <v>2</v>
      </c>
      <c r="F63" s="6" t="s">
        <v>680</v>
      </c>
      <c r="G63" s="6" t="s">
        <v>883</v>
      </c>
      <c r="H63" s="44" t="s">
        <v>387</v>
      </c>
      <c r="I63" s="44" t="s">
        <v>388</v>
      </c>
    </row>
    <row r="64" spans="1:9" ht="75" x14ac:dyDescent="0.25">
      <c r="A64" s="44" t="s">
        <v>56</v>
      </c>
      <c r="B64" s="6">
        <v>1053003</v>
      </c>
      <c r="C64" s="44" t="s">
        <v>1928</v>
      </c>
      <c r="D64" s="44"/>
      <c r="E64" s="6">
        <v>20</v>
      </c>
      <c r="F64" s="6">
        <v>14.974</v>
      </c>
      <c r="G64" s="6">
        <v>299.48</v>
      </c>
      <c r="H64" s="44" t="s">
        <v>63</v>
      </c>
      <c r="I64" s="44" t="s">
        <v>64</v>
      </c>
    </row>
    <row r="65" spans="1:9" ht="90" x14ac:dyDescent="0.25">
      <c r="A65" s="44" t="s">
        <v>56</v>
      </c>
      <c r="B65" s="6">
        <v>10530027</v>
      </c>
      <c r="C65" s="44" t="s">
        <v>1929</v>
      </c>
      <c r="D65" s="44"/>
      <c r="E65" s="6">
        <v>220</v>
      </c>
      <c r="F65" s="6">
        <v>11.978999999999999</v>
      </c>
      <c r="G65" s="6" t="s">
        <v>2613</v>
      </c>
      <c r="H65" s="44" t="s">
        <v>63</v>
      </c>
      <c r="I65" s="44" t="s">
        <v>64</v>
      </c>
    </row>
    <row r="66" spans="1:9" ht="90" x14ac:dyDescent="0.25">
      <c r="A66" s="44" t="s">
        <v>56</v>
      </c>
      <c r="B66" s="6">
        <v>105300035</v>
      </c>
      <c r="C66" s="44" t="s">
        <v>1930</v>
      </c>
      <c r="D66" s="44"/>
      <c r="E66" s="6">
        <v>30</v>
      </c>
      <c r="F66" s="6">
        <v>15.173</v>
      </c>
      <c r="G66" s="6">
        <v>455.19</v>
      </c>
      <c r="H66" s="44" t="s">
        <v>63</v>
      </c>
      <c r="I66" s="44" t="s">
        <v>64</v>
      </c>
    </row>
    <row r="67" spans="1:9" ht="60" x14ac:dyDescent="0.25">
      <c r="A67" s="44" t="s">
        <v>56</v>
      </c>
      <c r="B67" s="6">
        <v>162400001</v>
      </c>
      <c r="C67" s="44" t="s">
        <v>2419</v>
      </c>
      <c r="D67" s="44"/>
      <c r="E67" s="6">
        <v>4</v>
      </c>
      <c r="F67" s="6">
        <v>35.179000000000002</v>
      </c>
      <c r="G67" s="6">
        <v>140.71600000000001</v>
      </c>
      <c r="H67" s="44" t="s">
        <v>63</v>
      </c>
      <c r="I67" s="44" t="s">
        <v>64</v>
      </c>
    </row>
    <row r="68" spans="1:9" ht="75" x14ac:dyDescent="0.25">
      <c r="A68" s="44" t="s">
        <v>56</v>
      </c>
      <c r="B68" s="6">
        <v>1123002</v>
      </c>
      <c r="C68" s="44" t="s">
        <v>1944</v>
      </c>
      <c r="D68" s="44"/>
      <c r="E68" s="6">
        <v>4</v>
      </c>
      <c r="F68" s="6">
        <v>4.3819999999999997</v>
      </c>
      <c r="G68" s="6">
        <v>17.527999999999999</v>
      </c>
      <c r="H68" s="44" t="s">
        <v>63</v>
      </c>
      <c r="I68" s="44" t="s">
        <v>64</v>
      </c>
    </row>
    <row r="69" spans="1:9" ht="60" x14ac:dyDescent="0.25">
      <c r="A69" s="44" t="s">
        <v>56</v>
      </c>
      <c r="B69" s="6">
        <v>144100007</v>
      </c>
      <c r="C69" s="44" t="s">
        <v>2614</v>
      </c>
      <c r="D69" s="44"/>
      <c r="E69" s="6">
        <v>6</v>
      </c>
      <c r="F69" s="6">
        <v>10.863</v>
      </c>
      <c r="G69" s="6">
        <v>65.177999999999997</v>
      </c>
      <c r="H69" s="44" t="s">
        <v>63</v>
      </c>
      <c r="I69" s="44" t="s">
        <v>64</v>
      </c>
    </row>
    <row r="70" spans="1:9" ht="60" x14ac:dyDescent="0.25">
      <c r="A70" s="44" t="s">
        <v>56</v>
      </c>
      <c r="B70" s="6">
        <v>103600022</v>
      </c>
      <c r="C70" s="44" t="s">
        <v>2615</v>
      </c>
      <c r="D70" s="44"/>
      <c r="E70" s="6">
        <v>20</v>
      </c>
      <c r="F70" s="6">
        <v>17.228000000000002</v>
      </c>
      <c r="G70" s="6">
        <v>344.56</v>
      </c>
      <c r="H70" s="44" t="s">
        <v>63</v>
      </c>
      <c r="I70" s="44" t="s">
        <v>64</v>
      </c>
    </row>
    <row r="71" spans="1:9" ht="60" x14ac:dyDescent="0.25">
      <c r="A71" s="44" t="s">
        <v>56</v>
      </c>
      <c r="B71" s="6">
        <v>103600020</v>
      </c>
      <c r="C71" s="44" t="s">
        <v>1952</v>
      </c>
      <c r="D71" s="44"/>
      <c r="E71" s="6">
        <v>20</v>
      </c>
      <c r="F71" s="6">
        <v>25.32</v>
      </c>
      <c r="G71" s="6">
        <v>506.4</v>
      </c>
      <c r="H71" s="44" t="s">
        <v>63</v>
      </c>
      <c r="I71" s="44" t="s">
        <v>64</v>
      </c>
    </row>
    <row r="72" spans="1:9" ht="60" x14ac:dyDescent="0.25">
      <c r="A72" s="44" t="s">
        <v>56</v>
      </c>
      <c r="B72" s="6">
        <v>103100009</v>
      </c>
      <c r="C72" s="44" t="s">
        <v>2616</v>
      </c>
      <c r="D72" s="44"/>
      <c r="E72" s="6">
        <v>50</v>
      </c>
      <c r="F72" s="6">
        <v>932</v>
      </c>
      <c r="G72" s="6">
        <v>46.6</v>
      </c>
      <c r="H72" s="44" t="s">
        <v>63</v>
      </c>
      <c r="I72" s="44" t="s">
        <v>64</v>
      </c>
    </row>
    <row r="73" spans="1:9" ht="60" x14ac:dyDescent="0.25">
      <c r="A73" s="44" t="s">
        <v>56</v>
      </c>
      <c r="B73" s="6">
        <v>146700008</v>
      </c>
      <c r="C73" s="44" t="s">
        <v>1960</v>
      </c>
      <c r="D73" s="44"/>
      <c r="E73" s="6">
        <v>20</v>
      </c>
      <c r="F73" s="6">
        <v>1.4850000000000001</v>
      </c>
      <c r="G73" s="6">
        <v>29.7</v>
      </c>
      <c r="H73" s="44" t="s">
        <v>63</v>
      </c>
      <c r="I73" s="44" t="s">
        <v>64</v>
      </c>
    </row>
    <row r="74" spans="1:9" ht="60" x14ac:dyDescent="0.25">
      <c r="A74" s="44" t="s">
        <v>56</v>
      </c>
      <c r="B74" s="6">
        <v>146700010</v>
      </c>
      <c r="C74" s="44" t="s">
        <v>2617</v>
      </c>
      <c r="D74" s="44"/>
      <c r="E74" s="6">
        <v>20</v>
      </c>
      <c r="F74" s="6">
        <v>1.4850000000000001</v>
      </c>
      <c r="G74" s="6">
        <v>29.7</v>
      </c>
      <c r="H74" s="44" t="s">
        <v>63</v>
      </c>
      <c r="I74" s="44" t="s">
        <v>64</v>
      </c>
    </row>
    <row r="75" spans="1:9" ht="75" x14ac:dyDescent="0.25">
      <c r="A75" s="44" t="s">
        <v>56</v>
      </c>
      <c r="B75" s="6">
        <v>1037001</v>
      </c>
      <c r="C75" s="44" t="s">
        <v>2618</v>
      </c>
      <c r="D75" s="44"/>
      <c r="E75" s="6">
        <v>20</v>
      </c>
      <c r="F75" s="6">
        <v>1.9319999999999999</v>
      </c>
      <c r="G75" s="6">
        <v>38.64</v>
      </c>
      <c r="H75" s="44" t="s">
        <v>63</v>
      </c>
      <c r="I75" s="44" t="s">
        <v>64</v>
      </c>
    </row>
    <row r="76" spans="1:9" ht="60" x14ac:dyDescent="0.25">
      <c r="A76" s="44" t="s">
        <v>56</v>
      </c>
      <c r="B76" s="6">
        <v>10390005</v>
      </c>
      <c r="C76" s="44" t="s">
        <v>2619</v>
      </c>
      <c r="D76" s="44"/>
      <c r="E76" s="6">
        <v>3</v>
      </c>
      <c r="F76" s="6">
        <v>1.8640000000000001</v>
      </c>
      <c r="G76" s="6">
        <v>5.5919999999999996</v>
      </c>
      <c r="H76" s="44" t="s">
        <v>63</v>
      </c>
      <c r="I76" s="44" t="s">
        <v>64</v>
      </c>
    </row>
    <row r="77" spans="1:9" ht="60" x14ac:dyDescent="0.25">
      <c r="A77" s="44" t="s">
        <v>56</v>
      </c>
      <c r="B77" s="6">
        <v>103800008</v>
      </c>
      <c r="C77" s="44" t="s">
        <v>2620</v>
      </c>
      <c r="D77" s="44"/>
      <c r="E77" s="6">
        <v>60</v>
      </c>
      <c r="F77" s="6">
        <v>1.2609999999999999</v>
      </c>
      <c r="G77" s="6">
        <v>75.66</v>
      </c>
      <c r="H77" s="44" t="s">
        <v>63</v>
      </c>
      <c r="I77" s="44" t="s">
        <v>64</v>
      </c>
    </row>
    <row r="78" spans="1:9" ht="60" x14ac:dyDescent="0.25">
      <c r="A78" s="44" t="s">
        <v>56</v>
      </c>
      <c r="B78" s="6">
        <v>131400002</v>
      </c>
      <c r="C78" s="44" t="s">
        <v>2621</v>
      </c>
      <c r="D78" s="44"/>
      <c r="E78" s="6">
        <v>4</v>
      </c>
      <c r="F78" s="6">
        <v>6.5880000000000001</v>
      </c>
      <c r="G78" s="6">
        <v>26.352</v>
      </c>
      <c r="H78" s="44" t="s">
        <v>63</v>
      </c>
      <c r="I78" s="44" t="s">
        <v>64</v>
      </c>
    </row>
    <row r="79" spans="1:9" ht="60" x14ac:dyDescent="0.25">
      <c r="A79" s="44" t="s">
        <v>56</v>
      </c>
      <c r="B79" s="6">
        <v>135700008</v>
      </c>
      <c r="C79" s="44" t="s">
        <v>2622</v>
      </c>
      <c r="D79" s="44"/>
      <c r="E79" s="6">
        <v>50</v>
      </c>
      <c r="F79" s="6">
        <v>63</v>
      </c>
      <c r="G79" s="6">
        <v>3.15</v>
      </c>
      <c r="H79" s="44" t="s">
        <v>63</v>
      </c>
      <c r="I79" s="44" t="s">
        <v>64</v>
      </c>
    </row>
    <row r="80" spans="1:9" ht="60" x14ac:dyDescent="0.25">
      <c r="A80" s="44" t="s">
        <v>56</v>
      </c>
      <c r="B80" s="6">
        <v>1042002</v>
      </c>
      <c r="C80" s="44" t="s">
        <v>2623</v>
      </c>
      <c r="D80" s="44"/>
      <c r="E80" s="6">
        <v>50</v>
      </c>
      <c r="F80" s="6">
        <v>237</v>
      </c>
      <c r="G80" s="6">
        <v>11.85</v>
      </c>
      <c r="H80" s="44" t="s">
        <v>63</v>
      </c>
      <c r="I80" s="44" t="s">
        <v>64</v>
      </c>
    </row>
    <row r="81" spans="1:9" ht="60" x14ac:dyDescent="0.25">
      <c r="A81" s="44" t="s">
        <v>56</v>
      </c>
      <c r="B81" s="6">
        <v>1042001</v>
      </c>
      <c r="C81" s="44" t="s">
        <v>2624</v>
      </c>
      <c r="D81" s="44"/>
      <c r="E81" s="6">
        <v>50</v>
      </c>
      <c r="F81" s="6">
        <v>93</v>
      </c>
      <c r="G81" s="6">
        <v>4.6500000000000004</v>
      </c>
      <c r="H81" s="44" t="s">
        <v>63</v>
      </c>
      <c r="I81" s="44" t="s">
        <v>64</v>
      </c>
    </row>
    <row r="82" spans="1:9" ht="60" x14ac:dyDescent="0.25">
      <c r="A82" s="44" t="s">
        <v>56</v>
      </c>
      <c r="B82" s="6">
        <v>1042001</v>
      </c>
      <c r="C82" s="44" t="s">
        <v>2624</v>
      </c>
      <c r="D82" s="44"/>
      <c r="E82" s="6">
        <v>400</v>
      </c>
      <c r="F82" s="6">
        <v>93</v>
      </c>
      <c r="G82" s="6">
        <v>37.200000000000003</v>
      </c>
      <c r="H82" s="44" t="s">
        <v>63</v>
      </c>
      <c r="I82" s="44" t="s">
        <v>64</v>
      </c>
    </row>
    <row r="83" spans="1:9" ht="90" x14ac:dyDescent="0.25">
      <c r="A83" s="44" t="s">
        <v>56</v>
      </c>
      <c r="B83" s="6">
        <v>104300057</v>
      </c>
      <c r="C83" s="44" t="s">
        <v>2625</v>
      </c>
      <c r="D83" s="44"/>
      <c r="E83" s="6">
        <v>15</v>
      </c>
      <c r="F83" s="6">
        <v>221.53100000000001</v>
      </c>
      <c r="G83" s="6" t="s">
        <v>2626</v>
      </c>
      <c r="H83" s="44" t="s">
        <v>63</v>
      </c>
      <c r="I83" s="44" t="s">
        <v>64</v>
      </c>
    </row>
    <row r="84" spans="1:9" ht="105" x14ac:dyDescent="0.25">
      <c r="A84" s="44" t="s">
        <v>56</v>
      </c>
      <c r="B84" s="6">
        <v>104300022</v>
      </c>
      <c r="C84" s="44" t="s">
        <v>2627</v>
      </c>
      <c r="D84" s="44"/>
      <c r="E84" s="6">
        <v>4</v>
      </c>
      <c r="F84" s="6">
        <v>209.03200000000001</v>
      </c>
      <c r="G84" s="6">
        <v>836.12800000000004</v>
      </c>
      <c r="H84" s="44" t="s">
        <v>63</v>
      </c>
      <c r="I84" s="44" t="s">
        <v>64</v>
      </c>
    </row>
    <row r="85" spans="1:9" x14ac:dyDescent="0.25">
      <c r="A85" s="1516" t="s">
        <v>695</v>
      </c>
      <c r="B85" s="1517"/>
      <c r="C85" s="1517"/>
      <c r="D85" s="1517"/>
      <c r="E85" s="1517"/>
      <c r="F85" s="1518"/>
      <c r="G85" s="44" t="s">
        <v>682</v>
      </c>
      <c r="H85" s="1519"/>
      <c r="I85" s="1520"/>
    </row>
  </sheetData>
  <mergeCells count="2">
    <mergeCell ref="A85:F85"/>
    <mergeCell ref="H85:I8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2:AO13"/>
  <sheetViews>
    <sheetView workbookViewId="0">
      <selection activeCell="F8" sqref="F8"/>
    </sheetView>
  </sheetViews>
  <sheetFormatPr baseColWidth="10" defaultColWidth="11.42578125" defaultRowHeight="15" x14ac:dyDescent="0.25"/>
  <cols>
    <col min="1" max="1" width="8" customWidth="1"/>
  </cols>
  <sheetData>
    <row r="2" spans="1:41" x14ac:dyDescent="0.25">
      <c r="A2" s="9" t="s">
        <v>435</v>
      </c>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row>
    <row r="3" spans="1:41" x14ac:dyDescent="0.25">
      <c r="A3" s="10"/>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row>
    <row r="4" spans="1:41" ht="96.75" x14ac:dyDescent="0.25">
      <c r="A4" s="11" t="s">
        <v>395</v>
      </c>
      <c r="B4" s="11" t="s">
        <v>396</v>
      </c>
      <c r="C4" s="11" t="s">
        <v>397</v>
      </c>
      <c r="D4" s="11" t="s">
        <v>398</v>
      </c>
      <c r="E4" s="11" t="s">
        <v>399</v>
      </c>
      <c r="F4" s="11" t="s">
        <v>400</v>
      </c>
      <c r="G4" s="11" t="s">
        <v>401</v>
      </c>
      <c r="H4" s="11" t="s">
        <v>402</v>
      </c>
      <c r="I4" s="11" t="s">
        <v>403</v>
      </c>
      <c r="J4" s="11" t="s">
        <v>404</v>
      </c>
      <c r="K4" s="11" t="s">
        <v>405</v>
      </c>
      <c r="L4" s="11" t="s">
        <v>406</v>
      </c>
      <c r="M4" s="11" t="s">
        <v>407</v>
      </c>
      <c r="N4" s="11" t="s">
        <v>408</v>
      </c>
      <c r="O4" s="11" t="s">
        <v>409</v>
      </c>
      <c r="P4" s="11" t="s">
        <v>410</v>
      </c>
      <c r="Q4" s="11" t="s">
        <v>411</v>
      </c>
      <c r="R4" s="11" t="s">
        <v>412</v>
      </c>
      <c r="S4" s="11" t="s">
        <v>413</v>
      </c>
      <c r="T4" s="11" t="s">
        <v>436</v>
      </c>
      <c r="U4" s="11" t="s">
        <v>437</v>
      </c>
      <c r="V4" s="11" t="s">
        <v>438</v>
      </c>
      <c r="W4" s="11" t="s">
        <v>439</v>
      </c>
      <c r="X4" s="11" t="s">
        <v>414</v>
      </c>
      <c r="Y4" s="11" t="s">
        <v>415</v>
      </c>
      <c r="Z4" s="11" t="s">
        <v>416</v>
      </c>
      <c r="AA4" s="11" t="s">
        <v>417</v>
      </c>
      <c r="AB4" s="11" t="s">
        <v>418</v>
      </c>
      <c r="AC4" s="11" t="s">
        <v>419</v>
      </c>
      <c r="AD4" s="11" t="s">
        <v>420</v>
      </c>
      <c r="AE4" s="11" t="s">
        <v>421</v>
      </c>
      <c r="AF4" s="11" t="s">
        <v>422</v>
      </c>
      <c r="AG4" s="11" t="s">
        <v>423</v>
      </c>
      <c r="AH4" s="11" t="s">
        <v>424</v>
      </c>
      <c r="AI4" s="11" t="s">
        <v>425</v>
      </c>
      <c r="AJ4" s="11" t="s">
        <v>426</v>
      </c>
      <c r="AK4" s="11" t="s">
        <v>427</v>
      </c>
      <c r="AL4" s="11" t="s">
        <v>428</v>
      </c>
      <c r="AM4" s="11" t="s">
        <v>429</v>
      </c>
      <c r="AN4" s="11" t="s">
        <v>430</v>
      </c>
      <c r="AO4" s="11" t="s">
        <v>431</v>
      </c>
    </row>
    <row r="5" spans="1:41" ht="84.75" x14ac:dyDescent="0.25">
      <c r="A5" s="12">
        <v>111</v>
      </c>
      <c r="B5" s="12" t="s">
        <v>440</v>
      </c>
      <c r="C5" s="13">
        <v>0</v>
      </c>
      <c r="D5" s="13">
        <v>0</v>
      </c>
      <c r="E5" s="13">
        <v>0</v>
      </c>
      <c r="F5" s="13">
        <v>0</v>
      </c>
      <c r="G5" s="13">
        <v>0</v>
      </c>
      <c r="H5" s="13">
        <v>0</v>
      </c>
      <c r="I5" s="13">
        <v>0</v>
      </c>
      <c r="J5" s="13">
        <v>0</v>
      </c>
      <c r="K5" s="13">
        <v>0</v>
      </c>
      <c r="L5" s="13">
        <v>0</v>
      </c>
      <c r="M5" s="13">
        <v>0</v>
      </c>
      <c r="N5" s="13">
        <v>0</v>
      </c>
      <c r="O5" s="13">
        <v>0</v>
      </c>
      <c r="P5" s="13">
        <v>0</v>
      </c>
      <c r="Q5" s="13">
        <v>0</v>
      </c>
      <c r="R5" s="13">
        <v>0</v>
      </c>
      <c r="S5" s="13">
        <v>0</v>
      </c>
      <c r="T5" s="13">
        <v>0</v>
      </c>
      <c r="U5" s="13">
        <v>0</v>
      </c>
      <c r="V5" s="13">
        <v>0</v>
      </c>
      <c r="W5" s="13">
        <v>0</v>
      </c>
      <c r="X5" s="13">
        <v>0</v>
      </c>
      <c r="Y5" s="14">
        <v>3500000000</v>
      </c>
      <c r="Z5" s="13">
        <v>0</v>
      </c>
      <c r="AA5" s="13">
        <v>0</v>
      </c>
      <c r="AB5" s="13">
        <v>0</v>
      </c>
      <c r="AC5" s="13">
        <v>0</v>
      </c>
      <c r="AD5" s="13">
        <v>0</v>
      </c>
      <c r="AE5" s="13">
        <v>0</v>
      </c>
      <c r="AF5" s="13">
        <v>0</v>
      </c>
      <c r="AG5" s="13">
        <v>0</v>
      </c>
      <c r="AH5" s="13">
        <v>0</v>
      </c>
      <c r="AI5" s="13">
        <v>0</v>
      </c>
      <c r="AJ5" s="13">
        <v>0</v>
      </c>
      <c r="AK5" s="13">
        <v>0</v>
      </c>
      <c r="AL5" s="13">
        <v>0</v>
      </c>
      <c r="AM5" s="13">
        <v>0</v>
      </c>
      <c r="AN5" s="13">
        <v>0</v>
      </c>
      <c r="AO5" s="14">
        <v>3500000000</v>
      </c>
    </row>
    <row r="6" spans="1:41" ht="60.75" x14ac:dyDescent="0.25">
      <c r="A6" s="12">
        <v>211</v>
      </c>
      <c r="B6" s="12" t="s">
        <v>441</v>
      </c>
      <c r="C6" s="13">
        <v>0</v>
      </c>
      <c r="D6" s="14">
        <v>1071812000</v>
      </c>
      <c r="E6" s="13">
        <v>0</v>
      </c>
      <c r="F6" s="13">
        <v>0</v>
      </c>
      <c r="G6" s="14">
        <v>492473000</v>
      </c>
      <c r="H6" s="13">
        <v>0</v>
      </c>
      <c r="I6" s="14">
        <v>1385984272</v>
      </c>
      <c r="J6" s="13">
        <v>0</v>
      </c>
      <c r="K6" s="13">
        <v>0</v>
      </c>
      <c r="L6" s="13">
        <v>0</v>
      </c>
      <c r="M6" s="14">
        <v>2475577800</v>
      </c>
      <c r="N6" s="14">
        <v>802745655</v>
      </c>
      <c r="O6" s="14">
        <v>160867645</v>
      </c>
      <c r="P6" s="14">
        <v>2956458675</v>
      </c>
      <c r="Q6" s="14">
        <v>14752000</v>
      </c>
      <c r="R6" s="14">
        <v>28140000</v>
      </c>
      <c r="S6" s="13">
        <v>0</v>
      </c>
      <c r="T6" s="14">
        <v>22333500</v>
      </c>
      <c r="U6" s="14">
        <v>135290000</v>
      </c>
      <c r="V6" s="14">
        <v>77921208</v>
      </c>
      <c r="W6" s="14">
        <v>49113909</v>
      </c>
      <c r="X6" s="13">
        <v>0</v>
      </c>
      <c r="Y6" s="13">
        <v>0</v>
      </c>
      <c r="Z6" s="13">
        <v>0</v>
      </c>
      <c r="AA6" s="14">
        <v>156145000</v>
      </c>
      <c r="AB6" s="13">
        <v>0</v>
      </c>
      <c r="AC6" s="14">
        <v>400049000</v>
      </c>
      <c r="AD6" s="14">
        <v>687932793</v>
      </c>
      <c r="AE6" s="14">
        <v>626902688</v>
      </c>
      <c r="AF6" s="14">
        <v>138901200</v>
      </c>
      <c r="AG6" s="14">
        <v>86078000</v>
      </c>
      <c r="AH6" s="14">
        <v>149998000</v>
      </c>
      <c r="AI6" s="13">
        <v>0</v>
      </c>
      <c r="AJ6" s="13">
        <v>0</v>
      </c>
      <c r="AK6" s="13">
        <v>0</v>
      </c>
      <c r="AL6" s="13">
        <v>0</v>
      </c>
      <c r="AM6" s="14">
        <v>150000000</v>
      </c>
      <c r="AN6" s="13">
        <v>0</v>
      </c>
      <c r="AO6" s="14">
        <v>12069476345</v>
      </c>
    </row>
    <row r="7" spans="1:41" x14ac:dyDescent="0.25">
      <c r="A7" s="12">
        <v>3011190</v>
      </c>
      <c r="B7" s="12">
        <v>3011190</v>
      </c>
      <c r="C7" s="13">
        <v>0</v>
      </c>
      <c r="D7" s="13">
        <v>0</v>
      </c>
      <c r="E7" s="13">
        <v>0</v>
      </c>
      <c r="F7" s="13">
        <v>0</v>
      </c>
      <c r="G7" s="13">
        <v>0</v>
      </c>
      <c r="H7" s="14">
        <v>65980203</v>
      </c>
      <c r="I7" s="13">
        <v>0</v>
      </c>
      <c r="J7" s="14">
        <v>1838160000</v>
      </c>
      <c r="K7" s="14">
        <v>117299875</v>
      </c>
      <c r="L7" s="13">
        <v>0</v>
      </c>
      <c r="M7" s="13">
        <v>0</v>
      </c>
      <c r="N7" s="13">
        <v>0</v>
      </c>
      <c r="O7" s="13">
        <v>0</v>
      </c>
      <c r="P7" s="13">
        <v>0</v>
      </c>
      <c r="Q7" s="13">
        <v>0</v>
      </c>
      <c r="R7" s="13">
        <v>0</v>
      </c>
      <c r="S7" s="13">
        <v>0</v>
      </c>
      <c r="T7" s="13">
        <v>0</v>
      </c>
      <c r="U7" s="13">
        <v>0</v>
      </c>
      <c r="V7" s="13">
        <v>0</v>
      </c>
      <c r="W7" s="13">
        <v>0</v>
      </c>
      <c r="X7" s="14">
        <v>6000000</v>
      </c>
      <c r="Y7" s="13">
        <v>0</v>
      </c>
      <c r="Z7" s="13">
        <v>0</v>
      </c>
      <c r="AA7" s="13">
        <v>0</v>
      </c>
      <c r="AB7" s="13">
        <v>0</v>
      </c>
      <c r="AC7" s="13">
        <v>0</v>
      </c>
      <c r="AD7" s="13">
        <v>0</v>
      </c>
      <c r="AE7" s="13">
        <v>0</v>
      </c>
      <c r="AF7" s="13">
        <v>0</v>
      </c>
      <c r="AG7" s="13">
        <v>0</v>
      </c>
      <c r="AH7" s="13">
        <v>0</v>
      </c>
      <c r="AI7" s="13">
        <v>0</v>
      </c>
      <c r="AJ7" s="14">
        <v>30700000</v>
      </c>
      <c r="AK7" s="13">
        <v>0</v>
      </c>
      <c r="AL7" s="13">
        <v>0</v>
      </c>
      <c r="AM7" s="14">
        <v>84999852</v>
      </c>
      <c r="AN7" s="13">
        <v>0</v>
      </c>
      <c r="AO7" s="14">
        <v>2143139930</v>
      </c>
    </row>
    <row r="8" spans="1:41" ht="60.75" x14ac:dyDescent="0.25">
      <c r="A8" s="12">
        <v>310</v>
      </c>
      <c r="B8" s="12" t="s">
        <v>442</v>
      </c>
      <c r="C8" s="14">
        <v>10000000</v>
      </c>
      <c r="D8" s="13">
        <v>0</v>
      </c>
      <c r="E8" s="13">
        <v>0</v>
      </c>
      <c r="F8" s="13">
        <v>0</v>
      </c>
      <c r="G8" s="13">
        <v>0</v>
      </c>
      <c r="H8" s="13">
        <v>0</v>
      </c>
      <c r="I8" s="13">
        <v>0</v>
      </c>
      <c r="J8" s="13">
        <v>0</v>
      </c>
      <c r="K8" s="13">
        <v>0</v>
      </c>
      <c r="L8" s="13">
        <v>0</v>
      </c>
      <c r="M8" s="14">
        <v>55000000</v>
      </c>
      <c r="N8" s="14">
        <v>132000000</v>
      </c>
      <c r="O8" s="14">
        <v>40000000</v>
      </c>
      <c r="P8" s="13">
        <v>0</v>
      </c>
      <c r="Q8" s="14">
        <v>261900000</v>
      </c>
      <c r="R8" s="14">
        <v>119411502</v>
      </c>
      <c r="S8" s="13">
        <v>0</v>
      </c>
      <c r="T8" s="13">
        <v>0</v>
      </c>
      <c r="U8" s="13">
        <v>0</v>
      </c>
      <c r="V8" s="13">
        <v>0</v>
      </c>
      <c r="W8" s="13">
        <v>0</v>
      </c>
      <c r="X8" s="13">
        <v>0</v>
      </c>
      <c r="Y8" s="13">
        <v>0</v>
      </c>
      <c r="Z8" s="13">
        <v>0</v>
      </c>
      <c r="AA8" s="13">
        <v>0</v>
      </c>
      <c r="AB8" s="13">
        <v>0</v>
      </c>
      <c r="AC8" s="13">
        <v>0</v>
      </c>
      <c r="AD8" s="13">
        <v>0</v>
      </c>
      <c r="AE8" s="13">
        <v>0</v>
      </c>
      <c r="AF8" s="13">
        <v>0</v>
      </c>
      <c r="AG8" s="13">
        <v>0</v>
      </c>
      <c r="AH8" s="13">
        <v>0</v>
      </c>
      <c r="AI8" s="13">
        <v>0</v>
      </c>
      <c r="AJ8" s="13">
        <v>0</v>
      </c>
      <c r="AK8" s="13">
        <v>0</v>
      </c>
      <c r="AL8" s="14">
        <v>7708400000</v>
      </c>
      <c r="AM8" s="14">
        <v>499999880</v>
      </c>
      <c r="AN8" s="13">
        <v>0</v>
      </c>
      <c r="AO8" s="14">
        <v>8826711382</v>
      </c>
    </row>
    <row r="9" spans="1:41" ht="24.75" x14ac:dyDescent="0.25">
      <c r="A9" s="12">
        <v>410</v>
      </c>
      <c r="B9" s="12" t="s">
        <v>443</v>
      </c>
      <c r="C9" s="13">
        <v>0</v>
      </c>
      <c r="D9" s="13">
        <v>0</v>
      </c>
      <c r="E9" s="13">
        <v>0</v>
      </c>
      <c r="F9" s="14">
        <v>1447999988</v>
      </c>
      <c r="G9" s="13">
        <v>0</v>
      </c>
      <c r="H9" s="13">
        <v>0</v>
      </c>
      <c r="I9" s="13">
        <v>0</v>
      </c>
      <c r="J9" s="13">
        <v>0</v>
      </c>
      <c r="K9" s="13">
        <v>0</v>
      </c>
      <c r="L9" s="13">
        <v>0</v>
      </c>
      <c r="M9" s="13">
        <v>0</v>
      </c>
      <c r="N9" s="13">
        <v>0</v>
      </c>
      <c r="O9" s="13">
        <v>0</v>
      </c>
      <c r="P9" s="13">
        <v>0</v>
      </c>
      <c r="Q9" s="13">
        <v>0</v>
      </c>
      <c r="R9" s="13">
        <v>0</v>
      </c>
      <c r="S9" s="13">
        <v>0</v>
      </c>
      <c r="T9" s="13">
        <v>0</v>
      </c>
      <c r="U9" s="13">
        <v>0</v>
      </c>
      <c r="V9" s="13">
        <v>0</v>
      </c>
      <c r="W9" s="13">
        <v>0</v>
      </c>
      <c r="X9" s="13">
        <v>0</v>
      </c>
      <c r="Y9" s="13">
        <v>0</v>
      </c>
      <c r="Z9" s="13">
        <v>0</v>
      </c>
      <c r="AA9" s="13">
        <v>0</v>
      </c>
      <c r="AB9" s="13">
        <v>0</v>
      </c>
      <c r="AC9" s="13">
        <v>0</v>
      </c>
      <c r="AD9" s="13">
        <v>0</v>
      </c>
      <c r="AE9" s="13">
        <v>0</v>
      </c>
      <c r="AF9" s="13">
        <v>0</v>
      </c>
      <c r="AG9" s="13">
        <v>0</v>
      </c>
      <c r="AH9" s="13">
        <v>0</v>
      </c>
      <c r="AI9" s="13">
        <v>0</v>
      </c>
      <c r="AJ9" s="13">
        <v>0</v>
      </c>
      <c r="AK9" s="13">
        <v>0</v>
      </c>
      <c r="AL9" s="13">
        <v>0</v>
      </c>
      <c r="AM9" s="13">
        <v>0</v>
      </c>
      <c r="AN9" s="14">
        <v>375000000</v>
      </c>
      <c r="AO9" s="14">
        <v>1822999988</v>
      </c>
    </row>
    <row r="10" spans="1:41" x14ac:dyDescent="0.25">
      <c r="A10" s="12">
        <v>510</v>
      </c>
      <c r="B10" s="12" t="s">
        <v>444</v>
      </c>
      <c r="C10" s="14">
        <v>27656000</v>
      </c>
      <c r="D10" s="13">
        <v>0</v>
      </c>
      <c r="E10" s="14">
        <v>53417100</v>
      </c>
      <c r="F10" s="13">
        <v>0</v>
      </c>
      <c r="G10" s="13">
        <v>0</v>
      </c>
      <c r="H10" s="13">
        <v>0</v>
      </c>
      <c r="I10" s="13">
        <v>0</v>
      </c>
      <c r="J10" s="13">
        <v>0</v>
      </c>
      <c r="K10" s="13">
        <v>0</v>
      </c>
      <c r="L10" s="13">
        <v>0</v>
      </c>
      <c r="M10" s="13">
        <v>0</v>
      </c>
      <c r="N10" s="13">
        <v>0</v>
      </c>
      <c r="O10" s="13">
        <v>0</v>
      </c>
      <c r="P10" s="13">
        <v>0</v>
      </c>
      <c r="Q10" s="13">
        <v>0</v>
      </c>
      <c r="R10" s="13">
        <v>0</v>
      </c>
      <c r="S10" s="14">
        <v>21943075</v>
      </c>
      <c r="T10" s="13">
        <v>0</v>
      </c>
      <c r="U10" s="13">
        <v>0</v>
      </c>
      <c r="V10" s="13">
        <v>0</v>
      </c>
      <c r="W10" s="13">
        <v>0</v>
      </c>
      <c r="X10" s="13">
        <v>0</v>
      </c>
      <c r="Y10" s="13">
        <v>0</v>
      </c>
      <c r="Z10" s="14">
        <v>112000000</v>
      </c>
      <c r="AA10" s="13">
        <v>0</v>
      </c>
      <c r="AB10" s="13">
        <v>0</v>
      </c>
      <c r="AC10" s="13">
        <v>0</v>
      </c>
      <c r="AD10" s="13">
        <v>0</v>
      </c>
      <c r="AE10" s="13">
        <v>0</v>
      </c>
      <c r="AF10" s="13">
        <v>0</v>
      </c>
      <c r="AG10" s="13">
        <v>0</v>
      </c>
      <c r="AH10" s="13">
        <v>0</v>
      </c>
      <c r="AI10" s="13">
        <v>0</v>
      </c>
      <c r="AJ10" s="13">
        <v>0</v>
      </c>
      <c r="AK10" s="13">
        <v>0</v>
      </c>
      <c r="AL10" s="13">
        <v>0</v>
      </c>
      <c r="AM10" s="14">
        <v>1336000000</v>
      </c>
      <c r="AN10" s="13">
        <v>0</v>
      </c>
      <c r="AO10" s="14">
        <v>1551016175</v>
      </c>
    </row>
    <row r="11" spans="1:41" x14ac:dyDescent="0.25">
      <c r="A11" s="12">
        <v>520</v>
      </c>
      <c r="B11" s="12" t="s">
        <v>445</v>
      </c>
      <c r="C11" s="14">
        <v>296897808</v>
      </c>
      <c r="D11" s="13">
        <v>0</v>
      </c>
      <c r="E11" s="13">
        <v>0</v>
      </c>
      <c r="F11" s="13">
        <v>0</v>
      </c>
      <c r="G11" s="13">
        <v>0</v>
      </c>
      <c r="H11" s="13">
        <v>0</v>
      </c>
      <c r="I11" s="13">
        <v>0</v>
      </c>
      <c r="J11" s="13">
        <v>0</v>
      </c>
      <c r="K11" s="13">
        <v>0</v>
      </c>
      <c r="L11" s="13">
        <v>0</v>
      </c>
      <c r="M11" s="13">
        <v>0</v>
      </c>
      <c r="N11" s="13">
        <v>0</v>
      </c>
      <c r="O11" s="13">
        <v>0</v>
      </c>
      <c r="P11" s="13">
        <v>0</v>
      </c>
      <c r="Q11" s="13">
        <v>0</v>
      </c>
      <c r="R11" s="13">
        <v>0</v>
      </c>
      <c r="S11" s="13">
        <v>0</v>
      </c>
      <c r="T11" s="13">
        <v>0</v>
      </c>
      <c r="U11" s="13">
        <v>0</v>
      </c>
      <c r="V11" s="13">
        <v>0</v>
      </c>
      <c r="W11" s="13">
        <v>0</v>
      </c>
      <c r="X11" s="13">
        <v>0</v>
      </c>
      <c r="Y11" s="13">
        <v>0</v>
      </c>
      <c r="Z11" s="13">
        <v>0</v>
      </c>
      <c r="AA11" s="13">
        <v>0</v>
      </c>
      <c r="AB11" s="13">
        <v>0</v>
      </c>
      <c r="AC11" s="13">
        <v>0</v>
      </c>
      <c r="AD11" s="13">
        <v>0</v>
      </c>
      <c r="AE11" s="13">
        <v>0</v>
      </c>
      <c r="AF11" s="13">
        <v>0</v>
      </c>
      <c r="AG11" s="13">
        <v>0</v>
      </c>
      <c r="AH11" s="13">
        <v>0</v>
      </c>
      <c r="AI11" s="13">
        <v>0</v>
      </c>
      <c r="AJ11" s="13">
        <v>0</v>
      </c>
      <c r="AK11" s="13">
        <v>0</v>
      </c>
      <c r="AL11" s="13">
        <v>0</v>
      </c>
      <c r="AM11" s="13">
        <v>0</v>
      </c>
      <c r="AN11" s="13">
        <v>0</v>
      </c>
      <c r="AO11" s="14">
        <v>296897808</v>
      </c>
    </row>
    <row r="12" spans="1:41" x14ac:dyDescent="0.25">
      <c r="A12" s="12" t="s">
        <v>446</v>
      </c>
      <c r="B12" s="12" t="s">
        <v>446</v>
      </c>
      <c r="C12" s="13">
        <v>0</v>
      </c>
      <c r="D12" s="13">
        <v>0</v>
      </c>
      <c r="E12" s="13">
        <v>0</v>
      </c>
      <c r="F12" s="13">
        <v>0</v>
      </c>
      <c r="G12" s="13">
        <v>0</v>
      </c>
      <c r="H12" s="13">
        <v>0</v>
      </c>
      <c r="I12" s="13">
        <v>0</v>
      </c>
      <c r="J12" s="13">
        <v>0</v>
      </c>
      <c r="K12" s="13">
        <v>0</v>
      </c>
      <c r="L12" s="13">
        <v>0</v>
      </c>
      <c r="M12" s="13">
        <v>0</v>
      </c>
      <c r="N12" s="13">
        <v>0</v>
      </c>
      <c r="O12" s="13">
        <v>0</v>
      </c>
      <c r="P12" s="13">
        <v>0</v>
      </c>
      <c r="Q12" s="13">
        <v>0</v>
      </c>
      <c r="R12" s="13">
        <v>0</v>
      </c>
      <c r="S12" s="13">
        <v>0</v>
      </c>
      <c r="T12" s="13">
        <v>0</v>
      </c>
      <c r="U12" s="13">
        <v>0</v>
      </c>
      <c r="V12" s="13">
        <v>0</v>
      </c>
      <c r="W12" s="13">
        <v>0</v>
      </c>
      <c r="X12" s="13">
        <v>0</v>
      </c>
      <c r="Y12" s="13">
        <v>0</v>
      </c>
      <c r="Z12" s="13">
        <v>0</v>
      </c>
      <c r="AA12" s="13">
        <v>0</v>
      </c>
      <c r="AB12" s="13">
        <v>0</v>
      </c>
      <c r="AC12" s="13">
        <v>0</v>
      </c>
      <c r="AD12" s="13">
        <v>0</v>
      </c>
      <c r="AE12" s="13">
        <v>0</v>
      </c>
      <c r="AF12" s="13">
        <v>0</v>
      </c>
      <c r="AG12" s="14">
        <v>5969530</v>
      </c>
      <c r="AH12" s="13">
        <v>0</v>
      </c>
      <c r="AI12" s="13">
        <v>0</v>
      </c>
      <c r="AJ12" s="13">
        <v>0</v>
      </c>
      <c r="AK12" s="13">
        <v>0</v>
      </c>
      <c r="AL12" s="13">
        <v>0</v>
      </c>
      <c r="AM12" s="14">
        <v>200000000</v>
      </c>
      <c r="AN12" s="14">
        <v>10000000</v>
      </c>
      <c r="AO12" s="14">
        <v>215969530</v>
      </c>
    </row>
    <row r="13" spans="1:41" x14ac:dyDescent="0.25">
      <c r="A13" s="1160" t="s">
        <v>432</v>
      </c>
      <c r="B13" s="1161"/>
      <c r="C13" s="14">
        <v>334553808</v>
      </c>
      <c r="D13" s="14">
        <v>1071812000</v>
      </c>
      <c r="E13" s="14">
        <v>53417100</v>
      </c>
      <c r="F13" s="14">
        <v>1447999988</v>
      </c>
      <c r="G13" s="14">
        <v>492473000</v>
      </c>
      <c r="H13" s="14">
        <v>65980203</v>
      </c>
      <c r="I13" s="14">
        <v>1385984272</v>
      </c>
      <c r="J13" s="14">
        <v>1838160000</v>
      </c>
      <c r="K13" s="14">
        <v>117299875</v>
      </c>
      <c r="L13" s="13">
        <v>0</v>
      </c>
      <c r="M13" s="14">
        <v>2530577800</v>
      </c>
      <c r="N13" s="14">
        <v>934745655</v>
      </c>
      <c r="O13" s="14">
        <v>200867645</v>
      </c>
      <c r="P13" s="14">
        <v>2956458675</v>
      </c>
      <c r="Q13" s="14">
        <v>276652000</v>
      </c>
      <c r="R13" s="14">
        <v>147551502</v>
      </c>
      <c r="S13" s="14">
        <v>21943075</v>
      </c>
      <c r="T13" s="14">
        <v>22333500</v>
      </c>
      <c r="U13" s="14">
        <v>135290000</v>
      </c>
      <c r="V13" s="14">
        <v>77921208</v>
      </c>
      <c r="W13" s="14">
        <v>49113909</v>
      </c>
      <c r="X13" s="14">
        <v>6000000</v>
      </c>
      <c r="Y13" s="14">
        <v>3500000000</v>
      </c>
      <c r="Z13" s="14">
        <v>112000000</v>
      </c>
      <c r="AA13" s="14">
        <v>156145000</v>
      </c>
      <c r="AB13" s="13">
        <v>0</v>
      </c>
      <c r="AC13" s="14">
        <v>400049000</v>
      </c>
      <c r="AD13" s="14">
        <v>687932793</v>
      </c>
      <c r="AE13" s="14">
        <v>626902688</v>
      </c>
      <c r="AF13" s="14">
        <v>138901200</v>
      </c>
      <c r="AG13" s="14">
        <v>92047530</v>
      </c>
      <c r="AH13" s="14">
        <v>149998000</v>
      </c>
      <c r="AI13" s="13">
        <v>0</v>
      </c>
      <c r="AJ13" s="14">
        <v>30700000</v>
      </c>
      <c r="AK13" s="13">
        <v>0</v>
      </c>
      <c r="AL13" s="14">
        <v>7708400000</v>
      </c>
      <c r="AM13" s="14">
        <v>2270999732</v>
      </c>
      <c r="AN13" s="14">
        <v>385000000</v>
      </c>
      <c r="AO13" s="15">
        <v>30426211158</v>
      </c>
    </row>
  </sheetData>
  <mergeCells count="1">
    <mergeCell ref="A13:B13"/>
  </mergeCells>
  <hyperlinks>
    <hyperlink ref="A5" r:id="rId1" display="http://prueba.usco.edu.co:8080/sgad/reportes/reporte10.jsp?rubro=52"/>
    <hyperlink ref="B5" r:id="rId2" display="http://prueba.usco.edu.co:8080/sgad/reportes/reporte9.jsp?rubro=52"/>
    <hyperlink ref="A6" r:id="rId3" display="http://prueba.usco.edu.co:8080/sgad/reportes/reporte10.jsp?rubro=37"/>
    <hyperlink ref="B6" r:id="rId4" display="http://prueba.usco.edu.co:8080/sgad/reportes/reporte9.jsp?rubro=37"/>
    <hyperlink ref="A7" r:id="rId5" display="http://prueba.usco.edu.co:8080/sgad/reportes/reporte10.jsp?rubro=38"/>
    <hyperlink ref="B7" r:id="rId6" display="http://prueba.usco.edu.co:8080/sgad/reportes/reporte9.jsp?rubro=38"/>
    <hyperlink ref="A8" r:id="rId7" display="http://prueba.usco.edu.co:8080/sgad/reportes/reporte10.jsp?rubro=56"/>
    <hyperlink ref="B8" r:id="rId8" display="http://prueba.usco.edu.co:8080/sgad/reportes/reporte9.jsp?rubro=56"/>
    <hyperlink ref="A9" r:id="rId9" display="http://prueba.usco.edu.co:8080/sgad/reportes/reporte10.jsp?rubro=57"/>
    <hyperlink ref="B9" r:id="rId10" display="http://prueba.usco.edu.co:8080/sgad/reportes/reporte9.jsp?rubro=57"/>
    <hyperlink ref="A10" r:id="rId11" display="http://prueba.usco.edu.co:8080/sgad/reportes/reporte10.jsp?rubro=58"/>
    <hyperlink ref="B10" r:id="rId12" display="http://prueba.usco.edu.co:8080/sgad/reportes/reporte9.jsp?rubro=58"/>
    <hyperlink ref="A11" r:id="rId13" display="http://prueba.usco.edu.co:8080/sgad/reportes/reporte10.jsp?rubro=59"/>
    <hyperlink ref="B11" r:id="rId14" display="http://prueba.usco.edu.co:8080/sgad/reportes/reporte9.jsp?rubro=59"/>
    <hyperlink ref="A12" r:id="rId15" display="http://prueba.usco.edu.co:8080/sgad/reportes/reporte10.jsp?rubro=60"/>
    <hyperlink ref="B12" r:id="rId16" display="http://prueba.usco.edu.co:8080/sgad/reportes/reporte9.jsp?rubro=60"/>
  </hyperlinks>
  <pageMargins left="0.7" right="0.7" top="0.75" bottom="0.75" header="0.3" footer="0.3"/>
  <pageSetup paperSize="9" orientation="portrait" r:id="rId17"/>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I90"/>
  <sheetViews>
    <sheetView topLeftCell="A73" zoomScale="80" zoomScaleNormal="80" workbookViewId="0">
      <selection activeCell="G73" sqref="G73"/>
    </sheetView>
  </sheetViews>
  <sheetFormatPr baseColWidth="10" defaultColWidth="11.42578125" defaultRowHeight="15" x14ac:dyDescent="0.25"/>
  <cols>
    <col min="1" max="1" width="13.5703125" customWidth="1"/>
    <col min="3" max="3" width="20.140625" customWidth="1"/>
    <col min="4" max="4" width="20.85546875" customWidth="1"/>
    <col min="5" max="5" width="6.85546875" customWidth="1"/>
    <col min="7" max="7" width="15.140625" customWidth="1"/>
    <col min="8" max="8" width="13" customWidth="1"/>
    <col min="9" max="9" width="18.7109375" customWidth="1"/>
  </cols>
  <sheetData>
    <row r="1" spans="1:9" ht="18" x14ac:dyDescent="0.3">
      <c r="A1" s="5" t="s">
        <v>688</v>
      </c>
    </row>
    <row r="3" spans="1:9" ht="18" x14ac:dyDescent="0.3">
      <c r="A3" s="5" t="s">
        <v>2628</v>
      </c>
    </row>
    <row r="5" spans="1:9" ht="30" x14ac:dyDescent="0.25">
      <c r="A5" s="44" t="s">
        <v>689</v>
      </c>
      <c r="B5" s="44" t="s">
        <v>690</v>
      </c>
      <c r="C5" s="44" t="s">
        <v>691</v>
      </c>
      <c r="D5" s="44" t="s">
        <v>692</v>
      </c>
      <c r="E5" s="44" t="s">
        <v>693</v>
      </c>
      <c r="F5" s="44" t="s">
        <v>694</v>
      </c>
      <c r="G5" s="44" t="s">
        <v>695</v>
      </c>
      <c r="H5" s="44" t="s">
        <v>1</v>
      </c>
      <c r="I5" s="44" t="s">
        <v>2</v>
      </c>
    </row>
    <row r="6" spans="1:9" ht="90" x14ac:dyDescent="0.25">
      <c r="A6" s="44" t="s">
        <v>190</v>
      </c>
      <c r="B6" s="6"/>
      <c r="C6" s="44" t="s">
        <v>2629</v>
      </c>
      <c r="D6" s="44" t="s">
        <v>2630</v>
      </c>
      <c r="E6" s="6">
        <v>1</v>
      </c>
      <c r="F6" s="6">
        <v>70</v>
      </c>
      <c r="G6" s="6">
        <v>70</v>
      </c>
      <c r="H6" s="44" t="s">
        <v>196</v>
      </c>
      <c r="I6" s="44" t="s">
        <v>197</v>
      </c>
    </row>
    <row r="7" spans="1:9" ht="109.5" customHeight="1" x14ac:dyDescent="0.25">
      <c r="A7" s="44" t="s">
        <v>190</v>
      </c>
      <c r="B7" s="6">
        <v>157700008</v>
      </c>
      <c r="C7" s="44" t="s">
        <v>2631</v>
      </c>
      <c r="D7" s="44" t="s">
        <v>2632</v>
      </c>
      <c r="E7" s="6">
        <v>50</v>
      </c>
      <c r="F7" s="6">
        <v>5</v>
      </c>
      <c r="G7" s="6">
        <v>250</v>
      </c>
      <c r="H7" s="44" t="s">
        <v>196</v>
      </c>
      <c r="I7" s="44" t="s">
        <v>197</v>
      </c>
    </row>
    <row r="8" spans="1:9" ht="45" x14ac:dyDescent="0.25">
      <c r="A8" s="44" t="s">
        <v>41</v>
      </c>
      <c r="B8" s="6">
        <v>510130</v>
      </c>
      <c r="C8" s="44" t="s">
        <v>2633</v>
      </c>
      <c r="D8" s="44" t="s">
        <v>2634</v>
      </c>
      <c r="E8" s="6">
        <v>200</v>
      </c>
      <c r="F8" s="6">
        <v>6</v>
      </c>
      <c r="G8" s="6" t="s">
        <v>923</v>
      </c>
      <c r="H8" s="44" t="s">
        <v>52</v>
      </c>
      <c r="I8" s="44" t="s">
        <v>53</v>
      </c>
    </row>
    <row r="9" spans="1:9" ht="180" x14ac:dyDescent="0.25">
      <c r="A9" s="44" t="s">
        <v>190</v>
      </c>
      <c r="B9" s="6">
        <v>1346001</v>
      </c>
      <c r="C9" s="44" t="s">
        <v>2635</v>
      </c>
      <c r="D9" s="44" t="s">
        <v>2636</v>
      </c>
      <c r="E9" s="6">
        <v>125</v>
      </c>
      <c r="F9" s="6">
        <v>40</v>
      </c>
      <c r="G9" s="6" t="s">
        <v>747</v>
      </c>
      <c r="H9" s="44" t="s">
        <v>196</v>
      </c>
      <c r="I9" s="44" t="s">
        <v>197</v>
      </c>
    </row>
    <row r="10" spans="1:9" ht="45" x14ac:dyDescent="0.25">
      <c r="A10" s="44" t="s">
        <v>41</v>
      </c>
      <c r="B10" s="6">
        <v>6010401</v>
      </c>
      <c r="C10" s="44" t="s">
        <v>2495</v>
      </c>
      <c r="D10" s="44" t="s">
        <v>2637</v>
      </c>
      <c r="E10" s="6">
        <v>20</v>
      </c>
      <c r="F10" s="6">
        <v>500</v>
      </c>
      <c r="G10" s="6" t="s">
        <v>680</v>
      </c>
      <c r="H10" s="44" t="s">
        <v>52</v>
      </c>
      <c r="I10" s="44" t="s">
        <v>53</v>
      </c>
    </row>
    <row r="11" spans="1:9" ht="75" x14ac:dyDescent="0.25">
      <c r="A11" s="44" t="s">
        <v>353</v>
      </c>
      <c r="B11" s="6">
        <v>6010402</v>
      </c>
      <c r="C11" s="44" t="s">
        <v>1022</v>
      </c>
      <c r="D11" s="44" t="s">
        <v>2638</v>
      </c>
      <c r="E11" s="6">
        <v>600</v>
      </c>
      <c r="F11" s="6">
        <v>200</v>
      </c>
      <c r="G11" s="6" t="s">
        <v>2639</v>
      </c>
      <c r="H11" s="44" t="s">
        <v>362</v>
      </c>
      <c r="I11" s="44" t="s">
        <v>363</v>
      </c>
    </row>
    <row r="12" spans="1:9" ht="90" x14ac:dyDescent="0.25">
      <c r="A12" s="44" t="s">
        <v>353</v>
      </c>
      <c r="B12" s="6">
        <v>6010402</v>
      </c>
      <c r="C12" s="44" t="s">
        <v>1022</v>
      </c>
      <c r="D12" s="44" t="s">
        <v>2640</v>
      </c>
      <c r="E12" s="6">
        <v>2400</v>
      </c>
      <c r="F12" s="6">
        <v>6.25</v>
      </c>
      <c r="G12" s="6" t="s">
        <v>987</v>
      </c>
      <c r="H12" s="44" t="s">
        <v>362</v>
      </c>
      <c r="I12" s="44" t="s">
        <v>363</v>
      </c>
    </row>
    <row r="13" spans="1:9" ht="45" x14ac:dyDescent="0.25">
      <c r="A13" s="44" t="s">
        <v>41</v>
      </c>
      <c r="B13" s="6">
        <v>2056001</v>
      </c>
      <c r="C13" s="44" t="s">
        <v>1075</v>
      </c>
      <c r="D13" s="44" t="s">
        <v>2641</v>
      </c>
      <c r="E13" s="6">
        <v>2</v>
      </c>
      <c r="F13" s="6">
        <v>0</v>
      </c>
      <c r="G13" s="6">
        <v>0</v>
      </c>
      <c r="H13" s="44" t="s">
        <v>52</v>
      </c>
      <c r="I13" s="44" t="s">
        <v>53</v>
      </c>
    </row>
    <row r="14" spans="1:9" ht="45" x14ac:dyDescent="0.25">
      <c r="A14" s="44" t="s">
        <v>13</v>
      </c>
      <c r="B14" s="6">
        <v>2060010</v>
      </c>
      <c r="C14" s="44" t="s">
        <v>1125</v>
      </c>
      <c r="D14" s="44"/>
      <c r="E14" s="6">
        <v>3</v>
      </c>
      <c r="F14" s="6" t="s">
        <v>751</v>
      </c>
      <c r="G14" s="6" t="s">
        <v>759</v>
      </c>
      <c r="H14" s="44" t="s">
        <v>26</v>
      </c>
      <c r="I14" s="44" t="s">
        <v>27</v>
      </c>
    </row>
    <row r="15" spans="1:9" ht="45" x14ac:dyDescent="0.25">
      <c r="A15" s="44" t="s">
        <v>41</v>
      </c>
      <c r="B15" s="6">
        <v>2060010</v>
      </c>
      <c r="C15" s="44" t="s">
        <v>1125</v>
      </c>
      <c r="D15" s="44" t="s">
        <v>2642</v>
      </c>
      <c r="E15" s="6">
        <v>2</v>
      </c>
      <c r="F15" s="6">
        <v>0</v>
      </c>
      <c r="G15" s="6">
        <v>0</v>
      </c>
      <c r="H15" s="44" t="s">
        <v>52</v>
      </c>
      <c r="I15" s="44" t="s">
        <v>53</v>
      </c>
    </row>
    <row r="16" spans="1:9" ht="45" x14ac:dyDescent="0.25">
      <c r="A16" s="44" t="s">
        <v>41</v>
      </c>
      <c r="B16" s="6"/>
      <c r="C16" s="44" t="s">
        <v>2643</v>
      </c>
      <c r="D16" s="44" t="s">
        <v>2644</v>
      </c>
      <c r="E16" s="6">
        <v>10</v>
      </c>
      <c r="F16" s="6">
        <v>200</v>
      </c>
      <c r="G16" s="6" t="s">
        <v>814</v>
      </c>
      <c r="H16" s="44" t="s">
        <v>52</v>
      </c>
      <c r="I16" s="44" t="s">
        <v>53</v>
      </c>
    </row>
    <row r="17" spans="1:9" ht="45" x14ac:dyDescent="0.25">
      <c r="A17" s="44" t="s">
        <v>13</v>
      </c>
      <c r="B17" s="6">
        <v>6060001</v>
      </c>
      <c r="C17" s="44" t="s">
        <v>1157</v>
      </c>
      <c r="D17" s="44"/>
      <c r="E17" s="6">
        <v>2</v>
      </c>
      <c r="F17" s="6" t="s">
        <v>747</v>
      </c>
      <c r="G17" s="6" t="s">
        <v>680</v>
      </c>
      <c r="H17" s="44" t="s">
        <v>26</v>
      </c>
      <c r="I17" s="44" t="s">
        <v>27</v>
      </c>
    </row>
    <row r="18" spans="1:9" ht="105" x14ac:dyDescent="0.25">
      <c r="A18" s="44" t="s">
        <v>41</v>
      </c>
      <c r="B18" s="6">
        <v>6060001</v>
      </c>
      <c r="C18" s="44" t="s">
        <v>1157</v>
      </c>
      <c r="D18" s="44" t="s">
        <v>2645</v>
      </c>
      <c r="E18" s="6">
        <v>4</v>
      </c>
      <c r="F18" s="6" t="s">
        <v>800</v>
      </c>
      <c r="G18" s="6" t="s">
        <v>678</v>
      </c>
      <c r="H18" s="44" t="s">
        <v>48</v>
      </c>
      <c r="I18" s="44" t="s">
        <v>49</v>
      </c>
    </row>
    <row r="19" spans="1:9" ht="75" x14ac:dyDescent="0.25">
      <c r="A19" s="44" t="s">
        <v>41</v>
      </c>
      <c r="B19" s="6">
        <v>6060001</v>
      </c>
      <c r="C19" s="44" t="s">
        <v>1157</v>
      </c>
      <c r="D19" s="44" t="s">
        <v>2646</v>
      </c>
      <c r="E19" s="6">
        <v>2</v>
      </c>
      <c r="F19" s="6" t="s">
        <v>800</v>
      </c>
      <c r="G19" s="6" t="s">
        <v>736</v>
      </c>
      <c r="H19" s="44" t="s">
        <v>42</v>
      </c>
      <c r="I19" s="44" t="s">
        <v>43</v>
      </c>
    </row>
    <row r="20" spans="1:9" ht="150" x14ac:dyDescent="0.25">
      <c r="A20" s="44" t="s">
        <v>41</v>
      </c>
      <c r="B20" s="6">
        <v>6060001</v>
      </c>
      <c r="C20" s="44" t="s">
        <v>1157</v>
      </c>
      <c r="D20" s="44" t="s">
        <v>2647</v>
      </c>
      <c r="E20" s="6">
        <v>10</v>
      </c>
      <c r="F20" s="6" t="s">
        <v>814</v>
      </c>
      <c r="G20" s="6" t="s">
        <v>883</v>
      </c>
      <c r="H20" s="44" t="s">
        <v>42</v>
      </c>
      <c r="I20" s="44" t="s">
        <v>43</v>
      </c>
    </row>
    <row r="21" spans="1:9" ht="121.5" customHeight="1" x14ac:dyDescent="0.25">
      <c r="A21" s="44" t="s">
        <v>41</v>
      </c>
      <c r="B21" s="6">
        <v>6060001</v>
      </c>
      <c r="C21" s="44" t="s">
        <v>1157</v>
      </c>
      <c r="D21" s="44" t="s">
        <v>2648</v>
      </c>
      <c r="E21" s="6">
        <v>4</v>
      </c>
      <c r="F21" s="6">
        <v>0</v>
      </c>
      <c r="G21" s="6">
        <v>0</v>
      </c>
      <c r="H21" s="44" t="s">
        <v>42</v>
      </c>
      <c r="I21" s="44" t="s">
        <v>43</v>
      </c>
    </row>
    <row r="22" spans="1:9" ht="75" x14ac:dyDescent="0.25">
      <c r="A22" s="44" t="s">
        <v>41</v>
      </c>
      <c r="B22" s="6">
        <v>6060001</v>
      </c>
      <c r="C22" s="44" t="s">
        <v>1157</v>
      </c>
      <c r="D22" s="44" t="s">
        <v>2649</v>
      </c>
      <c r="E22" s="6">
        <v>5</v>
      </c>
      <c r="F22" s="6" t="s">
        <v>814</v>
      </c>
      <c r="G22" s="6" t="s">
        <v>680</v>
      </c>
      <c r="H22" s="44" t="s">
        <v>52</v>
      </c>
      <c r="I22" s="44" t="s">
        <v>53</v>
      </c>
    </row>
    <row r="23" spans="1:9" ht="105" x14ac:dyDescent="0.25">
      <c r="A23" s="44" t="s">
        <v>41</v>
      </c>
      <c r="B23" s="6">
        <v>6060001</v>
      </c>
      <c r="C23" s="44" t="s">
        <v>1157</v>
      </c>
      <c r="D23" s="44" t="s">
        <v>2650</v>
      </c>
      <c r="E23" s="6">
        <v>5</v>
      </c>
      <c r="F23" s="6" t="s">
        <v>814</v>
      </c>
      <c r="G23" s="6" t="s">
        <v>680</v>
      </c>
      <c r="H23" s="44" t="s">
        <v>52</v>
      </c>
      <c r="I23" s="44" t="s">
        <v>53</v>
      </c>
    </row>
    <row r="24" spans="1:9" ht="60" x14ac:dyDescent="0.25">
      <c r="A24" s="44" t="s">
        <v>190</v>
      </c>
      <c r="B24" s="6">
        <v>6060001</v>
      </c>
      <c r="C24" s="44" t="s">
        <v>1157</v>
      </c>
      <c r="D24" s="44" t="s">
        <v>2651</v>
      </c>
      <c r="E24" s="6">
        <v>1</v>
      </c>
      <c r="F24" s="6">
        <v>500</v>
      </c>
      <c r="G24" s="6">
        <v>500</v>
      </c>
      <c r="H24" s="44" t="s">
        <v>196</v>
      </c>
      <c r="I24" s="44" t="s">
        <v>197</v>
      </c>
    </row>
    <row r="25" spans="1:9" ht="183" customHeight="1" x14ac:dyDescent="0.25">
      <c r="A25" s="44" t="s">
        <v>312</v>
      </c>
      <c r="B25" s="6">
        <v>6060001</v>
      </c>
      <c r="C25" s="44" t="s">
        <v>1157</v>
      </c>
      <c r="D25" s="44" t="s">
        <v>2652</v>
      </c>
      <c r="E25" s="6">
        <v>8</v>
      </c>
      <c r="F25" s="6" t="s">
        <v>814</v>
      </c>
      <c r="G25" s="6" t="s">
        <v>683</v>
      </c>
      <c r="H25" s="44" t="s">
        <v>325</v>
      </c>
      <c r="I25" s="44" t="s">
        <v>326</v>
      </c>
    </row>
    <row r="26" spans="1:9" ht="105" x14ac:dyDescent="0.25">
      <c r="A26" s="44" t="s">
        <v>353</v>
      </c>
      <c r="B26" s="6">
        <v>6060001</v>
      </c>
      <c r="C26" s="44" t="s">
        <v>1157</v>
      </c>
      <c r="D26" s="44" t="s">
        <v>2653</v>
      </c>
      <c r="E26" s="6">
        <v>1</v>
      </c>
      <c r="F26" s="6" t="s">
        <v>747</v>
      </c>
      <c r="G26" s="6" t="s">
        <v>747</v>
      </c>
      <c r="H26" s="44" t="s">
        <v>362</v>
      </c>
      <c r="I26" s="44" t="s">
        <v>363</v>
      </c>
    </row>
    <row r="27" spans="1:9" ht="90" x14ac:dyDescent="0.25">
      <c r="A27" s="44" t="s">
        <v>353</v>
      </c>
      <c r="B27" s="6"/>
      <c r="C27" s="44" t="s">
        <v>2654</v>
      </c>
      <c r="D27" s="44" t="s">
        <v>2655</v>
      </c>
      <c r="E27" s="6">
        <v>5</v>
      </c>
      <c r="F27" s="6" t="s">
        <v>705</v>
      </c>
      <c r="G27" s="6" t="s">
        <v>700</v>
      </c>
      <c r="H27" s="44" t="s">
        <v>358</v>
      </c>
      <c r="I27" s="44" t="s">
        <v>359</v>
      </c>
    </row>
    <row r="28" spans="1:9" ht="75" x14ac:dyDescent="0.25">
      <c r="A28" s="44" t="s">
        <v>353</v>
      </c>
      <c r="B28" s="6"/>
      <c r="C28" s="44" t="s">
        <v>1231</v>
      </c>
      <c r="D28" s="44" t="s">
        <v>2656</v>
      </c>
      <c r="E28" s="6">
        <v>2</v>
      </c>
      <c r="F28" s="6" t="s">
        <v>681</v>
      </c>
      <c r="G28" s="6" t="s">
        <v>1183</v>
      </c>
      <c r="H28" s="44" t="s">
        <v>358</v>
      </c>
      <c r="I28" s="44" t="s">
        <v>359</v>
      </c>
    </row>
    <row r="29" spans="1:9" ht="75" x14ac:dyDescent="0.25">
      <c r="A29" s="44" t="s">
        <v>41</v>
      </c>
      <c r="B29" s="6"/>
      <c r="C29" s="44" t="s">
        <v>2657</v>
      </c>
      <c r="D29" s="44" t="s">
        <v>2658</v>
      </c>
      <c r="E29" s="6">
        <v>50</v>
      </c>
      <c r="F29" s="6">
        <v>5</v>
      </c>
      <c r="G29" s="6">
        <v>250</v>
      </c>
      <c r="H29" s="44" t="s">
        <v>42</v>
      </c>
      <c r="I29" s="44" t="s">
        <v>43</v>
      </c>
    </row>
    <row r="30" spans="1:9" ht="90" x14ac:dyDescent="0.25">
      <c r="A30" s="44" t="s">
        <v>190</v>
      </c>
      <c r="B30" s="6">
        <v>267600001</v>
      </c>
      <c r="C30" s="44" t="s">
        <v>1341</v>
      </c>
      <c r="D30" s="44" t="s">
        <v>2659</v>
      </c>
      <c r="E30" s="6">
        <v>3</v>
      </c>
      <c r="F30" s="6">
        <v>900</v>
      </c>
      <c r="G30" s="6" t="s">
        <v>940</v>
      </c>
      <c r="H30" s="44" t="s">
        <v>194</v>
      </c>
      <c r="I30" s="44" t="s">
        <v>195</v>
      </c>
    </row>
    <row r="31" spans="1:9" ht="75" x14ac:dyDescent="0.25">
      <c r="A31" s="44" t="s">
        <v>353</v>
      </c>
      <c r="B31" s="6">
        <v>26060001</v>
      </c>
      <c r="C31" s="44" t="s">
        <v>1348</v>
      </c>
      <c r="D31" s="44" t="s">
        <v>2660</v>
      </c>
      <c r="E31" s="6">
        <v>5</v>
      </c>
      <c r="F31" s="6" t="s">
        <v>683</v>
      </c>
      <c r="G31" s="6" t="s">
        <v>1183</v>
      </c>
      <c r="H31" s="44" t="s">
        <v>358</v>
      </c>
      <c r="I31" s="44" t="s">
        <v>359</v>
      </c>
    </row>
    <row r="32" spans="1:9" ht="60" x14ac:dyDescent="0.25">
      <c r="A32" s="44" t="s">
        <v>190</v>
      </c>
      <c r="B32" s="6"/>
      <c r="C32" s="44" t="s">
        <v>2321</v>
      </c>
      <c r="D32" s="44"/>
      <c r="E32" s="6">
        <v>4</v>
      </c>
      <c r="F32" s="6">
        <v>450</v>
      </c>
      <c r="G32" s="6" t="s">
        <v>861</v>
      </c>
      <c r="H32" s="44" t="s">
        <v>196</v>
      </c>
      <c r="I32" s="44" t="s">
        <v>197</v>
      </c>
    </row>
    <row r="33" spans="1:9" ht="45" x14ac:dyDescent="0.25">
      <c r="A33" s="44" t="s">
        <v>41</v>
      </c>
      <c r="B33" s="6">
        <v>6010505</v>
      </c>
      <c r="C33" s="44" t="s">
        <v>2661</v>
      </c>
      <c r="D33" s="44" t="s">
        <v>2662</v>
      </c>
      <c r="E33" s="6">
        <v>5000</v>
      </c>
      <c r="F33" s="6">
        <v>0</v>
      </c>
      <c r="G33" s="6">
        <v>0</v>
      </c>
      <c r="H33" s="44" t="s">
        <v>52</v>
      </c>
      <c r="I33" s="44" t="s">
        <v>53</v>
      </c>
    </row>
    <row r="34" spans="1:9" ht="177" customHeight="1" x14ac:dyDescent="0.25">
      <c r="A34" s="44" t="s">
        <v>41</v>
      </c>
      <c r="B34" s="6">
        <v>6010505</v>
      </c>
      <c r="C34" s="44" t="s">
        <v>2661</v>
      </c>
      <c r="D34" s="44" t="s">
        <v>2663</v>
      </c>
      <c r="E34" s="6">
        <v>200000</v>
      </c>
      <c r="F34" s="6">
        <v>60</v>
      </c>
      <c r="G34" s="6" t="s">
        <v>838</v>
      </c>
      <c r="H34" s="44" t="s">
        <v>42</v>
      </c>
      <c r="I34" s="44" t="s">
        <v>43</v>
      </c>
    </row>
    <row r="35" spans="1:9" ht="120" x14ac:dyDescent="0.25">
      <c r="A35" s="44" t="s">
        <v>41</v>
      </c>
      <c r="B35" s="6">
        <v>6010903</v>
      </c>
      <c r="C35" s="44" t="s">
        <v>2664</v>
      </c>
      <c r="D35" s="44" t="s">
        <v>2665</v>
      </c>
      <c r="E35" s="6">
        <v>4</v>
      </c>
      <c r="F35" s="6">
        <v>200</v>
      </c>
      <c r="G35" s="6">
        <v>800</v>
      </c>
      <c r="H35" s="44" t="s">
        <v>42</v>
      </c>
      <c r="I35" s="44" t="s">
        <v>43</v>
      </c>
    </row>
    <row r="36" spans="1:9" ht="75" x14ac:dyDescent="0.25">
      <c r="A36" s="44" t="s">
        <v>190</v>
      </c>
      <c r="B36" s="6">
        <v>1189002</v>
      </c>
      <c r="C36" s="44" t="s">
        <v>1746</v>
      </c>
      <c r="D36" s="44" t="s">
        <v>2666</v>
      </c>
      <c r="E36" s="6">
        <v>2</v>
      </c>
      <c r="F36" s="6">
        <v>50</v>
      </c>
      <c r="G36" s="6">
        <v>100</v>
      </c>
      <c r="H36" s="44" t="s">
        <v>196</v>
      </c>
      <c r="I36" s="44" t="s">
        <v>197</v>
      </c>
    </row>
    <row r="37" spans="1:9" ht="105" x14ac:dyDescent="0.25">
      <c r="A37" s="44" t="s">
        <v>190</v>
      </c>
      <c r="B37" s="6">
        <v>14260003</v>
      </c>
      <c r="C37" s="44" t="s">
        <v>2667</v>
      </c>
      <c r="D37" s="44" t="s">
        <v>2668</v>
      </c>
      <c r="E37" s="6">
        <v>60</v>
      </c>
      <c r="F37" s="6">
        <v>3</v>
      </c>
      <c r="G37" s="6">
        <v>180</v>
      </c>
      <c r="H37" s="44" t="s">
        <v>196</v>
      </c>
      <c r="I37" s="44" t="s">
        <v>197</v>
      </c>
    </row>
    <row r="38" spans="1:9" ht="45" x14ac:dyDescent="0.25">
      <c r="A38" s="44" t="s">
        <v>41</v>
      </c>
      <c r="B38" s="6"/>
      <c r="C38" s="44" t="s">
        <v>696</v>
      </c>
      <c r="D38" s="44" t="s">
        <v>2669</v>
      </c>
      <c r="E38" s="6">
        <v>15</v>
      </c>
      <c r="F38" s="6">
        <v>200</v>
      </c>
      <c r="G38" s="6" t="s">
        <v>736</v>
      </c>
      <c r="H38" s="44" t="s">
        <v>46</v>
      </c>
      <c r="I38" s="44" t="s">
        <v>47</v>
      </c>
    </row>
    <row r="39" spans="1:9" ht="60" x14ac:dyDescent="0.25">
      <c r="A39" s="44" t="s">
        <v>41</v>
      </c>
      <c r="B39" s="6"/>
      <c r="C39" s="44" t="s">
        <v>696</v>
      </c>
      <c r="D39" s="44" t="s">
        <v>2670</v>
      </c>
      <c r="E39" s="6">
        <v>1</v>
      </c>
      <c r="F39" s="6" t="s">
        <v>747</v>
      </c>
      <c r="G39" s="6" t="s">
        <v>747</v>
      </c>
      <c r="H39" s="44" t="s">
        <v>42</v>
      </c>
      <c r="I39" s="44" t="s">
        <v>43</v>
      </c>
    </row>
    <row r="40" spans="1:9" ht="135" x14ac:dyDescent="0.25">
      <c r="A40" s="44" t="s">
        <v>190</v>
      </c>
      <c r="B40" s="6"/>
      <c r="C40" s="44" t="s">
        <v>696</v>
      </c>
      <c r="D40" s="44" t="s">
        <v>2671</v>
      </c>
      <c r="E40" s="6">
        <v>15</v>
      </c>
      <c r="F40" s="6">
        <v>150</v>
      </c>
      <c r="G40" s="6" t="s">
        <v>2672</v>
      </c>
      <c r="H40" s="44" t="s">
        <v>194</v>
      </c>
      <c r="I40" s="44" t="s">
        <v>195</v>
      </c>
    </row>
    <row r="41" spans="1:9" ht="60" x14ac:dyDescent="0.25">
      <c r="A41" s="44" t="s">
        <v>190</v>
      </c>
      <c r="B41" s="6"/>
      <c r="C41" s="44" t="s">
        <v>696</v>
      </c>
      <c r="D41" s="44" t="s">
        <v>2673</v>
      </c>
      <c r="E41" s="6">
        <v>1</v>
      </c>
      <c r="F41" s="6">
        <v>500</v>
      </c>
      <c r="G41" s="6">
        <v>500</v>
      </c>
      <c r="H41" s="44" t="s">
        <v>196</v>
      </c>
      <c r="I41" s="44" t="s">
        <v>197</v>
      </c>
    </row>
    <row r="42" spans="1:9" ht="90" x14ac:dyDescent="0.25">
      <c r="A42" s="44" t="s">
        <v>190</v>
      </c>
      <c r="B42" s="6"/>
      <c r="C42" s="44" t="s">
        <v>696</v>
      </c>
      <c r="D42" s="44" t="s">
        <v>2674</v>
      </c>
      <c r="E42" s="6">
        <v>5</v>
      </c>
      <c r="F42" s="6">
        <v>190</v>
      </c>
      <c r="G42" s="6">
        <v>950</v>
      </c>
      <c r="H42" s="44" t="s">
        <v>194</v>
      </c>
      <c r="I42" s="44" t="s">
        <v>195</v>
      </c>
    </row>
    <row r="43" spans="1:9" ht="120" x14ac:dyDescent="0.25">
      <c r="A43" s="44" t="s">
        <v>190</v>
      </c>
      <c r="B43" s="6"/>
      <c r="C43" s="44" t="s">
        <v>696</v>
      </c>
      <c r="D43" s="44" t="s">
        <v>2675</v>
      </c>
      <c r="E43" s="6">
        <v>2</v>
      </c>
      <c r="F43" s="6">
        <v>300</v>
      </c>
      <c r="G43" s="6">
        <v>600</v>
      </c>
      <c r="H43" s="44" t="s">
        <v>194</v>
      </c>
      <c r="I43" s="44" t="s">
        <v>195</v>
      </c>
    </row>
    <row r="44" spans="1:9" ht="60" x14ac:dyDescent="0.25">
      <c r="A44" s="44" t="s">
        <v>190</v>
      </c>
      <c r="B44" s="6"/>
      <c r="C44" s="44" t="s">
        <v>696</v>
      </c>
      <c r="D44" s="44" t="s">
        <v>2676</v>
      </c>
      <c r="E44" s="6">
        <v>10</v>
      </c>
      <c r="F44" s="6">
        <v>20</v>
      </c>
      <c r="G44" s="6">
        <v>200</v>
      </c>
      <c r="H44" s="44" t="s">
        <v>196</v>
      </c>
      <c r="I44" s="44" t="s">
        <v>197</v>
      </c>
    </row>
    <row r="45" spans="1:9" ht="120" x14ac:dyDescent="0.25">
      <c r="A45" s="44" t="s">
        <v>190</v>
      </c>
      <c r="B45" s="6"/>
      <c r="C45" s="44" t="s">
        <v>696</v>
      </c>
      <c r="D45" s="44" t="s">
        <v>2677</v>
      </c>
      <c r="E45" s="6">
        <v>3</v>
      </c>
      <c r="F45" s="6">
        <v>500</v>
      </c>
      <c r="G45" s="6" t="s">
        <v>800</v>
      </c>
      <c r="H45" s="44" t="s">
        <v>194</v>
      </c>
      <c r="I45" s="44" t="s">
        <v>195</v>
      </c>
    </row>
    <row r="46" spans="1:9" ht="90" x14ac:dyDescent="0.25">
      <c r="A46" s="44" t="s">
        <v>240</v>
      </c>
      <c r="B46" s="6"/>
      <c r="C46" s="44" t="s">
        <v>696</v>
      </c>
      <c r="D46" s="44" t="s">
        <v>2678</v>
      </c>
      <c r="E46" s="6">
        <v>1</v>
      </c>
      <c r="F46" s="6" t="s">
        <v>680</v>
      </c>
      <c r="G46" s="6" t="s">
        <v>680</v>
      </c>
      <c r="H46" s="44" t="s">
        <v>241</v>
      </c>
      <c r="I46" s="44" t="s">
        <v>242</v>
      </c>
    </row>
    <row r="47" spans="1:9" ht="90" x14ac:dyDescent="0.25">
      <c r="A47" s="44" t="s">
        <v>240</v>
      </c>
      <c r="B47" s="6"/>
      <c r="C47" s="44" t="s">
        <v>696</v>
      </c>
      <c r="D47" s="44" t="s">
        <v>2679</v>
      </c>
      <c r="E47" s="6">
        <v>1</v>
      </c>
      <c r="F47" s="6" t="s">
        <v>680</v>
      </c>
      <c r="G47" s="6" t="s">
        <v>680</v>
      </c>
      <c r="H47" s="44" t="s">
        <v>241</v>
      </c>
      <c r="I47" s="44" t="s">
        <v>242</v>
      </c>
    </row>
    <row r="48" spans="1:9" ht="90" x14ac:dyDescent="0.25">
      <c r="A48" s="44" t="s">
        <v>240</v>
      </c>
      <c r="B48" s="6"/>
      <c r="C48" s="44" t="s">
        <v>696</v>
      </c>
      <c r="D48" s="44" t="s">
        <v>2680</v>
      </c>
      <c r="E48" s="6">
        <v>1</v>
      </c>
      <c r="F48" s="6" t="s">
        <v>680</v>
      </c>
      <c r="G48" s="6" t="s">
        <v>680</v>
      </c>
      <c r="H48" s="44" t="s">
        <v>241</v>
      </c>
      <c r="I48" s="44" t="s">
        <v>242</v>
      </c>
    </row>
    <row r="49" spans="1:9" ht="90" x14ac:dyDescent="0.25">
      <c r="A49" s="44" t="s">
        <v>240</v>
      </c>
      <c r="B49" s="6"/>
      <c r="C49" s="44" t="s">
        <v>696</v>
      </c>
      <c r="D49" s="44" t="s">
        <v>2681</v>
      </c>
      <c r="E49" s="6">
        <v>1</v>
      </c>
      <c r="F49" s="6" t="s">
        <v>678</v>
      </c>
      <c r="G49" s="6" t="s">
        <v>678</v>
      </c>
      <c r="H49" s="44" t="s">
        <v>241</v>
      </c>
      <c r="I49" s="44" t="s">
        <v>242</v>
      </c>
    </row>
    <row r="50" spans="1:9" ht="90" x14ac:dyDescent="0.25">
      <c r="A50" s="44" t="s">
        <v>240</v>
      </c>
      <c r="B50" s="6"/>
      <c r="C50" s="44" t="s">
        <v>696</v>
      </c>
      <c r="D50" s="44" t="s">
        <v>2682</v>
      </c>
      <c r="E50" s="6">
        <v>1</v>
      </c>
      <c r="F50" s="6" t="s">
        <v>680</v>
      </c>
      <c r="G50" s="6" t="s">
        <v>680</v>
      </c>
      <c r="H50" s="44" t="s">
        <v>241</v>
      </c>
      <c r="I50" s="44" t="s">
        <v>242</v>
      </c>
    </row>
    <row r="51" spans="1:9" ht="90" x14ac:dyDescent="0.25">
      <c r="A51" s="44" t="s">
        <v>240</v>
      </c>
      <c r="B51" s="6"/>
      <c r="C51" s="44" t="s">
        <v>696</v>
      </c>
      <c r="D51" s="44" t="s">
        <v>2683</v>
      </c>
      <c r="E51" s="6">
        <v>1</v>
      </c>
      <c r="F51" s="6" t="s">
        <v>680</v>
      </c>
      <c r="G51" s="6" t="s">
        <v>680</v>
      </c>
      <c r="H51" s="44" t="s">
        <v>241</v>
      </c>
      <c r="I51" s="44" t="s">
        <v>242</v>
      </c>
    </row>
    <row r="52" spans="1:9" ht="90" x14ac:dyDescent="0.25">
      <c r="A52" s="44" t="s">
        <v>240</v>
      </c>
      <c r="B52" s="6"/>
      <c r="C52" s="44" t="s">
        <v>696</v>
      </c>
      <c r="D52" s="44" t="s">
        <v>2684</v>
      </c>
      <c r="E52" s="6">
        <v>1</v>
      </c>
      <c r="F52" s="6" t="s">
        <v>680</v>
      </c>
      <c r="G52" s="6" t="s">
        <v>680</v>
      </c>
      <c r="H52" s="44" t="s">
        <v>241</v>
      </c>
      <c r="I52" s="44" t="s">
        <v>242</v>
      </c>
    </row>
    <row r="53" spans="1:9" ht="90" x14ac:dyDescent="0.25">
      <c r="A53" s="44" t="s">
        <v>240</v>
      </c>
      <c r="B53" s="6"/>
      <c r="C53" s="44" t="s">
        <v>696</v>
      </c>
      <c r="D53" s="44" t="s">
        <v>2685</v>
      </c>
      <c r="E53" s="6">
        <v>1</v>
      </c>
      <c r="F53" s="6" t="s">
        <v>680</v>
      </c>
      <c r="G53" s="6" t="s">
        <v>680</v>
      </c>
      <c r="H53" s="44" t="s">
        <v>241</v>
      </c>
      <c r="I53" s="44" t="s">
        <v>242</v>
      </c>
    </row>
    <row r="54" spans="1:9" ht="90" x14ac:dyDescent="0.25">
      <c r="A54" s="44" t="s">
        <v>240</v>
      </c>
      <c r="B54" s="6"/>
      <c r="C54" s="44" t="s">
        <v>696</v>
      </c>
      <c r="D54" s="44" t="s">
        <v>2686</v>
      </c>
      <c r="E54" s="6">
        <v>1</v>
      </c>
      <c r="F54" s="6" t="s">
        <v>680</v>
      </c>
      <c r="G54" s="6" t="s">
        <v>680</v>
      </c>
      <c r="H54" s="44" t="s">
        <v>241</v>
      </c>
      <c r="I54" s="44" t="s">
        <v>242</v>
      </c>
    </row>
    <row r="55" spans="1:9" ht="90" x14ac:dyDescent="0.25">
      <c r="A55" s="44" t="s">
        <v>240</v>
      </c>
      <c r="B55" s="6"/>
      <c r="C55" s="44" t="s">
        <v>696</v>
      </c>
      <c r="D55" s="44" t="s">
        <v>2687</v>
      </c>
      <c r="E55" s="6">
        <v>1</v>
      </c>
      <c r="F55" s="6" t="s">
        <v>680</v>
      </c>
      <c r="G55" s="6" t="s">
        <v>680</v>
      </c>
      <c r="H55" s="44" t="s">
        <v>241</v>
      </c>
      <c r="I55" s="44" t="s">
        <v>242</v>
      </c>
    </row>
    <row r="56" spans="1:9" ht="90" x14ac:dyDescent="0.25">
      <c r="A56" s="44" t="s">
        <v>240</v>
      </c>
      <c r="B56" s="6"/>
      <c r="C56" s="44" t="s">
        <v>696</v>
      </c>
      <c r="D56" s="44" t="s">
        <v>2688</v>
      </c>
      <c r="E56" s="6">
        <v>1</v>
      </c>
      <c r="F56" s="6" t="s">
        <v>678</v>
      </c>
      <c r="G56" s="6" t="s">
        <v>678</v>
      </c>
      <c r="H56" s="44" t="s">
        <v>241</v>
      </c>
      <c r="I56" s="44" t="s">
        <v>242</v>
      </c>
    </row>
    <row r="57" spans="1:9" ht="90" x14ac:dyDescent="0.25">
      <c r="A57" s="44" t="s">
        <v>240</v>
      </c>
      <c r="B57" s="6"/>
      <c r="C57" s="44" t="s">
        <v>696</v>
      </c>
      <c r="D57" s="44" t="s">
        <v>2689</v>
      </c>
      <c r="E57" s="6">
        <v>1</v>
      </c>
      <c r="F57" s="6" t="s">
        <v>680</v>
      </c>
      <c r="G57" s="6" t="s">
        <v>680</v>
      </c>
      <c r="H57" s="44" t="s">
        <v>241</v>
      </c>
      <c r="I57" s="44" t="s">
        <v>242</v>
      </c>
    </row>
    <row r="58" spans="1:9" ht="45" x14ac:dyDescent="0.25">
      <c r="A58" s="44" t="s">
        <v>353</v>
      </c>
      <c r="B58" s="6"/>
      <c r="C58" s="44" t="s">
        <v>696</v>
      </c>
      <c r="D58" s="44" t="s">
        <v>2690</v>
      </c>
      <c r="E58" s="6">
        <v>3</v>
      </c>
      <c r="F58" s="6" t="s">
        <v>1149</v>
      </c>
      <c r="G58" s="6" t="s">
        <v>676</v>
      </c>
      <c r="H58" s="44" t="s">
        <v>368</v>
      </c>
      <c r="I58" s="44" t="s">
        <v>369</v>
      </c>
    </row>
    <row r="59" spans="1:9" ht="135" x14ac:dyDescent="0.25">
      <c r="A59" s="44" t="s">
        <v>376</v>
      </c>
      <c r="B59" s="6"/>
      <c r="C59" s="44" t="s">
        <v>696</v>
      </c>
      <c r="D59" s="44" t="s">
        <v>2691</v>
      </c>
      <c r="E59" s="6">
        <v>1</v>
      </c>
      <c r="F59" s="6" t="s">
        <v>680</v>
      </c>
      <c r="G59" s="6" t="s">
        <v>680</v>
      </c>
      <c r="H59" s="44" t="s">
        <v>389</v>
      </c>
      <c r="I59" s="44" t="s">
        <v>390</v>
      </c>
    </row>
    <row r="60" spans="1:9" ht="90" x14ac:dyDescent="0.25">
      <c r="A60" s="44" t="s">
        <v>190</v>
      </c>
      <c r="B60" s="6"/>
      <c r="C60" s="44" t="s">
        <v>1924</v>
      </c>
      <c r="D60" s="44" t="s">
        <v>2692</v>
      </c>
      <c r="E60" s="6">
        <v>6</v>
      </c>
      <c r="F60" s="6">
        <v>15</v>
      </c>
      <c r="G60" s="6">
        <v>90</v>
      </c>
      <c r="H60" s="44" t="s">
        <v>196</v>
      </c>
      <c r="I60" s="44" t="s">
        <v>197</v>
      </c>
    </row>
    <row r="61" spans="1:9" ht="75" x14ac:dyDescent="0.25">
      <c r="A61" s="44" t="s">
        <v>41</v>
      </c>
      <c r="B61" s="6">
        <v>105800009</v>
      </c>
      <c r="C61" s="44" t="s">
        <v>2693</v>
      </c>
      <c r="D61" s="44"/>
      <c r="E61" s="6">
        <v>20</v>
      </c>
      <c r="F61" s="6">
        <v>83.855000000000004</v>
      </c>
      <c r="G61" s="6" t="s">
        <v>2694</v>
      </c>
      <c r="H61" s="44" t="s">
        <v>42</v>
      </c>
      <c r="I61" s="44" t="s">
        <v>43</v>
      </c>
    </row>
    <row r="62" spans="1:9" ht="45" x14ac:dyDescent="0.25">
      <c r="A62" s="44" t="s">
        <v>41</v>
      </c>
      <c r="B62" s="6">
        <v>1221001</v>
      </c>
      <c r="C62" s="44" t="s">
        <v>2695</v>
      </c>
      <c r="D62" s="44"/>
      <c r="E62" s="6">
        <v>2</v>
      </c>
      <c r="F62" s="6">
        <v>45</v>
      </c>
      <c r="G62" s="6">
        <v>90</v>
      </c>
      <c r="H62" s="44" t="s">
        <v>42</v>
      </c>
      <c r="I62" s="44" t="s">
        <v>43</v>
      </c>
    </row>
    <row r="63" spans="1:9" ht="150" x14ac:dyDescent="0.25">
      <c r="A63" s="44" t="s">
        <v>41</v>
      </c>
      <c r="B63" s="6">
        <v>6010601</v>
      </c>
      <c r="C63" s="44" t="s">
        <v>2563</v>
      </c>
      <c r="D63" s="44" t="s">
        <v>2696</v>
      </c>
      <c r="E63" s="6">
        <v>5</v>
      </c>
      <c r="F63" s="6">
        <v>600</v>
      </c>
      <c r="G63" s="6" t="s">
        <v>736</v>
      </c>
      <c r="H63" s="44" t="s">
        <v>42</v>
      </c>
      <c r="I63" s="44" t="s">
        <v>43</v>
      </c>
    </row>
    <row r="64" spans="1:9" ht="75" x14ac:dyDescent="0.25">
      <c r="A64" s="44" t="s">
        <v>41</v>
      </c>
      <c r="B64" s="6">
        <v>6011601</v>
      </c>
      <c r="C64" s="44" t="s">
        <v>2697</v>
      </c>
      <c r="D64" s="44" t="s">
        <v>2698</v>
      </c>
      <c r="E64" s="6">
        <v>20</v>
      </c>
      <c r="F64" s="6">
        <v>450</v>
      </c>
      <c r="G64" s="6" t="s">
        <v>1284</v>
      </c>
      <c r="H64" s="44" t="s">
        <v>52</v>
      </c>
      <c r="I64" s="44" t="s">
        <v>53</v>
      </c>
    </row>
    <row r="65" spans="1:9" ht="45" x14ac:dyDescent="0.25">
      <c r="A65" s="44" t="s">
        <v>41</v>
      </c>
      <c r="B65" s="6">
        <v>6010604</v>
      </c>
      <c r="C65" s="44" t="s">
        <v>2699</v>
      </c>
      <c r="D65" s="44" t="s">
        <v>2700</v>
      </c>
      <c r="E65" s="6">
        <v>50</v>
      </c>
      <c r="F65" s="6">
        <v>45</v>
      </c>
      <c r="G65" s="6" t="s">
        <v>2672</v>
      </c>
      <c r="H65" s="44" t="s">
        <v>52</v>
      </c>
      <c r="I65" s="44" t="s">
        <v>53</v>
      </c>
    </row>
    <row r="66" spans="1:9" ht="75" x14ac:dyDescent="0.25">
      <c r="A66" s="44" t="s">
        <v>190</v>
      </c>
      <c r="B66" s="6">
        <v>1160002</v>
      </c>
      <c r="C66" s="44" t="s">
        <v>2701</v>
      </c>
      <c r="D66" s="44" t="s">
        <v>2702</v>
      </c>
      <c r="E66" s="6">
        <v>5</v>
      </c>
      <c r="F66" s="6">
        <v>2.5</v>
      </c>
      <c r="G66" s="6">
        <v>12.5</v>
      </c>
      <c r="H66" s="44" t="s">
        <v>196</v>
      </c>
      <c r="I66" s="44" t="s">
        <v>197</v>
      </c>
    </row>
    <row r="67" spans="1:9" ht="75" x14ac:dyDescent="0.25">
      <c r="A67" s="44" t="s">
        <v>41</v>
      </c>
      <c r="B67" s="6">
        <v>6042044</v>
      </c>
      <c r="C67" s="44" t="s">
        <v>2703</v>
      </c>
      <c r="D67" s="44" t="s">
        <v>2704</v>
      </c>
      <c r="E67" s="6">
        <v>300</v>
      </c>
      <c r="F67" s="6">
        <v>6</v>
      </c>
      <c r="G67" s="6" t="s">
        <v>861</v>
      </c>
      <c r="H67" s="44" t="s">
        <v>50</v>
      </c>
      <c r="I67" s="44" t="s">
        <v>51</v>
      </c>
    </row>
    <row r="68" spans="1:9" ht="165" x14ac:dyDescent="0.25">
      <c r="A68" s="44" t="s">
        <v>41</v>
      </c>
      <c r="B68" s="6">
        <v>60550054</v>
      </c>
      <c r="C68" s="44" t="s">
        <v>2705</v>
      </c>
      <c r="D68" s="44" t="s">
        <v>2706</v>
      </c>
      <c r="E68" s="6">
        <v>480</v>
      </c>
      <c r="F68" s="6">
        <v>5</v>
      </c>
      <c r="G68" s="6" t="s">
        <v>867</v>
      </c>
      <c r="H68" s="44" t="s">
        <v>42</v>
      </c>
      <c r="I68" s="44" t="s">
        <v>43</v>
      </c>
    </row>
    <row r="69" spans="1:9" ht="90" x14ac:dyDescent="0.25">
      <c r="A69" s="44" t="s">
        <v>190</v>
      </c>
      <c r="B69" s="6">
        <v>6010305</v>
      </c>
      <c r="C69" s="44" t="s">
        <v>2707</v>
      </c>
      <c r="D69" s="44" t="s">
        <v>2708</v>
      </c>
      <c r="E69" s="6">
        <v>1000</v>
      </c>
      <c r="F69" s="6">
        <v>3</v>
      </c>
      <c r="G69" s="6" t="s">
        <v>736</v>
      </c>
      <c r="H69" s="44" t="s">
        <v>196</v>
      </c>
      <c r="I69" s="44" t="s">
        <v>197</v>
      </c>
    </row>
    <row r="70" spans="1:9" ht="60" x14ac:dyDescent="0.25">
      <c r="A70" s="44" t="s">
        <v>13</v>
      </c>
      <c r="B70" s="6">
        <v>6011013</v>
      </c>
      <c r="C70" s="44" t="s">
        <v>2126</v>
      </c>
      <c r="D70" s="44" t="s">
        <v>2709</v>
      </c>
      <c r="E70" s="6">
        <v>1</v>
      </c>
      <c r="F70" s="6" t="s">
        <v>680</v>
      </c>
      <c r="G70" s="6" t="s">
        <v>680</v>
      </c>
      <c r="H70" s="44" t="s">
        <v>26</v>
      </c>
      <c r="I70" s="44" t="s">
        <v>27</v>
      </c>
    </row>
    <row r="71" spans="1:9" ht="75" x14ac:dyDescent="0.25">
      <c r="A71" s="44" t="s">
        <v>41</v>
      </c>
      <c r="B71" s="6">
        <v>6011013</v>
      </c>
      <c r="C71" s="44" t="s">
        <v>2126</v>
      </c>
      <c r="D71" s="44" t="s">
        <v>2710</v>
      </c>
      <c r="E71" s="6">
        <v>5</v>
      </c>
      <c r="F71" s="6">
        <v>500</v>
      </c>
      <c r="G71" s="6" t="s">
        <v>742</v>
      </c>
      <c r="H71" s="44" t="s">
        <v>50</v>
      </c>
      <c r="I71" s="44" t="s">
        <v>51</v>
      </c>
    </row>
    <row r="72" spans="1:9" ht="150" x14ac:dyDescent="0.25">
      <c r="A72" s="44" t="s">
        <v>41</v>
      </c>
      <c r="B72" s="6">
        <v>6011013</v>
      </c>
      <c r="C72" s="44" t="s">
        <v>2126</v>
      </c>
      <c r="D72" s="44" t="s">
        <v>2711</v>
      </c>
      <c r="E72" s="6">
        <v>10</v>
      </c>
      <c r="F72" s="6" t="s">
        <v>861</v>
      </c>
      <c r="G72" s="6" t="s">
        <v>820</v>
      </c>
      <c r="H72" s="44" t="s">
        <v>54</v>
      </c>
      <c r="I72" s="44" t="s">
        <v>55</v>
      </c>
    </row>
    <row r="73" spans="1:9" ht="120" x14ac:dyDescent="0.25">
      <c r="A73" s="44" t="s">
        <v>240</v>
      </c>
      <c r="B73" s="6">
        <v>6011013</v>
      </c>
      <c r="C73" s="44" t="s">
        <v>2126</v>
      </c>
      <c r="D73" s="44" t="s">
        <v>2712</v>
      </c>
      <c r="E73" s="6">
        <v>1</v>
      </c>
      <c r="F73" s="6" t="s">
        <v>680</v>
      </c>
      <c r="G73" s="6" t="s">
        <v>680</v>
      </c>
      <c r="H73" s="44" t="s">
        <v>241</v>
      </c>
      <c r="I73" s="44" t="s">
        <v>242</v>
      </c>
    </row>
    <row r="74" spans="1:9" ht="45" x14ac:dyDescent="0.25">
      <c r="A74" s="44" t="s">
        <v>353</v>
      </c>
      <c r="B74" s="6">
        <v>6011013</v>
      </c>
      <c r="C74" s="44" t="s">
        <v>2126</v>
      </c>
      <c r="D74" s="44" t="s">
        <v>2713</v>
      </c>
      <c r="E74" s="6">
        <v>7</v>
      </c>
      <c r="F74" s="6" t="s">
        <v>736</v>
      </c>
      <c r="G74" s="6" t="s">
        <v>2714</v>
      </c>
      <c r="H74" s="44" t="s">
        <v>370</v>
      </c>
      <c r="I74" s="44" t="s">
        <v>371</v>
      </c>
    </row>
    <row r="75" spans="1:9" ht="45" x14ac:dyDescent="0.25">
      <c r="A75" s="44" t="s">
        <v>353</v>
      </c>
      <c r="B75" s="6">
        <v>6011013</v>
      </c>
      <c r="C75" s="44" t="s">
        <v>2126</v>
      </c>
      <c r="D75" s="44"/>
      <c r="E75" s="6">
        <v>7</v>
      </c>
      <c r="F75" s="6" t="s">
        <v>1275</v>
      </c>
      <c r="G75" s="6" t="s">
        <v>2715</v>
      </c>
      <c r="H75" s="44" t="s">
        <v>370</v>
      </c>
      <c r="I75" s="44" t="s">
        <v>371</v>
      </c>
    </row>
    <row r="76" spans="1:9" ht="75" x14ac:dyDescent="0.25">
      <c r="A76" s="44" t="s">
        <v>353</v>
      </c>
      <c r="B76" s="6">
        <v>6011013</v>
      </c>
      <c r="C76" s="44" t="s">
        <v>2126</v>
      </c>
      <c r="D76" s="44" t="s">
        <v>2716</v>
      </c>
      <c r="E76" s="6">
        <v>5</v>
      </c>
      <c r="F76" s="6" t="s">
        <v>883</v>
      </c>
      <c r="G76" s="6" t="s">
        <v>705</v>
      </c>
      <c r="H76" s="44" t="s">
        <v>366</v>
      </c>
      <c r="I76" s="44" t="s">
        <v>367</v>
      </c>
    </row>
    <row r="77" spans="1:9" ht="45" x14ac:dyDescent="0.25">
      <c r="A77" s="44" t="s">
        <v>353</v>
      </c>
      <c r="B77" s="6">
        <v>6011013</v>
      </c>
      <c r="C77" s="44" t="s">
        <v>2126</v>
      </c>
      <c r="D77" s="44" t="s">
        <v>2717</v>
      </c>
      <c r="E77" s="6">
        <v>2</v>
      </c>
      <c r="F77" s="6" t="s">
        <v>680</v>
      </c>
      <c r="G77" s="6" t="s">
        <v>883</v>
      </c>
      <c r="H77" s="44" t="s">
        <v>368</v>
      </c>
      <c r="I77" s="44" t="s">
        <v>369</v>
      </c>
    </row>
    <row r="78" spans="1:9" ht="105" x14ac:dyDescent="0.25">
      <c r="A78" s="44" t="s">
        <v>353</v>
      </c>
      <c r="B78" s="6">
        <v>6011013</v>
      </c>
      <c r="C78" s="44" t="s">
        <v>2126</v>
      </c>
      <c r="D78" s="44" t="s">
        <v>2718</v>
      </c>
      <c r="E78" s="6">
        <v>1</v>
      </c>
      <c r="F78" s="6" t="s">
        <v>747</v>
      </c>
      <c r="G78" s="6" t="s">
        <v>747</v>
      </c>
      <c r="H78" s="44" t="s">
        <v>366</v>
      </c>
      <c r="I78" s="44" t="s">
        <v>367</v>
      </c>
    </row>
    <row r="79" spans="1:9" ht="45" x14ac:dyDescent="0.25">
      <c r="A79" s="44" t="s">
        <v>353</v>
      </c>
      <c r="B79" s="6">
        <v>1350001</v>
      </c>
      <c r="C79" s="44" t="s">
        <v>2719</v>
      </c>
      <c r="D79" s="44"/>
      <c r="E79" s="6">
        <v>10</v>
      </c>
      <c r="F79" s="6" t="s">
        <v>883</v>
      </c>
      <c r="G79" s="6" t="s">
        <v>2720</v>
      </c>
      <c r="H79" s="44" t="s">
        <v>364</v>
      </c>
      <c r="I79" s="44" t="s">
        <v>365</v>
      </c>
    </row>
    <row r="80" spans="1:9" ht="60" x14ac:dyDescent="0.25">
      <c r="A80" s="44" t="s">
        <v>190</v>
      </c>
      <c r="B80" s="6">
        <v>1187007</v>
      </c>
      <c r="C80" s="44" t="s">
        <v>2214</v>
      </c>
      <c r="D80" s="44" t="s">
        <v>2721</v>
      </c>
      <c r="E80" s="6">
        <v>1</v>
      </c>
      <c r="F80" s="6">
        <v>25</v>
      </c>
      <c r="G80" s="6">
        <v>25</v>
      </c>
      <c r="H80" s="44" t="s">
        <v>196</v>
      </c>
      <c r="I80" s="44" t="s">
        <v>197</v>
      </c>
    </row>
    <row r="81" spans="1:9" ht="75" x14ac:dyDescent="0.25">
      <c r="A81" s="44" t="s">
        <v>41</v>
      </c>
      <c r="B81" s="6">
        <v>6011401</v>
      </c>
      <c r="C81" s="44" t="s">
        <v>2565</v>
      </c>
      <c r="D81" s="44" t="s">
        <v>2722</v>
      </c>
      <c r="E81" s="6">
        <v>20</v>
      </c>
      <c r="F81" s="6">
        <v>500</v>
      </c>
      <c r="G81" s="6" t="s">
        <v>680</v>
      </c>
      <c r="H81" s="44" t="s">
        <v>52</v>
      </c>
      <c r="I81" s="44" t="s">
        <v>53</v>
      </c>
    </row>
    <row r="82" spans="1:9" ht="75" x14ac:dyDescent="0.25">
      <c r="A82" s="44" t="s">
        <v>41</v>
      </c>
      <c r="B82" s="6">
        <v>6011401</v>
      </c>
      <c r="C82" s="44" t="s">
        <v>2565</v>
      </c>
      <c r="D82" s="44" t="s">
        <v>2723</v>
      </c>
      <c r="E82" s="6">
        <v>10</v>
      </c>
      <c r="F82" s="6">
        <v>600</v>
      </c>
      <c r="G82" s="6" t="s">
        <v>678</v>
      </c>
      <c r="H82" s="44" t="s">
        <v>50</v>
      </c>
      <c r="I82" s="44" t="s">
        <v>51</v>
      </c>
    </row>
    <row r="83" spans="1:9" ht="45" x14ac:dyDescent="0.25">
      <c r="A83" s="44" t="s">
        <v>41</v>
      </c>
      <c r="B83" s="6">
        <v>6011401</v>
      </c>
      <c r="C83" s="44" t="s">
        <v>2565</v>
      </c>
      <c r="D83" s="44" t="s">
        <v>2724</v>
      </c>
      <c r="E83" s="6">
        <v>15</v>
      </c>
      <c r="F83" s="6">
        <v>450</v>
      </c>
      <c r="G83" s="6" t="s">
        <v>2725</v>
      </c>
      <c r="H83" s="44" t="s">
        <v>46</v>
      </c>
      <c r="I83" s="44" t="s">
        <v>47</v>
      </c>
    </row>
    <row r="84" spans="1:9" ht="180" x14ac:dyDescent="0.25">
      <c r="A84" s="44" t="s">
        <v>41</v>
      </c>
      <c r="B84" s="6">
        <v>6011401</v>
      </c>
      <c r="C84" s="44" t="s">
        <v>2565</v>
      </c>
      <c r="D84" s="44" t="s">
        <v>2726</v>
      </c>
      <c r="E84" s="6">
        <v>15</v>
      </c>
      <c r="F84" s="6">
        <v>250</v>
      </c>
      <c r="G84" s="6" t="s">
        <v>1570</v>
      </c>
      <c r="H84" s="44" t="s">
        <v>46</v>
      </c>
      <c r="I84" s="44" t="s">
        <v>47</v>
      </c>
    </row>
    <row r="85" spans="1:9" ht="135" x14ac:dyDescent="0.25">
      <c r="A85" s="44" t="s">
        <v>41</v>
      </c>
      <c r="B85" s="6">
        <v>6011401</v>
      </c>
      <c r="C85" s="44" t="s">
        <v>2565</v>
      </c>
      <c r="D85" s="44" t="s">
        <v>2727</v>
      </c>
      <c r="E85" s="6">
        <v>15</v>
      </c>
      <c r="F85" s="6">
        <v>500</v>
      </c>
      <c r="G85" s="6" t="s">
        <v>1298</v>
      </c>
      <c r="H85" s="44" t="s">
        <v>46</v>
      </c>
      <c r="I85" s="44" t="s">
        <v>47</v>
      </c>
    </row>
    <row r="86" spans="1:9" ht="90" x14ac:dyDescent="0.25">
      <c r="A86" s="44" t="s">
        <v>41</v>
      </c>
      <c r="B86" s="6">
        <v>6011401</v>
      </c>
      <c r="C86" s="44" t="s">
        <v>2565</v>
      </c>
      <c r="D86" s="44" t="s">
        <v>2728</v>
      </c>
      <c r="E86" s="6">
        <v>10</v>
      </c>
      <c r="F86" s="6" t="s">
        <v>814</v>
      </c>
      <c r="G86" s="6" t="s">
        <v>883</v>
      </c>
      <c r="H86" s="44" t="s">
        <v>52</v>
      </c>
      <c r="I86" s="44" t="s">
        <v>53</v>
      </c>
    </row>
    <row r="87" spans="1:9" ht="135" x14ac:dyDescent="0.25">
      <c r="A87" s="44" t="s">
        <v>190</v>
      </c>
      <c r="B87" s="6">
        <v>6011401</v>
      </c>
      <c r="C87" s="44" t="s">
        <v>2565</v>
      </c>
      <c r="D87" s="44" t="s">
        <v>2729</v>
      </c>
      <c r="E87" s="6">
        <v>20</v>
      </c>
      <c r="F87" s="6">
        <v>100</v>
      </c>
      <c r="G87" s="6" t="s">
        <v>814</v>
      </c>
      <c r="H87" s="44" t="s">
        <v>196</v>
      </c>
      <c r="I87" s="44" t="s">
        <v>197</v>
      </c>
    </row>
    <row r="88" spans="1:9" ht="105" x14ac:dyDescent="0.25">
      <c r="A88" s="44" t="s">
        <v>190</v>
      </c>
      <c r="B88" s="6">
        <v>6011402</v>
      </c>
      <c r="C88" s="44" t="s">
        <v>2265</v>
      </c>
      <c r="D88" s="44" t="s">
        <v>2730</v>
      </c>
      <c r="E88" s="6">
        <v>2</v>
      </c>
      <c r="F88" s="6">
        <v>200</v>
      </c>
      <c r="G88" s="6">
        <v>400</v>
      </c>
      <c r="H88" s="44" t="s">
        <v>196</v>
      </c>
      <c r="I88" s="44" t="s">
        <v>197</v>
      </c>
    </row>
    <row r="89" spans="1:9" ht="90" x14ac:dyDescent="0.25">
      <c r="A89" s="44" t="s">
        <v>190</v>
      </c>
      <c r="B89" s="6">
        <v>1127021</v>
      </c>
      <c r="C89" s="44" t="s">
        <v>2492</v>
      </c>
      <c r="D89" s="44" t="s">
        <v>2731</v>
      </c>
      <c r="E89" s="6">
        <v>5</v>
      </c>
      <c r="F89" s="6">
        <v>63.115000000000002</v>
      </c>
      <c r="G89" s="6">
        <v>315.57499999999999</v>
      </c>
      <c r="H89" s="44" t="s">
        <v>196</v>
      </c>
      <c r="I89" s="44" t="s">
        <v>197</v>
      </c>
    </row>
    <row r="90" spans="1:9" x14ac:dyDescent="0.25">
      <c r="A90" s="1516" t="s">
        <v>695</v>
      </c>
      <c r="B90" s="1517"/>
      <c r="C90" s="1517"/>
      <c r="D90" s="1517"/>
      <c r="E90" s="1517"/>
      <c r="F90" s="1518"/>
      <c r="G90" s="44" t="s">
        <v>684</v>
      </c>
      <c r="H90" s="1519"/>
      <c r="I90" s="1520"/>
    </row>
  </sheetData>
  <mergeCells count="2">
    <mergeCell ref="A90:F90"/>
    <mergeCell ref="H90:I90"/>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Q113"/>
  <sheetViews>
    <sheetView zoomScale="60" zoomScaleNormal="60" workbookViewId="0">
      <selection activeCell="L28" sqref="L28"/>
    </sheetView>
  </sheetViews>
  <sheetFormatPr baseColWidth="10" defaultColWidth="11.42578125" defaultRowHeight="15" x14ac:dyDescent="0.25"/>
  <cols>
    <col min="1" max="1" width="4.28515625" customWidth="1"/>
    <col min="2" max="2" width="15.140625" customWidth="1"/>
    <col min="3" max="3" width="21" customWidth="1"/>
    <col min="4" max="4" width="13.85546875" customWidth="1"/>
    <col min="5" max="5" width="20.5703125" customWidth="1"/>
    <col min="6" max="6" width="11.85546875" customWidth="1"/>
    <col min="7" max="7" width="25.28515625" customWidth="1"/>
    <col min="8" max="8" width="12.5703125" customWidth="1"/>
    <col min="9" max="9" width="20.5703125" customWidth="1"/>
    <col min="10" max="10" width="14.7109375" customWidth="1"/>
    <col min="11" max="11" width="20.140625" customWidth="1"/>
    <col min="14" max="14" width="19.5703125" customWidth="1"/>
    <col min="15" max="15" width="18" customWidth="1"/>
    <col min="16" max="16" width="13.5703125" customWidth="1"/>
    <col min="17" max="17" width="15" customWidth="1"/>
  </cols>
  <sheetData>
    <row r="1" spans="1:17" ht="18" x14ac:dyDescent="0.3">
      <c r="A1" s="5" t="s">
        <v>2813</v>
      </c>
    </row>
    <row r="3" spans="1:17" ht="15" customHeight="1" x14ac:dyDescent="0.25">
      <c r="A3" s="1540" t="s">
        <v>0</v>
      </c>
      <c r="B3" s="1540" t="s">
        <v>449</v>
      </c>
      <c r="C3" s="1540" t="s">
        <v>450</v>
      </c>
      <c r="D3" s="1540" t="s">
        <v>451</v>
      </c>
      <c r="E3" s="1540" t="s">
        <v>452</v>
      </c>
      <c r="F3" s="1540" t="s">
        <v>453</v>
      </c>
      <c r="G3" s="1540" t="s">
        <v>454</v>
      </c>
      <c r="H3" s="1540" t="s">
        <v>455</v>
      </c>
      <c r="I3" s="1542" t="s">
        <v>456</v>
      </c>
      <c r="J3" s="1544" t="s">
        <v>457</v>
      </c>
      <c r="K3" s="1544"/>
      <c r="L3" s="1544"/>
      <c r="M3" s="1544"/>
      <c r="N3" s="1544" t="s">
        <v>461</v>
      </c>
      <c r="O3" s="1544"/>
      <c r="P3" s="1544"/>
      <c r="Q3" s="1544"/>
    </row>
    <row r="4" spans="1:17" x14ac:dyDescent="0.25">
      <c r="A4" s="1541"/>
      <c r="B4" s="1541"/>
      <c r="C4" s="1541"/>
      <c r="D4" s="1541"/>
      <c r="E4" s="1541"/>
      <c r="F4" s="1541"/>
      <c r="G4" s="1541"/>
      <c r="H4" s="1541"/>
      <c r="I4" s="1543"/>
      <c r="J4" s="95" t="s">
        <v>1</v>
      </c>
      <c r="K4" s="95" t="s">
        <v>458</v>
      </c>
      <c r="L4" s="95" t="s">
        <v>459</v>
      </c>
      <c r="M4" s="95" t="s">
        <v>460</v>
      </c>
      <c r="N4" s="95" t="s">
        <v>1</v>
      </c>
      <c r="O4" s="95" t="s">
        <v>2</v>
      </c>
      <c r="P4" s="95" t="s">
        <v>460</v>
      </c>
      <c r="Q4" s="95" t="s">
        <v>462</v>
      </c>
    </row>
    <row r="5" spans="1:17" ht="85.5" customHeight="1" x14ac:dyDescent="0.25">
      <c r="A5" s="74">
        <v>1</v>
      </c>
      <c r="B5" s="74" t="s">
        <v>2814</v>
      </c>
      <c r="C5" s="74" t="s">
        <v>2815</v>
      </c>
      <c r="D5" s="74" t="s">
        <v>2816</v>
      </c>
      <c r="E5" s="74" t="s">
        <v>2817</v>
      </c>
      <c r="F5" s="74" t="s">
        <v>2818</v>
      </c>
      <c r="G5" s="74" t="s">
        <v>2819</v>
      </c>
      <c r="H5" s="75" t="s">
        <v>747</v>
      </c>
      <c r="I5" s="75" t="s">
        <v>747</v>
      </c>
      <c r="J5" s="93" t="s">
        <v>2820</v>
      </c>
      <c r="K5" s="93" t="s">
        <v>2821</v>
      </c>
      <c r="L5" s="94">
        <v>10</v>
      </c>
      <c r="M5" s="94">
        <v>0</v>
      </c>
      <c r="N5" s="88" t="s">
        <v>325</v>
      </c>
      <c r="O5" s="88" t="s">
        <v>326</v>
      </c>
      <c r="P5" s="89" t="s">
        <v>747</v>
      </c>
      <c r="Q5" s="89" t="s">
        <v>683</v>
      </c>
    </row>
    <row r="6" spans="1:17" ht="75" x14ac:dyDescent="0.25">
      <c r="A6" s="1533">
        <v>2</v>
      </c>
      <c r="B6" s="1533" t="s">
        <v>2814</v>
      </c>
      <c r="C6" s="1533" t="s">
        <v>2815</v>
      </c>
      <c r="D6" s="1533" t="s">
        <v>2816</v>
      </c>
      <c r="E6" s="1533" t="s">
        <v>2817</v>
      </c>
      <c r="F6" s="1533" t="s">
        <v>2822</v>
      </c>
      <c r="G6" s="1533" t="s">
        <v>2823</v>
      </c>
      <c r="H6" s="1521" t="s">
        <v>705</v>
      </c>
      <c r="I6" s="1536" t="s">
        <v>705</v>
      </c>
      <c r="J6" s="1418" t="s">
        <v>2824</v>
      </c>
      <c r="K6" s="1418" t="s">
        <v>2825</v>
      </c>
      <c r="L6" s="1530">
        <v>1</v>
      </c>
      <c r="M6" s="1418">
        <v>0</v>
      </c>
      <c r="N6" s="90" t="s">
        <v>319</v>
      </c>
      <c r="O6" s="74" t="s">
        <v>320</v>
      </c>
      <c r="P6" s="75" t="s">
        <v>883</v>
      </c>
      <c r="Q6" s="75">
        <v>0</v>
      </c>
    </row>
    <row r="7" spans="1:17" ht="90" x14ac:dyDescent="0.25">
      <c r="A7" s="1534"/>
      <c r="B7" s="1534"/>
      <c r="C7" s="1534"/>
      <c r="D7" s="1534"/>
      <c r="E7" s="1534"/>
      <c r="F7" s="1534"/>
      <c r="G7" s="1534"/>
      <c r="H7" s="1522"/>
      <c r="I7" s="1537"/>
      <c r="J7" s="1418"/>
      <c r="K7" s="1418"/>
      <c r="L7" s="1531"/>
      <c r="M7" s="1418"/>
      <c r="N7" s="90" t="s">
        <v>321</v>
      </c>
      <c r="O7" s="74" t="s">
        <v>322</v>
      </c>
      <c r="P7" s="75" t="s">
        <v>883</v>
      </c>
      <c r="Q7" s="75">
        <v>0</v>
      </c>
    </row>
    <row r="8" spans="1:17" ht="75" x14ac:dyDescent="0.25">
      <c r="A8" s="1535"/>
      <c r="B8" s="1535"/>
      <c r="C8" s="1535"/>
      <c r="D8" s="1535"/>
      <c r="E8" s="1535"/>
      <c r="F8" s="1535"/>
      <c r="G8" s="1535"/>
      <c r="H8" s="1523"/>
      <c r="I8" s="1538"/>
      <c r="J8" s="1418"/>
      <c r="K8" s="1418"/>
      <c r="L8" s="1532"/>
      <c r="M8" s="1418"/>
      <c r="N8" s="90" t="s">
        <v>323</v>
      </c>
      <c r="O8" s="74" t="s">
        <v>324</v>
      </c>
      <c r="P8" s="75" t="s">
        <v>1295</v>
      </c>
      <c r="Q8" s="75">
        <v>0</v>
      </c>
    </row>
    <row r="9" spans="1:17" ht="75" x14ac:dyDescent="0.25">
      <c r="A9" s="74">
        <v>3</v>
      </c>
      <c r="B9" s="74" t="s">
        <v>2826</v>
      </c>
      <c r="C9" s="74" t="s">
        <v>2827</v>
      </c>
      <c r="D9" s="74" t="s">
        <v>2828</v>
      </c>
      <c r="E9" s="74" t="s">
        <v>2829</v>
      </c>
      <c r="F9" s="74" t="s">
        <v>2830</v>
      </c>
      <c r="G9" s="74" t="s">
        <v>2831</v>
      </c>
      <c r="H9" s="75" t="s">
        <v>676</v>
      </c>
      <c r="I9" s="75" t="s">
        <v>676</v>
      </c>
      <c r="J9" s="88" t="s">
        <v>2832</v>
      </c>
      <c r="K9" s="88" t="s">
        <v>2833</v>
      </c>
      <c r="L9" s="89">
        <v>50</v>
      </c>
      <c r="M9" s="89">
        <v>0</v>
      </c>
      <c r="N9" s="74" t="s">
        <v>351</v>
      </c>
      <c r="O9" s="74" t="s">
        <v>352</v>
      </c>
      <c r="P9" s="75" t="s">
        <v>676</v>
      </c>
      <c r="Q9" s="75" t="s">
        <v>2834</v>
      </c>
    </row>
    <row r="10" spans="1:17" ht="60" x14ac:dyDescent="0.25">
      <c r="A10" s="74">
        <v>4</v>
      </c>
      <c r="B10" s="74" t="s">
        <v>2826</v>
      </c>
      <c r="C10" s="74" t="s">
        <v>2827</v>
      </c>
      <c r="D10" s="74" t="s">
        <v>2828</v>
      </c>
      <c r="E10" s="74" t="s">
        <v>2829</v>
      </c>
      <c r="F10" s="74" t="s">
        <v>2835</v>
      </c>
      <c r="G10" s="74" t="s">
        <v>2836</v>
      </c>
      <c r="H10" s="75">
        <v>0</v>
      </c>
      <c r="I10" s="75" t="s">
        <v>987</v>
      </c>
      <c r="J10" s="74" t="s">
        <v>2837</v>
      </c>
      <c r="K10" s="74" t="s">
        <v>2838</v>
      </c>
      <c r="L10" s="75">
        <v>600</v>
      </c>
      <c r="M10" s="75">
        <v>0</v>
      </c>
      <c r="N10" s="74" t="s">
        <v>362</v>
      </c>
      <c r="O10" s="74" t="s">
        <v>363</v>
      </c>
      <c r="P10" s="75" t="s">
        <v>987</v>
      </c>
      <c r="Q10" s="75" t="s">
        <v>2839</v>
      </c>
    </row>
    <row r="11" spans="1:17" ht="75" x14ac:dyDescent="0.25">
      <c r="A11" s="74">
        <v>5</v>
      </c>
      <c r="B11" s="74" t="s">
        <v>2826</v>
      </c>
      <c r="C11" s="74" t="s">
        <v>2827</v>
      </c>
      <c r="D11" s="74" t="s">
        <v>2840</v>
      </c>
      <c r="E11" s="74" t="s">
        <v>434</v>
      </c>
      <c r="F11" s="74" t="s">
        <v>2841</v>
      </c>
      <c r="G11" s="74" t="s">
        <v>2842</v>
      </c>
      <c r="H11" s="75" t="s">
        <v>1295</v>
      </c>
      <c r="I11" s="75" t="s">
        <v>1295</v>
      </c>
      <c r="J11" s="74" t="s">
        <v>2843</v>
      </c>
      <c r="K11" s="74" t="s">
        <v>2844</v>
      </c>
      <c r="L11" s="75">
        <v>1</v>
      </c>
      <c r="M11" s="75">
        <v>0</v>
      </c>
      <c r="N11" s="74" t="s">
        <v>374</v>
      </c>
      <c r="O11" s="74" t="s">
        <v>375</v>
      </c>
      <c r="P11" s="75" t="s">
        <v>1295</v>
      </c>
      <c r="Q11" s="75" t="s">
        <v>2845</v>
      </c>
    </row>
    <row r="12" spans="1:17" ht="60" x14ac:dyDescent="0.25">
      <c r="A12" s="74">
        <v>6</v>
      </c>
      <c r="B12" s="74" t="s">
        <v>2826</v>
      </c>
      <c r="C12" s="74" t="s">
        <v>2827</v>
      </c>
      <c r="D12" s="74" t="s">
        <v>2840</v>
      </c>
      <c r="E12" s="74" t="s">
        <v>434</v>
      </c>
      <c r="F12" s="74" t="s">
        <v>2841</v>
      </c>
      <c r="G12" s="74" t="s">
        <v>2846</v>
      </c>
      <c r="H12" s="75" t="s">
        <v>1149</v>
      </c>
      <c r="I12" s="75" t="s">
        <v>1149</v>
      </c>
      <c r="J12" s="74" t="s">
        <v>2847</v>
      </c>
      <c r="K12" s="74" t="s">
        <v>2848</v>
      </c>
      <c r="L12" s="75">
        <v>1</v>
      </c>
      <c r="M12" s="75">
        <v>0</v>
      </c>
      <c r="N12" s="74" t="s">
        <v>372</v>
      </c>
      <c r="O12" s="74" t="s">
        <v>373</v>
      </c>
      <c r="P12" s="75" t="s">
        <v>1149</v>
      </c>
      <c r="Q12" s="75" t="s">
        <v>2849</v>
      </c>
    </row>
    <row r="13" spans="1:17" ht="60" x14ac:dyDescent="0.25">
      <c r="A13" s="74">
        <v>7</v>
      </c>
      <c r="B13" s="74" t="s">
        <v>2826</v>
      </c>
      <c r="C13" s="74" t="s">
        <v>2827</v>
      </c>
      <c r="D13" s="74" t="s">
        <v>2840</v>
      </c>
      <c r="E13" s="74" t="s">
        <v>434</v>
      </c>
      <c r="F13" s="74" t="s">
        <v>2841</v>
      </c>
      <c r="G13" s="74" t="s">
        <v>2850</v>
      </c>
      <c r="H13" s="75" t="s">
        <v>1275</v>
      </c>
      <c r="I13" s="75" t="s">
        <v>1275</v>
      </c>
      <c r="J13" s="74" t="s">
        <v>2851</v>
      </c>
      <c r="K13" s="74" t="s">
        <v>2852</v>
      </c>
      <c r="L13" s="75">
        <v>7</v>
      </c>
      <c r="M13" s="75">
        <v>0</v>
      </c>
      <c r="N13" s="74" t="s">
        <v>337</v>
      </c>
      <c r="O13" s="74" t="s">
        <v>338</v>
      </c>
      <c r="P13" s="75" t="s">
        <v>1275</v>
      </c>
      <c r="Q13" s="75" t="s">
        <v>2853</v>
      </c>
    </row>
    <row r="14" spans="1:17" ht="60" x14ac:dyDescent="0.25">
      <c r="A14" s="74">
        <v>8</v>
      </c>
      <c r="B14" s="74" t="s">
        <v>2826</v>
      </c>
      <c r="C14" s="74" t="s">
        <v>2827</v>
      </c>
      <c r="D14" s="74" t="s">
        <v>2840</v>
      </c>
      <c r="E14" s="74" t="s">
        <v>434</v>
      </c>
      <c r="F14" s="74" t="s">
        <v>2841</v>
      </c>
      <c r="G14" s="74" t="s">
        <v>2854</v>
      </c>
      <c r="H14" s="75" t="s">
        <v>999</v>
      </c>
      <c r="I14" s="75" t="s">
        <v>999</v>
      </c>
      <c r="J14" s="74" t="s">
        <v>2855</v>
      </c>
      <c r="K14" s="74" t="s">
        <v>2856</v>
      </c>
      <c r="L14" s="75">
        <v>5</v>
      </c>
      <c r="M14" s="75">
        <v>0</v>
      </c>
      <c r="N14" s="74" t="s">
        <v>219</v>
      </c>
      <c r="O14" s="74" t="s">
        <v>220</v>
      </c>
      <c r="P14" s="75" t="s">
        <v>999</v>
      </c>
      <c r="Q14" s="75" t="s">
        <v>678</v>
      </c>
    </row>
    <row r="15" spans="1:17" ht="60" x14ac:dyDescent="0.25">
      <c r="A15" s="74">
        <v>9</v>
      </c>
      <c r="B15" s="74" t="s">
        <v>2826</v>
      </c>
      <c r="C15" s="74" t="s">
        <v>2827</v>
      </c>
      <c r="D15" s="74" t="s">
        <v>2840</v>
      </c>
      <c r="E15" s="74" t="s">
        <v>434</v>
      </c>
      <c r="F15" s="74" t="s">
        <v>2841</v>
      </c>
      <c r="G15" s="74" t="s">
        <v>2857</v>
      </c>
      <c r="H15" s="75" t="s">
        <v>987</v>
      </c>
      <c r="I15" s="75" t="s">
        <v>987</v>
      </c>
      <c r="J15" s="74" t="s">
        <v>2858</v>
      </c>
      <c r="K15" s="74" t="s">
        <v>2859</v>
      </c>
      <c r="L15" s="75">
        <v>5</v>
      </c>
      <c r="M15" s="75">
        <v>0</v>
      </c>
      <c r="N15" s="74" t="s">
        <v>341</v>
      </c>
      <c r="O15" s="74" t="s">
        <v>342</v>
      </c>
      <c r="P15" s="75">
        <v>50</v>
      </c>
      <c r="Q15" s="75">
        <v>0</v>
      </c>
    </row>
    <row r="16" spans="1:17" ht="75" x14ac:dyDescent="0.25">
      <c r="A16" s="74">
        <v>10</v>
      </c>
      <c r="B16" s="74" t="s">
        <v>2826</v>
      </c>
      <c r="C16" s="74" t="s">
        <v>2827</v>
      </c>
      <c r="D16" s="74" t="s">
        <v>2840</v>
      </c>
      <c r="E16" s="74" t="s">
        <v>434</v>
      </c>
      <c r="F16" s="74" t="s">
        <v>2841</v>
      </c>
      <c r="G16" s="74" t="s">
        <v>2860</v>
      </c>
      <c r="H16" s="75" t="s">
        <v>2861</v>
      </c>
      <c r="I16" s="75" t="s">
        <v>2861</v>
      </c>
      <c r="J16" s="74" t="s">
        <v>2862</v>
      </c>
      <c r="K16" s="74" t="s">
        <v>2863</v>
      </c>
      <c r="L16" s="75">
        <v>70</v>
      </c>
      <c r="M16" s="75">
        <v>0</v>
      </c>
      <c r="N16" s="74" t="s">
        <v>110</v>
      </c>
      <c r="O16" s="74" t="s">
        <v>111</v>
      </c>
      <c r="P16" s="75" t="s">
        <v>2861</v>
      </c>
      <c r="Q16" s="75" t="s">
        <v>2864</v>
      </c>
    </row>
    <row r="17" spans="1:17" ht="90" x14ac:dyDescent="0.25">
      <c r="A17" s="74">
        <v>11</v>
      </c>
      <c r="B17" s="74" t="s">
        <v>2826</v>
      </c>
      <c r="C17" s="74" t="s">
        <v>2827</v>
      </c>
      <c r="D17" s="74" t="s">
        <v>2840</v>
      </c>
      <c r="E17" s="74" t="s">
        <v>434</v>
      </c>
      <c r="F17" s="74" t="s">
        <v>2865</v>
      </c>
      <c r="G17" s="74" t="s">
        <v>2866</v>
      </c>
      <c r="H17" s="75" t="s">
        <v>1275</v>
      </c>
      <c r="I17" s="75" t="s">
        <v>1275</v>
      </c>
      <c r="J17" s="74" t="s">
        <v>2867</v>
      </c>
      <c r="K17" s="74" t="s">
        <v>2868</v>
      </c>
      <c r="L17" s="75">
        <v>30</v>
      </c>
      <c r="M17" s="75">
        <v>0</v>
      </c>
      <c r="N17" s="74" t="s">
        <v>112</v>
      </c>
      <c r="O17" s="74" t="s">
        <v>113</v>
      </c>
      <c r="P17" s="75" t="s">
        <v>1275</v>
      </c>
      <c r="Q17" s="75" t="s">
        <v>2869</v>
      </c>
    </row>
    <row r="18" spans="1:17" ht="90" x14ac:dyDescent="0.25">
      <c r="A18" s="74">
        <v>12</v>
      </c>
      <c r="B18" s="74" t="s">
        <v>2826</v>
      </c>
      <c r="C18" s="74" t="s">
        <v>2827</v>
      </c>
      <c r="D18" s="74" t="s">
        <v>2840</v>
      </c>
      <c r="E18" s="74" t="s">
        <v>434</v>
      </c>
      <c r="F18" s="74" t="s">
        <v>2870</v>
      </c>
      <c r="G18" s="74" t="s">
        <v>2871</v>
      </c>
      <c r="H18" s="75" t="s">
        <v>1295</v>
      </c>
      <c r="I18" s="75" t="s">
        <v>1295</v>
      </c>
      <c r="J18" s="74" t="s">
        <v>2872</v>
      </c>
      <c r="K18" s="74" t="s">
        <v>2873</v>
      </c>
      <c r="L18" s="75">
        <v>10</v>
      </c>
      <c r="M18" s="75">
        <v>0</v>
      </c>
      <c r="N18" s="74" t="s">
        <v>108</v>
      </c>
      <c r="O18" s="74" t="s">
        <v>109</v>
      </c>
      <c r="P18" s="75" t="s">
        <v>1295</v>
      </c>
      <c r="Q18" s="75" t="s">
        <v>2874</v>
      </c>
    </row>
    <row r="19" spans="1:17" ht="60" x14ac:dyDescent="0.25">
      <c r="A19" s="1533">
        <v>13</v>
      </c>
      <c r="B19" s="1533" t="s">
        <v>2826</v>
      </c>
      <c r="C19" s="1533" t="s">
        <v>2827</v>
      </c>
      <c r="D19" s="1533" t="s">
        <v>2840</v>
      </c>
      <c r="E19" s="1533" t="s">
        <v>434</v>
      </c>
      <c r="F19" s="1533" t="s">
        <v>2870</v>
      </c>
      <c r="G19" s="1533" t="s">
        <v>2875</v>
      </c>
      <c r="H19" s="1521" t="s">
        <v>2720</v>
      </c>
      <c r="I19" s="1521" t="s">
        <v>2720</v>
      </c>
      <c r="J19" s="74" t="s">
        <v>2876</v>
      </c>
      <c r="K19" s="74" t="s">
        <v>2877</v>
      </c>
      <c r="L19" s="75">
        <v>2</v>
      </c>
      <c r="M19" s="75">
        <v>0</v>
      </c>
      <c r="N19" s="74" t="s">
        <v>78</v>
      </c>
      <c r="O19" s="74" t="s">
        <v>79</v>
      </c>
      <c r="P19" s="75" t="s">
        <v>2639</v>
      </c>
      <c r="Q19" s="75" t="s">
        <v>2878</v>
      </c>
    </row>
    <row r="20" spans="1:17" ht="30" x14ac:dyDescent="0.25">
      <c r="A20" s="1535"/>
      <c r="B20" s="1535"/>
      <c r="C20" s="1535"/>
      <c r="D20" s="1535"/>
      <c r="E20" s="1535"/>
      <c r="F20" s="1535"/>
      <c r="G20" s="1535"/>
      <c r="H20" s="1523"/>
      <c r="I20" s="1523"/>
      <c r="J20" s="79"/>
      <c r="K20" s="80"/>
      <c r="L20" s="80"/>
      <c r="M20" s="81"/>
      <c r="N20" s="74" t="s">
        <v>127</v>
      </c>
      <c r="O20" s="74" t="s">
        <v>128</v>
      </c>
      <c r="P20" s="75" t="s">
        <v>1183</v>
      </c>
      <c r="Q20" s="75" t="s">
        <v>2879</v>
      </c>
    </row>
    <row r="21" spans="1:17" ht="75" x14ac:dyDescent="0.25">
      <c r="A21" s="74">
        <v>14</v>
      </c>
      <c r="B21" s="74" t="s">
        <v>2880</v>
      </c>
      <c r="C21" s="74" t="s">
        <v>2881</v>
      </c>
      <c r="D21" s="74" t="s">
        <v>2882</v>
      </c>
      <c r="E21" s="74" t="s">
        <v>2883</v>
      </c>
      <c r="F21" s="74" t="s">
        <v>2884</v>
      </c>
      <c r="G21" s="74" t="s">
        <v>2885</v>
      </c>
      <c r="H21" s="75" t="s">
        <v>1275</v>
      </c>
      <c r="I21" s="75" t="s">
        <v>1275</v>
      </c>
      <c r="J21" s="74" t="s">
        <v>2886</v>
      </c>
      <c r="K21" s="74" t="s">
        <v>2887</v>
      </c>
      <c r="L21" s="75">
        <v>1</v>
      </c>
      <c r="M21" s="75">
        <v>0</v>
      </c>
      <c r="N21" s="74" t="s">
        <v>26</v>
      </c>
      <c r="O21" s="74" t="s">
        <v>27</v>
      </c>
      <c r="P21" s="75" t="s">
        <v>1275</v>
      </c>
      <c r="Q21" s="75" t="s">
        <v>2888</v>
      </c>
    </row>
    <row r="22" spans="1:17" ht="90" x14ac:dyDescent="0.25">
      <c r="A22" s="74">
        <v>15</v>
      </c>
      <c r="B22" s="74" t="s">
        <v>2880</v>
      </c>
      <c r="C22" s="74" t="s">
        <v>2881</v>
      </c>
      <c r="D22" s="74" t="s">
        <v>2882</v>
      </c>
      <c r="E22" s="74" t="s">
        <v>2883</v>
      </c>
      <c r="F22" s="74" t="s">
        <v>2884</v>
      </c>
      <c r="G22" s="74" t="s">
        <v>2889</v>
      </c>
      <c r="H22" s="75" t="s">
        <v>1149</v>
      </c>
      <c r="I22" s="92" t="s">
        <v>1149</v>
      </c>
      <c r="J22" s="91" t="s">
        <v>2890</v>
      </c>
      <c r="K22" s="91" t="s">
        <v>2891</v>
      </c>
      <c r="L22" s="92">
        <v>1</v>
      </c>
      <c r="M22" s="92">
        <v>0</v>
      </c>
      <c r="N22" s="91" t="s">
        <v>37</v>
      </c>
      <c r="O22" s="74" t="s">
        <v>38</v>
      </c>
      <c r="P22" s="75" t="s">
        <v>1149</v>
      </c>
      <c r="Q22" s="75">
        <v>0</v>
      </c>
    </row>
    <row r="23" spans="1:17" ht="75" customHeight="1" x14ac:dyDescent="0.25">
      <c r="A23" s="1533">
        <v>16</v>
      </c>
      <c r="B23" s="1533" t="s">
        <v>2880</v>
      </c>
      <c r="C23" s="1533" t="s">
        <v>2881</v>
      </c>
      <c r="D23" s="1533" t="s">
        <v>2892</v>
      </c>
      <c r="E23" s="1533" t="s">
        <v>2893</v>
      </c>
      <c r="F23" s="1533" t="s">
        <v>2894</v>
      </c>
      <c r="G23" s="1533" t="s">
        <v>2895</v>
      </c>
      <c r="H23" s="1536" t="s">
        <v>698</v>
      </c>
      <c r="I23" s="1539" t="s">
        <v>698</v>
      </c>
      <c r="J23" s="1418" t="s">
        <v>2896</v>
      </c>
      <c r="K23" s="1418" t="s">
        <v>2897</v>
      </c>
      <c r="L23" s="1418">
        <v>50</v>
      </c>
      <c r="M23" s="1418">
        <v>0</v>
      </c>
      <c r="N23" s="96" t="s">
        <v>35</v>
      </c>
      <c r="O23" s="90" t="s">
        <v>36</v>
      </c>
      <c r="P23" s="75" t="s">
        <v>794</v>
      </c>
      <c r="Q23" s="75" t="s">
        <v>2898</v>
      </c>
    </row>
    <row r="24" spans="1:17" ht="45" x14ac:dyDescent="0.25">
      <c r="A24" s="1534"/>
      <c r="B24" s="1534"/>
      <c r="C24" s="1534"/>
      <c r="D24" s="1534"/>
      <c r="E24" s="1534"/>
      <c r="F24" s="1534"/>
      <c r="G24" s="1534"/>
      <c r="H24" s="1537"/>
      <c r="I24" s="1539"/>
      <c r="J24" s="1418"/>
      <c r="K24" s="1418"/>
      <c r="L24" s="1418"/>
      <c r="M24" s="1418"/>
      <c r="N24" s="96" t="s">
        <v>39</v>
      </c>
      <c r="O24" s="90" t="s">
        <v>40</v>
      </c>
      <c r="P24" s="75" t="s">
        <v>2720</v>
      </c>
      <c r="Q24" s="75" t="s">
        <v>2899</v>
      </c>
    </row>
    <row r="25" spans="1:17" ht="30" x14ac:dyDescent="0.25">
      <c r="A25" s="1535"/>
      <c r="B25" s="1535"/>
      <c r="C25" s="1535"/>
      <c r="D25" s="1535"/>
      <c r="E25" s="1535"/>
      <c r="F25" s="1535"/>
      <c r="G25" s="1535"/>
      <c r="H25" s="1538"/>
      <c r="I25" s="1539"/>
      <c r="J25" s="1418"/>
      <c r="K25" s="1418"/>
      <c r="L25" s="1418"/>
      <c r="M25" s="1418"/>
      <c r="N25" s="96" t="s">
        <v>33</v>
      </c>
      <c r="O25" s="90" t="s">
        <v>34</v>
      </c>
      <c r="P25" s="75" t="s">
        <v>700</v>
      </c>
      <c r="Q25" s="75" t="s">
        <v>2900</v>
      </c>
    </row>
    <row r="26" spans="1:17" ht="105" x14ac:dyDescent="0.25">
      <c r="A26" s="74">
        <v>17</v>
      </c>
      <c r="B26" s="74" t="s">
        <v>2880</v>
      </c>
      <c r="C26" s="74" t="s">
        <v>2881</v>
      </c>
      <c r="D26" s="74" t="s">
        <v>2892</v>
      </c>
      <c r="E26" s="74" t="s">
        <v>2893</v>
      </c>
      <c r="F26" s="74" t="s">
        <v>2901</v>
      </c>
      <c r="G26" s="74" t="s">
        <v>2902</v>
      </c>
      <c r="H26" s="75" t="s">
        <v>705</v>
      </c>
      <c r="I26" s="89" t="s">
        <v>705</v>
      </c>
      <c r="J26" s="88" t="s">
        <v>2903</v>
      </c>
      <c r="K26" s="88" t="s">
        <v>2904</v>
      </c>
      <c r="L26" s="89">
        <v>10</v>
      </c>
      <c r="M26" s="89">
        <v>0</v>
      </c>
      <c r="N26" s="88" t="s">
        <v>226</v>
      </c>
      <c r="O26" s="74" t="s">
        <v>227</v>
      </c>
      <c r="P26" s="75" t="s">
        <v>705</v>
      </c>
      <c r="Q26" s="75">
        <v>0</v>
      </c>
    </row>
    <row r="27" spans="1:17" ht="105" x14ac:dyDescent="0.25">
      <c r="A27" s="74">
        <v>18</v>
      </c>
      <c r="B27" s="74" t="s">
        <v>2880</v>
      </c>
      <c r="C27" s="74" t="s">
        <v>2881</v>
      </c>
      <c r="D27" s="74" t="s">
        <v>2892</v>
      </c>
      <c r="E27" s="74" t="s">
        <v>2893</v>
      </c>
      <c r="F27" s="74" t="s">
        <v>2901</v>
      </c>
      <c r="G27" s="74" t="s">
        <v>2905</v>
      </c>
      <c r="H27" s="75">
        <v>0</v>
      </c>
      <c r="I27" s="75">
        <v>0</v>
      </c>
      <c r="J27" s="74" t="s">
        <v>2906</v>
      </c>
      <c r="K27" s="74" t="s">
        <v>2907</v>
      </c>
      <c r="L27" s="75">
        <v>1</v>
      </c>
      <c r="M27" s="75">
        <v>0</v>
      </c>
      <c r="N27" s="74" t="s">
        <v>228</v>
      </c>
      <c r="O27" s="74" t="s">
        <v>229</v>
      </c>
      <c r="P27" s="75">
        <v>0</v>
      </c>
      <c r="Q27" s="75">
        <v>0</v>
      </c>
    </row>
    <row r="28" spans="1:17" ht="75" x14ac:dyDescent="0.25">
      <c r="A28" s="1533">
        <v>19</v>
      </c>
      <c r="B28" s="1533" t="s">
        <v>2880</v>
      </c>
      <c r="C28" s="1533" t="s">
        <v>2881</v>
      </c>
      <c r="D28" s="1533" t="s">
        <v>2892</v>
      </c>
      <c r="E28" s="1533" t="s">
        <v>2893</v>
      </c>
      <c r="F28" s="1533" t="s">
        <v>2901</v>
      </c>
      <c r="G28" s="1533" t="s">
        <v>2908</v>
      </c>
      <c r="H28" s="1521" t="s">
        <v>1428</v>
      </c>
      <c r="I28" s="1521" t="s">
        <v>1428</v>
      </c>
      <c r="J28" s="74" t="s">
        <v>2909</v>
      </c>
      <c r="K28" s="74" t="s">
        <v>2910</v>
      </c>
      <c r="L28" s="75">
        <v>10</v>
      </c>
      <c r="M28" s="75">
        <v>0</v>
      </c>
      <c r="N28" s="74" t="s">
        <v>139</v>
      </c>
      <c r="O28" s="74" t="s">
        <v>140</v>
      </c>
      <c r="P28" s="75" t="s">
        <v>681</v>
      </c>
      <c r="Q28" s="75" t="s">
        <v>2911</v>
      </c>
    </row>
    <row r="29" spans="1:17" ht="45" x14ac:dyDescent="0.25">
      <c r="A29" s="1534"/>
      <c r="B29" s="1534"/>
      <c r="C29" s="1534"/>
      <c r="D29" s="1534"/>
      <c r="E29" s="1534"/>
      <c r="F29" s="1534"/>
      <c r="G29" s="1534"/>
      <c r="H29" s="1522"/>
      <c r="I29" s="1522"/>
      <c r="J29" s="76"/>
      <c r="K29" s="77"/>
      <c r="L29" s="77"/>
      <c r="M29" s="78"/>
      <c r="N29" s="74" t="s">
        <v>103</v>
      </c>
      <c r="O29" s="74" t="s">
        <v>104</v>
      </c>
      <c r="P29" s="75" t="s">
        <v>681</v>
      </c>
      <c r="Q29" s="75" t="s">
        <v>2912</v>
      </c>
    </row>
    <row r="30" spans="1:17" ht="60" x14ac:dyDescent="0.25">
      <c r="A30" s="1534"/>
      <c r="B30" s="1534"/>
      <c r="C30" s="1534"/>
      <c r="D30" s="1534"/>
      <c r="E30" s="1534"/>
      <c r="F30" s="1534"/>
      <c r="G30" s="1534"/>
      <c r="H30" s="1522"/>
      <c r="I30" s="1522"/>
      <c r="J30" s="76"/>
      <c r="K30" s="77"/>
      <c r="L30" s="77"/>
      <c r="M30" s="78"/>
      <c r="N30" s="74" t="s">
        <v>185</v>
      </c>
      <c r="O30" s="74" t="s">
        <v>186</v>
      </c>
      <c r="P30" s="75" t="s">
        <v>681</v>
      </c>
      <c r="Q30" s="75">
        <v>0</v>
      </c>
    </row>
    <row r="31" spans="1:17" ht="75" x14ac:dyDescent="0.25">
      <c r="A31" s="1534"/>
      <c r="B31" s="1534"/>
      <c r="C31" s="1534"/>
      <c r="D31" s="1534"/>
      <c r="E31" s="1534"/>
      <c r="F31" s="1534"/>
      <c r="G31" s="1534"/>
      <c r="H31" s="1522"/>
      <c r="I31" s="1522"/>
      <c r="J31" s="76"/>
      <c r="K31" s="77"/>
      <c r="L31" s="77"/>
      <c r="M31" s="78"/>
      <c r="N31" s="74" t="s">
        <v>151</v>
      </c>
      <c r="O31" s="74" t="s">
        <v>152</v>
      </c>
      <c r="P31" s="75" t="s">
        <v>681</v>
      </c>
      <c r="Q31" s="75" t="s">
        <v>1102</v>
      </c>
    </row>
    <row r="32" spans="1:17" ht="45" x14ac:dyDescent="0.25">
      <c r="A32" s="1534"/>
      <c r="B32" s="1534"/>
      <c r="C32" s="1534"/>
      <c r="D32" s="1534"/>
      <c r="E32" s="1534"/>
      <c r="F32" s="1534"/>
      <c r="G32" s="1534"/>
      <c r="H32" s="1522"/>
      <c r="I32" s="1522"/>
      <c r="J32" s="76"/>
      <c r="K32" s="77"/>
      <c r="L32" s="77"/>
      <c r="M32" s="78"/>
      <c r="N32" s="74" t="s">
        <v>101</v>
      </c>
      <c r="O32" s="74" t="s">
        <v>102</v>
      </c>
      <c r="P32" s="75" t="s">
        <v>681</v>
      </c>
      <c r="Q32" s="75" t="s">
        <v>2913</v>
      </c>
    </row>
    <row r="33" spans="1:17" ht="45" x14ac:dyDescent="0.25">
      <c r="A33" s="1534"/>
      <c r="B33" s="1534"/>
      <c r="C33" s="1534"/>
      <c r="D33" s="1534"/>
      <c r="E33" s="1534"/>
      <c r="F33" s="1534"/>
      <c r="G33" s="1534"/>
      <c r="H33" s="1522"/>
      <c r="I33" s="1522"/>
      <c r="J33" s="76"/>
      <c r="K33" s="77"/>
      <c r="L33" s="77"/>
      <c r="M33" s="78"/>
      <c r="N33" s="74" t="s">
        <v>99</v>
      </c>
      <c r="O33" s="74" t="s">
        <v>100</v>
      </c>
      <c r="P33" s="75" t="s">
        <v>681</v>
      </c>
      <c r="Q33" s="75" t="s">
        <v>2914</v>
      </c>
    </row>
    <row r="34" spans="1:17" ht="60" x14ac:dyDescent="0.25">
      <c r="A34" s="1534"/>
      <c r="B34" s="1534"/>
      <c r="C34" s="1534"/>
      <c r="D34" s="1534"/>
      <c r="E34" s="1534"/>
      <c r="F34" s="1534"/>
      <c r="G34" s="1534"/>
      <c r="H34" s="1522"/>
      <c r="I34" s="1522"/>
      <c r="J34" s="76"/>
      <c r="K34" s="77"/>
      <c r="L34" s="77"/>
      <c r="M34" s="78"/>
      <c r="N34" s="74" t="s">
        <v>177</v>
      </c>
      <c r="O34" s="74" t="s">
        <v>178</v>
      </c>
      <c r="P34" s="75" t="s">
        <v>681</v>
      </c>
      <c r="Q34" s="75">
        <v>0</v>
      </c>
    </row>
    <row r="35" spans="1:17" ht="60" x14ac:dyDescent="0.25">
      <c r="A35" s="1534"/>
      <c r="B35" s="1534"/>
      <c r="C35" s="1534"/>
      <c r="D35" s="1534"/>
      <c r="E35" s="1534"/>
      <c r="F35" s="1534"/>
      <c r="G35" s="1534"/>
      <c r="H35" s="1522"/>
      <c r="I35" s="1522"/>
      <c r="J35" s="76"/>
      <c r="K35" s="77"/>
      <c r="L35" s="77"/>
      <c r="M35" s="78"/>
      <c r="N35" s="74" t="s">
        <v>161</v>
      </c>
      <c r="O35" s="74" t="s">
        <v>162</v>
      </c>
      <c r="P35" s="75" t="s">
        <v>681</v>
      </c>
      <c r="Q35" s="75" t="s">
        <v>2915</v>
      </c>
    </row>
    <row r="36" spans="1:17" ht="26.25" customHeight="1" x14ac:dyDescent="0.25">
      <c r="A36" s="1534"/>
      <c r="B36" s="1534"/>
      <c r="C36" s="1534"/>
      <c r="D36" s="1534"/>
      <c r="E36" s="1534"/>
      <c r="F36" s="1534"/>
      <c r="G36" s="1534"/>
      <c r="H36" s="1522"/>
      <c r="I36" s="1522"/>
      <c r="J36" s="76"/>
      <c r="K36" s="77"/>
      <c r="L36" s="77"/>
      <c r="M36" s="78"/>
      <c r="N36" s="74" t="s">
        <v>169</v>
      </c>
      <c r="O36" s="74" t="s">
        <v>170</v>
      </c>
      <c r="P36" s="75" t="s">
        <v>681</v>
      </c>
      <c r="Q36" s="75" t="s">
        <v>2916</v>
      </c>
    </row>
    <row r="37" spans="1:17" ht="18.75" customHeight="1" x14ac:dyDescent="0.25">
      <c r="A37" s="1535"/>
      <c r="B37" s="1535"/>
      <c r="C37" s="1535"/>
      <c r="D37" s="1535"/>
      <c r="E37" s="1535"/>
      <c r="F37" s="1535"/>
      <c r="G37" s="1535"/>
      <c r="H37" s="1523"/>
      <c r="I37" s="1523"/>
      <c r="J37" s="79"/>
      <c r="K37" s="80"/>
      <c r="L37" s="80"/>
      <c r="M37" s="81"/>
      <c r="N37" s="74" t="s">
        <v>132</v>
      </c>
      <c r="O37" s="74" t="s">
        <v>133</v>
      </c>
      <c r="P37" s="75" t="s">
        <v>681</v>
      </c>
      <c r="Q37" s="75">
        <v>0</v>
      </c>
    </row>
    <row r="38" spans="1:17" ht="105" x14ac:dyDescent="0.25">
      <c r="A38" s="74">
        <v>20</v>
      </c>
      <c r="B38" s="74" t="s">
        <v>2880</v>
      </c>
      <c r="C38" s="74" t="s">
        <v>2881</v>
      </c>
      <c r="D38" s="74" t="s">
        <v>2892</v>
      </c>
      <c r="E38" s="74" t="s">
        <v>2893</v>
      </c>
      <c r="F38" s="74" t="s">
        <v>2901</v>
      </c>
      <c r="G38" s="74" t="s">
        <v>2917</v>
      </c>
      <c r="H38" s="75">
        <v>0</v>
      </c>
      <c r="I38" s="75" t="s">
        <v>705</v>
      </c>
      <c r="J38" s="74" t="s">
        <v>2918</v>
      </c>
      <c r="K38" s="74" t="s">
        <v>2919</v>
      </c>
      <c r="L38" s="75">
        <v>100</v>
      </c>
      <c r="M38" s="75">
        <v>0</v>
      </c>
      <c r="N38" s="74" t="s">
        <v>360</v>
      </c>
      <c r="O38" s="74" t="s">
        <v>361</v>
      </c>
      <c r="P38" s="75" t="s">
        <v>705</v>
      </c>
      <c r="Q38" s="75" t="s">
        <v>676</v>
      </c>
    </row>
    <row r="39" spans="1:17" ht="105" x14ac:dyDescent="0.25">
      <c r="A39" s="74">
        <v>21</v>
      </c>
      <c r="B39" s="74" t="s">
        <v>2880</v>
      </c>
      <c r="C39" s="74" t="s">
        <v>2881</v>
      </c>
      <c r="D39" s="74" t="s">
        <v>2892</v>
      </c>
      <c r="E39" s="74" t="s">
        <v>2893</v>
      </c>
      <c r="F39" s="74" t="s">
        <v>2901</v>
      </c>
      <c r="G39" s="74" t="s">
        <v>2920</v>
      </c>
      <c r="H39" s="75" t="s">
        <v>676</v>
      </c>
      <c r="I39" s="75" t="s">
        <v>676</v>
      </c>
      <c r="J39" s="74" t="s">
        <v>2921</v>
      </c>
      <c r="K39" s="74" t="s">
        <v>2922</v>
      </c>
      <c r="L39" s="75">
        <v>1</v>
      </c>
      <c r="M39" s="75">
        <v>0</v>
      </c>
      <c r="N39" s="74" t="s">
        <v>364</v>
      </c>
      <c r="O39" s="74" t="s">
        <v>365</v>
      </c>
      <c r="P39" s="75" t="s">
        <v>676</v>
      </c>
      <c r="Q39" s="75" t="s">
        <v>2720</v>
      </c>
    </row>
    <row r="40" spans="1:17" ht="90" x14ac:dyDescent="0.25">
      <c r="A40" s="74">
        <v>22</v>
      </c>
      <c r="B40" s="74" t="s">
        <v>2923</v>
      </c>
      <c r="C40" s="74" t="s">
        <v>2924</v>
      </c>
      <c r="D40" s="74" t="s">
        <v>2925</v>
      </c>
      <c r="E40" s="74" t="s">
        <v>2926</v>
      </c>
      <c r="F40" s="74" t="s">
        <v>2927</v>
      </c>
      <c r="G40" s="74" t="s">
        <v>2928</v>
      </c>
      <c r="H40" s="75" t="s">
        <v>1149</v>
      </c>
      <c r="I40" s="75" t="s">
        <v>2720</v>
      </c>
      <c r="J40" s="74" t="s">
        <v>2929</v>
      </c>
      <c r="K40" s="74" t="s">
        <v>2930</v>
      </c>
      <c r="L40" s="75">
        <v>2</v>
      </c>
      <c r="M40" s="75">
        <v>0</v>
      </c>
      <c r="N40" s="74" t="s">
        <v>42</v>
      </c>
      <c r="O40" s="74" t="s">
        <v>43</v>
      </c>
      <c r="P40" s="75" t="s">
        <v>1149</v>
      </c>
      <c r="Q40" s="75" t="s">
        <v>2931</v>
      </c>
    </row>
    <row r="41" spans="1:17" ht="90" x14ac:dyDescent="0.25">
      <c r="A41" s="74">
        <v>23</v>
      </c>
      <c r="B41" s="74" t="s">
        <v>2923</v>
      </c>
      <c r="C41" s="74" t="s">
        <v>2924</v>
      </c>
      <c r="D41" s="74" t="s">
        <v>2925</v>
      </c>
      <c r="E41" s="74" t="s">
        <v>2926</v>
      </c>
      <c r="F41" s="74" t="s">
        <v>2927</v>
      </c>
      <c r="G41" s="74" t="s">
        <v>2932</v>
      </c>
      <c r="H41" s="75">
        <v>0</v>
      </c>
      <c r="I41" s="75">
        <v>0</v>
      </c>
      <c r="J41" s="74" t="s">
        <v>2933</v>
      </c>
      <c r="K41" s="74" t="s">
        <v>2934</v>
      </c>
      <c r="L41" s="75">
        <v>0</v>
      </c>
      <c r="M41" s="75">
        <v>0</v>
      </c>
      <c r="N41" s="74" t="s">
        <v>54</v>
      </c>
      <c r="O41" s="74" t="s">
        <v>55</v>
      </c>
      <c r="P41" s="75">
        <v>0</v>
      </c>
      <c r="Q41" s="75" t="s">
        <v>820</v>
      </c>
    </row>
    <row r="42" spans="1:17" ht="90" x14ac:dyDescent="0.25">
      <c r="A42" s="74">
        <v>24</v>
      </c>
      <c r="B42" s="74" t="s">
        <v>2923</v>
      </c>
      <c r="C42" s="74" t="s">
        <v>2924</v>
      </c>
      <c r="D42" s="74" t="s">
        <v>2925</v>
      </c>
      <c r="E42" s="74" t="s">
        <v>2926</v>
      </c>
      <c r="F42" s="74" t="s">
        <v>2935</v>
      </c>
      <c r="G42" s="74" t="s">
        <v>2936</v>
      </c>
      <c r="H42" s="75" t="s">
        <v>883</v>
      </c>
      <c r="I42" s="75" t="s">
        <v>883</v>
      </c>
      <c r="J42" s="74" t="s">
        <v>2937</v>
      </c>
      <c r="K42" s="74" t="s">
        <v>2938</v>
      </c>
      <c r="L42" s="75">
        <v>2</v>
      </c>
      <c r="M42" s="75">
        <v>0</v>
      </c>
      <c r="N42" s="74" t="s">
        <v>48</v>
      </c>
      <c r="O42" s="74" t="s">
        <v>49</v>
      </c>
      <c r="P42" s="75" t="s">
        <v>883</v>
      </c>
      <c r="Q42" s="75" t="s">
        <v>678</v>
      </c>
    </row>
    <row r="43" spans="1:17" ht="90" x14ac:dyDescent="0.25">
      <c r="A43" s="74">
        <v>25</v>
      </c>
      <c r="B43" s="74" t="s">
        <v>2923</v>
      </c>
      <c r="C43" s="74" t="s">
        <v>2924</v>
      </c>
      <c r="D43" s="74" t="s">
        <v>2925</v>
      </c>
      <c r="E43" s="74" t="s">
        <v>2926</v>
      </c>
      <c r="F43" s="74" t="s">
        <v>2939</v>
      </c>
      <c r="G43" s="74" t="s">
        <v>359</v>
      </c>
      <c r="H43" s="75" t="s">
        <v>681</v>
      </c>
      <c r="I43" s="75" t="s">
        <v>681</v>
      </c>
      <c r="J43" s="74" t="s">
        <v>2940</v>
      </c>
      <c r="K43" s="74" t="s">
        <v>2941</v>
      </c>
      <c r="L43" s="75">
        <v>1</v>
      </c>
      <c r="M43" s="75">
        <v>0</v>
      </c>
      <c r="N43" s="74" t="s">
        <v>358</v>
      </c>
      <c r="O43" s="74" t="s">
        <v>359</v>
      </c>
      <c r="P43" s="75" t="s">
        <v>883</v>
      </c>
      <c r="Q43" s="75" t="s">
        <v>2942</v>
      </c>
    </row>
    <row r="44" spans="1:17" ht="75" x14ac:dyDescent="0.25">
      <c r="A44" s="74">
        <v>26</v>
      </c>
      <c r="B44" s="74" t="s">
        <v>2923</v>
      </c>
      <c r="C44" s="74" t="s">
        <v>2924</v>
      </c>
      <c r="D44" s="74" t="s">
        <v>2943</v>
      </c>
      <c r="E44" s="74" t="s">
        <v>2944</v>
      </c>
      <c r="F44" s="74" t="s">
        <v>2945</v>
      </c>
      <c r="G44" s="74" t="s">
        <v>2946</v>
      </c>
      <c r="H44" s="75" t="s">
        <v>2947</v>
      </c>
      <c r="I44" s="75" t="s">
        <v>2947</v>
      </c>
      <c r="J44" s="74" t="s">
        <v>2948</v>
      </c>
      <c r="K44" s="74" t="s">
        <v>2949</v>
      </c>
      <c r="L44" s="75">
        <v>3</v>
      </c>
      <c r="M44" s="75">
        <v>0</v>
      </c>
      <c r="N44" s="74" t="s">
        <v>63</v>
      </c>
      <c r="O44" s="74" t="s">
        <v>64</v>
      </c>
      <c r="P44" s="75" t="s">
        <v>2947</v>
      </c>
      <c r="Q44" s="75" t="s">
        <v>2950</v>
      </c>
    </row>
    <row r="45" spans="1:17" ht="60" x14ac:dyDescent="0.25">
      <c r="A45" s="74">
        <v>27</v>
      </c>
      <c r="B45" s="74" t="s">
        <v>2923</v>
      </c>
      <c r="C45" s="74" t="s">
        <v>2924</v>
      </c>
      <c r="D45" s="74" t="s">
        <v>2943</v>
      </c>
      <c r="E45" s="74" t="s">
        <v>2944</v>
      </c>
      <c r="F45" s="74" t="s">
        <v>2945</v>
      </c>
      <c r="G45" s="74" t="s">
        <v>2951</v>
      </c>
      <c r="H45" s="75" t="s">
        <v>2600</v>
      </c>
      <c r="I45" s="75" t="s">
        <v>2600</v>
      </c>
      <c r="J45" s="74" t="s">
        <v>2952</v>
      </c>
      <c r="K45" s="74" t="s">
        <v>2953</v>
      </c>
      <c r="L45" s="75">
        <v>1</v>
      </c>
      <c r="M45" s="75">
        <v>0</v>
      </c>
      <c r="N45" s="74" t="s">
        <v>61</v>
      </c>
      <c r="O45" s="74" t="s">
        <v>62</v>
      </c>
      <c r="P45" s="75" t="s">
        <v>2600</v>
      </c>
      <c r="Q45" s="75" t="s">
        <v>2600</v>
      </c>
    </row>
    <row r="46" spans="1:17" ht="75" x14ac:dyDescent="0.25">
      <c r="A46" s="74">
        <v>28</v>
      </c>
      <c r="B46" s="74" t="s">
        <v>2923</v>
      </c>
      <c r="C46" s="74" t="s">
        <v>2924</v>
      </c>
      <c r="D46" s="74" t="s">
        <v>2943</v>
      </c>
      <c r="E46" s="74" t="s">
        <v>2944</v>
      </c>
      <c r="F46" s="74" t="s">
        <v>2945</v>
      </c>
      <c r="G46" s="74" t="s">
        <v>2954</v>
      </c>
      <c r="H46" s="75" t="s">
        <v>2592</v>
      </c>
      <c r="I46" s="75" t="s">
        <v>2592</v>
      </c>
      <c r="J46" s="74" t="s">
        <v>2955</v>
      </c>
      <c r="K46" s="74" t="s">
        <v>2956</v>
      </c>
      <c r="L46" s="75">
        <v>1</v>
      </c>
      <c r="M46" s="75">
        <v>0</v>
      </c>
      <c r="N46" s="74" t="s">
        <v>59</v>
      </c>
      <c r="O46" s="74" t="s">
        <v>60</v>
      </c>
      <c r="P46" s="75" t="s">
        <v>2592</v>
      </c>
      <c r="Q46" s="75" t="s">
        <v>2592</v>
      </c>
    </row>
    <row r="47" spans="1:17" ht="60" x14ac:dyDescent="0.25">
      <c r="A47" s="74">
        <v>29</v>
      </c>
      <c r="B47" s="74" t="s">
        <v>2923</v>
      </c>
      <c r="C47" s="74" t="s">
        <v>2924</v>
      </c>
      <c r="D47" s="74" t="s">
        <v>2943</v>
      </c>
      <c r="E47" s="74" t="s">
        <v>2944</v>
      </c>
      <c r="F47" s="74" t="s">
        <v>2957</v>
      </c>
      <c r="G47" s="74" t="s">
        <v>2958</v>
      </c>
      <c r="H47" s="75" t="s">
        <v>1149</v>
      </c>
      <c r="I47" s="75" t="s">
        <v>1149</v>
      </c>
      <c r="J47" s="74" t="s">
        <v>2959</v>
      </c>
      <c r="K47" s="74" t="s">
        <v>2960</v>
      </c>
      <c r="L47" s="75">
        <v>0</v>
      </c>
      <c r="M47" s="75">
        <v>0</v>
      </c>
      <c r="N47" s="74" t="s">
        <v>381</v>
      </c>
      <c r="O47" s="74" t="s">
        <v>382</v>
      </c>
      <c r="P47" s="75" t="s">
        <v>1149</v>
      </c>
      <c r="Q47" s="75" t="s">
        <v>1149</v>
      </c>
    </row>
    <row r="48" spans="1:17" ht="90" x14ac:dyDescent="0.25">
      <c r="A48" s="1533">
        <v>30</v>
      </c>
      <c r="B48" s="1533" t="s">
        <v>2923</v>
      </c>
      <c r="C48" s="1533" t="s">
        <v>2924</v>
      </c>
      <c r="D48" s="1533" t="s">
        <v>2943</v>
      </c>
      <c r="E48" s="1533" t="s">
        <v>2944</v>
      </c>
      <c r="F48" s="1533" t="s">
        <v>2961</v>
      </c>
      <c r="G48" s="1533" t="s">
        <v>2962</v>
      </c>
      <c r="H48" s="1521" t="s">
        <v>2963</v>
      </c>
      <c r="I48" s="1521" t="s">
        <v>2963</v>
      </c>
      <c r="J48" s="74" t="s">
        <v>2964</v>
      </c>
      <c r="K48" s="74" t="s">
        <v>2965</v>
      </c>
      <c r="L48" s="75">
        <v>9</v>
      </c>
      <c r="M48" s="75">
        <v>0</v>
      </c>
      <c r="N48" s="74" t="s">
        <v>179</v>
      </c>
      <c r="O48" s="74" t="s">
        <v>135</v>
      </c>
      <c r="P48" s="75" t="s">
        <v>2966</v>
      </c>
      <c r="Q48" s="75" t="s">
        <v>2967</v>
      </c>
    </row>
    <row r="49" spans="1:17" ht="90" x14ac:dyDescent="0.25">
      <c r="A49" s="1534"/>
      <c r="B49" s="1534"/>
      <c r="C49" s="1534"/>
      <c r="D49" s="1534"/>
      <c r="E49" s="1534"/>
      <c r="F49" s="1534"/>
      <c r="G49" s="1534"/>
      <c r="H49" s="1522"/>
      <c r="I49" s="1522"/>
      <c r="J49" s="76"/>
      <c r="K49" s="77"/>
      <c r="L49" s="77"/>
      <c r="M49" s="78"/>
      <c r="N49" s="74" t="s">
        <v>153</v>
      </c>
      <c r="O49" s="74" t="s">
        <v>135</v>
      </c>
      <c r="P49" s="75" t="s">
        <v>1295</v>
      </c>
      <c r="Q49" s="75" t="s">
        <v>2968</v>
      </c>
    </row>
    <row r="50" spans="1:17" ht="90" x14ac:dyDescent="0.25">
      <c r="A50" s="1534"/>
      <c r="B50" s="1534"/>
      <c r="C50" s="1534"/>
      <c r="D50" s="1534"/>
      <c r="E50" s="1534"/>
      <c r="F50" s="1534"/>
      <c r="G50" s="1534"/>
      <c r="H50" s="1522"/>
      <c r="I50" s="1522"/>
      <c r="J50" s="76"/>
      <c r="K50" s="77"/>
      <c r="L50" s="77"/>
      <c r="M50" s="78"/>
      <c r="N50" s="74" t="s">
        <v>141</v>
      </c>
      <c r="O50" s="74" t="s">
        <v>135</v>
      </c>
      <c r="P50" s="75" t="s">
        <v>680</v>
      </c>
      <c r="Q50" s="75" t="s">
        <v>2969</v>
      </c>
    </row>
    <row r="51" spans="1:17" ht="90" x14ac:dyDescent="0.25">
      <c r="A51" s="1534"/>
      <c r="B51" s="1534"/>
      <c r="C51" s="1534"/>
      <c r="D51" s="1534"/>
      <c r="E51" s="1534"/>
      <c r="F51" s="1534"/>
      <c r="G51" s="1534"/>
      <c r="H51" s="1522"/>
      <c r="I51" s="1522"/>
      <c r="J51" s="76"/>
      <c r="K51" s="77"/>
      <c r="L51" s="77"/>
      <c r="M51" s="78"/>
      <c r="N51" s="74" t="s">
        <v>187</v>
      </c>
      <c r="O51" s="74" t="s">
        <v>135</v>
      </c>
      <c r="P51" s="75" t="s">
        <v>705</v>
      </c>
      <c r="Q51" s="75" t="s">
        <v>2970</v>
      </c>
    </row>
    <row r="52" spans="1:17" ht="90" x14ac:dyDescent="0.25">
      <c r="A52" s="1534"/>
      <c r="B52" s="1534"/>
      <c r="C52" s="1534"/>
      <c r="D52" s="1534"/>
      <c r="E52" s="1534"/>
      <c r="F52" s="1534"/>
      <c r="G52" s="1534"/>
      <c r="H52" s="1522"/>
      <c r="I52" s="1522"/>
      <c r="J52" s="76"/>
      <c r="K52" s="77"/>
      <c r="L52" s="77"/>
      <c r="M52" s="78"/>
      <c r="N52" s="74" t="s">
        <v>163</v>
      </c>
      <c r="O52" s="74" t="s">
        <v>135</v>
      </c>
      <c r="P52" s="75" t="s">
        <v>707</v>
      </c>
      <c r="Q52" s="75" t="s">
        <v>681</v>
      </c>
    </row>
    <row r="53" spans="1:17" ht="90" x14ac:dyDescent="0.25">
      <c r="A53" s="1534"/>
      <c r="B53" s="1534"/>
      <c r="C53" s="1534"/>
      <c r="D53" s="1534"/>
      <c r="E53" s="1534"/>
      <c r="F53" s="1534"/>
      <c r="G53" s="1534"/>
      <c r="H53" s="1522"/>
      <c r="I53" s="1522"/>
      <c r="J53" s="76"/>
      <c r="K53" s="77"/>
      <c r="L53" s="77"/>
      <c r="M53" s="78"/>
      <c r="N53" s="74" t="s">
        <v>134</v>
      </c>
      <c r="O53" s="74" t="s">
        <v>135</v>
      </c>
      <c r="P53" s="75" t="s">
        <v>2971</v>
      </c>
      <c r="Q53" s="75" t="s">
        <v>2972</v>
      </c>
    </row>
    <row r="54" spans="1:17" ht="90" x14ac:dyDescent="0.25">
      <c r="A54" s="1535"/>
      <c r="B54" s="1535"/>
      <c r="C54" s="1535"/>
      <c r="D54" s="1535"/>
      <c r="E54" s="1535"/>
      <c r="F54" s="1535"/>
      <c r="G54" s="1535"/>
      <c r="H54" s="1523"/>
      <c r="I54" s="1523"/>
      <c r="J54" s="79"/>
      <c r="K54" s="80"/>
      <c r="L54" s="80"/>
      <c r="M54" s="81"/>
      <c r="N54" s="74" t="s">
        <v>171</v>
      </c>
      <c r="O54" s="74" t="s">
        <v>135</v>
      </c>
      <c r="P54" s="75" t="s">
        <v>2639</v>
      </c>
      <c r="Q54" s="75" t="s">
        <v>686</v>
      </c>
    </row>
    <row r="55" spans="1:17" ht="90" x14ac:dyDescent="0.25">
      <c r="A55" s="74">
        <v>31</v>
      </c>
      <c r="B55" s="74" t="s">
        <v>2923</v>
      </c>
      <c r="C55" s="74" t="s">
        <v>2924</v>
      </c>
      <c r="D55" s="74" t="s">
        <v>2943</v>
      </c>
      <c r="E55" s="74" t="s">
        <v>2944</v>
      </c>
      <c r="F55" s="74" t="s">
        <v>2973</v>
      </c>
      <c r="G55" s="74" t="s">
        <v>2974</v>
      </c>
      <c r="H55" s="75" t="s">
        <v>710</v>
      </c>
      <c r="I55" s="75" t="s">
        <v>710</v>
      </c>
      <c r="J55" s="74" t="s">
        <v>2975</v>
      </c>
      <c r="K55" s="74" t="s">
        <v>2976</v>
      </c>
      <c r="L55" s="75">
        <v>1</v>
      </c>
      <c r="M55" s="75">
        <v>0</v>
      </c>
      <c r="N55" s="74" t="s">
        <v>383</v>
      </c>
      <c r="O55" s="74" t="s">
        <v>384</v>
      </c>
      <c r="P55" s="75" t="s">
        <v>710</v>
      </c>
      <c r="Q55" s="75" t="s">
        <v>710</v>
      </c>
    </row>
    <row r="56" spans="1:17" ht="75" x14ac:dyDescent="0.25">
      <c r="A56" s="74">
        <v>32</v>
      </c>
      <c r="B56" s="74" t="s">
        <v>2923</v>
      </c>
      <c r="C56" s="74" t="s">
        <v>2924</v>
      </c>
      <c r="D56" s="74" t="s">
        <v>2943</v>
      </c>
      <c r="E56" s="74" t="s">
        <v>2944</v>
      </c>
      <c r="F56" s="74" t="s">
        <v>2973</v>
      </c>
      <c r="G56" s="74" t="s">
        <v>2977</v>
      </c>
      <c r="H56" s="75" t="s">
        <v>2595</v>
      </c>
      <c r="I56" s="75" t="s">
        <v>2595</v>
      </c>
      <c r="J56" s="74" t="s">
        <v>2978</v>
      </c>
      <c r="K56" s="74" t="s">
        <v>2979</v>
      </c>
      <c r="L56" s="75">
        <v>1</v>
      </c>
      <c r="M56" s="75">
        <v>0</v>
      </c>
      <c r="N56" s="74" t="s">
        <v>65</v>
      </c>
      <c r="O56" s="74" t="s">
        <v>66</v>
      </c>
      <c r="P56" s="75" t="s">
        <v>2595</v>
      </c>
      <c r="Q56" s="75" t="s">
        <v>2595</v>
      </c>
    </row>
    <row r="57" spans="1:17" ht="45" x14ac:dyDescent="0.25">
      <c r="A57" s="74">
        <v>33</v>
      </c>
      <c r="B57" s="74" t="s">
        <v>2923</v>
      </c>
      <c r="C57" s="74" t="s">
        <v>2924</v>
      </c>
      <c r="D57" s="74" t="s">
        <v>2943</v>
      </c>
      <c r="E57" s="74" t="s">
        <v>2944</v>
      </c>
      <c r="F57" s="74" t="s">
        <v>2980</v>
      </c>
      <c r="G57" s="74" t="s">
        <v>2981</v>
      </c>
      <c r="H57" s="75" t="s">
        <v>999</v>
      </c>
      <c r="I57" s="75" t="s">
        <v>999</v>
      </c>
      <c r="J57" s="74" t="s">
        <v>2982</v>
      </c>
      <c r="K57" s="74" t="s">
        <v>2983</v>
      </c>
      <c r="L57" s="75">
        <v>1</v>
      </c>
      <c r="M57" s="75">
        <v>0</v>
      </c>
      <c r="N57" s="74" t="s">
        <v>385</v>
      </c>
      <c r="O57" s="74" t="s">
        <v>386</v>
      </c>
      <c r="P57" s="75" t="s">
        <v>999</v>
      </c>
      <c r="Q57" s="75" t="s">
        <v>999</v>
      </c>
    </row>
    <row r="58" spans="1:17" ht="60" x14ac:dyDescent="0.25">
      <c r="A58" s="74">
        <v>34</v>
      </c>
      <c r="B58" s="74" t="s">
        <v>2923</v>
      </c>
      <c r="C58" s="74" t="s">
        <v>2924</v>
      </c>
      <c r="D58" s="74" t="s">
        <v>2943</v>
      </c>
      <c r="E58" s="74" t="s">
        <v>2944</v>
      </c>
      <c r="F58" s="74" t="s">
        <v>2984</v>
      </c>
      <c r="G58" s="74" t="s">
        <v>2985</v>
      </c>
      <c r="H58" s="75" t="s">
        <v>883</v>
      </c>
      <c r="I58" s="75" t="s">
        <v>883</v>
      </c>
      <c r="J58" s="74" t="s">
        <v>2986</v>
      </c>
      <c r="K58" s="74" t="s">
        <v>2987</v>
      </c>
      <c r="L58" s="75">
        <v>0</v>
      </c>
      <c r="M58" s="75">
        <v>0</v>
      </c>
      <c r="N58" s="74" t="s">
        <v>387</v>
      </c>
      <c r="O58" s="74" t="s">
        <v>388</v>
      </c>
      <c r="P58" s="75" t="s">
        <v>883</v>
      </c>
      <c r="Q58" s="75" t="s">
        <v>883</v>
      </c>
    </row>
    <row r="59" spans="1:17" ht="120" x14ac:dyDescent="0.25">
      <c r="A59" s="1533">
        <v>35</v>
      </c>
      <c r="B59" s="1533" t="s">
        <v>2923</v>
      </c>
      <c r="C59" s="1533" t="s">
        <v>2924</v>
      </c>
      <c r="D59" s="1533" t="s">
        <v>2943</v>
      </c>
      <c r="E59" s="1533" t="s">
        <v>2944</v>
      </c>
      <c r="F59" s="1533" t="s">
        <v>2988</v>
      </c>
      <c r="G59" s="1533" t="s">
        <v>2989</v>
      </c>
      <c r="H59" s="1521" t="s">
        <v>2600</v>
      </c>
      <c r="I59" s="1521" t="s">
        <v>2600</v>
      </c>
      <c r="J59" s="74" t="s">
        <v>2990</v>
      </c>
      <c r="K59" s="74" t="s">
        <v>2991</v>
      </c>
      <c r="L59" s="75">
        <v>5</v>
      </c>
      <c r="M59" s="75">
        <v>0</v>
      </c>
      <c r="N59" s="74" t="s">
        <v>379</v>
      </c>
      <c r="O59" s="74" t="s">
        <v>380</v>
      </c>
      <c r="P59" s="75" t="s">
        <v>1149</v>
      </c>
      <c r="Q59" s="75" t="s">
        <v>1149</v>
      </c>
    </row>
    <row r="60" spans="1:17" ht="45" x14ac:dyDescent="0.25">
      <c r="A60" s="1534"/>
      <c r="B60" s="1534"/>
      <c r="C60" s="1534"/>
      <c r="D60" s="1534"/>
      <c r="E60" s="1534"/>
      <c r="F60" s="1534"/>
      <c r="G60" s="1534"/>
      <c r="H60" s="1522"/>
      <c r="I60" s="1522"/>
      <c r="J60" s="76"/>
      <c r="K60" s="77"/>
      <c r="L60" s="77"/>
      <c r="M60" s="78"/>
      <c r="N60" s="74" t="s">
        <v>393</v>
      </c>
      <c r="O60" s="74" t="s">
        <v>394</v>
      </c>
      <c r="P60" s="75" t="s">
        <v>1149</v>
      </c>
      <c r="Q60" s="75" t="s">
        <v>1149</v>
      </c>
    </row>
    <row r="61" spans="1:17" ht="30" x14ac:dyDescent="0.25">
      <c r="A61" s="1535"/>
      <c r="B61" s="1535"/>
      <c r="C61" s="1535"/>
      <c r="D61" s="1535"/>
      <c r="E61" s="1535"/>
      <c r="F61" s="1535"/>
      <c r="G61" s="1535"/>
      <c r="H61" s="1523"/>
      <c r="I61" s="1523"/>
      <c r="J61" s="79"/>
      <c r="K61" s="80"/>
      <c r="L61" s="80"/>
      <c r="M61" s="81"/>
      <c r="N61" s="74" t="s">
        <v>391</v>
      </c>
      <c r="O61" s="74" t="s">
        <v>392</v>
      </c>
      <c r="P61" s="75" t="s">
        <v>712</v>
      </c>
      <c r="Q61" s="75" t="s">
        <v>712</v>
      </c>
    </row>
    <row r="62" spans="1:17" ht="75" x14ac:dyDescent="0.25">
      <c r="A62" s="74">
        <v>36</v>
      </c>
      <c r="B62" s="74" t="s">
        <v>2923</v>
      </c>
      <c r="C62" s="74" t="s">
        <v>2924</v>
      </c>
      <c r="D62" s="74" t="s">
        <v>2992</v>
      </c>
      <c r="E62" s="74" t="s">
        <v>2993</v>
      </c>
      <c r="F62" s="74" t="s">
        <v>2994</v>
      </c>
      <c r="G62" s="74" t="s">
        <v>2995</v>
      </c>
      <c r="H62" s="75" t="s">
        <v>705</v>
      </c>
      <c r="I62" s="75" t="s">
        <v>705</v>
      </c>
      <c r="J62" s="74" t="s">
        <v>2996</v>
      </c>
      <c r="K62" s="74" t="s">
        <v>2997</v>
      </c>
      <c r="L62" s="75">
        <v>4</v>
      </c>
      <c r="M62" s="75">
        <v>0</v>
      </c>
      <c r="N62" s="74" t="s">
        <v>241</v>
      </c>
      <c r="O62" s="74" t="s">
        <v>242</v>
      </c>
      <c r="P62" s="75" t="s">
        <v>705</v>
      </c>
      <c r="Q62" s="75" t="s">
        <v>2998</v>
      </c>
    </row>
    <row r="63" spans="1:17" ht="60" x14ac:dyDescent="0.25">
      <c r="A63" s="74">
        <v>37</v>
      </c>
      <c r="B63" s="74" t="s">
        <v>2923</v>
      </c>
      <c r="C63" s="74" t="s">
        <v>2924</v>
      </c>
      <c r="D63" s="74" t="s">
        <v>2992</v>
      </c>
      <c r="E63" s="74" t="s">
        <v>2993</v>
      </c>
      <c r="F63" s="74" t="s">
        <v>2999</v>
      </c>
      <c r="G63" s="74" t="s">
        <v>3000</v>
      </c>
      <c r="H63" s="75" t="s">
        <v>747</v>
      </c>
      <c r="I63" s="75" t="s">
        <v>747</v>
      </c>
      <c r="J63" s="74" t="s">
        <v>3001</v>
      </c>
      <c r="K63" s="74" t="s">
        <v>3002</v>
      </c>
      <c r="L63" s="75">
        <v>0</v>
      </c>
      <c r="M63" s="75">
        <v>0</v>
      </c>
      <c r="N63" s="74" t="s">
        <v>366</v>
      </c>
      <c r="O63" s="74" t="s">
        <v>367</v>
      </c>
      <c r="P63" s="75" t="s">
        <v>747</v>
      </c>
      <c r="Q63" s="75" t="s">
        <v>710</v>
      </c>
    </row>
    <row r="64" spans="1:17" ht="60" x14ac:dyDescent="0.25">
      <c r="A64" s="74">
        <v>38</v>
      </c>
      <c r="B64" s="74" t="s">
        <v>2923</v>
      </c>
      <c r="C64" s="74" t="s">
        <v>2924</v>
      </c>
      <c r="D64" s="74" t="s">
        <v>3003</v>
      </c>
      <c r="E64" s="74" t="s">
        <v>3004</v>
      </c>
      <c r="F64" s="74" t="s">
        <v>3005</v>
      </c>
      <c r="G64" s="74" t="s">
        <v>3006</v>
      </c>
      <c r="H64" s="75" t="s">
        <v>883</v>
      </c>
      <c r="I64" s="75" t="s">
        <v>883</v>
      </c>
      <c r="J64" s="74" t="s">
        <v>3007</v>
      </c>
      <c r="K64" s="74" t="s">
        <v>3008</v>
      </c>
      <c r="L64" s="75">
        <v>2</v>
      </c>
      <c r="M64" s="75">
        <v>0</v>
      </c>
      <c r="N64" s="74" t="s">
        <v>368</v>
      </c>
      <c r="O64" s="74" t="s">
        <v>369</v>
      </c>
      <c r="P64" s="75" t="s">
        <v>883</v>
      </c>
      <c r="Q64" s="75" t="s">
        <v>2600</v>
      </c>
    </row>
    <row r="65" spans="1:17" ht="60" x14ac:dyDescent="0.25">
      <c r="A65" s="74">
        <v>39</v>
      </c>
      <c r="B65" s="74" t="s">
        <v>2923</v>
      </c>
      <c r="C65" s="74" t="s">
        <v>2924</v>
      </c>
      <c r="D65" s="74" t="s">
        <v>3003</v>
      </c>
      <c r="E65" s="74" t="s">
        <v>3004</v>
      </c>
      <c r="F65" s="74" t="s">
        <v>3009</v>
      </c>
      <c r="G65" s="74" t="s">
        <v>3010</v>
      </c>
      <c r="H65" s="75" t="s">
        <v>2553</v>
      </c>
      <c r="I65" s="75" t="s">
        <v>2553</v>
      </c>
      <c r="J65" s="74" t="s">
        <v>3011</v>
      </c>
      <c r="K65" s="74" t="s">
        <v>3012</v>
      </c>
      <c r="L65" s="75">
        <v>20</v>
      </c>
      <c r="M65" s="75">
        <v>0</v>
      </c>
      <c r="N65" s="74" t="s">
        <v>356</v>
      </c>
      <c r="O65" s="74" t="s">
        <v>357</v>
      </c>
      <c r="P65" s="75" t="s">
        <v>2553</v>
      </c>
      <c r="Q65" s="75" t="s">
        <v>3013</v>
      </c>
    </row>
    <row r="66" spans="1:17" ht="105" x14ac:dyDescent="0.25">
      <c r="A66" s="74">
        <v>40</v>
      </c>
      <c r="B66" s="74" t="s">
        <v>2923</v>
      </c>
      <c r="C66" s="74" t="s">
        <v>2924</v>
      </c>
      <c r="D66" s="74" t="s">
        <v>3003</v>
      </c>
      <c r="E66" s="74" t="s">
        <v>3004</v>
      </c>
      <c r="F66" s="74" t="s">
        <v>3014</v>
      </c>
      <c r="G66" s="74" t="s">
        <v>3015</v>
      </c>
      <c r="H66" s="75" t="s">
        <v>680</v>
      </c>
      <c r="I66" s="75" t="s">
        <v>680</v>
      </c>
      <c r="J66" s="74" t="s">
        <v>3016</v>
      </c>
      <c r="K66" s="74" t="s">
        <v>3017</v>
      </c>
      <c r="L66" s="75">
        <v>20</v>
      </c>
      <c r="M66" s="75">
        <v>0</v>
      </c>
      <c r="N66" s="74" t="s">
        <v>16</v>
      </c>
      <c r="O66" s="74" t="s">
        <v>17</v>
      </c>
      <c r="P66" s="75" t="s">
        <v>680</v>
      </c>
      <c r="Q66" s="75" t="s">
        <v>680</v>
      </c>
    </row>
    <row r="67" spans="1:17" ht="105" x14ac:dyDescent="0.25">
      <c r="A67" s="74">
        <v>41</v>
      </c>
      <c r="B67" s="74" t="s">
        <v>2923</v>
      </c>
      <c r="C67" s="74" t="s">
        <v>2924</v>
      </c>
      <c r="D67" s="74" t="s">
        <v>3003</v>
      </c>
      <c r="E67" s="74" t="s">
        <v>3004</v>
      </c>
      <c r="F67" s="74" t="s">
        <v>3018</v>
      </c>
      <c r="G67" s="74" t="s">
        <v>3019</v>
      </c>
      <c r="H67" s="75" t="s">
        <v>726</v>
      </c>
      <c r="I67" s="75" t="s">
        <v>680</v>
      </c>
      <c r="J67" s="74" t="s">
        <v>3020</v>
      </c>
      <c r="K67" s="74" t="s">
        <v>3021</v>
      </c>
      <c r="L67" s="75">
        <v>2</v>
      </c>
      <c r="M67" s="75">
        <v>0</v>
      </c>
      <c r="N67" s="74" t="s">
        <v>46</v>
      </c>
      <c r="O67" s="74" t="s">
        <v>47</v>
      </c>
      <c r="P67" s="75" t="s">
        <v>680</v>
      </c>
      <c r="Q67" s="75" t="s">
        <v>2714</v>
      </c>
    </row>
    <row r="68" spans="1:17" ht="105" x14ac:dyDescent="0.25">
      <c r="A68" s="74">
        <v>42</v>
      </c>
      <c r="B68" s="74" t="s">
        <v>2923</v>
      </c>
      <c r="C68" s="74" t="s">
        <v>2924</v>
      </c>
      <c r="D68" s="74" t="s">
        <v>3003</v>
      </c>
      <c r="E68" s="74" t="s">
        <v>3004</v>
      </c>
      <c r="F68" s="74" t="s">
        <v>3018</v>
      </c>
      <c r="G68" s="74" t="s">
        <v>3022</v>
      </c>
      <c r="H68" s="75" t="s">
        <v>1183</v>
      </c>
      <c r="I68" s="75" t="s">
        <v>1183</v>
      </c>
      <c r="J68" s="74" t="s">
        <v>3023</v>
      </c>
      <c r="K68" s="74" t="s">
        <v>3024</v>
      </c>
      <c r="L68" s="75">
        <v>2</v>
      </c>
      <c r="M68" s="75">
        <v>0</v>
      </c>
      <c r="N68" s="74" t="s">
        <v>52</v>
      </c>
      <c r="O68" s="74" t="s">
        <v>53</v>
      </c>
      <c r="P68" s="75" t="s">
        <v>1183</v>
      </c>
      <c r="Q68" s="75" t="s">
        <v>3025</v>
      </c>
    </row>
    <row r="69" spans="1:17" ht="105" x14ac:dyDescent="0.25">
      <c r="A69" s="74">
        <v>43</v>
      </c>
      <c r="B69" s="74" t="s">
        <v>2923</v>
      </c>
      <c r="C69" s="74" t="s">
        <v>2924</v>
      </c>
      <c r="D69" s="74" t="s">
        <v>3003</v>
      </c>
      <c r="E69" s="74" t="s">
        <v>3004</v>
      </c>
      <c r="F69" s="74" t="s">
        <v>3018</v>
      </c>
      <c r="G69" s="74" t="s">
        <v>3026</v>
      </c>
      <c r="H69" s="75" t="s">
        <v>2714</v>
      </c>
      <c r="I69" s="75" t="s">
        <v>2714</v>
      </c>
      <c r="J69" s="74" t="s">
        <v>3027</v>
      </c>
      <c r="K69" s="74" t="s">
        <v>3028</v>
      </c>
      <c r="L69" s="75">
        <v>7</v>
      </c>
      <c r="M69" s="75">
        <v>0</v>
      </c>
      <c r="N69" s="74" t="s">
        <v>370</v>
      </c>
      <c r="O69" s="74" t="s">
        <v>371</v>
      </c>
      <c r="P69" s="75" t="s">
        <v>2714</v>
      </c>
      <c r="Q69" s="75" t="s">
        <v>3029</v>
      </c>
    </row>
    <row r="70" spans="1:17" ht="60" x14ac:dyDescent="0.25">
      <c r="A70" s="1533">
        <v>44</v>
      </c>
      <c r="B70" s="1533" t="s">
        <v>2923</v>
      </c>
      <c r="C70" s="1533" t="s">
        <v>2924</v>
      </c>
      <c r="D70" s="1533" t="s">
        <v>3030</v>
      </c>
      <c r="E70" s="1533" t="s">
        <v>3031</v>
      </c>
      <c r="F70" s="1533" t="s">
        <v>3032</v>
      </c>
      <c r="G70" s="1533" t="s">
        <v>3033</v>
      </c>
      <c r="H70" s="1521" t="s">
        <v>3034</v>
      </c>
      <c r="I70" s="1521" t="s">
        <v>3034</v>
      </c>
      <c r="J70" s="74" t="s">
        <v>3035</v>
      </c>
      <c r="K70" s="74" t="s">
        <v>3036</v>
      </c>
      <c r="L70" s="75">
        <v>15.2</v>
      </c>
      <c r="M70" s="75">
        <v>0</v>
      </c>
      <c r="N70" s="74" t="s">
        <v>232</v>
      </c>
      <c r="O70" s="74" t="s">
        <v>233</v>
      </c>
      <c r="P70" s="75" t="s">
        <v>3037</v>
      </c>
      <c r="Q70" s="75" t="s">
        <v>3037</v>
      </c>
    </row>
    <row r="71" spans="1:17" ht="30" x14ac:dyDescent="0.25">
      <c r="A71" s="1534"/>
      <c r="B71" s="1534"/>
      <c r="C71" s="1534"/>
      <c r="D71" s="1534"/>
      <c r="E71" s="1534"/>
      <c r="F71" s="1534"/>
      <c r="G71" s="1534"/>
      <c r="H71" s="1522"/>
      <c r="I71" s="1522"/>
      <c r="J71" s="76"/>
      <c r="K71" s="77"/>
      <c r="L71" s="77"/>
      <c r="M71" s="78"/>
      <c r="N71" s="74" t="s">
        <v>234</v>
      </c>
      <c r="O71" s="74" t="s">
        <v>235</v>
      </c>
      <c r="P71" s="75" t="s">
        <v>3038</v>
      </c>
      <c r="Q71" s="75" t="s">
        <v>3038</v>
      </c>
    </row>
    <row r="72" spans="1:17" ht="30" x14ac:dyDescent="0.25">
      <c r="A72" s="1535"/>
      <c r="B72" s="1535"/>
      <c r="C72" s="1535"/>
      <c r="D72" s="1535"/>
      <c r="E72" s="1535"/>
      <c r="F72" s="1535"/>
      <c r="G72" s="1535"/>
      <c r="H72" s="1523"/>
      <c r="I72" s="1523"/>
      <c r="J72" s="79"/>
      <c r="K72" s="80"/>
      <c r="L72" s="80"/>
      <c r="M72" s="81"/>
      <c r="N72" s="74" t="s">
        <v>230</v>
      </c>
      <c r="O72" s="74" t="s">
        <v>231</v>
      </c>
      <c r="P72" s="75" t="s">
        <v>3039</v>
      </c>
      <c r="Q72" s="75" t="s">
        <v>3039</v>
      </c>
    </row>
    <row r="73" spans="1:17" ht="45" x14ac:dyDescent="0.25">
      <c r="A73" s="1533">
        <v>45</v>
      </c>
      <c r="B73" s="1533" t="s">
        <v>2923</v>
      </c>
      <c r="C73" s="1533" t="s">
        <v>2924</v>
      </c>
      <c r="D73" s="1533" t="s">
        <v>3030</v>
      </c>
      <c r="E73" s="1533" t="s">
        <v>3031</v>
      </c>
      <c r="F73" s="1533" t="s">
        <v>3032</v>
      </c>
      <c r="G73" s="1533" t="s">
        <v>3040</v>
      </c>
      <c r="H73" s="1521" t="s">
        <v>3041</v>
      </c>
      <c r="I73" s="1521" t="s">
        <v>3041</v>
      </c>
      <c r="J73" s="74" t="s">
        <v>3042</v>
      </c>
      <c r="K73" s="74" t="s">
        <v>3043</v>
      </c>
      <c r="L73" s="75">
        <v>20</v>
      </c>
      <c r="M73" s="75">
        <v>0</v>
      </c>
      <c r="N73" s="74" t="s">
        <v>93</v>
      </c>
      <c r="O73" s="74" t="s">
        <v>94</v>
      </c>
      <c r="P73" s="75" t="s">
        <v>680</v>
      </c>
      <c r="Q73" s="75" t="s">
        <v>3044</v>
      </c>
    </row>
    <row r="74" spans="1:17" ht="45" x14ac:dyDescent="0.25">
      <c r="A74" s="1534"/>
      <c r="B74" s="1534"/>
      <c r="C74" s="1534"/>
      <c r="D74" s="1534"/>
      <c r="E74" s="1534"/>
      <c r="F74" s="1534"/>
      <c r="G74" s="1534"/>
      <c r="H74" s="1522"/>
      <c r="I74" s="1522"/>
      <c r="J74" s="76"/>
      <c r="K74" s="77"/>
      <c r="L74" s="77"/>
      <c r="M74" s="78"/>
      <c r="N74" s="74" t="s">
        <v>97</v>
      </c>
      <c r="O74" s="74" t="s">
        <v>98</v>
      </c>
      <c r="P74" s="75" t="s">
        <v>999</v>
      </c>
      <c r="Q74" s="75" t="s">
        <v>3045</v>
      </c>
    </row>
    <row r="75" spans="1:17" ht="45" x14ac:dyDescent="0.25">
      <c r="A75" s="1534"/>
      <c r="B75" s="1534"/>
      <c r="C75" s="1534"/>
      <c r="D75" s="1534"/>
      <c r="E75" s="1534"/>
      <c r="F75" s="1534"/>
      <c r="G75" s="1534"/>
      <c r="H75" s="1522"/>
      <c r="I75" s="1522"/>
      <c r="J75" s="76"/>
      <c r="K75" s="77"/>
      <c r="L75" s="77"/>
      <c r="M75" s="78"/>
      <c r="N75" s="74" t="s">
        <v>95</v>
      </c>
      <c r="O75" s="74" t="s">
        <v>96</v>
      </c>
      <c r="P75" s="75" t="s">
        <v>3046</v>
      </c>
      <c r="Q75" s="75" t="s">
        <v>3047</v>
      </c>
    </row>
    <row r="76" spans="1:17" ht="45" x14ac:dyDescent="0.25">
      <c r="A76" s="1535"/>
      <c r="B76" s="1535"/>
      <c r="C76" s="1535"/>
      <c r="D76" s="1535"/>
      <c r="E76" s="1535"/>
      <c r="F76" s="1535"/>
      <c r="G76" s="1535"/>
      <c r="H76" s="1523"/>
      <c r="I76" s="1523"/>
      <c r="J76" s="79"/>
      <c r="K76" s="80"/>
      <c r="L76" s="80"/>
      <c r="M76" s="81"/>
      <c r="N76" s="74" t="s">
        <v>91</v>
      </c>
      <c r="O76" s="74" t="s">
        <v>92</v>
      </c>
      <c r="P76" s="75" t="s">
        <v>1149</v>
      </c>
      <c r="Q76" s="75" t="s">
        <v>3048</v>
      </c>
    </row>
    <row r="77" spans="1:17" ht="75" x14ac:dyDescent="0.25">
      <c r="A77" s="1533">
        <v>46</v>
      </c>
      <c r="B77" s="1533" t="s">
        <v>2923</v>
      </c>
      <c r="C77" s="1533" t="s">
        <v>2924</v>
      </c>
      <c r="D77" s="1533" t="s">
        <v>3030</v>
      </c>
      <c r="E77" s="1533" t="s">
        <v>3031</v>
      </c>
      <c r="F77" s="1533" t="s">
        <v>3032</v>
      </c>
      <c r="G77" s="1533" t="s">
        <v>3049</v>
      </c>
      <c r="H77" s="1521" t="s">
        <v>3050</v>
      </c>
      <c r="I77" s="1521" t="s">
        <v>3051</v>
      </c>
      <c r="J77" s="74" t="s">
        <v>3052</v>
      </c>
      <c r="K77" s="74" t="s">
        <v>3053</v>
      </c>
      <c r="L77" s="75">
        <v>16</v>
      </c>
      <c r="M77" s="75">
        <v>0</v>
      </c>
      <c r="N77" s="74" t="s">
        <v>299</v>
      </c>
      <c r="O77" s="74" t="s">
        <v>300</v>
      </c>
      <c r="P77" s="75" t="s">
        <v>705</v>
      </c>
      <c r="Q77" s="75" t="s">
        <v>3054</v>
      </c>
    </row>
    <row r="78" spans="1:17" ht="45" x14ac:dyDescent="0.25">
      <c r="A78" s="1534"/>
      <c r="B78" s="1534"/>
      <c r="C78" s="1534"/>
      <c r="D78" s="1534"/>
      <c r="E78" s="1534"/>
      <c r="F78" s="1534"/>
      <c r="G78" s="1534"/>
      <c r="H78" s="1522"/>
      <c r="I78" s="1522"/>
      <c r="J78" s="76"/>
      <c r="K78" s="77"/>
      <c r="L78" s="77"/>
      <c r="M78" s="78"/>
      <c r="N78" s="74" t="s">
        <v>308</v>
      </c>
      <c r="O78" s="74" t="s">
        <v>309</v>
      </c>
      <c r="P78" s="75" t="s">
        <v>676</v>
      </c>
      <c r="Q78" s="75" t="s">
        <v>3055</v>
      </c>
    </row>
    <row r="79" spans="1:17" ht="30" x14ac:dyDescent="0.25">
      <c r="A79" s="1534"/>
      <c r="B79" s="1534"/>
      <c r="C79" s="1534"/>
      <c r="D79" s="1534"/>
      <c r="E79" s="1534"/>
      <c r="F79" s="1534"/>
      <c r="G79" s="1534"/>
      <c r="H79" s="1522"/>
      <c r="I79" s="1522"/>
      <c r="J79" s="76"/>
      <c r="K79" s="77"/>
      <c r="L79" s="77"/>
      <c r="M79" s="78"/>
      <c r="N79" s="74" t="s">
        <v>250</v>
      </c>
      <c r="O79" s="74" t="s">
        <v>251</v>
      </c>
      <c r="P79" s="75" t="s">
        <v>1149</v>
      </c>
      <c r="Q79" s="75" t="s">
        <v>3056</v>
      </c>
    </row>
    <row r="80" spans="1:17" ht="45" x14ac:dyDescent="0.25">
      <c r="A80" s="1534"/>
      <c r="B80" s="1534"/>
      <c r="C80" s="1534"/>
      <c r="D80" s="1534"/>
      <c r="E80" s="1534"/>
      <c r="F80" s="1534"/>
      <c r="G80" s="1534"/>
      <c r="H80" s="1522"/>
      <c r="I80" s="1522"/>
      <c r="J80" s="76"/>
      <c r="K80" s="77"/>
      <c r="L80" s="77"/>
      <c r="M80" s="78"/>
      <c r="N80" s="74" t="s">
        <v>208</v>
      </c>
      <c r="O80" s="74" t="s">
        <v>207</v>
      </c>
      <c r="P80" s="75" t="s">
        <v>687</v>
      </c>
      <c r="Q80" s="75" t="s">
        <v>3057</v>
      </c>
    </row>
    <row r="81" spans="1:17" ht="45" x14ac:dyDescent="0.25">
      <c r="A81" s="1534"/>
      <c r="B81" s="1534"/>
      <c r="C81" s="1534"/>
      <c r="D81" s="1534"/>
      <c r="E81" s="1534"/>
      <c r="F81" s="1534"/>
      <c r="G81" s="1534"/>
      <c r="H81" s="1522"/>
      <c r="I81" s="1522"/>
      <c r="J81" s="76"/>
      <c r="K81" s="77"/>
      <c r="L81" s="77"/>
      <c r="M81" s="78"/>
      <c r="N81" s="74" t="s">
        <v>188</v>
      </c>
      <c r="O81" s="74" t="s">
        <v>189</v>
      </c>
      <c r="P81" s="75" t="s">
        <v>1149</v>
      </c>
      <c r="Q81" s="75" t="s">
        <v>3058</v>
      </c>
    </row>
    <row r="82" spans="1:17" ht="30" x14ac:dyDescent="0.25">
      <c r="A82" s="1534"/>
      <c r="B82" s="1534"/>
      <c r="C82" s="1534"/>
      <c r="D82" s="1534"/>
      <c r="E82" s="1534"/>
      <c r="F82" s="1534"/>
      <c r="G82" s="1534"/>
      <c r="H82" s="1522"/>
      <c r="I82" s="1522"/>
      <c r="J82" s="76"/>
      <c r="K82" s="77"/>
      <c r="L82" s="77"/>
      <c r="M82" s="78"/>
      <c r="N82" s="74" t="s">
        <v>142</v>
      </c>
      <c r="O82" s="74" t="s">
        <v>143</v>
      </c>
      <c r="P82" s="75" t="s">
        <v>2720</v>
      </c>
      <c r="Q82" s="75" t="s">
        <v>3059</v>
      </c>
    </row>
    <row r="83" spans="1:17" ht="45" x14ac:dyDescent="0.25">
      <c r="A83" s="1534"/>
      <c r="B83" s="1534"/>
      <c r="C83" s="1534"/>
      <c r="D83" s="1534"/>
      <c r="E83" s="1534"/>
      <c r="F83" s="1534"/>
      <c r="G83" s="1534"/>
      <c r="H83" s="1522"/>
      <c r="I83" s="1522"/>
      <c r="J83" s="76"/>
      <c r="K83" s="77"/>
      <c r="L83" s="77"/>
      <c r="M83" s="78"/>
      <c r="N83" s="74" t="s">
        <v>289</v>
      </c>
      <c r="O83" s="74" t="s">
        <v>290</v>
      </c>
      <c r="P83" s="75" t="s">
        <v>676</v>
      </c>
      <c r="Q83" s="75" t="s">
        <v>3060</v>
      </c>
    </row>
    <row r="84" spans="1:17" ht="60" x14ac:dyDescent="0.25">
      <c r="A84" s="1534"/>
      <c r="B84" s="1534"/>
      <c r="C84" s="1534"/>
      <c r="D84" s="1534"/>
      <c r="E84" s="1534"/>
      <c r="F84" s="1534"/>
      <c r="G84" s="1534"/>
      <c r="H84" s="1522"/>
      <c r="I84" s="1522"/>
      <c r="J84" s="76"/>
      <c r="K84" s="77"/>
      <c r="L84" s="77"/>
      <c r="M84" s="78"/>
      <c r="N84" s="74" t="s">
        <v>154</v>
      </c>
      <c r="O84" s="74" t="s">
        <v>155</v>
      </c>
      <c r="P84" s="75" t="s">
        <v>794</v>
      </c>
      <c r="Q84" s="75" t="s">
        <v>3061</v>
      </c>
    </row>
    <row r="85" spans="1:17" ht="45" x14ac:dyDescent="0.25">
      <c r="A85" s="1534"/>
      <c r="B85" s="1534"/>
      <c r="C85" s="1534"/>
      <c r="D85" s="1534"/>
      <c r="E85" s="1534"/>
      <c r="F85" s="1534"/>
      <c r="G85" s="1534"/>
      <c r="H85" s="1522"/>
      <c r="I85" s="1522"/>
      <c r="J85" s="76"/>
      <c r="K85" s="77"/>
      <c r="L85" s="77"/>
      <c r="M85" s="78"/>
      <c r="N85" s="74" t="s">
        <v>210</v>
      </c>
      <c r="O85" s="74" t="s">
        <v>209</v>
      </c>
      <c r="P85" s="75" t="s">
        <v>1149</v>
      </c>
      <c r="Q85" s="75" t="s">
        <v>3062</v>
      </c>
    </row>
    <row r="86" spans="1:17" ht="45" x14ac:dyDescent="0.25">
      <c r="A86" s="1534"/>
      <c r="B86" s="1534"/>
      <c r="C86" s="1534"/>
      <c r="D86" s="1534"/>
      <c r="E86" s="1534"/>
      <c r="F86" s="1534"/>
      <c r="G86" s="1534"/>
      <c r="H86" s="1522"/>
      <c r="I86" s="1522"/>
      <c r="J86" s="76"/>
      <c r="K86" s="77"/>
      <c r="L86" s="77"/>
      <c r="M86" s="78"/>
      <c r="N86" s="74" t="s">
        <v>180</v>
      </c>
      <c r="O86" s="74" t="s">
        <v>181</v>
      </c>
      <c r="P86" s="75" t="s">
        <v>1149</v>
      </c>
      <c r="Q86" s="75" t="s">
        <v>3063</v>
      </c>
    </row>
    <row r="87" spans="1:17" ht="60" x14ac:dyDescent="0.25">
      <c r="A87" s="1534"/>
      <c r="B87" s="1534"/>
      <c r="C87" s="1534"/>
      <c r="D87" s="1534"/>
      <c r="E87" s="1534"/>
      <c r="F87" s="1534"/>
      <c r="G87" s="1534"/>
      <c r="H87" s="1522"/>
      <c r="I87" s="1522"/>
      <c r="J87" s="76"/>
      <c r="K87" s="77"/>
      <c r="L87" s="77"/>
      <c r="M87" s="78"/>
      <c r="N87" s="74" t="s">
        <v>172</v>
      </c>
      <c r="O87" s="74" t="s">
        <v>173</v>
      </c>
      <c r="P87" s="75" t="s">
        <v>705</v>
      </c>
      <c r="Q87" s="75" t="s">
        <v>3064</v>
      </c>
    </row>
    <row r="88" spans="1:17" ht="30" x14ac:dyDescent="0.25">
      <c r="A88" s="1534"/>
      <c r="B88" s="1534"/>
      <c r="C88" s="1534"/>
      <c r="D88" s="1534"/>
      <c r="E88" s="1534"/>
      <c r="F88" s="1534"/>
      <c r="G88" s="1534"/>
      <c r="H88" s="1522"/>
      <c r="I88" s="1522"/>
      <c r="J88" s="76"/>
      <c r="K88" s="77"/>
      <c r="L88" s="77"/>
      <c r="M88" s="78"/>
      <c r="N88" s="74" t="s">
        <v>206</v>
      </c>
      <c r="O88" s="74" t="s">
        <v>205</v>
      </c>
      <c r="P88" s="75" t="s">
        <v>687</v>
      </c>
      <c r="Q88" s="75" t="s">
        <v>3065</v>
      </c>
    </row>
    <row r="89" spans="1:17" ht="45" x14ac:dyDescent="0.25">
      <c r="A89" s="1534"/>
      <c r="B89" s="1534"/>
      <c r="C89" s="1534"/>
      <c r="D89" s="1534"/>
      <c r="E89" s="1534"/>
      <c r="F89" s="1534"/>
      <c r="G89" s="1534"/>
      <c r="H89" s="1522"/>
      <c r="I89" s="1522"/>
      <c r="J89" s="76"/>
      <c r="K89" s="77"/>
      <c r="L89" s="77"/>
      <c r="M89" s="78"/>
      <c r="N89" s="74" t="s">
        <v>277</v>
      </c>
      <c r="O89" s="74" t="s">
        <v>278</v>
      </c>
      <c r="P89" s="75" t="s">
        <v>705</v>
      </c>
      <c r="Q89" s="75" t="s">
        <v>3066</v>
      </c>
    </row>
    <row r="90" spans="1:17" ht="30" x14ac:dyDescent="0.25">
      <c r="A90" s="1534"/>
      <c r="B90" s="1534"/>
      <c r="C90" s="1534"/>
      <c r="D90" s="1534"/>
      <c r="E90" s="1534"/>
      <c r="F90" s="1534"/>
      <c r="G90" s="1534"/>
      <c r="H90" s="1522"/>
      <c r="I90" s="1522"/>
      <c r="J90" s="76"/>
      <c r="K90" s="77"/>
      <c r="L90" s="77"/>
      <c r="M90" s="78"/>
      <c r="N90" s="74" t="s">
        <v>146</v>
      </c>
      <c r="O90" s="74" t="s">
        <v>147</v>
      </c>
      <c r="P90" s="75" t="s">
        <v>2720</v>
      </c>
      <c r="Q90" s="75" t="s">
        <v>3067</v>
      </c>
    </row>
    <row r="91" spans="1:17" ht="30" x14ac:dyDescent="0.25">
      <c r="A91" s="1534"/>
      <c r="B91" s="1534"/>
      <c r="C91" s="1534"/>
      <c r="D91" s="1534"/>
      <c r="E91" s="1534"/>
      <c r="F91" s="1534"/>
      <c r="G91" s="1534"/>
      <c r="H91" s="1522"/>
      <c r="I91" s="1522"/>
      <c r="J91" s="76"/>
      <c r="K91" s="77"/>
      <c r="L91" s="77"/>
      <c r="M91" s="78"/>
      <c r="N91" s="74" t="s">
        <v>164</v>
      </c>
      <c r="O91" s="74" t="s">
        <v>165</v>
      </c>
      <c r="P91" s="75" t="s">
        <v>705</v>
      </c>
      <c r="Q91" s="75" t="s">
        <v>3068</v>
      </c>
    </row>
    <row r="92" spans="1:17" ht="45" x14ac:dyDescent="0.25">
      <c r="A92" s="1534"/>
      <c r="B92" s="1534"/>
      <c r="C92" s="1534"/>
      <c r="D92" s="1534"/>
      <c r="E92" s="1534"/>
      <c r="F92" s="1534"/>
      <c r="G92" s="1534"/>
      <c r="H92" s="1522"/>
      <c r="I92" s="1522"/>
      <c r="J92" s="76"/>
      <c r="K92" s="77"/>
      <c r="L92" s="77"/>
      <c r="M92" s="78"/>
      <c r="N92" s="74" t="s">
        <v>73</v>
      </c>
      <c r="O92" s="74" t="s">
        <v>74</v>
      </c>
      <c r="P92" s="75" t="s">
        <v>3069</v>
      </c>
      <c r="Q92" s="75" t="s">
        <v>3070</v>
      </c>
    </row>
    <row r="93" spans="1:17" ht="45" x14ac:dyDescent="0.25">
      <c r="A93" s="1534"/>
      <c r="B93" s="1534"/>
      <c r="C93" s="1534"/>
      <c r="D93" s="1534"/>
      <c r="E93" s="1534"/>
      <c r="F93" s="1534"/>
      <c r="G93" s="1534"/>
      <c r="H93" s="1522"/>
      <c r="I93" s="1522"/>
      <c r="J93" s="76"/>
      <c r="K93" s="77"/>
      <c r="L93" s="77"/>
      <c r="M93" s="78"/>
      <c r="N93" s="74" t="s">
        <v>1652</v>
      </c>
      <c r="O93" s="74" t="s">
        <v>1653</v>
      </c>
      <c r="P93" s="75" t="s">
        <v>705</v>
      </c>
      <c r="Q93" s="75" t="s">
        <v>3071</v>
      </c>
    </row>
    <row r="94" spans="1:17" ht="45" x14ac:dyDescent="0.25">
      <c r="A94" s="1534"/>
      <c r="B94" s="1534"/>
      <c r="C94" s="1534"/>
      <c r="D94" s="1534"/>
      <c r="E94" s="1534"/>
      <c r="F94" s="1534"/>
      <c r="G94" s="1534"/>
      <c r="H94" s="1522"/>
      <c r="I94" s="1522"/>
      <c r="J94" s="76"/>
      <c r="K94" s="77"/>
      <c r="L94" s="77"/>
      <c r="M94" s="78"/>
      <c r="N94" s="74" t="s">
        <v>294</v>
      </c>
      <c r="O94" s="74" t="s">
        <v>295</v>
      </c>
      <c r="P94" s="75" t="s">
        <v>676</v>
      </c>
      <c r="Q94" s="75" t="s">
        <v>3072</v>
      </c>
    </row>
    <row r="95" spans="1:17" ht="45" x14ac:dyDescent="0.25">
      <c r="A95" s="1534"/>
      <c r="B95" s="1534"/>
      <c r="C95" s="1534"/>
      <c r="D95" s="1534"/>
      <c r="E95" s="1534"/>
      <c r="F95" s="1534"/>
      <c r="G95" s="1534"/>
      <c r="H95" s="1522"/>
      <c r="I95" s="1522"/>
      <c r="J95" s="76"/>
      <c r="K95" s="77"/>
      <c r="L95" s="77"/>
      <c r="M95" s="78"/>
      <c r="N95" s="74" t="s">
        <v>284</v>
      </c>
      <c r="O95" s="74" t="s">
        <v>285</v>
      </c>
      <c r="P95" s="75" t="s">
        <v>676</v>
      </c>
      <c r="Q95" s="75" t="s">
        <v>3073</v>
      </c>
    </row>
    <row r="96" spans="1:17" ht="30" x14ac:dyDescent="0.25">
      <c r="A96" s="1534"/>
      <c r="B96" s="1534"/>
      <c r="C96" s="1534"/>
      <c r="D96" s="1534"/>
      <c r="E96" s="1534"/>
      <c r="F96" s="1534"/>
      <c r="G96" s="1534"/>
      <c r="H96" s="1522"/>
      <c r="I96" s="1522"/>
      <c r="J96" s="76"/>
      <c r="K96" s="77"/>
      <c r="L96" s="77"/>
      <c r="M96" s="78"/>
      <c r="N96" s="74" t="s">
        <v>144</v>
      </c>
      <c r="O96" s="74" t="s">
        <v>145</v>
      </c>
      <c r="P96" s="75" t="s">
        <v>2720</v>
      </c>
      <c r="Q96" s="75" t="s">
        <v>3074</v>
      </c>
    </row>
    <row r="97" spans="1:17" ht="30" x14ac:dyDescent="0.25">
      <c r="A97" s="1535"/>
      <c r="B97" s="1535"/>
      <c r="C97" s="1535"/>
      <c r="D97" s="1535"/>
      <c r="E97" s="1535"/>
      <c r="F97" s="1535"/>
      <c r="G97" s="1535"/>
      <c r="H97" s="1523"/>
      <c r="I97" s="1523"/>
      <c r="J97" s="79"/>
      <c r="K97" s="80"/>
      <c r="L97" s="80"/>
      <c r="M97" s="81"/>
      <c r="N97" s="74" t="s">
        <v>203</v>
      </c>
      <c r="O97" s="74" t="s">
        <v>204</v>
      </c>
      <c r="P97" s="75" t="s">
        <v>687</v>
      </c>
      <c r="Q97" s="75" t="s">
        <v>3075</v>
      </c>
    </row>
    <row r="98" spans="1:17" ht="45" x14ac:dyDescent="0.25">
      <c r="A98" s="74">
        <v>47</v>
      </c>
      <c r="B98" s="74" t="s">
        <v>2923</v>
      </c>
      <c r="C98" s="74" t="s">
        <v>2924</v>
      </c>
      <c r="D98" s="74" t="s">
        <v>3030</v>
      </c>
      <c r="E98" s="74" t="s">
        <v>3031</v>
      </c>
      <c r="F98" s="74" t="s">
        <v>3076</v>
      </c>
      <c r="G98" s="74" t="s">
        <v>237</v>
      </c>
      <c r="H98" s="75" t="s">
        <v>687</v>
      </c>
      <c r="I98" s="75" t="s">
        <v>687</v>
      </c>
      <c r="J98" s="74" t="s">
        <v>3077</v>
      </c>
      <c r="K98" s="74" t="s">
        <v>3078</v>
      </c>
      <c r="L98" s="75">
        <v>1</v>
      </c>
      <c r="M98" s="75">
        <v>0</v>
      </c>
      <c r="N98" s="74" t="s">
        <v>236</v>
      </c>
      <c r="O98" s="74" t="s">
        <v>237</v>
      </c>
      <c r="P98" s="75" t="s">
        <v>687</v>
      </c>
      <c r="Q98" s="75" t="s">
        <v>698</v>
      </c>
    </row>
    <row r="99" spans="1:17" ht="92.25" customHeight="1" x14ac:dyDescent="0.25">
      <c r="A99" s="74">
        <v>48</v>
      </c>
      <c r="B99" s="74" t="s">
        <v>3079</v>
      </c>
      <c r="C99" s="74" t="s">
        <v>3080</v>
      </c>
      <c r="D99" s="74" t="s">
        <v>3081</v>
      </c>
      <c r="E99" s="74" t="s">
        <v>3082</v>
      </c>
      <c r="F99" s="74" t="s">
        <v>3083</v>
      </c>
      <c r="G99" s="74" t="s">
        <v>3084</v>
      </c>
      <c r="H99" s="75" t="s">
        <v>1149</v>
      </c>
      <c r="I99" s="75" t="s">
        <v>1149</v>
      </c>
      <c r="J99" s="74" t="s">
        <v>3085</v>
      </c>
      <c r="K99" s="74" t="s">
        <v>3086</v>
      </c>
      <c r="L99" s="75">
        <v>50</v>
      </c>
      <c r="M99" s="75">
        <v>0</v>
      </c>
      <c r="N99" s="74" t="s">
        <v>317</v>
      </c>
      <c r="O99" s="74" t="s">
        <v>318</v>
      </c>
      <c r="P99" s="75" t="s">
        <v>1149</v>
      </c>
      <c r="Q99" s="75">
        <v>0</v>
      </c>
    </row>
    <row r="100" spans="1:17" ht="75" x14ac:dyDescent="0.25">
      <c r="A100" s="74">
        <v>49</v>
      </c>
      <c r="B100" s="74" t="s">
        <v>3079</v>
      </c>
      <c r="C100" s="74" t="s">
        <v>3080</v>
      </c>
      <c r="D100" s="74" t="s">
        <v>3081</v>
      </c>
      <c r="E100" s="74" t="s">
        <v>3082</v>
      </c>
      <c r="F100" s="74" t="s">
        <v>3087</v>
      </c>
      <c r="G100" s="74" t="s">
        <v>3088</v>
      </c>
      <c r="H100" s="75" t="s">
        <v>2720</v>
      </c>
      <c r="I100" s="75" t="s">
        <v>2720</v>
      </c>
      <c r="J100" s="74" t="s">
        <v>3089</v>
      </c>
      <c r="K100" s="74" t="s">
        <v>3090</v>
      </c>
      <c r="L100" s="75">
        <v>50</v>
      </c>
      <c r="M100" s="75">
        <v>0</v>
      </c>
      <c r="N100" s="74" t="s">
        <v>315</v>
      </c>
      <c r="O100" s="74" t="s">
        <v>316</v>
      </c>
      <c r="P100" s="75" t="s">
        <v>2720</v>
      </c>
      <c r="Q100" s="75">
        <v>0</v>
      </c>
    </row>
    <row r="101" spans="1:17" ht="90" x14ac:dyDescent="0.25">
      <c r="A101" s="1533">
        <v>50</v>
      </c>
      <c r="B101" s="1533" t="s">
        <v>3079</v>
      </c>
      <c r="C101" s="1533" t="s">
        <v>3080</v>
      </c>
      <c r="D101" s="1533" t="s">
        <v>3081</v>
      </c>
      <c r="E101" s="1533" t="s">
        <v>3082</v>
      </c>
      <c r="F101" s="1533" t="s">
        <v>3091</v>
      </c>
      <c r="G101" s="1533" t="s">
        <v>3092</v>
      </c>
      <c r="H101" s="1521" t="s">
        <v>707</v>
      </c>
      <c r="I101" s="1521" t="s">
        <v>707</v>
      </c>
      <c r="J101" s="74" t="s">
        <v>3093</v>
      </c>
      <c r="K101" s="74" t="s">
        <v>3094</v>
      </c>
      <c r="L101" s="75">
        <v>20</v>
      </c>
      <c r="M101" s="75">
        <v>0</v>
      </c>
      <c r="N101" s="74" t="s">
        <v>389</v>
      </c>
      <c r="O101" s="74" t="s">
        <v>390</v>
      </c>
      <c r="P101" s="75" t="s">
        <v>680</v>
      </c>
      <c r="Q101" s="75" t="s">
        <v>680</v>
      </c>
    </row>
    <row r="102" spans="1:17" ht="45" x14ac:dyDescent="0.25">
      <c r="A102" s="1534"/>
      <c r="B102" s="1534"/>
      <c r="C102" s="1534"/>
      <c r="D102" s="1534"/>
      <c r="E102" s="1534"/>
      <c r="F102" s="1534"/>
      <c r="G102" s="1534"/>
      <c r="H102" s="1522"/>
      <c r="I102" s="1522"/>
      <c r="J102" s="76"/>
      <c r="K102" s="77"/>
      <c r="L102" s="77"/>
      <c r="M102" s="78"/>
      <c r="N102" s="74" t="s">
        <v>156</v>
      </c>
      <c r="O102" s="74" t="s">
        <v>157</v>
      </c>
      <c r="P102" s="75" t="s">
        <v>747</v>
      </c>
      <c r="Q102" s="75">
        <v>0</v>
      </c>
    </row>
    <row r="103" spans="1:17" ht="30" x14ac:dyDescent="0.25">
      <c r="A103" s="1535"/>
      <c r="B103" s="1535"/>
      <c r="C103" s="1535"/>
      <c r="D103" s="1535"/>
      <c r="E103" s="1535"/>
      <c r="F103" s="1535"/>
      <c r="G103" s="1535"/>
      <c r="H103" s="1523"/>
      <c r="I103" s="1523"/>
      <c r="J103" s="79"/>
      <c r="K103" s="80"/>
      <c r="L103" s="80"/>
      <c r="M103" s="81"/>
      <c r="N103" s="74" t="s">
        <v>327</v>
      </c>
      <c r="O103" s="74" t="s">
        <v>328</v>
      </c>
      <c r="P103" s="75" t="s">
        <v>680</v>
      </c>
      <c r="Q103" s="75">
        <v>0</v>
      </c>
    </row>
    <row r="104" spans="1:17" ht="90" x14ac:dyDescent="0.25">
      <c r="A104" s="74">
        <v>51</v>
      </c>
      <c r="B104" s="74" t="s">
        <v>3095</v>
      </c>
      <c r="C104" s="74" t="s">
        <v>3096</v>
      </c>
      <c r="D104" s="74" t="s">
        <v>3097</v>
      </c>
      <c r="E104" s="74" t="s">
        <v>3098</v>
      </c>
      <c r="F104" s="74" t="s">
        <v>3099</v>
      </c>
      <c r="G104" s="74" t="s">
        <v>3100</v>
      </c>
      <c r="H104" s="75" t="s">
        <v>705</v>
      </c>
      <c r="I104" s="75" t="s">
        <v>705</v>
      </c>
      <c r="J104" s="74"/>
      <c r="K104" s="82"/>
      <c r="L104" s="82"/>
      <c r="M104" s="83"/>
      <c r="N104" s="74" t="s">
        <v>18</v>
      </c>
      <c r="O104" s="74" t="s">
        <v>19</v>
      </c>
      <c r="P104" s="75" t="s">
        <v>705</v>
      </c>
      <c r="Q104" s="75" t="s">
        <v>705</v>
      </c>
    </row>
    <row r="105" spans="1:17" ht="90" x14ac:dyDescent="0.25">
      <c r="A105" s="74">
        <v>52</v>
      </c>
      <c r="B105" s="74" t="s">
        <v>3095</v>
      </c>
      <c r="C105" s="74" t="s">
        <v>3096</v>
      </c>
      <c r="D105" s="74" t="s">
        <v>3097</v>
      </c>
      <c r="E105" s="74" t="s">
        <v>3098</v>
      </c>
      <c r="F105" s="74" t="s">
        <v>3099</v>
      </c>
      <c r="G105" s="74" t="s">
        <v>3101</v>
      </c>
      <c r="H105" s="75" t="s">
        <v>3102</v>
      </c>
      <c r="I105" s="75" t="s">
        <v>3102</v>
      </c>
      <c r="J105" s="74"/>
      <c r="K105" s="82"/>
      <c r="L105" s="82"/>
      <c r="M105" s="83"/>
      <c r="N105" s="74" t="s">
        <v>22</v>
      </c>
      <c r="O105" s="74" t="s">
        <v>23</v>
      </c>
      <c r="P105" s="75" t="s">
        <v>3102</v>
      </c>
      <c r="Q105" s="75" t="s">
        <v>3102</v>
      </c>
    </row>
    <row r="106" spans="1:17" ht="150" customHeight="1" x14ac:dyDescent="0.25">
      <c r="A106" s="1533">
        <v>53</v>
      </c>
      <c r="B106" s="1533" t="s">
        <v>3095</v>
      </c>
      <c r="C106" s="1533" t="s">
        <v>3096</v>
      </c>
      <c r="D106" s="1533" t="s">
        <v>3097</v>
      </c>
      <c r="E106" s="1533" t="s">
        <v>3098</v>
      </c>
      <c r="F106" s="1533" t="s">
        <v>3099</v>
      </c>
      <c r="G106" s="1533" t="s">
        <v>3103</v>
      </c>
      <c r="H106" s="1521" t="s">
        <v>707</v>
      </c>
      <c r="I106" s="1521" t="s">
        <v>707</v>
      </c>
      <c r="J106" s="74" t="s">
        <v>3104</v>
      </c>
      <c r="K106" s="74" t="s">
        <v>3105</v>
      </c>
      <c r="L106" s="75">
        <v>5</v>
      </c>
      <c r="M106" s="75">
        <v>0</v>
      </c>
      <c r="N106" s="74" t="s">
        <v>24</v>
      </c>
      <c r="O106" s="74" t="s">
        <v>25</v>
      </c>
      <c r="P106" s="75" t="s">
        <v>707</v>
      </c>
      <c r="Q106" s="75" t="s">
        <v>707</v>
      </c>
    </row>
    <row r="107" spans="1:17" x14ac:dyDescent="0.25">
      <c r="A107" s="1534"/>
      <c r="B107" s="1534"/>
      <c r="C107" s="1534"/>
      <c r="D107" s="1534"/>
      <c r="E107" s="1534"/>
      <c r="F107" s="1534"/>
      <c r="G107" s="1534"/>
      <c r="H107" s="1522"/>
      <c r="I107" s="1522"/>
      <c r="J107" s="74"/>
      <c r="K107" s="74"/>
      <c r="L107" s="75">
        <v>0</v>
      </c>
      <c r="M107" s="75">
        <v>0</v>
      </c>
      <c r="N107" s="76"/>
      <c r="O107" s="77"/>
      <c r="P107" s="77"/>
      <c r="Q107" s="78"/>
    </row>
    <row r="108" spans="1:17" x14ac:dyDescent="0.25">
      <c r="A108" s="1535"/>
      <c r="B108" s="1535"/>
      <c r="C108" s="1535"/>
      <c r="D108" s="1535"/>
      <c r="E108" s="1535"/>
      <c r="F108" s="1535"/>
      <c r="G108" s="1535"/>
      <c r="H108" s="1523"/>
      <c r="I108" s="1523"/>
      <c r="J108" s="74"/>
      <c r="K108" s="74"/>
      <c r="L108" s="75">
        <v>1</v>
      </c>
      <c r="M108" s="75">
        <v>0</v>
      </c>
      <c r="N108" s="79"/>
      <c r="O108" s="80"/>
      <c r="P108" s="80"/>
      <c r="Q108" s="81"/>
    </row>
    <row r="109" spans="1:17" ht="90" x14ac:dyDescent="0.25">
      <c r="A109" s="74">
        <v>54</v>
      </c>
      <c r="B109" s="74" t="s">
        <v>3095</v>
      </c>
      <c r="C109" s="74" t="s">
        <v>3096</v>
      </c>
      <c r="D109" s="74" t="s">
        <v>3097</v>
      </c>
      <c r="E109" s="74" t="s">
        <v>3098</v>
      </c>
      <c r="F109" s="74" t="s">
        <v>3106</v>
      </c>
      <c r="G109" s="74" t="s">
        <v>3107</v>
      </c>
      <c r="H109" s="75" t="s">
        <v>987</v>
      </c>
      <c r="I109" s="75" t="s">
        <v>987</v>
      </c>
      <c r="J109" s="74" t="s">
        <v>3108</v>
      </c>
      <c r="K109" s="74" t="s">
        <v>3109</v>
      </c>
      <c r="L109" s="75">
        <v>1</v>
      </c>
      <c r="M109" s="75">
        <v>0</v>
      </c>
      <c r="N109" s="74" t="s">
        <v>20</v>
      </c>
      <c r="O109" s="74" t="s">
        <v>21</v>
      </c>
      <c r="P109" s="75" t="s">
        <v>987</v>
      </c>
      <c r="Q109" s="75" t="s">
        <v>3110</v>
      </c>
    </row>
    <row r="110" spans="1:17" ht="60" x14ac:dyDescent="0.25">
      <c r="A110" s="74">
        <v>55</v>
      </c>
      <c r="B110" s="74" t="s">
        <v>3111</v>
      </c>
      <c r="C110" s="74" t="s">
        <v>3112</v>
      </c>
      <c r="D110" s="74" t="s">
        <v>3113</v>
      </c>
      <c r="E110" s="74" t="s">
        <v>3114</v>
      </c>
      <c r="F110" s="74" t="s">
        <v>3115</v>
      </c>
      <c r="G110" s="74" t="s">
        <v>3116</v>
      </c>
      <c r="H110" s="75" t="s">
        <v>707</v>
      </c>
      <c r="I110" s="75" t="s">
        <v>707</v>
      </c>
      <c r="J110" s="74" t="s">
        <v>3117</v>
      </c>
      <c r="K110" s="74" t="s">
        <v>3118</v>
      </c>
      <c r="L110" s="75">
        <v>30</v>
      </c>
      <c r="M110" s="75">
        <v>0</v>
      </c>
      <c r="N110" s="74" t="s">
        <v>196</v>
      </c>
      <c r="O110" s="74" t="s">
        <v>197</v>
      </c>
      <c r="P110" s="75" t="s">
        <v>707</v>
      </c>
      <c r="Q110" s="75" t="s">
        <v>3119</v>
      </c>
    </row>
    <row r="111" spans="1:17" ht="75" x14ac:dyDescent="0.25">
      <c r="A111" s="74">
        <v>56</v>
      </c>
      <c r="B111" s="74" t="s">
        <v>3111</v>
      </c>
      <c r="C111" s="74" t="s">
        <v>3112</v>
      </c>
      <c r="D111" s="74" t="s">
        <v>3113</v>
      </c>
      <c r="E111" s="74" t="s">
        <v>3114</v>
      </c>
      <c r="F111" s="74" t="s">
        <v>3120</v>
      </c>
      <c r="G111" s="74" t="s">
        <v>3121</v>
      </c>
      <c r="H111" s="75" t="s">
        <v>680</v>
      </c>
      <c r="I111" s="75" t="s">
        <v>680</v>
      </c>
      <c r="J111" s="74" t="s">
        <v>3122</v>
      </c>
      <c r="K111" s="74" t="s">
        <v>3123</v>
      </c>
      <c r="L111" s="75">
        <v>6</v>
      </c>
      <c r="M111" s="75">
        <v>0</v>
      </c>
      <c r="N111" s="74" t="s">
        <v>50</v>
      </c>
      <c r="O111" s="74" t="s">
        <v>51</v>
      </c>
      <c r="P111" s="75" t="s">
        <v>680</v>
      </c>
      <c r="Q111" s="75" t="s">
        <v>3124</v>
      </c>
    </row>
    <row r="112" spans="1:17" ht="90" x14ac:dyDescent="0.25">
      <c r="A112" s="74">
        <v>57</v>
      </c>
      <c r="B112" s="74" t="s">
        <v>3111</v>
      </c>
      <c r="C112" s="74" t="s">
        <v>3112</v>
      </c>
      <c r="D112" s="74" t="s">
        <v>3113</v>
      </c>
      <c r="E112" s="74" t="s">
        <v>3114</v>
      </c>
      <c r="F112" s="74" t="s">
        <v>3125</v>
      </c>
      <c r="G112" s="74" t="s">
        <v>3126</v>
      </c>
      <c r="H112" s="75" t="s">
        <v>999</v>
      </c>
      <c r="I112" s="75" t="s">
        <v>999</v>
      </c>
      <c r="J112" s="74" t="s">
        <v>3127</v>
      </c>
      <c r="K112" s="74" t="s">
        <v>3128</v>
      </c>
      <c r="L112" s="75">
        <v>4</v>
      </c>
      <c r="M112" s="75">
        <v>0</v>
      </c>
      <c r="N112" s="74" t="s">
        <v>194</v>
      </c>
      <c r="O112" s="74" t="s">
        <v>195</v>
      </c>
      <c r="P112" s="75" t="s">
        <v>999</v>
      </c>
      <c r="Q112" s="75" t="s">
        <v>999</v>
      </c>
    </row>
    <row r="113" spans="1:17" ht="30" x14ac:dyDescent="0.25">
      <c r="A113" s="1524" t="s">
        <v>622</v>
      </c>
      <c r="B113" s="1525"/>
      <c r="C113" s="1525"/>
      <c r="D113" s="1525"/>
      <c r="E113" s="1525"/>
      <c r="F113" s="1525"/>
      <c r="G113" s="1526"/>
      <c r="H113" s="75" t="s">
        <v>3129</v>
      </c>
      <c r="I113" s="75" t="s">
        <v>3130</v>
      </c>
      <c r="J113" s="1527"/>
      <c r="K113" s="1528"/>
      <c r="L113" s="1528"/>
      <c r="M113" s="1529"/>
      <c r="N113" s="84"/>
      <c r="O113" s="85"/>
      <c r="P113" s="86" t="s">
        <v>3131</v>
      </c>
      <c r="Q113" s="87" t="s">
        <v>3132</v>
      </c>
    </row>
  </sheetData>
  <mergeCells count="120">
    <mergeCell ref="G3:G4"/>
    <mergeCell ref="H3:H4"/>
    <mergeCell ref="I3:I4"/>
    <mergeCell ref="J3:M3"/>
    <mergeCell ref="N3:Q3"/>
    <mergeCell ref="A6:A8"/>
    <mergeCell ref="B6:B8"/>
    <mergeCell ref="C6:C8"/>
    <mergeCell ref="D6:D8"/>
    <mergeCell ref="E6:E8"/>
    <mergeCell ref="A3:A4"/>
    <mergeCell ref="B3:B4"/>
    <mergeCell ref="C3:C4"/>
    <mergeCell ref="D3:D4"/>
    <mergeCell ref="E3:E4"/>
    <mergeCell ref="F3:F4"/>
    <mergeCell ref="F6:F8"/>
    <mergeCell ref="G6:G8"/>
    <mergeCell ref="H6:H8"/>
    <mergeCell ref="I6:I8"/>
    <mergeCell ref="A19:A20"/>
    <mergeCell ref="B19:B20"/>
    <mergeCell ref="C19:C20"/>
    <mergeCell ref="D19:D20"/>
    <mergeCell ref="E19:E20"/>
    <mergeCell ref="F19:F20"/>
    <mergeCell ref="G19:G20"/>
    <mergeCell ref="H19:H20"/>
    <mergeCell ref="I19:I20"/>
    <mergeCell ref="A23:A25"/>
    <mergeCell ref="B23:B25"/>
    <mergeCell ref="C23:C25"/>
    <mergeCell ref="D23:D25"/>
    <mergeCell ref="E23:E25"/>
    <mergeCell ref="F23:F25"/>
    <mergeCell ref="G23:G25"/>
    <mergeCell ref="H23:H25"/>
    <mergeCell ref="I23:I25"/>
    <mergeCell ref="A28:A37"/>
    <mergeCell ref="B28:B37"/>
    <mergeCell ref="C28:C37"/>
    <mergeCell ref="D28:D37"/>
    <mergeCell ref="E28:E37"/>
    <mergeCell ref="F28:F37"/>
    <mergeCell ref="G28:G37"/>
    <mergeCell ref="H28:H37"/>
    <mergeCell ref="I28:I37"/>
    <mergeCell ref="A48:A54"/>
    <mergeCell ref="B48:B54"/>
    <mergeCell ref="C48:C54"/>
    <mergeCell ref="D48:D54"/>
    <mergeCell ref="E48:E54"/>
    <mergeCell ref="F48:F54"/>
    <mergeCell ref="G48:G54"/>
    <mergeCell ref="H48:H54"/>
    <mergeCell ref="I48:I54"/>
    <mergeCell ref="C101:C103"/>
    <mergeCell ref="D101:D103"/>
    <mergeCell ref="E101:E103"/>
    <mergeCell ref="F101:F103"/>
    <mergeCell ref="G59:G61"/>
    <mergeCell ref="H59:H61"/>
    <mergeCell ref="I59:I61"/>
    <mergeCell ref="A70:A72"/>
    <mergeCell ref="B70:B72"/>
    <mergeCell ref="C70:C72"/>
    <mergeCell ref="D70:D72"/>
    <mergeCell ref="E70:E72"/>
    <mergeCell ref="F70:F72"/>
    <mergeCell ref="G70:G72"/>
    <mergeCell ref="A59:A61"/>
    <mergeCell ref="B59:B61"/>
    <mergeCell ref="C59:C61"/>
    <mergeCell ref="D59:D61"/>
    <mergeCell ref="E59:E61"/>
    <mergeCell ref="F59:F61"/>
    <mergeCell ref="H70:H72"/>
    <mergeCell ref="I70:I72"/>
    <mergeCell ref="I73:I76"/>
    <mergeCell ref="A77:A97"/>
    <mergeCell ref="B77:B97"/>
    <mergeCell ref="C77:C97"/>
    <mergeCell ref="D77:D97"/>
    <mergeCell ref="E77:E97"/>
    <mergeCell ref="F77:F97"/>
    <mergeCell ref="G77:G97"/>
    <mergeCell ref="H77:H97"/>
    <mergeCell ref="I77:I97"/>
    <mergeCell ref="A73:A76"/>
    <mergeCell ref="B73:B76"/>
    <mergeCell ref="C73:C76"/>
    <mergeCell ref="D73:D76"/>
    <mergeCell ref="E73:E76"/>
    <mergeCell ref="F73:F76"/>
    <mergeCell ref="G73:G76"/>
    <mergeCell ref="H73:H76"/>
    <mergeCell ref="L23:L25"/>
    <mergeCell ref="M23:M25"/>
    <mergeCell ref="H106:H108"/>
    <mergeCell ref="I106:I108"/>
    <mergeCell ref="A113:G113"/>
    <mergeCell ref="J113:M113"/>
    <mergeCell ref="J6:J8"/>
    <mergeCell ref="K6:K8"/>
    <mergeCell ref="L6:L8"/>
    <mergeCell ref="M6:M8"/>
    <mergeCell ref="J23:J25"/>
    <mergeCell ref="K23:K25"/>
    <mergeCell ref="G101:G103"/>
    <mergeCell ref="H101:H103"/>
    <mergeCell ref="I101:I103"/>
    <mergeCell ref="A106:A108"/>
    <mergeCell ref="B106:B108"/>
    <mergeCell ref="C106:C108"/>
    <mergeCell ref="D106:D108"/>
    <mergeCell ref="E106:E108"/>
    <mergeCell ref="F106:F108"/>
    <mergeCell ref="G106:G108"/>
    <mergeCell ref="A101:A103"/>
    <mergeCell ref="B101:B103"/>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dimension ref="A1:G128"/>
  <sheetViews>
    <sheetView topLeftCell="A39" workbookViewId="0">
      <selection activeCell="F44" sqref="F44"/>
    </sheetView>
  </sheetViews>
  <sheetFormatPr baseColWidth="10" defaultColWidth="11.42578125" defaultRowHeight="15" x14ac:dyDescent="0.25"/>
  <cols>
    <col min="1" max="1" width="14.42578125" customWidth="1"/>
    <col min="2" max="2" width="15" customWidth="1"/>
    <col min="3" max="4" width="0" hidden="1" customWidth="1"/>
    <col min="5" max="5" width="7.42578125" customWidth="1"/>
    <col min="6" max="6" width="46.42578125" customWidth="1"/>
    <col min="7" max="7" width="13.5703125" customWidth="1"/>
    <col min="8" max="8" width="16.28515625" customWidth="1"/>
  </cols>
  <sheetData>
    <row r="1" spans="1:7" ht="18" x14ac:dyDescent="0.3">
      <c r="A1" s="1411" t="s">
        <v>3339</v>
      </c>
      <c r="B1" s="1411"/>
      <c r="C1" s="1411"/>
      <c r="D1" s="1411"/>
      <c r="E1" s="1411"/>
      <c r="F1" s="1548" t="s">
        <v>3388</v>
      </c>
      <c r="G1" s="1548"/>
    </row>
    <row r="2" spans="1:7" x14ac:dyDescent="0.25">
      <c r="A2" s="1232" t="s">
        <v>461</v>
      </c>
      <c r="B2" s="1232"/>
      <c r="C2" s="1232"/>
      <c r="D2" s="1232"/>
      <c r="E2" s="1418" t="s">
        <v>447</v>
      </c>
      <c r="F2" s="1548"/>
      <c r="G2" s="1548"/>
    </row>
    <row r="3" spans="1:7" x14ac:dyDescent="0.25">
      <c r="A3" s="194" t="s">
        <v>1</v>
      </c>
      <c r="B3" s="194" t="s">
        <v>2</v>
      </c>
      <c r="C3" s="194" t="s">
        <v>460</v>
      </c>
      <c r="D3" s="194" t="s">
        <v>462</v>
      </c>
      <c r="E3" s="1418"/>
      <c r="F3" s="1548"/>
      <c r="G3" s="1548"/>
    </row>
    <row r="4" spans="1:7" ht="38.25" x14ac:dyDescent="0.25">
      <c r="A4" s="2" t="s">
        <v>315</v>
      </c>
      <c r="B4" s="154" t="s">
        <v>3195</v>
      </c>
      <c r="C4" s="155">
        <v>200000000</v>
      </c>
      <c r="D4" s="156">
        <v>0</v>
      </c>
      <c r="E4" s="151">
        <v>510</v>
      </c>
      <c r="F4" s="154"/>
      <c r="G4" s="155"/>
    </row>
    <row r="5" spans="1:7" ht="38.25" x14ac:dyDescent="0.25">
      <c r="A5" s="2" t="s">
        <v>317</v>
      </c>
      <c r="B5" s="154" t="s">
        <v>3281</v>
      </c>
      <c r="C5" s="155">
        <v>50000000</v>
      </c>
      <c r="D5" s="156">
        <v>0</v>
      </c>
      <c r="E5" s="151">
        <v>510</v>
      </c>
      <c r="F5" s="154"/>
      <c r="G5" s="155"/>
    </row>
    <row r="6" spans="1:7" ht="38.25" x14ac:dyDescent="0.25">
      <c r="A6" s="109" t="s">
        <v>156</v>
      </c>
      <c r="B6" s="154" t="s">
        <v>3196</v>
      </c>
      <c r="C6" s="155">
        <v>5000000</v>
      </c>
      <c r="D6" s="156">
        <v>0</v>
      </c>
      <c r="E6" s="151">
        <v>510</v>
      </c>
      <c r="F6" s="154"/>
      <c r="G6" s="155"/>
    </row>
    <row r="7" spans="1:7" ht="25.5" x14ac:dyDescent="0.25">
      <c r="A7" s="111" t="s">
        <v>327</v>
      </c>
      <c r="B7" s="159" t="s">
        <v>3282</v>
      </c>
      <c r="C7" s="160">
        <v>10000000</v>
      </c>
      <c r="D7" s="161">
        <v>0</v>
      </c>
      <c r="E7" s="151">
        <v>510</v>
      </c>
      <c r="F7" s="159"/>
      <c r="G7" s="160"/>
    </row>
    <row r="8" spans="1:7" ht="25.5" x14ac:dyDescent="0.25">
      <c r="A8" s="2" t="s">
        <v>389</v>
      </c>
      <c r="B8" s="154" t="s">
        <v>390</v>
      </c>
      <c r="C8" s="155">
        <v>10000000</v>
      </c>
      <c r="D8" s="158">
        <v>10000000</v>
      </c>
      <c r="E8" s="151">
        <v>510</v>
      </c>
      <c r="F8" s="154"/>
      <c r="G8" s="155"/>
    </row>
    <row r="9" spans="1:7" x14ac:dyDescent="0.25">
      <c r="A9" s="117"/>
      <c r="B9" s="162"/>
      <c r="C9" s="153"/>
      <c r="D9" s="163"/>
      <c r="E9" s="164"/>
      <c r="F9" s="162"/>
      <c r="G9" s="153"/>
    </row>
    <row r="10" spans="1:7" ht="56.25" customHeight="1" x14ac:dyDescent="0.25">
      <c r="A10" s="189" t="s">
        <v>20</v>
      </c>
      <c r="B10" s="165" t="s">
        <v>3201</v>
      </c>
      <c r="C10" s="166">
        <v>15000000</v>
      </c>
      <c r="D10" s="167">
        <v>14197808</v>
      </c>
      <c r="E10" s="151">
        <v>520</v>
      </c>
      <c r="F10" s="165" t="s">
        <v>3389</v>
      </c>
      <c r="G10" s="166">
        <v>20000000</v>
      </c>
    </row>
    <row r="11" spans="1:7" ht="38.25" x14ac:dyDescent="0.25">
      <c r="A11" s="2" t="s">
        <v>18</v>
      </c>
      <c r="B11" s="154" t="s">
        <v>19</v>
      </c>
      <c r="C11" s="155">
        <v>100000000</v>
      </c>
      <c r="D11" s="158">
        <v>100000000</v>
      </c>
      <c r="E11" s="151">
        <v>520</v>
      </c>
      <c r="F11" s="154"/>
      <c r="G11" s="155"/>
    </row>
    <row r="12" spans="1:7" ht="38.25" x14ac:dyDescent="0.25">
      <c r="A12" s="2" t="s">
        <v>22</v>
      </c>
      <c r="B12" s="154" t="s">
        <v>3200</v>
      </c>
      <c r="C12" s="155">
        <v>165000000</v>
      </c>
      <c r="D12" s="158">
        <v>165000000</v>
      </c>
      <c r="E12" s="151">
        <v>520</v>
      </c>
      <c r="F12" s="154" t="s">
        <v>3390</v>
      </c>
      <c r="G12" s="155">
        <v>14000000</v>
      </c>
    </row>
    <row r="13" spans="1:7" ht="63.75" x14ac:dyDescent="0.25">
      <c r="A13" s="111" t="s">
        <v>24</v>
      </c>
      <c r="B13" s="159" t="s">
        <v>25</v>
      </c>
      <c r="C13" s="160">
        <v>25000000</v>
      </c>
      <c r="D13" s="168">
        <v>25000000</v>
      </c>
      <c r="E13" s="151">
        <v>520</v>
      </c>
      <c r="F13" s="159"/>
      <c r="G13" s="160"/>
    </row>
    <row r="14" spans="1:7" x14ac:dyDescent="0.25">
      <c r="A14" s="123"/>
      <c r="B14" s="169"/>
      <c r="C14" s="169"/>
      <c r="D14" s="169"/>
      <c r="E14" s="164"/>
      <c r="F14" s="169"/>
      <c r="G14" s="169"/>
    </row>
    <row r="15" spans="1:7" ht="38.25" x14ac:dyDescent="0.25">
      <c r="A15" s="189" t="s">
        <v>42</v>
      </c>
      <c r="B15" s="165" t="s">
        <v>3165</v>
      </c>
      <c r="C15" s="166">
        <v>50000000</v>
      </c>
      <c r="D15" s="166">
        <v>51737900</v>
      </c>
      <c r="E15" s="151">
        <v>510</v>
      </c>
      <c r="F15" s="165" t="s">
        <v>3392</v>
      </c>
      <c r="G15" s="166">
        <f>10000000+10000000</f>
        <v>20000000</v>
      </c>
    </row>
    <row r="16" spans="1:7" ht="38.25" x14ac:dyDescent="0.25">
      <c r="A16" s="2" t="s">
        <v>54</v>
      </c>
      <c r="B16" s="154" t="s">
        <v>3166</v>
      </c>
      <c r="C16" s="170">
        <v>0</v>
      </c>
      <c r="D16" s="155">
        <v>18000000</v>
      </c>
      <c r="E16" s="151">
        <v>510</v>
      </c>
      <c r="F16" s="154" t="s">
        <v>3391</v>
      </c>
      <c r="G16" s="166">
        <v>10000000</v>
      </c>
    </row>
    <row r="17" spans="1:7" ht="38.25" x14ac:dyDescent="0.25">
      <c r="A17" s="2" t="s">
        <v>48</v>
      </c>
      <c r="B17" s="154" t="s">
        <v>3168</v>
      </c>
      <c r="C17" s="155">
        <v>20000000</v>
      </c>
      <c r="D17" s="155">
        <v>6000000</v>
      </c>
      <c r="E17" s="151">
        <v>510</v>
      </c>
      <c r="F17" s="154"/>
      <c r="G17" s="155"/>
    </row>
    <row r="18" spans="1:7" ht="47.25" customHeight="1" x14ac:dyDescent="0.25">
      <c r="A18" s="2" t="s">
        <v>358</v>
      </c>
      <c r="B18" s="154" t="s">
        <v>3169</v>
      </c>
      <c r="C18" s="155">
        <v>20000000</v>
      </c>
      <c r="D18" s="155">
        <v>660000000</v>
      </c>
      <c r="E18" s="151">
        <v>510</v>
      </c>
      <c r="F18" s="154"/>
      <c r="G18" s="155"/>
    </row>
    <row r="19" spans="1:7" ht="47.25" customHeight="1" x14ac:dyDescent="0.25">
      <c r="A19" s="2" t="s">
        <v>368</v>
      </c>
      <c r="B19" s="154" t="s">
        <v>3238</v>
      </c>
      <c r="C19" s="155">
        <v>20000000</v>
      </c>
      <c r="D19" s="155">
        <v>170000000</v>
      </c>
      <c r="E19" s="151">
        <v>510</v>
      </c>
      <c r="F19" s="154"/>
      <c r="G19" s="155"/>
    </row>
    <row r="20" spans="1:7" ht="51" x14ac:dyDescent="0.25">
      <c r="A20" s="2" t="s">
        <v>46</v>
      </c>
      <c r="B20" s="154" t="s">
        <v>3186</v>
      </c>
      <c r="C20" s="155">
        <v>10000000</v>
      </c>
      <c r="D20" s="155">
        <v>21000000</v>
      </c>
      <c r="E20" s="151">
        <v>510</v>
      </c>
      <c r="F20" s="154" t="s">
        <v>3393</v>
      </c>
      <c r="G20" s="155">
        <v>15000000</v>
      </c>
    </row>
    <row r="21" spans="1:7" ht="38.25" x14ac:dyDescent="0.25">
      <c r="A21" s="2" t="s">
        <v>52</v>
      </c>
      <c r="B21" s="154" t="s">
        <v>3291</v>
      </c>
      <c r="C21" s="155">
        <v>80000000</v>
      </c>
      <c r="D21" s="155">
        <v>74450000</v>
      </c>
      <c r="E21" s="151">
        <v>510</v>
      </c>
      <c r="F21" s="154" t="s">
        <v>3395</v>
      </c>
      <c r="G21" s="155">
        <f>15000000+12000000+3000000</f>
        <v>30000000</v>
      </c>
    </row>
    <row r="22" spans="1:7" ht="38.25" x14ac:dyDescent="0.25">
      <c r="A22" s="2" t="s">
        <v>370</v>
      </c>
      <c r="B22" s="154" t="s">
        <v>3187</v>
      </c>
      <c r="C22" s="155">
        <v>21000000</v>
      </c>
      <c r="D22" s="155">
        <v>266000000</v>
      </c>
      <c r="E22" s="151">
        <v>510</v>
      </c>
      <c r="F22" s="154"/>
      <c r="G22" s="155"/>
    </row>
    <row r="23" spans="1:7" ht="76.5" x14ac:dyDescent="0.25">
      <c r="A23" s="2" t="s">
        <v>16</v>
      </c>
      <c r="B23" s="154" t="s">
        <v>3147</v>
      </c>
      <c r="C23" s="155">
        <v>10000000</v>
      </c>
      <c r="D23" s="158">
        <v>10000000</v>
      </c>
      <c r="E23" s="151">
        <v>310</v>
      </c>
      <c r="F23" s="154"/>
      <c r="G23" s="155"/>
    </row>
    <row r="24" spans="1:7" ht="51" x14ac:dyDescent="0.25">
      <c r="A24" s="2" t="s">
        <v>356</v>
      </c>
      <c r="B24" s="154" t="s">
        <v>3146</v>
      </c>
      <c r="C24" s="155">
        <v>250000000</v>
      </c>
      <c r="D24" s="155">
        <v>436500000</v>
      </c>
      <c r="E24" s="152">
        <v>310</v>
      </c>
      <c r="F24" s="154" t="s">
        <v>3394</v>
      </c>
      <c r="G24" s="201">
        <v>25000000</v>
      </c>
    </row>
    <row r="25" spans="1:7" ht="38.25" x14ac:dyDescent="0.25">
      <c r="A25" s="2" t="s">
        <v>134</v>
      </c>
      <c r="B25" s="154" t="s">
        <v>129</v>
      </c>
      <c r="C25" s="155">
        <v>390000000</v>
      </c>
      <c r="D25" s="158">
        <v>543000000</v>
      </c>
      <c r="E25" s="151">
        <v>310</v>
      </c>
      <c r="F25" s="154"/>
      <c r="G25" s="155"/>
    </row>
    <row r="26" spans="1:7" ht="25.5" x14ac:dyDescent="0.25">
      <c r="A26" s="2" t="s">
        <v>163</v>
      </c>
      <c r="B26" s="154" t="s">
        <v>158</v>
      </c>
      <c r="C26" s="155">
        <v>25000000</v>
      </c>
      <c r="D26" s="158">
        <v>40000000</v>
      </c>
      <c r="E26" s="151">
        <v>310</v>
      </c>
      <c r="F26" s="154"/>
      <c r="G26" s="155"/>
    </row>
    <row r="27" spans="1:7" ht="51" x14ac:dyDescent="0.25">
      <c r="A27" s="2" t="s">
        <v>153</v>
      </c>
      <c r="B27" s="154" t="s">
        <v>148</v>
      </c>
      <c r="C27" s="155">
        <v>60000000</v>
      </c>
      <c r="D27" s="158">
        <v>132000000</v>
      </c>
      <c r="E27" s="151">
        <v>310</v>
      </c>
      <c r="F27" s="154"/>
      <c r="G27" s="155"/>
    </row>
    <row r="28" spans="1:7" ht="38.25" x14ac:dyDescent="0.25">
      <c r="A28" s="2" t="s">
        <v>141</v>
      </c>
      <c r="B28" s="154" t="s">
        <v>136</v>
      </c>
      <c r="C28" s="155">
        <v>10000000</v>
      </c>
      <c r="D28" s="158">
        <v>55000000</v>
      </c>
      <c r="E28" s="151">
        <v>310</v>
      </c>
      <c r="F28" s="154"/>
      <c r="G28" s="155"/>
    </row>
    <row r="29" spans="1:7" ht="38.25" x14ac:dyDescent="0.25">
      <c r="A29" s="2" t="s">
        <v>171</v>
      </c>
      <c r="B29" s="154" t="s">
        <v>3296</v>
      </c>
      <c r="C29" s="155">
        <v>120000000</v>
      </c>
      <c r="D29" s="158">
        <v>220733536</v>
      </c>
      <c r="E29" s="151">
        <v>310</v>
      </c>
      <c r="F29" s="154"/>
      <c r="G29" s="155"/>
    </row>
    <row r="30" spans="1:7" ht="25.5" x14ac:dyDescent="0.25">
      <c r="A30" s="2" t="s">
        <v>179</v>
      </c>
      <c r="B30" s="154" t="s">
        <v>174</v>
      </c>
      <c r="C30" s="155">
        <v>195000000</v>
      </c>
      <c r="D30" s="158">
        <v>261900000</v>
      </c>
      <c r="E30" s="151">
        <v>310</v>
      </c>
      <c r="F30" s="154"/>
      <c r="G30" s="202">
        <v>86900000</v>
      </c>
    </row>
    <row r="31" spans="1:7" ht="25.5" x14ac:dyDescent="0.25">
      <c r="A31" s="2" t="s">
        <v>187</v>
      </c>
      <c r="B31" s="154" t="s">
        <v>182</v>
      </c>
      <c r="C31" s="155">
        <v>100000000</v>
      </c>
      <c r="D31" s="158">
        <v>217243622</v>
      </c>
      <c r="E31" s="151">
        <v>310</v>
      </c>
      <c r="F31" s="154"/>
      <c r="G31" s="155"/>
    </row>
    <row r="32" spans="1:7" ht="63.75" x14ac:dyDescent="0.25">
      <c r="A32" s="2" t="s">
        <v>63</v>
      </c>
      <c r="B32" s="154" t="s">
        <v>3172</v>
      </c>
      <c r="C32" s="155">
        <v>440000000</v>
      </c>
      <c r="D32" s="158">
        <v>439999988</v>
      </c>
      <c r="E32" s="151">
        <v>410</v>
      </c>
      <c r="F32" s="154" t="s">
        <v>3396</v>
      </c>
      <c r="G32" s="155">
        <f>20000000+6000000</f>
        <v>26000000</v>
      </c>
    </row>
    <row r="33" spans="1:7" ht="51" x14ac:dyDescent="0.25">
      <c r="A33" s="2" t="s">
        <v>61</v>
      </c>
      <c r="B33" s="154" t="s">
        <v>3264</v>
      </c>
      <c r="C33" s="155">
        <v>170000000</v>
      </c>
      <c r="D33" s="155">
        <v>170000000</v>
      </c>
      <c r="E33" s="151">
        <v>410</v>
      </c>
      <c r="F33" s="154" t="s">
        <v>3397</v>
      </c>
      <c r="G33" s="155">
        <v>10000000</v>
      </c>
    </row>
    <row r="34" spans="1:7" ht="38.25" x14ac:dyDescent="0.25">
      <c r="A34" s="2" t="s">
        <v>59</v>
      </c>
      <c r="B34" s="154" t="s">
        <v>60</v>
      </c>
      <c r="C34" s="155">
        <v>58000000</v>
      </c>
      <c r="D34" s="155">
        <v>58000000</v>
      </c>
      <c r="E34" s="151">
        <v>410</v>
      </c>
      <c r="F34" s="154"/>
      <c r="G34" s="155"/>
    </row>
    <row r="35" spans="1:7" ht="25.5" x14ac:dyDescent="0.25">
      <c r="A35" s="2" t="s">
        <v>391</v>
      </c>
      <c r="B35" s="154" t="s">
        <v>3181</v>
      </c>
      <c r="C35" s="155">
        <v>70000000</v>
      </c>
      <c r="D35" s="155">
        <v>70000000</v>
      </c>
      <c r="E35" s="151">
        <v>410</v>
      </c>
      <c r="F35" s="154"/>
      <c r="G35" s="155"/>
    </row>
    <row r="36" spans="1:7" ht="38.25" x14ac:dyDescent="0.25">
      <c r="A36" s="2" t="s">
        <v>379</v>
      </c>
      <c r="B36" s="154" t="s">
        <v>3237</v>
      </c>
      <c r="C36" s="155">
        <v>50000000</v>
      </c>
      <c r="D36" s="155">
        <v>50000000</v>
      </c>
      <c r="E36" s="151">
        <v>410</v>
      </c>
      <c r="F36" s="154"/>
      <c r="G36" s="155"/>
    </row>
    <row r="37" spans="1:7" ht="38.25" x14ac:dyDescent="0.25">
      <c r="A37" s="2" t="s">
        <v>393</v>
      </c>
      <c r="B37" s="154" t="s">
        <v>394</v>
      </c>
      <c r="C37" s="155">
        <v>50000000</v>
      </c>
      <c r="D37" s="155">
        <v>50000000</v>
      </c>
      <c r="E37" s="151">
        <v>410</v>
      </c>
      <c r="F37" s="154"/>
      <c r="G37" s="155"/>
    </row>
    <row r="38" spans="1:7" ht="63.75" x14ac:dyDescent="0.25">
      <c r="A38" s="2" t="s">
        <v>383</v>
      </c>
      <c r="B38" s="154" t="s">
        <v>3178</v>
      </c>
      <c r="C38" s="155">
        <v>105000000</v>
      </c>
      <c r="D38" s="155">
        <v>105000000</v>
      </c>
      <c r="E38" s="151">
        <v>410</v>
      </c>
      <c r="F38" s="154"/>
      <c r="G38" s="155"/>
    </row>
    <row r="39" spans="1:7" ht="38.25" x14ac:dyDescent="0.25">
      <c r="A39" s="2" t="s">
        <v>65</v>
      </c>
      <c r="B39" s="154" t="s">
        <v>3179</v>
      </c>
      <c r="C39" s="155">
        <v>780000000</v>
      </c>
      <c r="D39" s="155">
        <v>780000000</v>
      </c>
      <c r="E39" s="151">
        <v>410</v>
      </c>
      <c r="F39" s="154" t="s">
        <v>3398</v>
      </c>
      <c r="G39" s="155">
        <v>10000000</v>
      </c>
    </row>
    <row r="40" spans="1:7" ht="38.25" x14ac:dyDescent="0.25">
      <c r="A40" s="2" t="s">
        <v>385</v>
      </c>
      <c r="B40" s="154" t="s">
        <v>3231</v>
      </c>
      <c r="C40" s="155">
        <v>30000000</v>
      </c>
      <c r="D40" s="155">
        <v>30000000</v>
      </c>
      <c r="E40" s="151">
        <v>410</v>
      </c>
      <c r="F40" s="154"/>
      <c r="G40" s="202">
        <v>10000000</v>
      </c>
    </row>
    <row r="41" spans="1:7" ht="51" x14ac:dyDescent="0.25">
      <c r="A41" s="2" t="s">
        <v>387</v>
      </c>
      <c r="B41" s="154" t="s">
        <v>388</v>
      </c>
      <c r="C41" s="155">
        <v>20000000</v>
      </c>
      <c r="D41" s="155">
        <v>20000000</v>
      </c>
      <c r="E41" s="151">
        <v>410</v>
      </c>
      <c r="F41" s="154"/>
      <c r="G41" s="155"/>
    </row>
    <row r="42" spans="1:7" ht="25.5" x14ac:dyDescent="0.25">
      <c r="A42" s="2" t="s">
        <v>381</v>
      </c>
      <c r="B42" s="154" t="s">
        <v>3176</v>
      </c>
      <c r="C42" s="155">
        <v>50000000</v>
      </c>
      <c r="D42" s="155">
        <v>50000000</v>
      </c>
      <c r="E42" s="151">
        <v>410</v>
      </c>
      <c r="F42" s="154"/>
      <c r="G42" s="155"/>
    </row>
    <row r="43" spans="1:7" ht="38.25" x14ac:dyDescent="0.25">
      <c r="A43" s="2" t="s">
        <v>366</v>
      </c>
      <c r="B43" s="154" t="s">
        <v>3183</v>
      </c>
      <c r="C43" s="155">
        <v>5000000</v>
      </c>
      <c r="D43" s="158">
        <v>105000000</v>
      </c>
      <c r="E43" s="151">
        <v>510</v>
      </c>
      <c r="F43" s="154"/>
      <c r="G43" s="155"/>
    </row>
    <row r="44" spans="1:7" ht="67.5" customHeight="1" x14ac:dyDescent="0.25">
      <c r="A44" s="187" t="s">
        <v>241</v>
      </c>
      <c r="B44" s="171" t="s">
        <v>242</v>
      </c>
      <c r="C44" s="172">
        <v>100000000</v>
      </c>
      <c r="D44" s="173">
        <v>122000000</v>
      </c>
      <c r="E44" s="151">
        <v>510</v>
      </c>
      <c r="F44" s="171" t="s">
        <v>3399</v>
      </c>
      <c r="G44" s="172"/>
    </row>
    <row r="45" spans="1:7" x14ac:dyDescent="0.25">
      <c r="A45" s="117"/>
      <c r="B45" s="162"/>
      <c r="C45" s="153"/>
      <c r="D45" s="163"/>
      <c r="E45" s="164"/>
      <c r="F45" s="162"/>
      <c r="G45" s="153"/>
    </row>
    <row r="46" spans="1:7" ht="63.75" x14ac:dyDescent="0.25">
      <c r="A46" s="109" t="s">
        <v>323</v>
      </c>
      <c r="B46" s="154" t="s">
        <v>3145</v>
      </c>
      <c r="C46" s="155">
        <v>30000000</v>
      </c>
      <c r="D46" s="155">
        <v>30000000</v>
      </c>
      <c r="E46" s="151">
        <v>510</v>
      </c>
      <c r="F46" s="154"/>
      <c r="G46" s="155"/>
    </row>
    <row r="47" spans="1:7" ht="63.75" x14ac:dyDescent="0.25">
      <c r="A47" s="109" t="s">
        <v>319</v>
      </c>
      <c r="B47" s="154" t="s">
        <v>3143</v>
      </c>
      <c r="C47" s="155">
        <v>30000000</v>
      </c>
      <c r="D47" s="155">
        <v>30000000</v>
      </c>
      <c r="E47" s="151">
        <v>510</v>
      </c>
      <c r="F47" s="154"/>
      <c r="G47" s="155"/>
    </row>
    <row r="48" spans="1:7" ht="76.5" x14ac:dyDescent="0.25">
      <c r="A48" s="109" t="s">
        <v>321</v>
      </c>
      <c r="B48" s="154" t="s">
        <v>3144</v>
      </c>
      <c r="C48" s="155">
        <v>40000000</v>
      </c>
      <c r="D48" s="155">
        <v>40000000</v>
      </c>
      <c r="E48" s="151">
        <v>510</v>
      </c>
      <c r="F48" s="154"/>
      <c r="G48" s="155"/>
    </row>
    <row r="49" spans="1:7" ht="63.75" x14ac:dyDescent="0.25">
      <c r="A49" s="189" t="s">
        <v>325</v>
      </c>
      <c r="B49" s="165" t="s">
        <v>3142</v>
      </c>
      <c r="C49" s="166">
        <v>5000000</v>
      </c>
      <c r="D49" s="166">
        <v>16000000</v>
      </c>
      <c r="E49" s="151">
        <v>510</v>
      </c>
      <c r="F49" s="165"/>
      <c r="G49" s="166"/>
    </row>
    <row r="50" spans="1:7" ht="25.5" x14ac:dyDescent="0.25">
      <c r="A50" s="2" t="s">
        <v>232</v>
      </c>
      <c r="B50" s="154" t="s">
        <v>3297</v>
      </c>
      <c r="C50" s="155">
        <v>2860000000</v>
      </c>
      <c r="D50" s="155">
        <v>4387000000</v>
      </c>
      <c r="E50" s="151">
        <v>111</v>
      </c>
      <c r="F50" s="154"/>
      <c r="G50" s="155"/>
    </row>
    <row r="51" spans="1:7" ht="25.5" x14ac:dyDescent="0.25">
      <c r="A51" s="2" t="s">
        <v>230</v>
      </c>
      <c r="B51" s="154" t="s">
        <v>2811</v>
      </c>
      <c r="C51" s="155">
        <v>380000000</v>
      </c>
      <c r="D51" s="155">
        <v>515000000</v>
      </c>
      <c r="E51" s="151">
        <v>111</v>
      </c>
      <c r="F51" s="154"/>
      <c r="G51" s="155"/>
    </row>
    <row r="52" spans="1:7" ht="25.5" x14ac:dyDescent="0.25">
      <c r="A52" s="187" t="s">
        <v>234</v>
      </c>
      <c r="B52" s="154" t="s">
        <v>3298</v>
      </c>
      <c r="C52" s="155">
        <v>260000000</v>
      </c>
      <c r="D52" s="155">
        <v>260000000</v>
      </c>
      <c r="E52" s="151">
        <v>111</v>
      </c>
      <c r="F52" s="154"/>
      <c r="G52" s="155"/>
    </row>
    <row r="53" spans="1:7" ht="38.25" x14ac:dyDescent="0.25">
      <c r="A53" s="192" t="s">
        <v>91</v>
      </c>
      <c r="B53" s="174" t="s">
        <v>3192</v>
      </c>
      <c r="C53" s="155">
        <v>50000000</v>
      </c>
      <c r="D53" s="155">
        <v>58353559</v>
      </c>
      <c r="E53" s="151">
        <v>211</v>
      </c>
      <c r="F53" s="174"/>
      <c r="G53" s="155"/>
    </row>
    <row r="54" spans="1:7" ht="38.25" x14ac:dyDescent="0.25">
      <c r="A54" s="192" t="s">
        <v>93</v>
      </c>
      <c r="B54" s="174" t="s">
        <v>3189</v>
      </c>
      <c r="C54" s="155">
        <v>10000000</v>
      </c>
      <c r="D54" s="155">
        <v>21763332</v>
      </c>
      <c r="E54" s="151">
        <v>211</v>
      </c>
      <c r="F54" s="174"/>
      <c r="G54" s="155"/>
    </row>
    <row r="55" spans="1:7" ht="38.25" x14ac:dyDescent="0.25">
      <c r="A55" s="192" t="s">
        <v>97</v>
      </c>
      <c r="B55" s="174" t="s">
        <v>3190</v>
      </c>
      <c r="C55" s="155">
        <v>30000000</v>
      </c>
      <c r="D55" s="155">
        <v>68513332</v>
      </c>
      <c r="E55" s="151">
        <v>211</v>
      </c>
      <c r="F55" s="174"/>
      <c r="G55" s="155"/>
    </row>
    <row r="56" spans="1:7" ht="38.25" x14ac:dyDescent="0.25">
      <c r="A56" s="192" t="s">
        <v>95</v>
      </c>
      <c r="B56" s="174" t="s">
        <v>3191</v>
      </c>
      <c r="C56" s="155">
        <v>590000000</v>
      </c>
      <c r="D56" s="155">
        <v>907756276</v>
      </c>
      <c r="E56" s="151">
        <v>211</v>
      </c>
      <c r="F56" s="174"/>
      <c r="G56" s="155"/>
    </row>
    <row r="57" spans="1:7" ht="25.5" x14ac:dyDescent="0.25">
      <c r="A57" s="2" t="s">
        <v>299</v>
      </c>
      <c r="B57" s="154" t="s">
        <v>300</v>
      </c>
      <c r="C57" s="155">
        <v>100000000</v>
      </c>
      <c r="D57" s="155">
        <v>86318000</v>
      </c>
      <c r="E57" s="151">
        <v>211</v>
      </c>
      <c r="F57" s="154"/>
      <c r="G57" s="155"/>
    </row>
    <row r="58" spans="1:7" ht="38.25" x14ac:dyDescent="0.25">
      <c r="A58" s="2" t="s">
        <v>277</v>
      </c>
      <c r="B58" s="154" t="s">
        <v>3251</v>
      </c>
      <c r="C58" s="155">
        <v>100000000</v>
      </c>
      <c r="D58" s="155">
        <v>400049000</v>
      </c>
      <c r="E58" s="151">
        <v>211</v>
      </c>
      <c r="F58" s="154"/>
      <c r="G58" s="155"/>
    </row>
    <row r="59" spans="1:7" ht="38.25" x14ac:dyDescent="0.25">
      <c r="A59" s="2" t="s">
        <v>180</v>
      </c>
      <c r="B59" s="154" t="s">
        <v>3247</v>
      </c>
      <c r="C59" s="155">
        <v>50000000</v>
      </c>
      <c r="D59" s="155">
        <v>14752000</v>
      </c>
      <c r="E59" s="151">
        <v>211</v>
      </c>
      <c r="F59" s="154"/>
      <c r="G59" s="155"/>
    </row>
    <row r="60" spans="1:7" ht="38.25" x14ac:dyDescent="0.25">
      <c r="A60" s="2" t="s">
        <v>284</v>
      </c>
      <c r="B60" s="154" t="s">
        <v>3255</v>
      </c>
      <c r="C60" s="155">
        <v>150000000</v>
      </c>
      <c r="D60" s="155">
        <v>689156673</v>
      </c>
      <c r="E60" s="151">
        <v>211</v>
      </c>
      <c r="F60" s="154"/>
      <c r="G60" s="155"/>
    </row>
    <row r="61" spans="1:7" ht="38.25" x14ac:dyDescent="0.25">
      <c r="A61" s="2" t="s">
        <v>289</v>
      </c>
      <c r="B61" s="154" t="s">
        <v>3246</v>
      </c>
      <c r="C61" s="155">
        <v>150000000</v>
      </c>
      <c r="D61" s="155">
        <v>626977688</v>
      </c>
      <c r="E61" s="151">
        <v>211</v>
      </c>
      <c r="F61" s="154"/>
      <c r="G61" s="155"/>
    </row>
    <row r="62" spans="1:7" ht="38.25" x14ac:dyDescent="0.25">
      <c r="A62" s="2" t="s">
        <v>294</v>
      </c>
      <c r="B62" s="154" t="s">
        <v>3254</v>
      </c>
      <c r="C62" s="155">
        <v>150000000</v>
      </c>
      <c r="D62" s="155">
        <v>138901200</v>
      </c>
      <c r="E62" s="151">
        <v>211</v>
      </c>
      <c r="F62" s="154"/>
      <c r="G62" s="155"/>
    </row>
    <row r="63" spans="1:7" ht="38.25" x14ac:dyDescent="0.25">
      <c r="A63" s="2" t="s">
        <v>308</v>
      </c>
      <c r="B63" s="154" t="s">
        <v>3242</v>
      </c>
      <c r="C63" s="155">
        <v>150000000</v>
      </c>
      <c r="D63" s="155">
        <v>149998000</v>
      </c>
      <c r="E63" s="151">
        <v>211</v>
      </c>
      <c r="F63" s="154"/>
      <c r="G63" s="155"/>
    </row>
    <row r="64" spans="1:7" ht="38.25" x14ac:dyDescent="0.25">
      <c r="A64" s="2" t="s">
        <v>188</v>
      </c>
      <c r="B64" s="154" t="s">
        <v>3244</v>
      </c>
      <c r="C64" s="155">
        <v>50000000</v>
      </c>
      <c r="D64" s="155">
        <v>28140000</v>
      </c>
      <c r="E64" s="151">
        <v>211</v>
      </c>
      <c r="F64" s="154"/>
      <c r="G64" s="155"/>
    </row>
    <row r="65" spans="1:7" ht="63.75" x14ac:dyDescent="0.25">
      <c r="A65" s="2" t="s">
        <v>154</v>
      </c>
      <c r="B65" s="154" t="s">
        <v>155</v>
      </c>
      <c r="C65" s="155">
        <v>300000000</v>
      </c>
      <c r="D65" s="155">
        <v>745245655</v>
      </c>
      <c r="E65" s="151">
        <v>211</v>
      </c>
      <c r="F65" s="154"/>
      <c r="G65" s="155"/>
    </row>
    <row r="66" spans="1:7" ht="25.5" x14ac:dyDescent="0.25">
      <c r="A66" s="2" t="s">
        <v>146</v>
      </c>
      <c r="B66" s="154" t="s">
        <v>3252</v>
      </c>
      <c r="C66" s="155">
        <v>200000000</v>
      </c>
      <c r="D66" s="155">
        <v>1911460000</v>
      </c>
      <c r="E66" s="151">
        <v>211</v>
      </c>
      <c r="F66" s="154"/>
      <c r="G66" s="155"/>
    </row>
    <row r="67" spans="1:7" ht="25.5" x14ac:dyDescent="0.25">
      <c r="A67" s="2" t="s">
        <v>144</v>
      </c>
      <c r="B67" s="154" t="s">
        <v>3256</v>
      </c>
      <c r="C67" s="155">
        <v>200000000</v>
      </c>
      <c r="D67" s="155">
        <v>230646000</v>
      </c>
      <c r="E67" s="151">
        <v>211</v>
      </c>
      <c r="F67" s="154"/>
      <c r="G67" s="155"/>
    </row>
    <row r="68" spans="1:7" ht="25.5" x14ac:dyDescent="0.25">
      <c r="A68" s="2" t="s">
        <v>142</v>
      </c>
      <c r="B68" s="154" t="s">
        <v>3245</v>
      </c>
      <c r="C68" s="155">
        <v>200000000</v>
      </c>
      <c r="D68" s="155">
        <v>245963800</v>
      </c>
      <c r="E68" s="151">
        <v>211</v>
      </c>
      <c r="F68" s="154"/>
      <c r="G68" s="155"/>
    </row>
    <row r="69" spans="1:7" ht="25.5" x14ac:dyDescent="0.25">
      <c r="A69" s="2" t="s">
        <v>250</v>
      </c>
      <c r="B69" s="154" t="s">
        <v>251</v>
      </c>
      <c r="C69" s="155">
        <v>50000000</v>
      </c>
      <c r="D69" s="155">
        <v>156188000</v>
      </c>
      <c r="E69" s="151">
        <v>211</v>
      </c>
      <c r="F69" s="154"/>
      <c r="G69" s="155"/>
    </row>
    <row r="70" spans="1:7" ht="25.5" x14ac:dyDescent="0.25">
      <c r="A70" s="2" t="s">
        <v>164</v>
      </c>
      <c r="B70" s="154" t="s">
        <v>165</v>
      </c>
      <c r="C70" s="155">
        <v>100000000</v>
      </c>
      <c r="D70" s="155">
        <v>120379645</v>
      </c>
      <c r="E70" s="151">
        <v>211</v>
      </c>
      <c r="F70" s="154"/>
      <c r="G70" s="155"/>
    </row>
    <row r="71" spans="1:7" ht="51" x14ac:dyDescent="0.25">
      <c r="A71" s="2" t="s">
        <v>172</v>
      </c>
      <c r="B71" s="154" t="s">
        <v>3249</v>
      </c>
      <c r="C71" s="155">
        <v>100000000</v>
      </c>
      <c r="D71" s="155">
        <v>1831236000</v>
      </c>
      <c r="E71" s="151">
        <v>211</v>
      </c>
      <c r="F71" s="154"/>
      <c r="G71" s="155"/>
    </row>
    <row r="72" spans="1:7" ht="38.25" x14ac:dyDescent="0.25">
      <c r="A72" s="2" t="s">
        <v>73</v>
      </c>
      <c r="B72" s="154" t="s">
        <v>74</v>
      </c>
      <c r="C72" s="155">
        <v>280000000</v>
      </c>
      <c r="D72" s="155">
        <v>492473000</v>
      </c>
      <c r="E72" s="151">
        <v>211</v>
      </c>
      <c r="F72" s="154"/>
      <c r="G72" s="155"/>
    </row>
    <row r="73" spans="1:7" ht="25.5" x14ac:dyDescent="0.25">
      <c r="A73" s="2" t="s">
        <v>206</v>
      </c>
      <c r="B73" s="154" t="s">
        <v>3250</v>
      </c>
      <c r="C73" s="155">
        <v>90000000</v>
      </c>
      <c r="D73" s="155">
        <v>135290000</v>
      </c>
      <c r="E73" s="151">
        <v>211</v>
      </c>
      <c r="F73" s="154"/>
      <c r="G73" s="155"/>
    </row>
    <row r="74" spans="1:7" ht="38.25" x14ac:dyDescent="0.25">
      <c r="A74" s="2" t="s">
        <v>208</v>
      </c>
      <c r="B74" s="154" t="s">
        <v>3243</v>
      </c>
      <c r="C74" s="155">
        <v>90000000</v>
      </c>
      <c r="D74" s="155">
        <v>91121208</v>
      </c>
      <c r="E74" s="151">
        <v>211</v>
      </c>
      <c r="F74" s="154"/>
      <c r="G74" s="155"/>
    </row>
    <row r="75" spans="1:7" ht="25.5" x14ac:dyDescent="0.25">
      <c r="A75" s="2" t="s">
        <v>203</v>
      </c>
      <c r="B75" s="154" t="s">
        <v>3257</v>
      </c>
      <c r="C75" s="155">
        <v>90000000</v>
      </c>
      <c r="D75" s="155">
        <v>112333500</v>
      </c>
      <c r="E75" s="151">
        <v>211</v>
      </c>
      <c r="F75" s="154"/>
      <c r="G75" s="155"/>
    </row>
    <row r="76" spans="1:7" ht="38.25" x14ac:dyDescent="0.25">
      <c r="A76" s="2" t="s">
        <v>210</v>
      </c>
      <c r="B76" s="154" t="s">
        <v>3248</v>
      </c>
      <c r="C76" s="155">
        <v>50000000</v>
      </c>
      <c r="D76" s="155">
        <v>49113909</v>
      </c>
      <c r="E76" s="151">
        <v>211</v>
      </c>
      <c r="F76" s="154"/>
      <c r="G76" s="155"/>
    </row>
    <row r="77" spans="1:7" ht="38.25" x14ac:dyDescent="0.25">
      <c r="A77" s="2" t="s">
        <v>1652</v>
      </c>
      <c r="B77" s="154" t="s">
        <v>3253</v>
      </c>
      <c r="C77" s="155">
        <v>100000000</v>
      </c>
      <c r="D77" s="155">
        <v>107176000</v>
      </c>
      <c r="E77" s="151">
        <v>211</v>
      </c>
      <c r="F77" s="154"/>
      <c r="G77" s="155"/>
    </row>
    <row r="78" spans="1:7" ht="25.5" x14ac:dyDescent="0.25">
      <c r="A78" s="2" t="s">
        <v>3341</v>
      </c>
      <c r="B78" s="154" t="s">
        <v>3342</v>
      </c>
      <c r="C78" s="155"/>
      <c r="D78" s="155"/>
      <c r="E78" s="151">
        <v>211</v>
      </c>
      <c r="F78" s="154"/>
      <c r="G78" s="155"/>
    </row>
    <row r="79" spans="1:7" ht="25.5" x14ac:dyDescent="0.25">
      <c r="A79" s="187" t="s">
        <v>236</v>
      </c>
      <c r="B79" s="171" t="s">
        <v>237</v>
      </c>
      <c r="C79" s="172">
        <v>90000000</v>
      </c>
      <c r="D79" s="172">
        <v>1000000000</v>
      </c>
      <c r="E79" s="151">
        <v>111</v>
      </c>
      <c r="F79" s="171"/>
      <c r="G79" s="172"/>
    </row>
    <row r="80" spans="1:7" x14ac:dyDescent="0.25">
      <c r="A80" s="117"/>
      <c r="B80" s="162"/>
      <c r="C80" s="153"/>
      <c r="D80" s="153"/>
      <c r="E80" s="164"/>
      <c r="F80" s="162"/>
      <c r="G80" s="153"/>
    </row>
    <row r="81" spans="1:7" ht="51" x14ac:dyDescent="0.25">
      <c r="A81" s="2" t="s">
        <v>196</v>
      </c>
      <c r="B81" s="154" t="s">
        <v>3207</v>
      </c>
      <c r="C81" s="155">
        <v>25000000</v>
      </c>
      <c r="D81" s="155">
        <v>25443075</v>
      </c>
      <c r="E81" s="151">
        <v>510</v>
      </c>
      <c r="F81" s="154"/>
      <c r="G81" s="155"/>
    </row>
    <row r="82" spans="1:7" ht="76.5" x14ac:dyDescent="0.25">
      <c r="A82" s="2" t="s">
        <v>194</v>
      </c>
      <c r="B82" s="154" t="s">
        <v>195</v>
      </c>
      <c r="C82" s="155">
        <v>30000000</v>
      </c>
      <c r="D82" s="155">
        <v>30000000</v>
      </c>
      <c r="E82" s="151">
        <v>510</v>
      </c>
      <c r="F82" s="154"/>
      <c r="G82" s="155"/>
    </row>
    <row r="83" spans="1:7" ht="63.75" x14ac:dyDescent="0.25">
      <c r="A83" s="187" t="s">
        <v>50</v>
      </c>
      <c r="B83" s="171" t="s">
        <v>3385</v>
      </c>
      <c r="C83" s="172">
        <v>10000000</v>
      </c>
      <c r="D83" s="172">
        <v>10300000</v>
      </c>
      <c r="E83" s="151">
        <v>510</v>
      </c>
      <c r="F83" s="171"/>
      <c r="G83" s="172"/>
    </row>
    <row r="84" spans="1:7" x14ac:dyDescent="0.25">
      <c r="A84" s="117"/>
      <c r="B84" s="162"/>
      <c r="C84" s="153"/>
      <c r="D84" s="153"/>
      <c r="E84" s="164"/>
      <c r="F84" s="162"/>
      <c r="G84" s="153"/>
    </row>
    <row r="85" spans="1:7" ht="38.25" x14ac:dyDescent="0.25">
      <c r="A85" s="2" t="s">
        <v>351</v>
      </c>
      <c r="B85" s="154" t="s">
        <v>3325</v>
      </c>
      <c r="C85" s="155">
        <v>150000000</v>
      </c>
      <c r="D85" s="155">
        <v>610600800</v>
      </c>
      <c r="E85" s="151">
        <v>310</v>
      </c>
      <c r="F85" s="154"/>
      <c r="G85" s="155"/>
    </row>
    <row r="86" spans="1:7" ht="38.25" x14ac:dyDescent="0.25">
      <c r="A86" s="2" t="s">
        <v>362</v>
      </c>
      <c r="B86" s="154" t="s">
        <v>363</v>
      </c>
      <c r="C86" s="155">
        <v>15000000</v>
      </c>
      <c r="D86" s="155">
        <v>140000000</v>
      </c>
      <c r="E86" s="151">
        <v>510</v>
      </c>
      <c r="F86" s="154"/>
      <c r="G86" s="155"/>
    </row>
    <row r="87" spans="1:7" ht="51" x14ac:dyDescent="0.25">
      <c r="A87" s="2" t="s">
        <v>374</v>
      </c>
      <c r="B87" s="154" t="s">
        <v>3327</v>
      </c>
      <c r="C87" s="155">
        <v>60000000</v>
      </c>
      <c r="D87" s="155">
        <v>159999852</v>
      </c>
      <c r="E87" s="151">
        <v>301</v>
      </c>
      <c r="F87" s="154"/>
      <c r="G87" s="155"/>
    </row>
    <row r="88" spans="1:7" ht="25.5" x14ac:dyDescent="0.25">
      <c r="A88" s="2" t="s">
        <v>372</v>
      </c>
      <c r="B88" s="154" t="s">
        <v>3326</v>
      </c>
      <c r="C88" s="155">
        <v>50000000</v>
      </c>
      <c r="D88" s="155">
        <v>1275000000</v>
      </c>
      <c r="E88" s="151">
        <v>301</v>
      </c>
      <c r="F88" s="154"/>
      <c r="G88" s="155"/>
    </row>
    <row r="89" spans="1:7" ht="38.25" x14ac:dyDescent="0.25">
      <c r="A89" s="2" t="s">
        <v>337</v>
      </c>
      <c r="B89" s="154" t="s">
        <v>3328</v>
      </c>
      <c r="C89" s="155">
        <v>35000000</v>
      </c>
      <c r="D89" s="155">
        <v>31563700</v>
      </c>
      <c r="E89" s="151">
        <v>301</v>
      </c>
      <c r="F89" s="154"/>
      <c r="G89" s="155"/>
    </row>
    <row r="90" spans="1:7" ht="51" x14ac:dyDescent="0.25">
      <c r="A90" s="2" t="s">
        <v>219</v>
      </c>
      <c r="B90" s="154" t="s">
        <v>3329</v>
      </c>
      <c r="C90" s="155">
        <v>30000000</v>
      </c>
      <c r="D90" s="155">
        <v>6000000</v>
      </c>
      <c r="E90" s="151">
        <v>301</v>
      </c>
      <c r="F90" s="154"/>
      <c r="G90" s="155"/>
    </row>
    <row r="91" spans="1:7" ht="38.25" x14ac:dyDescent="0.25">
      <c r="A91" s="2" t="s">
        <v>341</v>
      </c>
      <c r="B91" s="154" t="s">
        <v>3330</v>
      </c>
      <c r="C91" s="155">
        <v>50</v>
      </c>
      <c r="D91" s="155">
        <v>0</v>
      </c>
      <c r="E91" s="151">
        <v>301</v>
      </c>
      <c r="F91" s="154"/>
      <c r="G91" s="155"/>
    </row>
    <row r="92" spans="1:7" ht="51" x14ac:dyDescent="0.25">
      <c r="A92" s="2" t="s">
        <v>110</v>
      </c>
      <c r="B92" s="154" t="s">
        <v>3331</v>
      </c>
      <c r="C92" s="155">
        <v>550000000</v>
      </c>
      <c r="D92" s="155">
        <v>670160000</v>
      </c>
      <c r="E92" s="151">
        <v>301</v>
      </c>
      <c r="F92" s="154"/>
      <c r="G92" s="155"/>
    </row>
    <row r="93" spans="1:7" ht="38.25" x14ac:dyDescent="0.25">
      <c r="A93" s="2" t="s">
        <v>112</v>
      </c>
      <c r="B93" s="154" t="s">
        <v>3332</v>
      </c>
      <c r="C93" s="155">
        <v>35000000</v>
      </c>
      <c r="D93" s="155">
        <v>185000000</v>
      </c>
      <c r="E93" s="151">
        <v>301</v>
      </c>
      <c r="F93" s="154"/>
      <c r="G93" s="155"/>
    </row>
    <row r="94" spans="1:7" ht="89.25" x14ac:dyDescent="0.25">
      <c r="A94" s="2" t="s">
        <v>108</v>
      </c>
      <c r="B94" s="154" t="s">
        <v>3148</v>
      </c>
      <c r="C94" s="155">
        <v>60000000</v>
      </c>
      <c r="D94" s="155">
        <v>913000000</v>
      </c>
      <c r="E94" s="151">
        <v>301</v>
      </c>
      <c r="F94" s="154"/>
      <c r="G94" s="155"/>
    </row>
    <row r="95" spans="1:7" ht="25.5" x14ac:dyDescent="0.25">
      <c r="A95" s="2" t="s">
        <v>78</v>
      </c>
      <c r="B95" s="154" t="s">
        <v>79</v>
      </c>
      <c r="C95" s="155">
        <v>120000000</v>
      </c>
      <c r="D95" s="155">
        <v>365975023</v>
      </c>
      <c r="E95" s="151">
        <v>301</v>
      </c>
      <c r="F95" s="154"/>
      <c r="G95" s="155"/>
    </row>
    <row r="96" spans="1:7" ht="25.5" x14ac:dyDescent="0.25">
      <c r="A96" s="187" t="s">
        <v>127</v>
      </c>
      <c r="B96" s="171" t="s">
        <v>128</v>
      </c>
      <c r="C96" s="172">
        <v>80000000</v>
      </c>
      <c r="D96" s="172">
        <v>117299875</v>
      </c>
      <c r="E96" s="151">
        <v>301</v>
      </c>
      <c r="F96" s="171"/>
      <c r="G96" s="172"/>
    </row>
    <row r="97" spans="1:7" x14ac:dyDescent="0.25">
      <c r="A97" s="117"/>
      <c r="B97" s="162"/>
      <c r="C97" s="153"/>
      <c r="D97" s="153"/>
      <c r="E97" s="164"/>
      <c r="F97" s="162"/>
      <c r="G97" s="153"/>
    </row>
    <row r="98" spans="1:7" ht="51" x14ac:dyDescent="0.25">
      <c r="A98" s="188" t="s">
        <v>26</v>
      </c>
      <c r="B98" s="165" t="s">
        <v>3262</v>
      </c>
      <c r="C98" s="166">
        <v>35000000</v>
      </c>
      <c r="D98" s="166">
        <v>47656000</v>
      </c>
      <c r="E98" s="151">
        <v>510</v>
      </c>
      <c r="F98" s="165"/>
      <c r="G98" s="166"/>
    </row>
    <row r="99" spans="1:7" ht="51" x14ac:dyDescent="0.25">
      <c r="A99" s="192" t="s">
        <v>37</v>
      </c>
      <c r="B99" s="174" t="s">
        <v>3150</v>
      </c>
      <c r="C99" s="155">
        <v>50000000</v>
      </c>
      <c r="D99" s="170">
        <v>0</v>
      </c>
      <c r="E99" s="151">
        <v>510</v>
      </c>
      <c r="F99" s="174"/>
      <c r="G99" s="155"/>
    </row>
    <row r="100" spans="1:7" ht="25.5" x14ac:dyDescent="0.25">
      <c r="A100" s="192" t="s">
        <v>226</v>
      </c>
      <c r="B100" s="174" t="s">
        <v>3154</v>
      </c>
      <c r="C100" s="155">
        <v>100000000</v>
      </c>
      <c r="D100" s="170">
        <v>0</v>
      </c>
      <c r="E100" s="151">
        <v>111</v>
      </c>
      <c r="F100" s="174"/>
      <c r="G100" s="155"/>
    </row>
    <row r="101" spans="1:7" ht="51" x14ac:dyDescent="0.25">
      <c r="A101" s="192" t="s">
        <v>228</v>
      </c>
      <c r="B101" s="174" t="s">
        <v>3156</v>
      </c>
      <c r="C101" s="170">
        <v>0</v>
      </c>
      <c r="D101" s="170">
        <v>0</v>
      </c>
      <c r="E101" s="151">
        <v>111</v>
      </c>
      <c r="F101" s="174"/>
      <c r="G101" s="170"/>
    </row>
    <row r="102" spans="1:7" ht="51" x14ac:dyDescent="0.25">
      <c r="A102" s="2" t="s">
        <v>132</v>
      </c>
      <c r="B102" s="154" t="s">
        <v>133</v>
      </c>
      <c r="C102" s="155">
        <v>40000000</v>
      </c>
      <c r="D102" s="170">
        <v>0</v>
      </c>
      <c r="E102" s="151">
        <v>211</v>
      </c>
      <c r="F102" s="154"/>
      <c r="G102" s="155"/>
    </row>
    <row r="103" spans="1:7" ht="63.75" x14ac:dyDescent="0.25">
      <c r="A103" s="2" t="s">
        <v>139</v>
      </c>
      <c r="B103" s="154" t="s">
        <v>140</v>
      </c>
      <c r="C103" s="155">
        <v>40000000</v>
      </c>
      <c r="D103" s="155">
        <v>89008000</v>
      </c>
      <c r="E103" s="151">
        <v>211</v>
      </c>
      <c r="F103" s="154"/>
      <c r="G103" s="155"/>
    </row>
    <row r="104" spans="1:7" ht="76.5" x14ac:dyDescent="0.25">
      <c r="A104" s="2" t="s">
        <v>151</v>
      </c>
      <c r="B104" s="154" t="s">
        <v>152</v>
      </c>
      <c r="C104" s="155">
        <v>40000000</v>
      </c>
      <c r="D104" s="155">
        <v>57500000</v>
      </c>
      <c r="E104" s="151">
        <v>211</v>
      </c>
      <c r="F104" s="154"/>
      <c r="G104" s="155"/>
    </row>
    <row r="105" spans="1:7" ht="51" x14ac:dyDescent="0.25">
      <c r="A105" s="2" t="s">
        <v>161</v>
      </c>
      <c r="B105" s="154" t="s">
        <v>162</v>
      </c>
      <c r="C105" s="155">
        <v>40000000</v>
      </c>
      <c r="D105" s="155">
        <v>40488000</v>
      </c>
      <c r="E105" s="151">
        <v>211</v>
      </c>
      <c r="F105" s="154"/>
      <c r="G105" s="155"/>
    </row>
    <row r="106" spans="1:7" ht="63.75" x14ac:dyDescent="0.25">
      <c r="A106" s="2" t="s">
        <v>169</v>
      </c>
      <c r="B106" s="154" t="s">
        <v>3214</v>
      </c>
      <c r="C106" s="155">
        <v>40000000</v>
      </c>
      <c r="D106" s="155">
        <v>1125222675</v>
      </c>
      <c r="E106" s="151">
        <v>211</v>
      </c>
      <c r="F106" s="154"/>
      <c r="G106" s="155"/>
    </row>
    <row r="107" spans="1:7" ht="51" x14ac:dyDescent="0.25">
      <c r="A107" s="2" t="s">
        <v>177</v>
      </c>
      <c r="B107" s="154" t="s">
        <v>3158</v>
      </c>
      <c r="C107" s="155">
        <v>40000000</v>
      </c>
      <c r="D107" s="170">
        <v>0</v>
      </c>
      <c r="E107" s="151">
        <v>211</v>
      </c>
      <c r="F107" s="154"/>
      <c r="G107" s="155"/>
    </row>
    <row r="108" spans="1:7" ht="51" x14ac:dyDescent="0.25">
      <c r="A108" s="2" t="s">
        <v>185</v>
      </c>
      <c r="B108" s="154" t="s">
        <v>3212</v>
      </c>
      <c r="C108" s="155">
        <v>40000000</v>
      </c>
      <c r="D108" s="170">
        <v>0</v>
      </c>
      <c r="E108" s="151">
        <v>211</v>
      </c>
      <c r="F108" s="154"/>
      <c r="G108" s="155"/>
    </row>
    <row r="109" spans="1:7" ht="38.25" x14ac:dyDescent="0.25">
      <c r="A109" s="2" t="s">
        <v>101</v>
      </c>
      <c r="B109" s="154" t="s">
        <v>102</v>
      </c>
      <c r="C109" s="155">
        <v>40000000</v>
      </c>
      <c r="D109" s="155">
        <v>113626000</v>
      </c>
      <c r="E109" s="151">
        <v>211</v>
      </c>
      <c r="F109" s="154"/>
      <c r="G109" s="155"/>
    </row>
    <row r="110" spans="1:7" ht="38.25" x14ac:dyDescent="0.25">
      <c r="A110" s="2" t="s">
        <v>99</v>
      </c>
      <c r="B110" s="154" t="s">
        <v>3213</v>
      </c>
      <c r="C110" s="155">
        <v>40000000</v>
      </c>
      <c r="D110" s="155">
        <v>138906000</v>
      </c>
      <c r="E110" s="151">
        <v>211</v>
      </c>
      <c r="F110" s="154"/>
      <c r="G110" s="155"/>
    </row>
    <row r="111" spans="1:7" ht="38.25" x14ac:dyDescent="0.25">
      <c r="A111" s="2" t="s">
        <v>103</v>
      </c>
      <c r="B111" s="154" t="s">
        <v>104</v>
      </c>
      <c r="C111" s="155">
        <v>40000000</v>
      </c>
      <c r="D111" s="155">
        <v>122106000</v>
      </c>
      <c r="E111" s="151">
        <v>211</v>
      </c>
      <c r="F111" s="154"/>
      <c r="G111" s="155"/>
    </row>
    <row r="112" spans="1:7" ht="51" x14ac:dyDescent="0.25">
      <c r="A112" s="2" t="s">
        <v>360</v>
      </c>
      <c r="B112" s="154" t="s">
        <v>361</v>
      </c>
      <c r="C112" s="155">
        <v>100000000</v>
      </c>
      <c r="D112" s="155">
        <v>150000000</v>
      </c>
      <c r="E112" s="151">
        <v>211</v>
      </c>
      <c r="F112" s="154"/>
      <c r="G112" s="155"/>
    </row>
    <row r="113" spans="1:7" ht="51" x14ac:dyDescent="0.25">
      <c r="A113" s="2" t="s">
        <v>364</v>
      </c>
      <c r="B113" s="154" t="s">
        <v>3161</v>
      </c>
      <c r="C113" s="155">
        <v>150000000</v>
      </c>
      <c r="D113" s="155">
        <v>200000000</v>
      </c>
      <c r="E113" s="151">
        <v>510</v>
      </c>
      <c r="F113" s="154"/>
      <c r="G113" s="155"/>
    </row>
    <row r="114" spans="1:7" ht="38.25" x14ac:dyDescent="0.25">
      <c r="A114" s="2" t="s">
        <v>39</v>
      </c>
      <c r="B114" s="154" t="s">
        <v>40</v>
      </c>
      <c r="C114" s="155">
        <v>200000000</v>
      </c>
      <c r="D114" s="155">
        <v>379200000</v>
      </c>
      <c r="E114" s="151">
        <v>211</v>
      </c>
      <c r="F114" s="154"/>
      <c r="G114" s="155"/>
    </row>
    <row r="115" spans="1:7" ht="25.5" x14ac:dyDescent="0.25">
      <c r="A115" s="2" t="s">
        <v>33</v>
      </c>
      <c r="B115" s="154" t="s">
        <v>3152</v>
      </c>
      <c r="C115" s="155">
        <v>500000000</v>
      </c>
      <c r="D115" s="155">
        <v>189912000</v>
      </c>
      <c r="E115" s="151">
        <v>211</v>
      </c>
      <c r="F115" s="154"/>
      <c r="G115" s="155"/>
    </row>
    <row r="116" spans="1:7" ht="38.25" x14ac:dyDescent="0.25">
      <c r="A116" s="2" t="s">
        <v>35</v>
      </c>
      <c r="B116" s="154" t="s">
        <v>3151</v>
      </c>
      <c r="C116" s="155">
        <v>300000000</v>
      </c>
      <c r="D116" s="155">
        <v>761900000</v>
      </c>
      <c r="E116" s="199">
        <v>211</v>
      </c>
      <c r="F116" s="171"/>
      <c r="G116" s="155"/>
    </row>
    <row r="117" spans="1:7" x14ac:dyDescent="0.25">
      <c r="A117" s="1547" t="s">
        <v>622</v>
      </c>
      <c r="B117" s="1436"/>
      <c r="C117" s="191">
        <v>14099000050</v>
      </c>
      <c r="D117" s="190">
        <v>29200935631</v>
      </c>
      <c r="E117" s="4"/>
      <c r="F117" s="200"/>
      <c r="G117" s="147">
        <f>SUM(G4:G116)</f>
        <v>276900000</v>
      </c>
    </row>
    <row r="118" spans="1:7" x14ac:dyDescent="0.25">
      <c r="G118" s="148"/>
    </row>
    <row r="119" spans="1:7" x14ac:dyDescent="0.25">
      <c r="E119" s="193">
        <v>111</v>
      </c>
      <c r="F119" s="198" t="s">
        <v>3302</v>
      </c>
      <c r="G119" s="133">
        <f>SUMIF($E$4:$E$116,"111",$G$4:$G$116)</f>
        <v>0</v>
      </c>
    </row>
    <row r="120" spans="1:7" x14ac:dyDescent="0.25">
      <c r="E120" s="193">
        <v>211</v>
      </c>
      <c r="F120" s="198" t="s">
        <v>3303</v>
      </c>
      <c r="G120" s="133">
        <f>SUMIF($E$4:$E$116,"211",$G$4:$G$116)</f>
        <v>0</v>
      </c>
    </row>
    <row r="121" spans="1:7" x14ac:dyDescent="0.25">
      <c r="E121" s="193">
        <v>310</v>
      </c>
      <c r="F121" s="198" t="s">
        <v>3304</v>
      </c>
      <c r="G121" s="133">
        <f>SUMIF($E$4:$E$116,"310",$G$4:$G$116)</f>
        <v>111900000</v>
      </c>
    </row>
    <row r="122" spans="1:7" x14ac:dyDescent="0.25">
      <c r="E122" s="193">
        <v>410</v>
      </c>
      <c r="F122" s="198" t="s">
        <v>443</v>
      </c>
      <c r="G122" s="133">
        <f>SUMIF($E$4:$E$116,"410",$G$4:$G$116)</f>
        <v>56000000</v>
      </c>
    </row>
    <row r="123" spans="1:7" x14ac:dyDescent="0.25">
      <c r="E123" s="193">
        <v>510</v>
      </c>
      <c r="F123" s="198" t="s">
        <v>3305</v>
      </c>
      <c r="G123" s="133">
        <f>SUMIF($E$4:$E$116,"510",$G$4:$G$116)</f>
        <v>75000000</v>
      </c>
    </row>
    <row r="124" spans="1:7" x14ac:dyDescent="0.25">
      <c r="E124" s="193">
        <v>520</v>
      </c>
      <c r="F124" s="198" t="s">
        <v>3306</v>
      </c>
      <c r="G124" s="133">
        <f>SUMIF($E$4:$E$116,"520",$G$4:$G$116)</f>
        <v>34000000</v>
      </c>
    </row>
    <row r="125" spans="1:7" x14ac:dyDescent="0.25">
      <c r="E125" s="4"/>
      <c r="F125" s="198" t="s">
        <v>3308</v>
      </c>
      <c r="G125" s="146">
        <f>SUM(G119:G124)</f>
        <v>276900000</v>
      </c>
    </row>
    <row r="126" spans="1:7" x14ac:dyDescent="0.25">
      <c r="E126" s="193">
        <v>301</v>
      </c>
      <c r="F126" s="198" t="s">
        <v>3307</v>
      </c>
      <c r="G126" s="133">
        <f>SUMIF($E$4:$E$116,"301",$G$4:$G$116)</f>
        <v>0</v>
      </c>
    </row>
    <row r="127" spans="1:7" ht="15.75" thickBot="1" x14ac:dyDescent="0.3">
      <c r="E127" s="1545" t="s">
        <v>3309</v>
      </c>
      <c r="F127" s="1546"/>
      <c r="G127" s="145">
        <f>SUM(G125:G126)</f>
        <v>276900000</v>
      </c>
    </row>
    <row r="128" spans="1:7" ht="15.75" thickTop="1" x14ac:dyDescent="0.25"/>
  </sheetData>
  <mergeCells count="6">
    <mergeCell ref="E127:F127"/>
    <mergeCell ref="A1:E1"/>
    <mergeCell ref="A2:D2"/>
    <mergeCell ref="E2:E3"/>
    <mergeCell ref="A117:B117"/>
    <mergeCell ref="F1:G3"/>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F217"/>
  <sheetViews>
    <sheetView topLeftCell="C1" zoomScaleNormal="100" zoomScalePageLayoutView="50" workbookViewId="0">
      <pane xSplit="1" ySplit="3" topLeftCell="D4" activePane="bottomRight" state="frozen"/>
      <selection activeCell="C1" sqref="C1"/>
      <selection pane="topRight" activeCell="D1" sqref="D1"/>
      <selection pane="bottomLeft" activeCell="C4" sqref="C4"/>
      <selection pane="bottomRight" activeCell="AB4" sqref="AB4"/>
    </sheetView>
  </sheetViews>
  <sheetFormatPr baseColWidth="10" defaultRowHeight="15" x14ac:dyDescent="0.25"/>
  <cols>
    <col min="1" max="1" width="12.85546875" hidden="1" customWidth="1"/>
    <col min="2" max="2" width="27.42578125" hidden="1" customWidth="1"/>
    <col min="3" max="3" width="10.140625" customWidth="1"/>
    <col min="4" max="4" width="37.85546875" customWidth="1"/>
    <col min="5" max="5" width="6.28515625" customWidth="1"/>
    <col min="6" max="6" width="11.7109375" customWidth="1"/>
    <col min="7" max="7" width="14.28515625" hidden="1" customWidth="1"/>
    <col min="8" max="8" width="13.5703125" hidden="1" customWidth="1"/>
    <col min="9" max="9" width="13.7109375" hidden="1" customWidth="1"/>
    <col min="10" max="10" width="14.42578125" hidden="1" customWidth="1"/>
    <col min="11" max="11" width="14.5703125" hidden="1" customWidth="1"/>
    <col min="12" max="12" width="15" hidden="1" customWidth="1"/>
    <col min="13" max="13" width="11.7109375" hidden="1" customWidth="1"/>
    <col min="14" max="14" width="12.140625" hidden="1" customWidth="1"/>
    <col min="15" max="15" width="12.7109375" hidden="1" customWidth="1"/>
    <col min="16" max="16" width="11.5703125" hidden="1" customWidth="1"/>
    <col min="17" max="17" width="11.42578125" hidden="1" customWidth="1"/>
    <col min="18" max="18" width="12.42578125" hidden="1" customWidth="1"/>
    <col min="19" max="24" width="14.28515625" hidden="1" customWidth="1"/>
    <col min="25" max="25" width="15" customWidth="1"/>
    <col min="26" max="26" width="13.28515625" customWidth="1"/>
    <col min="27" max="28" width="13.42578125" customWidth="1"/>
    <col min="29" max="29" width="14.42578125" customWidth="1"/>
    <col min="30" max="30" width="12.7109375" customWidth="1"/>
    <col min="31" max="31" width="13.7109375" customWidth="1"/>
    <col min="32" max="32" width="14.7109375" customWidth="1"/>
    <col min="33" max="33" width="12.85546875" customWidth="1"/>
    <col min="34" max="34" width="11.85546875" customWidth="1"/>
    <col min="35" max="35" width="11.42578125" customWidth="1"/>
    <col min="36" max="36" width="10.7109375" customWidth="1"/>
    <col min="37" max="37" width="12.42578125" customWidth="1"/>
    <col min="38" max="38" width="13.5703125" customWidth="1"/>
    <col min="39" max="39" width="14.42578125" customWidth="1"/>
    <col min="40" max="40" width="14.140625" customWidth="1"/>
    <col min="41" max="41" width="12.5703125" customWidth="1"/>
    <col min="42" max="42" width="14" customWidth="1"/>
    <col min="43" max="43" width="12.28515625" customWidth="1"/>
    <col min="44" max="44" width="12" customWidth="1"/>
    <col min="45" max="45" width="14.42578125" customWidth="1"/>
    <col min="46" max="46" width="1.140625" customWidth="1"/>
    <col min="47" max="47" width="11.85546875" customWidth="1"/>
    <col min="48" max="48" width="14.42578125" customWidth="1"/>
    <col min="49" max="49" width="15.5703125" customWidth="1"/>
    <col min="50" max="51" width="13.5703125" customWidth="1"/>
    <col min="52" max="52" width="14" customWidth="1"/>
    <col min="53" max="53" width="17.28515625" customWidth="1"/>
    <col min="54" max="54" width="16.140625" customWidth="1"/>
    <col min="55" max="56" width="15" customWidth="1"/>
    <col min="57" max="57" width="11.7109375" customWidth="1"/>
    <col min="58" max="58" width="13.28515625" customWidth="1"/>
    <col min="59" max="59" width="12.5703125" customWidth="1"/>
    <col min="60" max="60" width="14.42578125" customWidth="1"/>
    <col min="61" max="61" width="14.140625" customWidth="1"/>
    <col min="62" max="62" width="13.28515625" customWidth="1"/>
    <col min="63" max="63" width="13.5703125" customWidth="1"/>
    <col min="64" max="64" width="13.42578125" customWidth="1"/>
    <col min="65" max="65" width="17.7109375" customWidth="1"/>
    <col min="66" max="66" width="14.85546875" customWidth="1"/>
    <col min="67" max="67" width="15.5703125" customWidth="1"/>
    <col min="68" max="68" width="13.85546875" customWidth="1"/>
    <col min="69" max="69" width="9.5703125" customWidth="1"/>
    <col min="70" max="70" width="14.28515625" customWidth="1"/>
    <col min="71" max="71" width="15.85546875" customWidth="1"/>
    <col min="72" max="73" width="14" customWidth="1"/>
    <col min="74" max="74" width="15.140625" customWidth="1"/>
    <col min="75" max="75" width="16.5703125" customWidth="1"/>
    <col min="76" max="76" width="13.5703125" customWidth="1"/>
    <col min="77" max="78" width="13.85546875" customWidth="1"/>
    <col min="79" max="80" width="12.28515625" customWidth="1"/>
    <col min="81" max="81" width="11.140625" customWidth="1"/>
    <col min="82" max="82" width="12.5703125" customWidth="1"/>
    <col min="83" max="83" width="13.5703125" customWidth="1"/>
    <col min="84" max="84" width="15.140625" customWidth="1"/>
    <col min="85" max="85" width="13.85546875" customWidth="1"/>
    <col min="86" max="86" width="15" customWidth="1"/>
    <col min="87" max="87" width="13.42578125" customWidth="1"/>
    <col min="88" max="88" width="13.5703125" customWidth="1"/>
    <col min="89" max="89" width="13.7109375" customWidth="1"/>
    <col min="90" max="90" width="14" customWidth="1"/>
    <col min="91" max="91" width="9" customWidth="1"/>
    <col min="92" max="92" width="14" customWidth="1"/>
    <col min="93" max="93" width="14.42578125" customWidth="1"/>
    <col min="94" max="95" width="12.28515625" customWidth="1"/>
    <col min="96" max="96" width="13.28515625" customWidth="1"/>
    <col min="97" max="97" width="14" customWidth="1"/>
    <col min="98" max="98" width="15.42578125" customWidth="1"/>
    <col min="99" max="99" width="15.28515625" customWidth="1"/>
    <col min="100" max="100" width="12.42578125" customWidth="1"/>
    <col min="101" max="101" width="11.7109375" customWidth="1"/>
    <col min="102" max="102" width="13.42578125" customWidth="1"/>
    <col min="103" max="103" width="11.42578125" customWidth="1"/>
    <col min="104" max="104" width="15.7109375" customWidth="1"/>
    <col min="105" max="105" width="16.28515625" customWidth="1"/>
    <col min="106" max="106" width="16.5703125" customWidth="1"/>
    <col min="107" max="107" width="17.140625" customWidth="1"/>
    <col min="108" max="108" width="13" customWidth="1"/>
    <col min="109" max="109" width="14.28515625" customWidth="1"/>
    <col min="110" max="110" width="13.7109375" customWidth="1"/>
    <col min="111" max="111" width="12.28515625" customWidth="1"/>
    <col min="112" max="112" width="13.42578125" customWidth="1"/>
    <col min="113" max="113" width="9.7109375" customWidth="1"/>
    <col min="114" max="114" width="15" customWidth="1"/>
    <col min="115" max="115" width="16" customWidth="1"/>
    <col min="116" max="117" width="13.7109375" customWidth="1"/>
    <col min="118" max="118" width="14.42578125" customWidth="1"/>
    <col min="119" max="119" width="15.5703125" customWidth="1"/>
    <col min="120" max="122" width="13.5703125" customWidth="1"/>
    <col min="123" max="124" width="13.85546875" customWidth="1"/>
    <col min="125" max="125" width="11.42578125" customWidth="1"/>
    <col min="126" max="126" width="13.7109375" customWidth="1"/>
    <col min="127" max="127" width="13.85546875" customWidth="1"/>
    <col min="128" max="128" width="12.28515625" customWidth="1"/>
    <col min="129" max="129" width="13.85546875" customWidth="1"/>
    <col min="130" max="130" width="16.5703125" customWidth="1"/>
    <col min="131" max="131" width="14.42578125" customWidth="1"/>
    <col min="132" max="133" width="14.85546875" customWidth="1"/>
    <col min="134" max="134" width="13.5703125" customWidth="1"/>
    <col min="135" max="136" width="11.42578125" customWidth="1"/>
  </cols>
  <sheetData>
    <row r="1" spans="1:134" ht="18" customHeight="1" x14ac:dyDescent="0.3">
      <c r="C1" s="1412"/>
      <c r="D1" s="1413"/>
      <c r="E1" s="1413"/>
      <c r="F1" s="1414"/>
      <c r="G1" s="1102"/>
      <c r="H1" s="1102"/>
      <c r="I1" s="1102"/>
      <c r="J1" s="1102"/>
      <c r="K1" s="1102"/>
      <c r="L1" s="1102"/>
      <c r="M1" s="1072"/>
      <c r="N1" s="1072"/>
      <c r="O1" s="1072"/>
      <c r="P1" s="1102"/>
      <c r="Q1" s="1102"/>
      <c r="R1" s="1102"/>
      <c r="S1" s="1102"/>
      <c r="T1" s="1102"/>
      <c r="U1" s="1102"/>
      <c r="V1" s="1102"/>
      <c r="W1" s="1102"/>
      <c r="X1" s="1102"/>
      <c r="Y1" s="1415" t="s">
        <v>4296</v>
      </c>
      <c r="Z1" s="1556"/>
      <c r="AA1" s="1556"/>
      <c r="AB1" s="1556"/>
      <c r="AC1" s="1556"/>
      <c r="AD1" s="1556"/>
      <c r="AE1" s="1556"/>
      <c r="AF1" s="1556"/>
      <c r="AG1" s="1556"/>
      <c r="AH1" s="1556"/>
      <c r="AI1" s="1556"/>
      <c r="AJ1" s="1556"/>
      <c r="AK1" s="1556"/>
      <c r="AL1" s="1556"/>
      <c r="AM1" s="1556"/>
      <c r="AN1" s="1556"/>
      <c r="AO1" s="1556"/>
      <c r="AP1" s="1556"/>
      <c r="AQ1" s="1556"/>
      <c r="AR1" s="1556"/>
      <c r="AS1" s="1557"/>
      <c r="AU1" s="970"/>
      <c r="AV1" s="1558" t="s">
        <v>3404</v>
      </c>
      <c r="AW1" s="1559"/>
      <c r="AX1" s="1559"/>
      <c r="AY1" s="1559"/>
      <c r="AZ1" s="1559"/>
      <c r="BA1" s="1559"/>
      <c r="BB1" s="1559"/>
      <c r="BC1" s="1559"/>
      <c r="BD1" s="1559"/>
      <c r="BE1" s="1559"/>
      <c r="BF1" s="1559"/>
      <c r="BG1" s="1559"/>
      <c r="BH1" s="1559"/>
      <c r="BI1" s="1559"/>
      <c r="BJ1" s="1559"/>
      <c r="BK1" s="1559"/>
      <c r="BL1" s="1559"/>
      <c r="BM1" s="1559"/>
      <c r="BN1" s="1559"/>
      <c r="BO1" s="1559"/>
      <c r="BP1" s="1560"/>
      <c r="BQ1" s="974"/>
      <c r="BR1" s="975"/>
      <c r="BS1" s="1013"/>
      <c r="BT1" s="1407" t="s">
        <v>3400</v>
      </c>
      <c r="BU1" s="1408"/>
      <c r="BV1" s="1408"/>
      <c r="BW1" s="1408"/>
      <c r="BX1" s="1408"/>
      <c r="BY1" s="1408"/>
      <c r="BZ1" s="1408"/>
      <c r="CA1" s="1408"/>
      <c r="CB1" s="1408"/>
      <c r="CC1" s="1408"/>
      <c r="CD1" s="1408"/>
      <c r="CE1" s="1408"/>
      <c r="CF1" s="1408"/>
      <c r="CG1" s="1408"/>
      <c r="CH1" s="1408"/>
      <c r="CI1" s="1408"/>
      <c r="CJ1" s="1408"/>
      <c r="CK1" s="1408"/>
      <c r="CL1" s="1408"/>
      <c r="CM1" s="1563"/>
      <c r="CN1" s="1407" t="s">
        <v>3403</v>
      </c>
      <c r="CO1" s="1408"/>
      <c r="CP1" s="1408"/>
      <c r="CQ1" s="1408"/>
      <c r="CR1" s="1408"/>
      <c r="CS1" s="1408"/>
      <c r="CT1" s="1408"/>
      <c r="CU1" s="1408"/>
      <c r="CV1" s="1408"/>
      <c r="CW1" s="1408"/>
      <c r="CX1" s="1408"/>
      <c r="CY1" s="1408"/>
      <c r="CZ1" s="1408"/>
      <c r="DA1" s="1408"/>
      <c r="DB1" s="1408"/>
      <c r="DC1" s="1408"/>
      <c r="DD1" s="1408"/>
      <c r="DE1" s="1408"/>
      <c r="DF1" s="1408"/>
      <c r="DG1" s="1408"/>
      <c r="DH1" s="1563"/>
      <c r="DI1" s="974"/>
      <c r="DJ1" s="1407" t="s">
        <v>3400</v>
      </c>
      <c r="DK1" s="1408"/>
      <c r="DL1" s="1408"/>
      <c r="DM1" s="1408"/>
      <c r="DN1" s="1408"/>
      <c r="DO1" s="1408"/>
      <c r="DP1" s="1408"/>
      <c r="DQ1" s="1408"/>
      <c r="DR1" s="1408"/>
      <c r="DS1" s="1408"/>
      <c r="DT1" s="1408"/>
      <c r="DU1" s="1408"/>
      <c r="DV1" s="1408"/>
      <c r="DW1" s="1408"/>
      <c r="DX1" s="1408"/>
      <c r="DY1" s="1408"/>
      <c r="DZ1" s="1408"/>
      <c r="EA1" s="1408"/>
      <c r="EB1" s="1408"/>
      <c r="EC1" s="1408"/>
      <c r="ED1" s="1408"/>
    </row>
    <row r="2" spans="1:134" ht="15.6" customHeight="1" x14ac:dyDescent="0.25">
      <c r="A2" s="1549" t="s">
        <v>4747</v>
      </c>
      <c r="B2" s="1550" t="s">
        <v>3139</v>
      </c>
      <c r="C2" s="1552" t="s">
        <v>1</v>
      </c>
      <c r="D2" s="1549" t="s">
        <v>4174</v>
      </c>
      <c r="E2" s="1554" t="s">
        <v>447</v>
      </c>
      <c r="F2" s="1550" t="s">
        <v>3347</v>
      </c>
      <c r="G2" s="1061"/>
      <c r="H2" s="1061"/>
      <c r="I2" s="1061"/>
      <c r="J2" s="1061"/>
      <c r="K2" s="1061"/>
      <c r="L2" s="1061"/>
      <c r="M2" s="1561" t="s">
        <v>4821</v>
      </c>
      <c r="N2" s="1561"/>
      <c r="O2" s="1561"/>
      <c r="P2" s="1561" t="s">
        <v>4822</v>
      </c>
      <c r="Q2" s="1561"/>
      <c r="R2" s="1561"/>
      <c r="S2" s="1561" t="s">
        <v>4823</v>
      </c>
      <c r="T2" s="1561"/>
      <c r="U2" s="1561"/>
      <c r="V2" s="1561" t="s">
        <v>4824</v>
      </c>
      <c r="W2" s="1561"/>
      <c r="X2" s="1561"/>
      <c r="Y2" s="1419" t="s">
        <v>3333</v>
      </c>
      <c r="Z2" s="1420"/>
      <c r="AA2" s="1420"/>
      <c r="AB2" s="1420"/>
      <c r="AC2" s="1420"/>
      <c r="AD2" s="1420"/>
      <c r="AE2" s="1420"/>
      <c r="AF2" s="1420"/>
      <c r="AG2" s="1420"/>
      <c r="AH2" s="1420"/>
      <c r="AI2" s="1420"/>
      <c r="AJ2" s="1420"/>
      <c r="AK2" s="1420"/>
      <c r="AL2" s="1420"/>
      <c r="AM2" s="1420"/>
      <c r="AN2" s="1420"/>
      <c r="AO2" s="1420"/>
      <c r="AP2" s="1420"/>
      <c r="AQ2" s="1420"/>
      <c r="AR2" s="1420"/>
      <c r="AS2" s="1421"/>
      <c r="AU2" s="971"/>
      <c r="AV2" s="1405" t="s">
        <v>4295</v>
      </c>
      <c r="AW2" s="1406"/>
      <c r="AX2" s="1406"/>
      <c r="AY2" s="1406"/>
      <c r="AZ2" s="1406"/>
      <c r="BA2" s="1406"/>
      <c r="BB2" s="1406"/>
      <c r="BC2" s="1406"/>
      <c r="BD2" s="1406"/>
      <c r="BE2" s="1406"/>
      <c r="BF2" s="1406"/>
      <c r="BG2" s="1406"/>
      <c r="BH2" s="1406"/>
      <c r="BI2" s="1406"/>
      <c r="BJ2" s="1406"/>
      <c r="BK2" s="1406"/>
      <c r="BL2" s="1406"/>
      <c r="BM2" s="1406"/>
      <c r="BN2" s="1406"/>
      <c r="BO2" s="1406"/>
      <c r="BP2" s="1424"/>
      <c r="BQ2" s="976"/>
      <c r="BR2" s="977"/>
      <c r="BS2" s="1014"/>
      <c r="BT2" s="1403" t="s">
        <v>3402</v>
      </c>
      <c r="BU2" s="1404"/>
      <c r="BV2" s="1404"/>
      <c r="BW2" s="1404"/>
      <c r="BX2" s="1404"/>
      <c r="BY2" s="1404"/>
      <c r="BZ2" s="1404"/>
      <c r="CA2" s="1404"/>
      <c r="CB2" s="1404"/>
      <c r="CC2" s="1423"/>
      <c r="CD2" s="1403" t="s">
        <v>3402</v>
      </c>
      <c r="CE2" s="1404"/>
      <c r="CF2" s="1404"/>
      <c r="CG2" s="1404"/>
      <c r="CH2" s="1404"/>
      <c r="CI2" s="1404"/>
      <c r="CJ2" s="1404"/>
      <c r="CK2" s="1404"/>
      <c r="CL2" s="1423"/>
      <c r="CM2" s="968"/>
      <c r="CN2" s="978"/>
      <c r="CO2" s="1015"/>
      <c r="CP2" s="1405" t="s">
        <v>3401</v>
      </c>
      <c r="CQ2" s="1406"/>
      <c r="CR2" s="1406"/>
      <c r="CS2" s="1406"/>
      <c r="CT2" s="1406"/>
      <c r="CU2" s="1406"/>
      <c r="CV2" s="1406"/>
      <c r="CW2" s="1406"/>
      <c r="CX2" s="1406"/>
      <c r="CY2" s="1406"/>
      <c r="CZ2" s="1406"/>
      <c r="DA2" s="967"/>
      <c r="DB2" s="1405" t="s">
        <v>3401</v>
      </c>
      <c r="DC2" s="1406"/>
      <c r="DD2" s="1406"/>
      <c r="DE2" s="1406"/>
      <c r="DF2" s="1406"/>
      <c r="DG2" s="1406"/>
      <c r="DH2" s="1424"/>
      <c r="DI2" s="973"/>
      <c r="DJ2" s="1403" t="s">
        <v>3402</v>
      </c>
      <c r="DK2" s="1404"/>
      <c r="DL2" s="1404"/>
      <c r="DM2" s="1404"/>
      <c r="DN2" s="1404"/>
      <c r="DO2" s="1404"/>
      <c r="DP2" s="1404"/>
      <c r="DQ2" s="1404"/>
      <c r="DR2" s="1404"/>
      <c r="DS2" s="1404"/>
      <c r="DT2" s="1404"/>
      <c r="DU2" s="1404"/>
      <c r="DV2" s="1404" t="s">
        <v>3402</v>
      </c>
      <c r="DW2" s="1404"/>
      <c r="DX2" s="1404"/>
      <c r="DY2" s="1404"/>
      <c r="DZ2" s="1404"/>
      <c r="EA2" s="1404"/>
      <c r="EB2" s="1404"/>
      <c r="EC2" s="1404"/>
      <c r="ED2" s="1423"/>
    </row>
    <row r="3" spans="1:134" ht="43.5" customHeight="1" x14ac:dyDescent="0.25">
      <c r="A3" s="1549"/>
      <c r="B3" s="1551"/>
      <c r="C3" s="1553"/>
      <c r="D3" s="1549"/>
      <c r="E3" s="1555"/>
      <c r="F3" s="1551"/>
      <c r="G3" s="1062" t="s">
        <v>4761</v>
      </c>
      <c r="H3" s="1062" t="s">
        <v>3401</v>
      </c>
      <c r="I3" s="1062" t="s">
        <v>4748</v>
      </c>
      <c r="J3" s="1062" t="s">
        <v>4749</v>
      </c>
      <c r="K3" s="1109" t="s">
        <v>4754</v>
      </c>
      <c r="L3" s="1109" t="s">
        <v>4750</v>
      </c>
      <c r="M3" s="1109" t="s">
        <v>4045</v>
      </c>
      <c r="N3" s="1109" t="s">
        <v>4048</v>
      </c>
      <c r="O3" s="1109" t="s">
        <v>4050</v>
      </c>
      <c r="P3" s="1109" t="s">
        <v>4045</v>
      </c>
      <c r="Q3" s="1109" t="s">
        <v>4048</v>
      </c>
      <c r="R3" s="1109" t="s">
        <v>4050</v>
      </c>
      <c r="S3" s="1062" t="s">
        <v>4045</v>
      </c>
      <c r="T3" s="1062" t="s">
        <v>4048</v>
      </c>
      <c r="U3" s="1062" t="s">
        <v>4050</v>
      </c>
      <c r="V3" s="1062" t="s">
        <v>4045</v>
      </c>
      <c r="W3" s="1062" t="s">
        <v>4048</v>
      </c>
      <c r="X3" s="1062" t="s">
        <v>4050</v>
      </c>
      <c r="Y3" s="1107" t="s">
        <v>695</v>
      </c>
      <c r="Z3" s="1107" t="s">
        <v>4684</v>
      </c>
      <c r="AA3" s="1107" t="s">
        <v>4307</v>
      </c>
      <c r="AB3" s="1107" t="s">
        <v>4721</v>
      </c>
      <c r="AC3" s="1000" t="s">
        <v>4297</v>
      </c>
      <c r="AD3" s="1107" t="s">
        <v>4689</v>
      </c>
      <c r="AE3" s="1107" t="s">
        <v>3310</v>
      </c>
      <c r="AF3" s="1107" t="s">
        <v>4317</v>
      </c>
      <c r="AG3" s="1107" t="s">
        <v>4687</v>
      </c>
      <c r="AH3" s="1107" t="s">
        <v>3312</v>
      </c>
      <c r="AI3" s="1107" t="s">
        <v>3313</v>
      </c>
      <c r="AJ3" s="1107" t="s">
        <v>3314</v>
      </c>
      <c r="AK3" s="1107" t="s">
        <v>3315</v>
      </c>
      <c r="AL3" s="1107" t="s">
        <v>3316</v>
      </c>
      <c r="AM3" s="1107" t="s">
        <v>3317</v>
      </c>
      <c r="AN3" s="1107" t="s">
        <v>3346</v>
      </c>
      <c r="AO3" s="1107" t="s">
        <v>4336</v>
      </c>
      <c r="AP3" s="1107" t="s">
        <v>3318</v>
      </c>
      <c r="AQ3" s="1107" t="s">
        <v>4707</v>
      </c>
      <c r="AR3" s="1107" t="s">
        <v>4294</v>
      </c>
      <c r="AS3" s="1107" t="s">
        <v>3319</v>
      </c>
      <c r="AU3" s="969" t="s">
        <v>4293</v>
      </c>
      <c r="AV3" s="965" t="s">
        <v>695</v>
      </c>
      <c r="AW3" s="965" t="s">
        <v>4684</v>
      </c>
      <c r="AX3" s="965" t="s">
        <v>4307</v>
      </c>
      <c r="AY3" s="965" t="s">
        <v>4721</v>
      </c>
      <c r="AZ3" s="965" t="s">
        <v>4297</v>
      </c>
      <c r="BA3" s="965" t="s">
        <v>4689</v>
      </c>
      <c r="BB3" s="965" t="s">
        <v>3310</v>
      </c>
      <c r="BC3" s="965" t="s">
        <v>4317</v>
      </c>
      <c r="BD3" s="965" t="s">
        <v>4687</v>
      </c>
      <c r="BE3" s="965" t="s">
        <v>3312</v>
      </c>
      <c r="BF3" s="965" t="s">
        <v>3313</v>
      </c>
      <c r="BG3" s="965" t="s">
        <v>3314</v>
      </c>
      <c r="BH3" s="965" t="s">
        <v>3315</v>
      </c>
      <c r="BI3" s="965" t="s">
        <v>3316</v>
      </c>
      <c r="BJ3" s="965" t="s">
        <v>3317</v>
      </c>
      <c r="BK3" s="965" t="s">
        <v>3346</v>
      </c>
      <c r="BL3" s="981" t="str">
        <f>+AO3</f>
        <v xml:space="preserve">EXCEDENTES  USCO </v>
      </c>
      <c r="BM3" s="965" t="s">
        <v>3318</v>
      </c>
      <c r="BN3" s="965" t="s">
        <v>4707</v>
      </c>
      <c r="BO3" s="965" t="s">
        <v>4294</v>
      </c>
      <c r="BP3" s="965" t="s">
        <v>3319</v>
      </c>
      <c r="BQ3" s="972" t="s">
        <v>4293</v>
      </c>
      <c r="BR3" s="982" t="s">
        <v>695</v>
      </c>
      <c r="BS3" s="982" t="s">
        <v>4684</v>
      </c>
      <c r="BT3" s="982" t="s">
        <v>4307</v>
      </c>
      <c r="BU3" s="982" t="s">
        <v>4721</v>
      </c>
      <c r="BV3" s="982" t="s">
        <v>4297</v>
      </c>
      <c r="BW3" s="982" t="s">
        <v>4689</v>
      </c>
      <c r="BX3" s="982" t="s">
        <v>3310</v>
      </c>
      <c r="BY3" s="982" t="s">
        <v>4317</v>
      </c>
      <c r="BZ3" s="982" t="s">
        <v>4687</v>
      </c>
      <c r="CA3" s="982" t="s">
        <v>3312</v>
      </c>
      <c r="CB3" s="982" t="s">
        <v>3313</v>
      </c>
      <c r="CC3" s="982" t="s">
        <v>3314</v>
      </c>
      <c r="CD3" s="982" t="s">
        <v>3315</v>
      </c>
      <c r="CE3" s="982" t="s">
        <v>3316</v>
      </c>
      <c r="CF3" s="982" t="s">
        <v>3317</v>
      </c>
      <c r="CG3" s="982" t="s">
        <v>3346</v>
      </c>
      <c r="CH3" s="982" t="str">
        <f>+BL3</f>
        <v xml:space="preserve">EXCEDENTES  USCO </v>
      </c>
      <c r="CI3" s="982" t="s">
        <v>3318</v>
      </c>
      <c r="CJ3" s="982" t="s">
        <v>4707</v>
      </c>
      <c r="CK3" s="982" t="s">
        <v>4294</v>
      </c>
      <c r="CL3" s="982" t="s">
        <v>3319</v>
      </c>
      <c r="CM3" s="969" t="s">
        <v>4293</v>
      </c>
      <c r="CN3" s="965" t="s">
        <v>695</v>
      </c>
      <c r="CO3" s="965" t="s">
        <v>4684</v>
      </c>
      <c r="CP3" s="965" t="s">
        <v>4307</v>
      </c>
      <c r="CQ3" s="965" t="s">
        <v>4721</v>
      </c>
      <c r="CR3" s="965" t="s">
        <v>4297</v>
      </c>
      <c r="CS3" s="965" t="s">
        <v>4689</v>
      </c>
      <c r="CT3" s="965" t="s">
        <v>3310</v>
      </c>
      <c r="CU3" s="965" t="s">
        <v>4317</v>
      </c>
      <c r="CV3" s="965" t="s">
        <v>4687</v>
      </c>
      <c r="CW3" s="965" t="s">
        <v>3312</v>
      </c>
      <c r="CX3" s="965" t="s">
        <v>3313</v>
      </c>
      <c r="CY3" s="965" t="s">
        <v>3314</v>
      </c>
      <c r="CZ3" s="965" t="s">
        <v>3315</v>
      </c>
      <c r="DA3" s="965" t="s">
        <v>3316</v>
      </c>
      <c r="DB3" s="965" t="s">
        <v>3317</v>
      </c>
      <c r="DC3" s="965" t="s">
        <v>3346</v>
      </c>
      <c r="DD3" s="965" t="str">
        <f>+CH3</f>
        <v xml:space="preserve">EXCEDENTES  USCO </v>
      </c>
      <c r="DE3" s="965" t="s">
        <v>3318</v>
      </c>
      <c r="DF3" s="965" t="s">
        <v>4707</v>
      </c>
      <c r="DG3" s="965" t="s">
        <v>4294</v>
      </c>
      <c r="DH3" s="965" t="s">
        <v>3319</v>
      </c>
      <c r="DI3" s="972" t="s">
        <v>4293</v>
      </c>
      <c r="DJ3" s="982" t="s">
        <v>695</v>
      </c>
      <c r="DK3" s="982" t="s">
        <v>4684</v>
      </c>
      <c r="DL3" s="982" t="s">
        <v>4307</v>
      </c>
      <c r="DM3" s="982" t="s">
        <v>4721</v>
      </c>
      <c r="DN3" s="982" t="s">
        <v>4297</v>
      </c>
      <c r="DO3" s="982" t="s">
        <v>4689</v>
      </c>
      <c r="DP3" s="982" t="s">
        <v>3310</v>
      </c>
      <c r="DQ3" s="982" t="s">
        <v>4317</v>
      </c>
      <c r="DR3" s="982" t="s">
        <v>4687</v>
      </c>
      <c r="DS3" s="982" t="s">
        <v>3312</v>
      </c>
      <c r="DT3" s="982" t="s">
        <v>3313</v>
      </c>
      <c r="DU3" s="982" t="s">
        <v>3314</v>
      </c>
      <c r="DV3" s="982" t="s">
        <v>3315</v>
      </c>
      <c r="DW3" s="982" t="s">
        <v>3316</v>
      </c>
      <c r="DX3" s="982" t="s">
        <v>3317</v>
      </c>
      <c r="DY3" s="982" t="s">
        <v>3346</v>
      </c>
      <c r="DZ3" s="980" t="str">
        <f>+DD3</f>
        <v xml:space="preserve">EXCEDENTES  USCO </v>
      </c>
      <c r="EA3" s="982" t="s">
        <v>3318</v>
      </c>
      <c r="EB3" s="982" t="s">
        <v>4707</v>
      </c>
      <c r="EC3" s="982" t="s">
        <v>4294</v>
      </c>
      <c r="ED3" s="982" t="s">
        <v>3319</v>
      </c>
    </row>
    <row r="4" spans="1:134" ht="70.5" customHeight="1" x14ac:dyDescent="0.25">
      <c r="A4" s="1564" t="s">
        <v>4751</v>
      </c>
      <c r="B4" s="1017" t="s">
        <v>4298</v>
      </c>
      <c r="C4" s="1092" t="s">
        <v>4397</v>
      </c>
      <c r="D4" s="1018" t="s">
        <v>4562</v>
      </c>
      <c r="E4" s="1019">
        <v>510</v>
      </c>
      <c r="F4" s="1094" t="s">
        <v>4660</v>
      </c>
      <c r="G4" s="1428">
        <v>100000000</v>
      </c>
      <c r="H4" s="1060">
        <f t="shared" ref="H4:H33" si="0">+CN4</f>
        <v>6000000</v>
      </c>
      <c r="I4" s="1060">
        <f t="shared" ref="I4:I33" si="1">Y4-H4</f>
        <v>9000000</v>
      </c>
      <c r="J4" s="1428" t="s">
        <v>4758</v>
      </c>
      <c r="K4" s="1257" t="s">
        <v>4753</v>
      </c>
      <c r="L4" s="1257" t="s">
        <v>4759</v>
      </c>
      <c r="M4" s="1097">
        <v>14</v>
      </c>
      <c r="N4" s="1097">
        <v>43</v>
      </c>
      <c r="O4" s="1097">
        <v>6</v>
      </c>
      <c r="P4" s="1097">
        <v>0</v>
      </c>
      <c r="Q4" s="1097">
        <v>68</v>
      </c>
      <c r="R4" s="1097">
        <v>0</v>
      </c>
      <c r="S4" s="1094"/>
      <c r="T4" s="1094"/>
      <c r="U4" s="1094"/>
      <c r="V4" s="1069"/>
      <c r="W4" s="1069"/>
      <c r="X4" s="1069"/>
      <c r="Y4" s="1007">
        <f t="shared" ref="Y4:Y33" si="2">SUM(Z4:AS4)</f>
        <v>15000000</v>
      </c>
      <c r="Z4" s="1007"/>
      <c r="AA4" s="1007"/>
      <c r="AB4" s="1007"/>
      <c r="AC4" s="1007"/>
      <c r="AD4" s="1007"/>
      <c r="AE4" s="1007"/>
      <c r="AF4" s="1007"/>
      <c r="AG4" s="1007"/>
      <c r="AH4" s="1007"/>
      <c r="AI4" s="1007"/>
      <c r="AJ4" s="1007"/>
      <c r="AK4" s="1007"/>
      <c r="AL4" s="1007"/>
      <c r="AM4" s="1007">
        <v>15000000</v>
      </c>
      <c r="AN4" s="1007"/>
      <c r="AO4" s="1007"/>
      <c r="AP4" s="1007"/>
      <c r="AQ4" s="1007"/>
      <c r="AR4" s="1007"/>
      <c r="AS4" s="1007"/>
      <c r="AT4" s="983"/>
      <c r="AU4" s="1010">
        <f t="shared" ref="AU4:AU67" si="3">+AV4/Y4</f>
        <v>0.4</v>
      </c>
      <c r="AV4" s="1007">
        <f t="shared" ref="AV4:AV33" si="4">SUM(AW4:BP4)</f>
        <v>6000000</v>
      </c>
      <c r="AW4" s="1012"/>
      <c r="AX4" s="218"/>
      <c r="AY4" s="218"/>
      <c r="AZ4" s="218"/>
      <c r="BA4" s="218"/>
      <c r="BB4" s="149"/>
      <c r="BC4" s="149"/>
      <c r="BD4" s="149"/>
      <c r="BE4" s="149"/>
      <c r="BF4" s="149"/>
      <c r="BG4" s="149"/>
      <c r="BH4" s="149"/>
      <c r="BI4" s="149"/>
      <c r="BJ4" s="149">
        <f>+'[7]AGOSTO 2015'!$W$1944</f>
        <v>6000000</v>
      </c>
      <c r="BK4" s="149"/>
      <c r="BL4" s="149"/>
      <c r="BM4" s="149"/>
      <c r="BN4" s="149"/>
      <c r="BO4" s="149"/>
      <c r="BP4" s="149"/>
      <c r="BQ4" s="1010">
        <f t="shared" ref="BQ4:BQ20" si="5">1-AU4</f>
        <v>0.6</v>
      </c>
      <c r="BR4" s="1007">
        <f t="shared" ref="BR4:BR33" si="6">SUM(BS4:CL4)</f>
        <v>9000000</v>
      </c>
      <c r="BS4" s="1007">
        <f t="shared" ref="BS4:BS33" si="7">+Z4-AW4</f>
        <v>0</v>
      </c>
      <c r="BT4" s="1007">
        <f t="shared" ref="BT4:BT18" si="8">+AA4</f>
        <v>0</v>
      </c>
      <c r="BU4" s="1007"/>
      <c r="BV4" s="1007">
        <f t="shared" ref="BV4:BV33" si="9">AC4-AZ4</f>
        <v>0</v>
      </c>
      <c r="BW4" s="1007"/>
      <c r="BX4" s="1007">
        <f t="shared" ref="BX4:BY33" si="10">+AE4-BB4</f>
        <v>0</v>
      </c>
      <c r="BY4" s="1007">
        <f t="shared" si="10"/>
        <v>0</v>
      </c>
      <c r="BZ4" s="1007"/>
      <c r="CA4" s="1007">
        <f t="shared" ref="CA4:CJ19" si="11">+AH4-BE4</f>
        <v>0</v>
      </c>
      <c r="CB4" s="1007">
        <f t="shared" si="11"/>
        <v>0</v>
      </c>
      <c r="CC4" s="1007">
        <f t="shared" si="11"/>
        <v>0</v>
      </c>
      <c r="CD4" s="1007">
        <f t="shared" si="11"/>
        <v>0</v>
      </c>
      <c r="CE4" s="1007">
        <f t="shared" si="11"/>
        <v>0</v>
      </c>
      <c r="CF4" s="1007">
        <f t="shared" si="11"/>
        <v>9000000</v>
      </c>
      <c r="CG4" s="1007">
        <f t="shared" si="11"/>
        <v>0</v>
      </c>
      <c r="CH4" s="1007">
        <f t="shared" si="11"/>
        <v>0</v>
      </c>
      <c r="CI4" s="1007">
        <f t="shared" si="11"/>
        <v>0</v>
      </c>
      <c r="CJ4" s="1007">
        <f t="shared" si="11"/>
        <v>0</v>
      </c>
      <c r="CK4" s="1007"/>
      <c r="CL4" s="1007">
        <f t="shared" ref="CL4:CL33" si="12">+AS4-BP4</f>
        <v>0</v>
      </c>
      <c r="CM4" s="1010">
        <f t="shared" ref="CM4:CM67" si="13">+CN4/Y4</f>
        <v>0.4</v>
      </c>
      <c r="CN4" s="1007">
        <f t="shared" ref="CN4:CN33" si="14">SUM(CO4:DH4)</f>
        <v>6000000</v>
      </c>
      <c r="CO4" s="1007"/>
      <c r="CP4" s="1007"/>
      <c r="CQ4" s="1007"/>
      <c r="CR4" s="1007"/>
      <c r="CS4" s="1007"/>
      <c r="CT4" s="1007"/>
      <c r="CU4" s="1007"/>
      <c r="CV4" s="1007"/>
      <c r="CW4" s="1007"/>
      <c r="CX4" s="1007"/>
      <c r="CY4" s="1007"/>
      <c r="CZ4" s="1007"/>
      <c r="DA4" s="1007"/>
      <c r="DB4" s="1007">
        <f>+'[7]AGOSTO 2015'!$H$1942</f>
        <v>6000000</v>
      </c>
      <c r="DC4" s="1007"/>
      <c r="DD4" s="1007"/>
      <c r="DE4" s="1007"/>
      <c r="DF4" s="1007"/>
      <c r="DG4" s="1007"/>
      <c r="DH4" s="1007"/>
      <c r="DI4" s="1010">
        <f t="shared" ref="DI4:DI66" si="15">1-CM4</f>
        <v>0.6</v>
      </c>
      <c r="DJ4" s="1007">
        <f t="shared" ref="DJ4:DJ33" si="16">SUM(DK4:ED4)</f>
        <v>9000000</v>
      </c>
      <c r="DK4" s="1007">
        <f t="shared" ref="DK4:DL33" si="17">Z4-CO4</f>
        <v>0</v>
      </c>
      <c r="DL4" s="1007">
        <f t="shared" si="17"/>
        <v>0</v>
      </c>
      <c r="DM4" s="1007"/>
      <c r="DN4" s="1007">
        <f t="shared" ref="DN4:DQ32" si="18">AC4-CR4</f>
        <v>0</v>
      </c>
      <c r="DO4" s="1007">
        <f t="shared" si="18"/>
        <v>0</v>
      </c>
      <c r="DP4" s="1007">
        <f t="shared" si="18"/>
        <v>0</v>
      </c>
      <c r="DQ4" s="1007">
        <f t="shared" si="18"/>
        <v>0</v>
      </c>
      <c r="DR4" s="1007"/>
      <c r="DS4" s="1007">
        <f t="shared" ref="DS4:DT33" si="19">+AH4-CW4</f>
        <v>0</v>
      </c>
      <c r="DT4" s="1007">
        <f t="shared" si="19"/>
        <v>0</v>
      </c>
      <c r="DU4" s="1007"/>
      <c r="DV4" s="1007">
        <f t="shared" ref="DV4:DX33" si="20">AK4-CZ4</f>
        <v>0</v>
      </c>
      <c r="DW4" s="1007">
        <f t="shared" si="20"/>
        <v>0</v>
      </c>
      <c r="DX4" s="1007">
        <f t="shared" si="20"/>
        <v>9000000</v>
      </c>
      <c r="DY4" s="1007">
        <f t="shared" ref="DY4:EB33" si="21">+AN4-DC4</f>
        <v>0</v>
      </c>
      <c r="DZ4" s="1007">
        <f t="shared" si="21"/>
        <v>0</v>
      </c>
      <c r="EA4" s="1007">
        <f t="shared" si="21"/>
        <v>0</v>
      </c>
      <c r="EB4" s="1007">
        <f t="shared" si="21"/>
        <v>0</v>
      </c>
      <c r="EC4" s="1007"/>
      <c r="ED4" s="1007">
        <f t="shared" ref="ED4:ED33" si="22">+AS4-DH4</f>
        <v>0</v>
      </c>
    </row>
    <row r="5" spans="1:134" ht="73.5" customHeight="1" x14ac:dyDescent="0.25">
      <c r="A5" s="1565"/>
      <c r="B5" s="1020"/>
      <c r="C5" s="1092" t="s">
        <v>4557</v>
      </c>
      <c r="D5" s="1018" t="s">
        <v>4656</v>
      </c>
      <c r="E5" s="1019">
        <v>510</v>
      </c>
      <c r="F5" s="1094" t="s">
        <v>4660</v>
      </c>
      <c r="G5" s="1429"/>
      <c r="H5" s="1060">
        <f t="shared" si="0"/>
        <v>0</v>
      </c>
      <c r="I5" s="1060">
        <f t="shared" si="1"/>
        <v>10000000</v>
      </c>
      <c r="J5" s="1429"/>
      <c r="K5" s="1562"/>
      <c r="L5" s="1562"/>
      <c r="M5" s="1097">
        <v>0</v>
      </c>
      <c r="N5" s="1097">
        <v>0</v>
      </c>
      <c r="O5" s="1097">
        <v>0</v>
      </c>
      <c r="P5" s="1097">
        <v>0</v>
      </c>
      <c r="Q5" s="1097">
        <v>25</v>
      </c>
      <c r="R5" s="1097">
        <v>0</v>
      </c>
      <c r="S5" s="1094"/>
      <c r="T5" s="1094"/>
      <c r="U5" s="1094"/>
      <c r="V5" s="1094"/>
      <c r="W5" s="1094"/>
      <c r="X5" s="1094"/>
      <c r="Y5" s="1007">
        <f t="shared" si="2"/>
        <v>10000000</v>
      </c>
      <c r="Z5" s="1007"/>
      <c r="AA5" s="1007"/>
      <c r="AB5" s="1007"/>
      <c r="AC5" s="1007"/>
      <c r="AD5" s="1007"/>
      <c r="AE5" s="1007"/>
      <c r="AF5" s="1007"/>
      <c r="AG5" s="1007"/>
      <c r="AH5" s="1007"/>
      <c r="AI5" s="1007"/>
      <c r="AJ5" s="1007"/>
      <c r="AK5" s="1007"/>
      <c r="AL5" s="1007"/>
      <c r="AM5" s="1007">
        <v>10000000</v>
      </c>
      <c r="AN5" s="1007"/>
      <c r="AO5" s="1007"/>
      <c r="AP5" s="1007"/>
      <c r="AQ5" s="1007"/>
      <c r="AR5" s="1007"/>
      <c r="AS5" s="1007"/>
      <c r="AT5" s="986"/>
      <c r="AU5" s="1010">
        <f t="shared" si="3"/>
        <v>0</v>
      </c>
      <c r="AV5" s="1007">
        <f t="shared" si="4"/>
        <v>0</v>
      </c>
      <c r="AW5" s="1007"/>
      <c r="AX5" s="1007"/>
      <c r="AY5" s="1007"/>
      <c r="AZ5" s="1007"/>
      <c r="BA5" s="1007"/>
      <c r="BB5" s="1007"/>
      <c r="BC5" s="1007"/>
      <c r="BD5" s="1007"/>
      <c r="BE5" s="1007"/>
      <c r="BF5" s="1007"/>
      <c r="BG5" s="1007"/>
      <c r="BH5" s="1007"/>
      <c r="BI5" s="1007"/>
      <c r="BJ5" s="1007"/>
      <c r="BK5" s="1007"/>
      <c r="BL5" s="1007"/>
      <c r="BM5" s="1007"/>
      <c r="BN5" s="1007"/>
      <c r="BO5" s="1007"/>
      <c r="BP5" s="1007"/>
      <c r="BQ5" s="1010">
        <f t="shared" si="5"/>
        <v>1</v>
      </c>
      <c r="BR5" s="1007">
        <f t="shared" si="6"/>
        <v>10000000</v>
      </c>
      <c r="BS5" s="1007">
        <f t="shared" si="7"/>
        <v>0</v>
      </c>
      <c r="BT5" s="1007">
        <f t="shared" si="8"/>
        <v>0</v>
      </c>
      <c r="BU5" s="1007"/>
      <c r="BV5" s="1007">
        <f t="shared" si="9"/>
        <v>0</v>
      </c>
      <c r="BW5" s="1007"/>
      <c r="BX5" s="1007">
        <f t="shared" si="10"/>
        <v>0</v>
      </c>
      <c r="BY5" s="1007">
        <f t="shared" si="10"/>
        <v>0</v>
      </c>
      <c r="BZ5" s="1007"/>
      <c r="CA5" s="1007"/>
      <c r="CB5" s="1007"/>
      <c r="CC5" s="1007"/>
      <c r="CD5" s="1007">
        <f t="shared" si="11"/>
        <v>0</v>
      </c>
      <c r="CE5" s="1007">
        <f t="shared" si="11"/>
        <v>0</v>
      </c>
      <c r="CF5" s="1007">
        <f t="shared" si="11"/>
        <v>10000000</v>
      </c>
      <c r="CG5" s="1007">
        <f t="shared" si="11"/>
        <v>0</v>
      </c>
      <c r="CH5" s="1007">
        <f t="shared" si="11"/>
        <v>0</v>
      </c>
      <c r="CI5" s="1007">
        <f t="shared" si="11"/>
        <v>0</v>
      </c>
      <c r="CJ5" s="1007"/>
      <c r="CK5" s="1007"/>
      <c r="CL5" s="1007">
        <f t="shared" si="12"/>
        <v>0</v>
      </c>
      <c r="CM5" s="1010">
        <f t="shared" si="13"/>
        <v>0</v>
      </c>
      <c r="CN5" s="1007">
        <f t="shared" si="14"/>
        <v>0</v>
      </c>
      <c r="CO5" s="1007"/>
      <c r="CP5" s="1007"/>
      <c r="CQ5" s="1007"/>
      <c r="CR5" s="1007"/>
      <c r="CS5" s="1007"/>
      <c r="CT5" s="1007"/>
      <c r="CU5" s="1007"/>
      <c r="CV5" s="1007"/>
      <c r="CW5" s="1007"/>
      <c r="CX5" s="1007"/>
      <c r="CY5" s="1007"/>
      <c r="CZ5" s="1007"/>
      <c r="DA5" s="1007"/>
      <c r="DB5" s="1007"/>
      <c r="DC5" s="1007"/>
      <c r="DD5" s="1007"/>
      <c r="DE5" s="1007"/>
      <c r="DF5" s="1007"/>
      <c r="DG5" s="1007"/>
      <c r="DH5" s="1007"/>
      <c r="DI5" s="1010">
        <f t="shared" si="15"/>
        <v>1</v>
      </c>
      <c r="DJ5" s="1007">
        <f t="shared" si="16"/>
        <v>10000000</v>
      </c>
      <c r="DK5" s="1007">
        <f t="shared" si="17"/>
        <v>0</v>
      </c>
      <c r="DL5" s="1007">
        <f t="shared" si="17"/>
        <v>0</v>
      </c>
      <c r="DM5" s="1007"/>
      <c r="DN5" s="1007">
        <f t="shared" si="18"/>
        <v>0</v>
      </c>
      <c r="DO5" s="1007">
        <f t="shared" si="18"/>
        <v>0</v>
      </c>
      <c r="DP5" s="1007">
        <f t="shared" si="18"/>
        <v>0</v>
      </c>
      <c r="DQ5" s="1007">
        <f t="shared" si="18"/>
        <v>0</v>
      </c>
      <c r="DR5" s="1007"/>
      <c r="DS5" s="1007">
        <f t="shared" si="19"/>
        <v>0</v>
      </c>
      <c r="DT5" s="1007">
        <f t="shared" si="19"/>
        <v>0</v>
      </c>
      <c r="DU5" s="1007"/>
      <c r="DV5" s="1007">
        <f t="shared" si="20"/>
        <v>0</v>
      </c>
      <c r="DW5" s="1007">
        <f t="shared" si="20"/>
        <v>0</v>
      </c>
      <c r="DX5" s="1007">
        <f t="shared" si="20"/>
        <v>10000000</v>
      </c>
      <c r="DY5" s="1007">
        <f t="shared" si="21"/>
        <v>0</v>
      </c>
      <c r="DZ5" s="1007">
        <f t="shared" si="21"/>
        <v>0</v>
      </c>
      <c r="EA5" s="1007">
        <f t="shared" si="21"/>
        <v>0</v>
      </c>
      <c r="EB5" s="1007">
        <f t="shared" si="21"/>
        <v>0</v>
      </c>
      <c r="EC5" s="1007"/>
      <c r="ED5" s="1007">
        <f t="shared" si="22"/>
        <v>0</v>
      </c>
    </row>
    <row r="6" spans="1:134" ht="72.75" customHeight="1" x14ac:dyDescent="0.25">
      <c r="A6" s="1565"/>
      <c r="B6" s="1020"/>
      <c r="C6" s="1092" t="s">
        <v>4558</v>
      </c>
      <c r="D6" s="1018" t="s">
        <v>4657</v>
      </c>
      <c r="E6" s="1111">
        <v>510</v>
      </c>
      <c r="F6" s="1094" t="s">
        <v>4660</v>
      </c>
      <c r="G6" s="1429"/>
      <c r="H6" s="1060">
        <f t="shared" si="0"/>
        <v>0</v>
      </c>
      <c r="I6" s="1060">
        <f t="shared" si="1"/>
        <v>5000000</v>
      </c>
      <c r="J6" s="1429"/>
      <c r="K6" s="1562"/>
      <c r="L6" s="1562"/>
      <c r="M6" s="1097">
        <v>0</v>
      </c>
      <c r="N6" s="1097">
        <v>0</v>
      </c>
      <c r="O6" s="1097">
        <v>0</v>
      </c>
      <c r="P6" s="1097">
        <v>0</v>
      </c>
      <c r="Q6" s="1097">
        <v>25</v>
      </c>
      <c r="R6" s="1097">
        <v>0</v>
      </c>
      <c r="S6" s="1094"/>
      <c r="T6" s="1094"/>
      <c r="U6" s="1094"/>
      <c r="V6" s="1094"/>
      <c r="W6" s="1094"/>
      <c r="X6" s="1094"/>
      <c r="Y6" s="1007">
        <f t="shared" si="2"/>
        <v>5000000</v>
      </c>
      <c r="Z6" s="1007"/>
      <c r="AA6" s="1007"/>
      <c r="AB6" s="1007"/>
      <c r="AC6" s="1007"/>
      <c r="AD6" s="1007"/>
      <c r="AE6" s="1007"/>
      <c r="AF6" s="1007"/>
      <c r="AG6" s="1007"/>
      <c r="AH6" s="1007"/>
      <c r="AI6" s="1007"/>
      <c r="AJ6" s="1007"/>
      <c r="AK6" s="1007"/>
      <c r="AL6" s="1007"/>
      <c r="AM6" s="1007">
        <v>5000000</v>
      </c>
      <c r="AN6" s="1007"/>
      <c r="AO6" s="1007"/>
      <c r="AP6" s="1007"/>
      <c r="AQ6" s="1007"/>
      <c r="AR6" s="1007"/>
      <c r="AS6" s="1007"/>
      <c r="AT6" s="986"/>
      <c r="AU6" s="1010">
        <f t="shared" si="3"/>
        <v>0</v>
      </c>
      <c r="AV6" s="1007">
        <f t="shared" si="4"/>
        <v>0</v>
      </c>
      <c r="AW6" s="1007"/>
      <c r="AX6" s="1007"/>
      <c r="AY6" s="1007"/>
      <c r="AZ6" s="1007"/>
      <c r="BA6" s="1007"/>
      <c r="BB6" s="1007"/>
      <c r="BC6" s="1007"/>
      <c r="BD6" s="1007"/>
      <c r="BE6" s="1007"/>
      <c r="BF6" s="1007"/>
      <c r="BG6" s="1007"/>
      <c r="BH6" s="1007"/>
      <c r="BI6" s="1007"/>
      <c r="BJ6" s="1007"/>
      <c r="BK6" s="1007"/>
      <c r="BL6" s="1007"/>
      <c r="BM6" s="1007"/>
      <c r="BN6" s="1007"/>
      <c r="BO6" s="1007"/>
      <c r="BP6" s="1007"/>
      <c r="BQ6" s="1010">
        <f t="shared" si="5"/>
        <v>1</v>
      </c>
      <c r="BR6" s="1007">
        <f t="shared" si="6"/>
        <v>5000000</v>
      </c>
      <c r="BS6" s="1007">
        <f t="shared" si="7"/>
        <v>0</v>
      </c>
      <c r="BT6" s="1007">
        <f t="shared" si="8"/>
        <v>0</v>
      </c>
      <c r="BU6" s="1007"/>
      <c r="BV6" s="1007">
        <f t="shared" si="9"/>
        <v>0</v>
      </c>
      <c r="BW6" s="1007"/>
      <c r="BX6" s="1007">
        <f t="shared" si="10"/>
        <v>0</v>
      </c>
      <c r="BY6" s="1007">
        <f t="shared" si="10"/>
        <v>0</v>
      </c>
      <c r="BZ6" s="1007"/>
      <c r="CA6" s="1007"/>
      <c r="CB6" s="1007"/>
      <c r="CC6" s="1007"/>
      <c r="CD6" s="1007">
        <f t="shared" si="11"/>
        <v>0</v>
      </c>
      <c r="CE6" s="1007">
        <f t="shared" si="11"/>
        <v>0</v>
      </c>
      <c r="CF6" s="1007">
        <f t="shared" si="11"/>
        <v>5000000</v>
      </c>
      <c r="CG6" s="1007">
        <f t="shared" si="11"/>
        <v>0</v>
      </c>
      <c r="CH6" s="1007">
        <f t="shared" si="11"/>
        <v>0</v>
      </c>
      <c r="CI6" s="1007">
        <f t="shared" si="11"/>
        <v>0</v>
      </c>
      <c r="CJ6" s="1007"/>
      <c r="CK6" s="1007"/>
      <c r="CL6" s="1007">
        <f t="shared" si="12"/>
        <v>0</v>
      </c>
      <c r="CM6" s="1010">
        <f t="shared" si="13"/>
        <v>0</v>
      </c>
      <c r="CN6" s="1007">
        <f t="shared" si="14"/>
        <v>0</v>
      </c>
      <c r="CO6" s="1007"/>
      <c r="CP6" s="1007"/>
      <c r="CQ6" s="1007"/>
      <c r="CR6" s="1007"/>
      <c r="CS6" s="1007"/>
      <c r="CT6" s="1007"/>
      <c r="CU6" s="1007"/>
      <c r="CV6" s="1007"/>
      <c r="CW6" s="1007"/>
      <c r="CX6" s="1007"/>
      <c r="CY6" s="1007"/>
      <c r="CZ6" s="1007"/>
      <c r="DA6" s="1007"/>
      <c r="DB6" s="1007"/>
      <c r="DC6" s="1007"/>
      <c r="DD6" s="1007"/>
      <c r="DE6" s="1007"/>
      <c r="DF6" s="1007"/>
      <c r="DG6" s="1007"/>
      <c r="DH6" s="1007"/>
      <c r="DI6" s="1010">
        <f t="shared" si="15"/>
        <v>1</v>
      </c>
      <c r="DJ6" s="1007">
        <f t="shared" si="16"/>
        <v>5000000</v>
      </c>
      <c r="DK6" s="1007">
        <f t="shared" si="17"/>
        <v>0</v>
      </c>
      <c r="DL6" s="1007">
        <f t="shared" si="17"/>
        <v>0</v>
      </c>
      <c r="DM6" s="1007"/>
      <c r="DN6" s="1007">
        <f t="shared" si="18"/>
        <v>0</v>
      </c>
      <c r="DO6" s="1007">
        <f t="shared" si="18"/>
        <v>0</v>
      </c>
      <c r="DP6" s="1007">
        <f t="shared" si="18"/>
        <v>0</v>
      </c>
      <c r="DQ6" s="1007">
        <f t="shared" si="18"/>
        <v>0</v>
      </c>
      <c r="DR6" s="1007"/>
      <c r="DS6" s="1007">
        <f t="shared" si="19"/>
        <v>0</v>
      </c>
      <c r="DT6" s="1007">
        <f t="shared" si="19"/>
        <v>0</v>
      </c>
      <c r="DU6" s="1007"/>
      <c r="DV6" s="1007">
        <f t="shared" si="20"/>
        <v>0</v>
      </c>
      <c r="DW6" s="1007">
        <f t="shared" si="20"/>
        <v>0</v>
      </c>
      <c r="DX6" s="1007">
        <f t="shared" si="20"/>
        <v>5000000</v>
      </c>
      <c r="DY6" s="1007">
        <f t="shared" si="21"/>
        <v>0</v>
      </c>
      <c r="DZ6" s="1007">
        <f t="shared" si="21"/>
        <v>0</v>
      </c>
      <c r="EA6" s="1007">
        <f t="shared" si="21"/>
        <v>0</v>
      </c>
      <c r="EB6" s="1007">
        <f t="shared" si="21"/>
        <v>0</v>
      </c>
      <c r="EC6" s="1007"/>
      <c r="ED6" s="1007">
        <f t="shared" si="22"/>
        <v>0</v>
      </c>
    </row>
    <row r="7" spans="1:134" ht="53.25" customHeight="1" x14ac:dyDescent="0.25">
      <c r="A7" s="1565"/>
      <c r="B7" s="1021"/>
      <c r="C7" s="1092" t="s">
        <v>4559</v>
      </c>
      <c r="D7" s="1018" t="s">
        <v>4658</v>
      </c>
      <c r="E7" s="1022">
        <v>510</v>
      </c>
      <c r="F7" s="1094" t="s">
        <v>4660</v>
      </c>
      <c r="G7" s="1429"/>
      <c r="H7" s="1060">
        <f t="shared" si="0"/>
        <v>10507037</v>
      </c>
      <c r="I7" s="1060">
        <f t="shared" si="1"/>
        <v>24492963</v>
      </c>
      <c r="J7" s="1429"/>
      <c r="K7" s="1562"/>
      <c r="L7" s="1562"/>
      <c r="M7" s="1097">
        <v>0</v>
      </c>
      <c r="N7" s="1097">
        <v>0</v>
      </c>
      <c r="O7" s="1097">
        <v>0</v>
      </c>
      <c r="P7" s="1097">
        <v>0</v>
      </c>
      <c r="Q7" s="1097">
        <v>25</v>
      </c>
      <c r="R7" s="1097">
        <v>0</v>
      </c>
      <c r="S7" s="1094"/>
      <c r="T7" s="1094"/>
      <c r="U7" s="1094"/>
      <c r="V7" s="1094"/>
      <c r="W7" s="1094"/>
      <c r="X7" s="1094"/>
      <c r="Y7" s="1007">
        <f t="shared" si="2"/>
        <v>35000000</v>
      </c>
      <c r="Z7" s="1007"/>
      <c r="AA7" s="1007"/>
      <c r="AB7" s="1007"/>
      <c r="AC7" s="1007"/>
      <c r="AD7" s="1007"/>
      <c r="AE7" s="1007"/>
      <c r="AF7" s="1007"/>
      <c r="AG7" s="1007"/>
      <c r="AH7" s="1007"/>
      <c r="AI7" s="1007"/>
      <c r="AJ7" s="1007"/>
      <c r="AK7" s="1007"/>
      <c r="AL7" s="1007"/>
      <c r="AM7" s="1066">
        <f>10000000+25000000</f>
        <v>35000000</v>
      </c>
      <c r="AN7" s="1007"/>
      <c r="AO7" s="1007"/>
      <c r="AP7" s="1007"/>
      <c r="AQ7" s="1007"/>
      <c r="AR7" s="1007"/>
      <c r="AS7" s="1007"/>
      <c r="AT7" s="986"/>
      <c r="AU7" s="1010">
        <f t="shared" si="3"/>
        <v>0.30020105714285716</v>
      </c>
      <c r="AV7" s="1007">
        <f t="shared" si="4"/>
        <v>10507037</v>
      </c>
      <c r="AW7" s="1007"/>
      <c r="AX7" s="1007"/>
      <c r="AY7" s="1007"/>
      <c r="AZ7" s="1007"/>
      <c r="BA7" s="1007"/>
      <c r="BB7" s="1007"/>
      <c r="BC7" s="1007"/>
      <c r="BD7" s="1007"/>
      <c r="BE7" s="1007"/>
      <c r="BF7" s="1007"/>
      <c r="BG7" s="1007"/>
      <c r="BH7" s="1007"/>
      <c r="BI7" s="1007"/>
      <c r="BJ7" s="1007">
        <f>+'[8]SEPTIEMBRE 2015'!$W$2440</f>
        <v>10507037</v>
      </c>
      <c r="BK7" s="1007"/>
      <c r="BL7" s="1007"/>
      <c r="BM7" s="1007"/>
      <c r="BN7" s="1007"/>
      <c r="BO7" s="1007"/>
      <c r="BP7" s="1007"/>
      <c r="BQ7" s="1010">
        <f t="shared" si="5"/>
        <v>0.69979894285714284</v>
      </c>
      <c r="BR7" s="1007">
        <f t="shared" si="6"/>
        <v>24492963</v>
      </c>
      <c r="BS7" s="1007">
        <f t="shared" si="7"/>
        <v>0</v>
      </c>
      <c r="BT7" s="1007">
        <f t="shared" si="8"/>
        <v>0</v>
      </c>
      <c r="BU7" s="1007"/>
      <c r="BV7" s="1007">
        <f t="shared" si="9"/>
        <v>0</v>
      </c>
      <c r="BW7" s="1007"/>
      <c r="BX7" s="1007">
        <f t="shared" si="10"/>
        <v>0</v>
      </c>
      <c r="BY7" s="1007">
        <f t="shared" si="10"/>
        <v>0</v>
      </c>
      <c r="BZ7" s="1007"/>
      <c r="CA7" s="1007"/>
      <c r="CB7" s="1007"/>
      <c r="CC7" s="1007"/>
      <c r="CD7" s="1007">
        <f t="shared" si="11"/>
        <v>0</v>
      </c>
      <c r="CE7" s="1007">
        <f t="shared" si="11"/>
        <v>0</v>
      </c>
      <c r="CF7" s="1007">
        <f t="shared" si="11"/>
        <v>24492963</v>
      </c>
      <c r="CG7" s="1007">
        <f t="shared" si="11"/>
        <v>0</v>
      </c>
      <c r="CH7" s="1007">
        <f t="shared" si="11"/>
        <v>0</v>
      </c>
      <c r="CI7" s="1007">
        <f t="shared" si="11"/>
        <v>0</v>
      </c>
      <c r="CJ7" s="1007"/>
      <c r="CK7" s="1007"/>
      <c r="CL7" s="1007">
        <f t="shared" si="12"/>
        <v>0</v>
      </c>
      <c r="CM7" s="1010">
        <f t="shared" si="13"/>
        <v>0.30020105714285716</v>
      </c>
      <c r="CN7" s="1007">
        <f t="shared" si="14"/>
        <v>10507037</v>
      </c>
      <c r="CO7" s="1007"/>
      <c r="CP7" s="1007"/>
      <c r="CQ7" s="1007"/>
      <c r="CR7" s="1007"/>
      <c r="CS7" s="1007"/>
      <c r="CT7" s="1007"/>
      <c r="CU7" s="1007"/>
      <c r="CV7" s="1007"/>
      <c r="CW7" s="1007"/>
      <c r="CX7" s="1007"/>
      <c r="CY7" s="1007"/>
      <c r="CZ7" s="1007"/>
      <c r="DA7" s="1007"/>
      <c r="DB7" s="1007">
        <f>+'[8]SEPTIEMBRE 2015'!$H$2438</f>
        <v>10507037</v>
      </c>
      <c r="DC7" s="1007"/>
      <c r="DD7" s="1007"/>
      <c r="DE7" s="1007"/>
      <c r="DF7" s="1007"/>
      <c r="DG7" s="1007"/>
      <c r="DH7" s="1007"/>
      <c r="DI7" s="1010">
        <f t="shared" si="15"/>
        <v>0.69979894285714284</v>
      </c>
      <c r="DJ7" s="1007">
        <f t="shared" si="16"/>
        <v>24492963</v>
      </c>
      <c r="DK7" s="1007">
        <f t="shared" si="17"/>
        <v>0</v>
      </c>
      <c r="DL7" s="1007">
        <f t="shared" si="17"/>
        <v>0</v>
      </c>
      <c r="DM7" s="1007"/>
      <c r="DN7" s="1007">
        <f t="shared" si="18"/>
        <v>0</v>
      </c>
      <c r="DO7" s="1007">
        <f t="shared" si="18"/>
        <v>0</v>
      </c>
      <c r="DP7" s="1007">
        <f t="shared" si="18"/>
        <v>0</v>
      </c>
      <c r="DQ7" s="1007">
        <f t="shared" si="18"/>
        <v>0</v>
      </c>
      <c r="DR7" s="1007"/>
      <c r="DS7" s="1007">
        <f t="shared" si="19"/>
        <v>0</v>
      </c>
      <c r="DT7" s="1007">
        <f t="shared" si="19"/>
        <v>0</v>
      </c>
      <c r="DU7" s="1007"/>
      <c r="DV7" s="1007">
        <f t="shared" si="20"/>
        <v>0</v>
      </c>
      <c r="DW7" s="1007">
        <f t="shared" si="20"/>
        <v>0</v>
      </c>
      <c r="DX7" s="1007">
        <f t="shared" si="20"/>
        <v>24492963</v>
      </c>
      <c r="DY7" s="1007">
        <f t="shared" si="21"/>
        <v>0</v>
      </c>
      <c r="DZ7" s="1007">
        <f t="shared" si="21"/>
        <v>0</v>
      </c>
      <c r="EA7" s="1007">
        <f t="shared" si="21"/>
        <v>0</v>
      </c>
      <c r="EB7" s="1007">
        <f t="shared" si="21"/>
        <v>0</v>
      </c>
      <c r="EC7" s="1007"/>
      <c r="ED7" s="1007">
        <f t="shared" si="22"/>
        <v>0</v>
      </c>
    </row>
    <row r="8" spans="1:134" ht="114" customHeight="1" x14ac:dyDescent="0.25">
      <c r="A8" s="1565"/>
      <c r="B8" s="1020"/>
      <c r="C8" s="1092" t="s">
        <v>4560</v>
      </c>
      <c r="D8" s="1018" t="s">
        <v>4659</v>
      </c>
      <c r="E8" s="1112">
        <v>510</v>
      </c>
      <c r="F8" s="1094" t="s">
        <v>4660</v>
      </c>
      <c r="G8" s="1429"/>
      <c r="H8" s="1060">
        <f t="shared" si="0"/>
        <v>0</v>
      </c>
      <c r="I8" s="1060">
        <f t="shared" si="1"/>
        <v>0</v>
      </c>
      <c r="J8" s="1429"/>
      <c r="K8" s="1562"/>
      <c r="L8" s="1562"/>
      <c r="M8" s="1097">
        <v>0</v>
      </c>
      <c r="N8" s="1097">
        <v>0</v>
      </c>
      <c r="O8" s="1097">
        <v>0</v>
      </c>
      <c r="P8" s="1097">
        <v>0</v>
      </c>
      <c r="Q8" s="1097">
        <v>25</v>
      </c>
      <c r="R8" s="1097">
        <v>0</v>
      </c>
      <c r="S8" s="1094"/>
      <c r="T8" s="1094"/>
      <c r="U8" s="1094"/>
      <c r="V8" s="1094"/>
      <c r="W8" s="1094"/>
      <c r="X8" s="1094"/>
      <c r="Y8" s="1007">
        <f t="shared" si="2"/>
        <v>0</v>
      </c>
      <c r="Z8" s="1007"/>
      <c r="AA8" s="1007"/>
      <c r="AB8" s="1007"/>
      <c r="AC8" s="1007"/>
      <c r="AD8" s="1007"/>
      <c r="AE8" s="1007"/>
      <c r="AF8" s="1007"/>
      <c r="AG8" s="1007"/>
      <c r="AH8" s="1007"/>
      <c r="AI8" s="1007"/>
      <c r="AJ8" s="1007"/>
      <c r="AK8" s="1007"/>
      <c r="AL8" s="1007"/>
      <c r="AM8" s="1066">
        <f>25000000-25000000</f>
        <v>0</v>
      </c>
      <c r="AN8" s="1007"/>
      <c r="AO8" s="1007"/>
      <c r="AP8" s="1007"/>
      <c r="AQ8" s="1007"/>
      <c r="AR8" s="1007"/>
      <c r="AS8" s="1007"/>
      <c r="AT8" s="986"/>
      <c r="AU8" s="1010" t="e">
        <f t="shared" si="3"/>
        <v>#DIV/0!</v>
      </c>
      <c r="AV8" s="1007">
        <f t="shared" si="4"/>
        <v>0</v>
      </c>
      <c r="AW8" s="1007"/>
      <c r="AX8" s="1007"/>
      <c r="AY8" s="1007"/>
      <c r="AZ8" s="1007"/>
      <c r="BA8" s="1007"/>
      <c r="BB8" s="1007"/>
      <c r="BC8" s="1007"/>
      <c r="BD8" s="1007"/>
      <c r="BE8" s="1007"/>
      <c r="BF8" s="1007"/>
      <c r="BG8" s="1007"/>
      <c r="BH8" s="1007"/>
      <c r="BI8" s="1007"/>
      <c r="BJ8" s="1007"/>
      <c r="BK8" s="1007"/>
      <c r="BL8" s="1007"/>
      <c r="BM8" s="1007"/>
      <c r="BN8" s="1007"/>
      <c r="BO8" s="1007"/>
      <c r="BP8" s="1007"/>
      <c r="BQ8" s="1010" t="e">
        <f t="shared" si="5"/>
        <v>#DIV/0!</v>
      </c>
      <c r="BR8" s="1007">
        <f t="shared" si="6"/>
        <v>0</v>
      </c>
      <c r="BS8" s="1007">
        <f t="shared" si="7"/>
        <v>0</v>
      </c>
      <c r="BT8" s="1007">
        <f t="shared" si="8"/>
        <v>0</v>
      </c>
      <c r="BU8" s="1007"/>
      <c r="BV8" s="1007">
        <f t="shared" si="9"/>
        <v>0</v>
      </c>
      <c r="BW8" s="1007"/>
      <c r="BX8" s="1007">
        <f t="shared" si="10"/>
        <v>0</v>
      </c>
      <c r="BY8" s="1007">
        <f t="shared" si="10"/>
        <v>0</v>
      </c>
      <c r="BZ8" s="1007"/>
      <c r="CA8" s="1007"/>
      <c r="CB8" s="1007"/>
      <c r="CC8" s="1007"/>
      <c r="CD8" s="1007">
        <f t="shared" si="11"/>
        <v>0</v>
      </c>
      <c r="CE8" s="1007">
        <f t="shared" si="11"/>
        <v>0</v>
      </c>
      <c r="CF8" s="1007">
        <f t="shared" si="11"/>
        <v>0</v>
      </c>
      <c r="CG8" s="1007">
        <f t="shared" si="11"/>
        <v>0</v>
      </c>
      <c r="CH8" s="1007">
        <f t="shared" si="11"/>
        <v>0</v>
      </c>
      <c r="CI8" s="1007">
        <f t="shared" si="11"/>
        <v>0</v>
      </c>
      <c r="CJ8" s="1007"/>
      <c r="CK8" s="1007"/>
      <c r="CL8" s="1007">
        <f t="shared" si="12"/>
        <v>0</v>
      </c>
      <c r="CM8" s="1010" t="e">
        <f t="shared" si="13"/>
        <v>#DIV/0!</v>
      </c>
      <c r="CN8" s="1007">
        <f t="shared" si="14"/>
        <v>0</v>
      </c>
      <c r="CO8" s="1007"/>
      <c r="CP8" s="1007"/>
      <c r="CQ8" s="1007"/>
      <c r="CR8" s="1007"/>
      <c r="CS8" s="1007"/>
      <c r="CT8" s="1007"/>
      <c r="CU8" s="1007"/>
      <c r="CV8" s="1007"/>
      <c r="CW8" s="1007"/>
      <c r="CX8" s="1007"/>
      <c r="CY8" s="1007"/>
      <c r="CZ8" s="1007"/>
      <c r="DA8" s="1007"/>
      <c r="DB8" s="1007"/>
      <c r="DC8" s="1007"/>
      <c r="DD8" s="1007"/>
      <c r="DE8" s="1007"/>
      <c r="DF8" s="1007"/>
      <c r="DG8" s="1007"/>
      <c r="DH8" s="1007"/>
      <c r="DI8" s="1010" t="e">
        <f t="shared" si="15"/>
        <v>#DIV/0!</v>
      </c>
      <c r="DJ8" s="1007">
        <f t="shared" si="16"/>
        <v>0</v>
      </c>
      <c r="DK8" s="1007">
        <f t="shared" si="17"/>
        <v>0</v>
      </c>
      <c r="DL8" s="1007">
        <f t="shared" si="17"/>
        <v>0</v>
      </c>
      <c r="DM8" s="1007"/>
      <c r="DN8" s="1007">
        <f t="shared" si="18"/>
        <v>0</v>
      </c>
      <c r="DO8" s="1007">
        <f t="shared" si="18"/>
        <v>0</v>
      </c>
      <c r="DP8" s="1007">
        <f t="shared" si="18"/>
        <v>0</v>
      </c>
      <c r="DQ8" s="1007">
        <f t="shared" si="18"/>
        <v>0</v>
      </c>
      <c r="DR8" s="1007"/>
      <c r="DS8" s="1007">
        <f t="shared" si="19"/>
        <v>0</v>
      </c>
      <c r="DT8" s="1007">
        <f t="shared" si="19"/>
        <v>0</v>
      </c>
      <c r="DU8" s="1007"/>
      <c r="DV8" s="1007">
        <f t="shared" si="20"/>
        <v>0</v>
      </c>
      <c r="DW8" s="1007">
        <f t="shared" si="20"/>
        <v>0</v>
      </c>
      <c r="DX8" s="1007">
        <f t="shared" si="20"/>
        <v>0</v>
      </c>
      <c r="DY8" s="1007">
        <f t="shared" si="21"/>
        <v>0</v>
      </c>
      <c r="DZ8" s="1007">
        <f t="shared" si="21"/>
        <v>0</v>
      </c>
      <c r="EA8" s="1007">
        <f t="shared" si="21"/>
        <v>0</v>
      </c>
      <c r="EB8" s="1007">
        <f t="shared" si="21"/>
        <v>0</v>
      </c>
      <c r="EC8" s="1007"/>
      <c r="ED8" s="1007">
        <f t="shared" si="22"/>
        <v>0</v>
      </c>
    </row>
    <row r="9" spans="1:134" ht="63" customHeight="1" x14ac:dyDescent="0.25">
      <c r="A9" s="1565"/>
      <c r="B9" s="1020"/>
      <c r="C9" s="1092" t="s">
        <v>4561</v>
      </c>
      <c r="D9" s="1018" t="s">
        <v>4662</v>
      </c>
      <c r="E9" s="1019">
        <v>510</v>
      </c>
      <c r="F9" s="1094" t="s">
        <v>4660</v>
      </c>
      <c r="G9" s="1430"/>
      <c r="H9" s="1060">
        <f t="shared" si="0"/>
        <v>34542493</v>
      </c>
      <c r="I9" s="1060">
        <f t="shared" si="1"/>
        <v>457507</v>
      </c>
      <c r="J9" s="1430"/>
      <c r="K9" s="1258"/>
      <c r="L9" s="1258"/>
      <c r="M9" s="1097">
        <v>0</v>
      </c>
      <c r="N9" s="1097">
        <v>0</v>
      </c>
      <c r="O9" s="1097">
        <v>0</v>
      </c>
      <c r="P9" s="1097">
        <v>42</v>
      </c>
      <c r="Q9" s="1097">
        <v>25</v>
      </c>
      <c r="R9" s="1097">
        <v>11</v>
      </c>
      <c r="S9" s="1094"/>
      <c r="T9" s="1094"/>
      <c r="U9" s="1094"/>
      <c r="V9" s="1094"/>
      <c r="W9" s="1094"/>
      <c r="X9" s="1094"/>
      <c r="Y9" s="1007">
        <f t="shared" si="2"/>
        <v>35000000</v>
      </c>
      <c r="Z9" s="1007"/>
      <c r="AA9" s="1007"/>
      <c r="AB9" s="1007"/>
      <c r="AC9" s="1007"/>
      <c r="AD9" s="1007"/>
      <c r="AE9" s="1007"/>
      <c r="AF9" s="1007"/>
      <c r="AG9" s="1007"/>
      <c r="AH9" s="1007"/>
      <c r="AI9" s="1007"/>
      <c r="AJ9" s="1007"/>
      <c r="AK9" s="1007"/>
      <c r="AL9" s="1007"/>
      <c r="AM9" s="1066">
        <f>35000000</f>
        <v>35000000</v>
      </c>
      <c r="AN9" s="1007"/>
      <c r="AO9" s="1007"/>
      <c r="AP9" s="1007"/>
      <c r="AQ9" s="1007"/>
      <c r="AR9" s="1007"/>
      <c r="AS9" s="1007"/>
      <c r="AT9" s="986"/>
      <c r="AU9" s="1010">
        <f t="shared" si="3"/>
        <v>0.98692837142857148</v>
      </c>
      <c r="AV9" s="1007">
        <f t="shared" si="4"/>
        <v>34542493</v>
      </c>
      <c r="AW9" s="1007"/>
      <c r="AX9" s="1007"/>
      <c r="AY9" s="1007"/>
      <c r="AZ9" s="1007"/>
      <c r="BA9" s="1007"/>
      <c r="BB9" s="1007"/>
      <c r="BC9" s="1007"/>
      <c r="BD9" s="1007"/>
      <c r="BE9" s="1007"/>
      <c r="BF9" s="1007"/>
      <c r="BG9" s="1007"/>
      <c r="BH9" s="1007"/>
      <c r="BI9" s="1007"/>
      <c r="BJ9" s="1007">
        <f>+'[8]SEPTIEMBRE 2015'!$W$2458</f>
        <v>34542493</v>
      </c>
      <c r="BK9" s="1007"/>
      <c r="BL9" s="1007"/>
      <c r="BM9" s="1007"/>
      <c r="BN9" s="1007"/>
      <c r="BO9" s="1007"/>
      <c r="BP9" s="1007"/>
      <c r="BQ9" s="1010">
        <f t="shared" si="5"/>
        <v>1.3071628571428517E-2</v>
      </c>
      <c r="BR9" s="1007">
        <f t="shared" si="6"/>
        <v>457507</v>
      </c>
      <c r="BS9" s="1007">
        <f t="shared" si="7"/>
        <v>0</v>
      </c>
      <c r="BT9" s="1007">
        <f t="shared" si="8"/>
        <v>0</v>
      </c>
      <c r="BU9" s="1007"/>
      <c r="BV9" s="1007">
        <f t="shared" si="9"/>
        <v>0</v>
      </c>
      <c r="BW9" s="1007"/>
      <c r="BX9" s="1007">
        <f t="shared" si="10"/>
        <v>0</v>
      </c>
      <c r="BY9" s="1007">
        <f t="shared" si="10"/>
        <v>0</v>
      </c>
      <c r="BZ9" s="1007"/>
      <c r="CA9" s="1007"/>
      <c r="CB9" s="1007"/>
      <c r="CC9" s="1007"/>
      <c r="CD9" s="1007">
        <f t="shared" si="11"/>
        <v>0</v>
      </c>
      <c r="CE9" s="1007">
        <f t="shared" si="11"/>
        <v>0</v>
      </c>
      <c r="CF9" s="1007">
        <f t="shared" si="11"/>
        <v>457507</v>
      </c>
      <c r="CG9" s="1007">
        <f t="shared" si="11"/>
        <v>0</v>
      </c>
      <c r="CH9" s="1007">
        <f t="shared" si="11"/>
        <v>0</v>
      </c>
      <c r="CI9" s="1007">
        <f t="shared" si="11"/>
        <v>0</v>
      </c>
      <c r="CJ9" s="1007"/>
      <c r="CK9" s="1007"/>
      <c r="CL9" s="1007">
        <f t="shared" si="12"/>
        <v>0</v>
      </c>
      <c r="CM9" s="1010">
        <f t="shared" si="13"/>
        <v>0.98692837142857148</v>
      </c>
      <c r="CN9" s="1007">
        <f t="shared" si="14"/>
        <v>34542493</v>
      </c>
      <c r="CO9" s="1007"/>
      <c r="CP9" s="1007"/>
      <c r="CQ9" s="1007"/>
      <c r="CR9" s="1007"/>
      <c r="CS9" s="1007"/>
      <c r="CT9" s="1007"/>
      <c r="CU9" s="1007"/>
      <c r="CV9" s="1007"/>
      <c r="CW9" s="1007"/>
      <c r="CX9" s="1007"/>
      <c r="CY9" s="1007"/>
      <c r="CZ9" s="1007"/>
      <c r="DA9" s="1007"/>
      <c r="DB9" s="1007">
        <f>+'[8]SEPTIEMBRE 2015'!$H$2456</f>
        <v>34542493</v>
      </c>
      <c r="DC9" s="1007"/>
      <c r="DD9" s="1007"/>
      <c r="DE9" s="1007"/>
      <c r="DF9" s="1007"/>
      <c r="DG9" s="1007"/>
      <c r="DH9" s="1007"/>
      <c r="DI9" s="1010">
        <f t="shared" si="15"/>
        <v>1.3071628571428517E-2</v>
      </c>
      <c r="DJ9" s="1007">
        <f t="shared" si="16"/>
        <v>457507</v>
      </c>
      <c r="DK9" s="1007">
        <f t="shared" si="17"/>
        <v>0</v>
      </c>
      <c r="DL9" s="1007">
        <f t="shared" si="17"/>
        <v>0</v>
      </c>
      <c r="DM9" s="1007"/>
      <c r="DN9" s="1007">
        <f t="shared" si="18"/>
        <v>0</v>
      </c>
      <c r="DO9" s="1007">
        <f t="shared" si="18"/>
        <v>0</v>
      </c>
      <c r="DP9" s="1007">
        <f t="shared" si="18"/>
        <v>0</v>
      </c>
      <c r="DQ9" s="1007">
        <f t="shared" si="18"/>
        <v>0</v>
      </c>
      <c r="DR9" s="1007"/>
      <c r="DS9" s="1007">
        <f t="shared" si="19"/>
        <v>0</v>
      </c>
      <c r="DT9" s="1007">
        <f t="shared" si="19"/>
        <v>0</v>
      </c>
      <c r="DU9" s="1007"/>
      <c r="DV9" s="1007">
        <f t="shared" si="20"/>
        <v>0</v>
      </c>
      <c r="DW9" s="1007">
        <f t="shared" si="20"/>
        <v>0</v>
      </c>
      <c r="DX9" s="1007">
        <f t="shared" si="20"/>
        <v>457507</v>
      </c>
      <c r="DY9" s="1007">
        <f t="shared" si="21"/>
        <v>0</v>
      </c>
      <c r="DZ9" s="1007">
        <f t="shared" si="21"/>
        <v>0</v>
      </c>
      <c r="EA9" s="1007">
        <f t="shared" si="21"/>
        <v>0</v>
      </c>
      <c r="EB9" s="1007">
        <f t="shared" si="21"/>
        <v>0</v>
      </c>
      <c r="EC9" s="1007"/>
      <c r="ED9" s="1007">
        <f t="shared" si="22"/>
        <v>0</v>
      </c>
    </row>
    <row r="10" spans="1:134" ht="54" customHeight="1" x14ac:dyDescent="0.25">
      <c r="A10" s="1565"/>
      <c r="B10" s="1020" t="s">
        <v>4299</v>
      </c>
      <c r="C10" s="1092" t="s">
        <v>4398</v>
      </c>
      <c r="D10" s="1018" t="s">
        <v>4300</v>
      </c>
      <c r="E10" s="1019">
        <v>510</v>
      </c>
      <c r="F10" s="1094" t="s">
        <v>4727</v>
      </c>
      <c r="G10" s="1428">
        <v>95000000</v>
      </c>
      <c r="H10" s="1060">
        <f t="shared" si="0"/>
        <v>3977268</v>
      </c>
      <c r="I10" s="1060">
        <f t="shared" si="1"/>
        <v>15022732</v>
      </c>
      <c r="J10" s="1428" t="s">
        <v>4752</v>
      </c>
      <c r="K10" s="1257" t="s">
        <v>4762</v>
      </c>
      <c r="L10" s="1257" t="s">
        <v>4752</v>
      </c>
      <c r="M10" s="1097">
        <v>0</v>
      </c>
      <c r="N10" s="1097">
        <v>0</v>
      </c>
      <c r="O10" s="1097">
        <v>0</v>
      </c>
      <c r="P10" s="1097">
        <v>0</v>
      </c>
      <c r="Q10" s="1097">
        <v>0</v>
      </c>
      <c r="R10" s="1097">
        <v>0</v>
      </c>
      <c r="S10" s="1094"/>
      <c r="T10" s="1094"/>
      <c r="U10" s="1094"/>
      <c r="V10" s="1094"/>
      <c r="W10" s="1094"/>
      <c r="X10" s="1094"/>
      <c r="Y10" s="1007">
        <f t="shared" si="2"/>
        <v>19000000</v>
      </c>
      <c r="Z10" s="1007"/>
      <c r="AA10" s="1007"/>
      <c r="AB10" s="1007"/>
      <c r="AC10" s="1007"/>
      <c r="AD10" s="1007"/>
      <c r="AE10" s="1007"/>
      <c r="AF10" s="1007"/>
      <c r="AG10" s="1007"/>
      <c r="AH10" s="1007"/>
      <c r="AI10" s="1007"/>
      <c r="AJ10" s="1007"/>
      <c r="AK10" s="1007"/>
      <c r="AL10" s="1007"/>
      <c r="AM10" s="1007"/>
      <c r="AN10" s="1007"/>
      <c r="AO10" s="1007"/>
      <c r="AP10" s="1007"/>
      <c r="AQ10" s="1007"/>
      <c r="AR10" s="1007"/>
      <c r="AS10" s="1007">
        <f>5000000+10000000+4000000</f>
        <v>19000000</v>
      </c>
      <c r="AU10" s="1010">
        <f t="shared" si="3"/>
        <v>0.89473684210526316</v>
      </c>
      <c r="AV10" s="1007">
        <f t="shared" si="4"/>
        <v>17000000</v>
      </c>
      <c r="AW10" s="1007"/>
      <c r="AX10" s="1007"/>
      <c r="AY10" s="1007"/>
      <c r="AZ10" s="1007"/>
      <c r="BA10" s="1007"/>
      <c r="BB10" s="1007"/>
      <c r="BC10" s="1007"/>
      <c r="BD10" s="1007"/>
      <c r="BE10" s="1007"/>
      <c r="BF10" s="1007"/>
      <c r="BG10" s="1007"/>
      <c r="BH10" s="1007"/>
      <c r="BI10" s="1007"/>
      <c r="BJ10" s="1007"/>
      <c r="BK10" s="1007"/>
      <c r="BL10" s="1007"/>
      <c r="BM10" s="1007"/>
      <c r="BN10" s="1007"/>
      <c r="BO10" s="1007"/>
      <c r="BP10" s="1007">
        <f>+'[8]SEPTIEMBRE 2015'!$AD$2472</f>
        <v>17000000</v>
      </c>
      <c r="BQ10" s="1010">
        <f t="shared" si="5"/>
        <v>0.10526315789473684</v>
      </c>
      <c r="BR10" s="1007">
        <f t="shared" si="6"/>
        <v>2000000</v>
      </c>
      <c r="BS10" s="1007">
        <f t="shared" si="7"/>
        <v>0</v>
      </c>
      <c r="BT10" s="1007">
        <f t="shared" si="8"/>
        <v>0</v>
      </c>
      <c r="BU10" s="1007"/>
      <c r="BV10" s="1007">
        <f t="shared" si="9"/>
        <v>0</v>
      </c>
      <c r="BW10" s="1007"/>
      <c r="BX10" s="1007">
        <f t="shared" si="10"/>
        <v>0</v>
      </c>
      <c r="BY10" s="1007">
        <f t="shared" si="10"/>
        <v>0</v>
      </c>
      <c r="BZ10" s="1007"/>
      <c r="CA10" s="1007">
        <f>+AH10-BE10</f>
        <v>0</v>
      </c>
      <c r="CB10" s="1007">
        <f>+AI10-BF10</f>
        <v>0</v>
      </c>
      <c r="CC10" s="1007">
        <f>+AJ10-BG10</f>
        <v>0</v>
      </c>
      <c r="CD10" s="1007">
        <f t="shared" si="11"/>
        <v>0</v>
      </c>
      <c r="CE10" s="1007">
        <f t="shared" si="11"/>
        <v>0</v>
      </c>
      <c r="CF10" s="1007">
        <f t="shared" si="11"/>
        <v>0</v>
      </c>
      <c r="CG10" s="1007">
        <f t="shared" si="11"/>
        <v>0</v>
      </c>
      <c r="CH10" s="1007">
        <f t="shared" si="11"/>
        <v>0</v>
      </c>
      <c r="CI10" s="1007">
        <f t="shared" si="11"/>
        <v>0</v>
      </c>
      <c r="CJ10" s="1007"/>
      <c r="CK10" s="1007"/>
      <c r="CL10" s="1007">
        <f t="shared" si="12"/>
        <v>2000000</v>
      </c>
      <c r="CM10" s="1010">
        <f t="shared" si="13"/>
        <v>0.2093298947368421</v>
      </c>
      <c r="CN10" s="1007">
        <f t="shared" si="14"/>
        <v>3977268</v>
      </c>
      <c r="CO10" s="1007"/>
      <c r="CP10" s="1007"/>
      <c r="CQ10" s="1007"/>
      <c r="CR10" s="1007"/>
      <c r="CS10" s="1007"/>
      <c r="CT10" s="1007"/>
      <c r="CU10" s="1007"/>
      <c r="CV10" s="1007"/>
      <c r="CW10" s="1007"/>
      <c r="CX10" s="1007"/>
      <c r="CY10" s="1007"/>
      <c r="CZ10" s="1007"/>
      <c r="DA10" s="1007"/>
      <c r="DB10" s="1007"/>
      <c r="DC10" s="1007"/>
      <c r="DD10" s="1007"/>
      <c r="DE10" s="1007"/>
      <c r="DF10" s="1007"/>
      <c r="DG10" s="1007"/>
      <c r="DH10" s="1007">
        <f>+'[8]SEPTIEMBRE 2015'!$H$2470</f>
        <v>3977268</v>
      </c>
      <c r="DI10" s="1010">
        <f t="shared" si="15"/>
        <v>0.79067010526315795</v>
      </c>
      <c r="DJ10" s="1007">
        <f t="shared" si="16"/>
        <v>15022732</v>
      </c>
      <c r="DK10" s="1007">
        <f t="shared" si="17"/>
        <v>0</v>
      </c>
      <c r="DL10" s="1007">
        <f t="shared" si="17"/>
        <v>0</v>
      </c>
      <c r="DM10" s="1007"/>
      <c r="DN10" s="1007">
        <f t="shared" si="18"/>
        <v>0</v>
      </c>
      <c r="DO10" s="1007">
        <f t="shared" si="18"/>
        <v>0</v>
      </c>
      <c r="DP10" s="1007">
        <f t="shared" si="18"/>
        <v>0</v>
      </c>
      <c r="DQ10" s="1007">
        <f t="shared" si="18"/>
        <v>0</v>
      </c>
      <c r="DR10" s="1007"/>
      <c r="DS10" s="1007">
        <f t="shared" si="19"/>
        <v>0</v>
      </c>
      <c r="DT10" s="1007">
        <f t="shared" si="19"/>
        <v>0</v>
      </c>
      <c r="DU10" s="1007"/>
      <c r="DV10" s="1007">
        <f t="shared" si="20"/>
        <v>0</v>
      </c>
      <c r="DW10" s="1007">
        <f t="shared" si="20"/>
        <v>0</v>
      </c>
      <c r="DX10" s="1007">
        <f t="shared" si="20"/>
        <v>0</v>
      </c>
      <c r="DY10" s="1007">
        <f t="shared" si="21"/>
        <v>0</v>
      </c>
      <c r="DZ10" s="1007">
        <f t="shared" si="21"/>
        <v>0</v>
      </c>
      <c r="EA10" s="1007">
        <f t="shared" si="21"/>
        <v>0</v>
      </c>
      <c r="EB10" s="1007">
        <f t="shared" si="21"/>
        <v>0</v>
      </c>
      <c r="EC10" s="1007"/>
      <c r="ED10" s="1007">
        <f t="shared" si="22"/>
        <v>15022732</v>
      </c>
    </row>
    <row r="11" spans="1:134" ht="50.25" customHeight="1" x14ac:dyDescent="0.25">
      <c r="A11" s="1565"/>
      <c r="B11" s="1020"/>
      <c r="C11" s="1092" t="s">
        <v>4592</v>
      </c>
      <c r="D11" s="1018" t="s">
        <v>4563</v>
      </c>
      <c r="E11" s="1019">
        <v>510</v>
      </c>
      <c r="F11" s="1094" t="s">
        <v>4660</v>
      </c>
      <c r="G11" s="1429"/>
      <c r="H11" s="1060">
        <f t="shared" si="0"/>
        <v>800000</v>
      </c>
      <c r="I11" s="1060">
        <f t="shared" si="1"/>
        <v>14200000</v>
      </c>
      <c r="J11" s="1429"/>
      <c r="K11" s="1562"/>
      <c r="L11" s="1562"/>
      <c r="M11" s="1097">
        <v>0</v>
      </c>
      <c r="N11" s="1097">
        <v>0</v>
      </c>
      <c r="O11" s="1097">
        <v>0</v>
      </c>
      <c r="P11" s="1097">
        <v>0</v>
      </c>
      <c r="Q11" s="1097">
        <v>0</v>
      </c>
      <c r="R11" s="1097">
        <v>0</v>
      </c>
      <c r="S11" s="1094"/>
      <c r="T11" s="1094"/>
      <c r="U11" s="1094"/>
      <c r="V11" s="1094"/>
      <c r="W11" s="1094"/>
      <c r="X11" s="1094"/>
      <c r="Y11" s="1007">
        <f t="shared" si="2"/>
        <v>15000000</v>
      </c>
      <c r="Z11" s="1007"/>
      <c r="AA11" s="1007"/>
      <c r="AB11" s="1007"/>
      <c r="AC11" s="1007"/>
      <c r="AD11" s="1007"/>
      <c r="AE11" s="1007">
        <f>30000000-15000000</f>
        <v>15000000</v>
      </c>
      <c r="AF11" s="1007"/>
      <c r="AG11" s="1007"/>
      <c r="AH11" s="1007"/>
      <c r="AI11" s="1007"/>
      <c r="AJ11" s="1007"/>
      <c r="AK11" s="1007"/>
      <c r="AL11" s="1007"/>
      <c r="AM11" s="1007"/>
      <c r="AN11" s="1007"/>
      <c r="AO11" s="1007"/>
      <c r="AP11" s="1007"/>
      <c r="AQ11" s="1007"/>
      <c r="AR11" s="1007"/>
      <c r="AS11" s="1007"/>
      <c r="AU11" s="1010">
        <f t="shared" si="3"/>
        <v>5.3333333333333337E-2</v>
      </c>
      <c r="AV11" s="1007">
        <f t="shared" si="4"/>
        <v>800000</v>
      </c>
      <c r="AW11" s="1007"/>
      <c r="AX11" s="1007"/>
      <c r="AY11" s="1007"/>
      <c r="AZ11" s="1007"/>
      <c r="BA11" s="1007"/>
      <c r="BB11" s="1007">
        <f>+'[7]AGOSTO 2015'!$O$2001</f>
        <v>800000</v>
      </c>
      <c r="BC11" s="1007"/>
      <c r="BD11" s="1007"/>
      <c r="BE11" s="1007"/>
      <c r="BF11" s="1007"/>
      <c r="BG11" s="1007"/>
      <c r="BH11" s="1007"/>
      <c r="BI11" s="1007"/>
      <c r="BJ11" s="1007"/>
      <c r="BK11" s="1007"/>
      <c r="BL11" s="1007"/>
      <c r="BM11" s="1007"/>
      <c r="BN11" s="1007"/>
      <c r="BO11" s="1007"/>
      <c r="BP11" s="1007"/>
      <c r="BQ11" s="1010">
        <f t="shared" si="5"/>
        <v>0.94666666666666666</v>
      </c>
      <c r="BR11" s="1007">
        <f t="shared" si="6"/>
        <v>14200000</v>
      </c>
      <c r="BS11" s="1007">
        <f t="shared" si="7"/>
        <v>0</v>
      </c>
      <c r="BT11" s="1007">
        <f t="shared" si="8"/>
        <v>0</v>
      </c>
      <c r="BU11" s="1007"/>
      <c r="BV11" s="1007">
        <f t="shared" si="9"/>
        <v>0</v>
      </c>
      <c r="BW11" s="1007"/>
      <c r="BX11" s="1007">
        <f t="shared" si="10"/>
        <v>14200000</v>
      </c>
      <c r="BY11" s="1007">
        <f t="shared" si="10"/>
        <v>0</v>
      </c>
      <c r="BZ11" s="1007"/>
      <c r="CA11" s="1007"/>
      <c r="CB11" s="1007"/>
      <c r="CC11" s="1007"/>
      <c r="CD11" s="1007">
        <f t="shared" si="11"/>
        <v>0</v>
      </c>
      <c r="CE11" s="1007">
        <f t="shared" si="11"/>
        <v>0</v>
      </c>
      <c r="CF11" s="1007">
        <f t="shared" si="11"/>
        <v>0</v>
      </c>
      <c r="CG11" s="1007">
        <f t="shared" si="11"/>
        <v>0</v>
      </c>
      <c r="CH11" s="1007">
        <f t="shared" si="11"/>
        <v>0</v>
      </c>
      <c r="CI11" s="1007">
        <f t="shared" si="11"/>
        <v>0</v>
      </c>
      <c r="CJ11" s="1007"/>
      <c r="CK11" s="1007"/>
      <c r="CL11" s="1007">
        <f t="shared" si="12"/>
        <v>0</v>
      </c>
      <c r="CM11" s="1010">
        <f t="shared" si="13"/>
        <v>5.3333333333333337E-2</v>
      </c>
      <c r="CN11" s="1007">
        <f t="shared" si="14"/>
        <v>800000</v>
      </c>
      <c r="CO11" s="1007"/>
      <c r="CP11" s="1007"/>
      <c r="CQ11" s="1007"/>
      <c r="CR11" s="1007"/>
      <c r="CS11" s="1007"/>
      <c r="CT11" s="1007">
        <f>+'[7]AGOSTO 2015'!$H$1999</f>
        <v>800000</v>
      </c>
      <c r="CU11" s="1007"/>
      <c r="CV11" s="1007"/>
      <c r="CW11" s="1007"/>
      <c r="CX11" s="1007"/>
      <c r="CY11" s="1007"/>
      <c r="CZ11" s="1007"/>
      <c r="DA11" s="1007"/>
      <c r="DB11" s="1007"/>
      <c r="DC11" s="1007"/>
      <c r="DD11" s="1007"/>
      <c r="DE11" s="1007"/>
      <c r="DF11" s="1007"/>
      <c r="DG11" s="1007"/>
      <c r="DH11" s="1007"/>
      <c r="DI11" s="1010">
        <f t="shared" si="15"/>
        <v>0.94666666666666666</v>
      </c>
      <c r="DJ11" s="1007">
        <f t="shared" si="16"/>
        <v>14200000</v>
      </c>
      <c r="DK11" s="1007">
        <f t="shared" si="17"/>
        <v>0</v>
      </c>
      <c r="DL11" s="1007">
        <f t="shared" si="17"/>
        <v>0</v>
      </c>
      <c r="DM11" s="1007"/>
      <c r="DN11" s="1007">
        <f t="shared" si="18"/>
        <v>0</v>
      </c>
      <c r="DO11" s="1007">
        <f t="shared" si="18"/>
        <v>0</v>
      </c>
      <c r="DP11" s="1007">
        <f t="shared" si="18"/>
        <v>14200000</v>
      </c>
      <c r="DQ11" s="1007">
        <f t="shared" si="18"/>
        <v>0</v>
      </c>
      <c r="DR11" s="1007"/>
      <c r="DS11" s="1007">
        <f t="shared" si="19"/>
        <v>0</v>
      </c>
      <c r="DT11" s="1007">
        <f t="shared" si="19"/>
        <v>0</v>
      </c>
      <c r="DU11" s="1007"/>
      <c r="DV11" s="1007">
        <f t="shared" si="20"/>
        <v>0</v>
      </c>
      <c r="DW11" s="1007">
        <f t="shared" si="20"/>
        <v>0</v>
      </c>
      <c r="DX11" s="1007">
        <f t="shared" si="20"/>
        <v>0</v>
      </c>
      <c r="DY11" s="1007">
        <f t="shared" si="21"/>
        <v>0</v>
      </c>
      <c r="DZ11" s="1007">
        <f t="shared" si="21"/>
        <v>0</v>
      </c>
      <c r="EA11" s="1007">
        <f t="shared" si="21"/>
        <v>0</v>
      </c>
      <c r="EB11" s="1007">
        <f t="shared" si="21"/>
        <v>0</v>
      </c>
      <c r="EC11" s="1007"/>
      <c r="ED11" s="1007">
        <f t="shared" si="22"/>
        <v>0</v>
      </c>
    </row>
    <row r="12" spans="1:134" ht="40.5" customHeight="1" x14ac:dyDescent="0.25">
      <c r="A12" s="1565"/>
      <c r="B12" s="1020"/>
      <c r="C12" s="1092" t="s">
        <v>4593</v>
      </c>
      <c r="D12" s="1018" t="s">
        <v>4585</v>
      </c>
      <c r="E12" s="1019">
        <v>510</v>
      </c>
      <c r="F12" s="1094" t="s">
        <v>4660</v>
      </c>
      <c r="G12" s="1429"/>
      <c r="H12" s="1060">
        <f t="shared" si="0"/>
        <v>10000000</v>
      </c>
      <c r="I12" s="1060">
        <f t="shared" si="1"/>
        <v>0</v>
      </c>
      <c r="J12" s="1429"/>
      <c r="K12" s="1562"/>
      <c r="L12" s="1562"/>
      <c r="M12" s="1097">
        <v>0</v>
      </c>
      <c r="N12" s="1097">
        <v>0</v>
      </c>
      <c r="O12" s="1097">
        <v>0</v>
      </c>
      <c r="P12" s="1097">
        <v>100</v>
      </c>
      <c r="Q12" s="1097">
        <v>0</v>
      </c>
      <c r="R12" s="1097">
        <v>0</v>
      </c>
      <c r="S12" s="1094"/>
      <c r="T12" s="1094"/>
      <c r="U12" s="1094"/>
      <c r="V12" s="1094"/>
      <c r="W12" s="1094"/>
      <c r="X12" s="1094"/>
      <c r="Y12" s="1007">
        <f t="shared" si="2"/>
        <v>10000000</v>
      </c>
      <c r="Z12" s="1007"/>
      <c r="AA12" s="1007"/>
      <c r="AB12" s="1007"/>
      <c r="AC12" s="1007"/>
      <c r="AD12" s="1007"/>
      <c r="AE12" s="1007">
        <v>10000000</v>
      </c>
      <c r="AF12" s="1007"/>
      <c r="AG12" s="1007"/>
      <c r="AH12" s="1007"/>
      <c r="AI12" s="1007"/>
      <c r="AJ12" s="1007"/>
      <c r="AK12" s="1007"/>
      <c r="AL12" s="1007"/>
      <c r="AM12" s="1007"/>
      <c r="AN12" s="1007"/>
      <c r="AO12" s="1007"/>
      <c r="AP12" s="1007"/>
      <c r="AQ12" s="1007"/>
      <c r="AR12" s="1007"/>
      <c r="AS12" s="1007"/>
      <c r="AU12" s="1010">
        <f t="shared" si="3"/>
        <v>1</v>
      </c>
      <c r="AV12" s="1007">
        <f t="shared" si="4"/>
        <v>10000000</v>
      </c>
      <c r="AW12" s="1007"/>
      <c r="AX12" s="1007"/>
      <c r="AY12" s="1007"/>
      <c r="AZ12" s="1007"/>
      <c r="BA12" s="1007"/>
      <c r="BB12" s="1007">
        <f>+'[9]ABRIL 2015'!$N$1193</f>
        <v>10000000</v>
      </c>
      <c r="BC12" s="1007"/>
      <c r="BD12" s="1007"/>
      <c r="BE12" s="1007"/>
      <c r="BF12" s="1007"/>
      <c r="BG12" s="1007"/>
      <c r="BH12" s="1007"/>
      <c r="BI12" s="1007"/>
      <c r="BJ12" s="1007"/>
      <c r="BK12" s="1007"/>
      <c r="BL12" s="1007"/>
      <c r="BM12" s="1007"/>
      <c r="BN12" s="1007"/>
      <c r="BO12" s="1007"/>
      <c r="BP12" s="1007"/>
      <c r="BQ12" s="1010">
        <f t="shared" si="5"/>
        <v>0</v>
      </c>
      <c r="BR12" s="1007">
        <f t="shared" si="6"/>
        <v>0</v>
      </c>
      <c r="BS12" s="1007">
        <f t="shared" si="7"/>
        <v>0</v>
      </c>
      <c r="BT12" s="1007">
        <f t="shared" si="8"/>
        <v>0</v>
      </c>
      <c r="BU12" s="1007"/>
      <c r="BV12" s="1007">
        <f t="shared" si="9"/>
        <v>0</v>
      </c>
      <c r="BW12" s="1007"/>
      <c r="BX12" s="1007">
        <f t="shared" si="10"/>
        <v>0</v>
      </c>
      <c r="BY12" s="1007">
        <f t="shared" si="10"/>
        <v>0</v>
      </c>
      <c r="BZ12" s="1007"/>
      <c r="CA12" s="1007"/>
      <c r="CB12" s="1007"/>
      <c r="CC12" s="1007"/>
      <c r="CD12" s="1007">
        <f t="shared" si="11"/>
        <v>0</v>
      </c>
      <c r="CE12" s="1007">
        <f t="shared" si="11"/>
        <v>0</v>
      </c>
      <c r="CF12" s="1007">
        <f t="shared" si="11"/>
        <v>0</v>
      </c>
      <c r="CG12" s="1007">
        <f t="shared" si="11"/>
        <v>0</v>
      </c>
      <c r="CH12" s="1007">
        <f t="shared" si="11"/>
        <v>0</v>
      </c>
      <c r="CI12" s="1007">
        <f t="shared" si="11"/>
        <v>0</v>
      </c>
      <c r="CJ12" s="1007"/>
      <c r="CK12" s="1007"/>
      <c r="CL12" s="1007">
        <f t="shared" si="12"/>
        <v>0</v>
      </c>
      <c r="CM12" s="1010">
        <f t="shared" si="13"/>
        <v>1</v>
      </c>
      <c r="CN12" s="1007">
        <f t="shared" si="14"/>
        <v>10000000</v>
      </c>
      <c r="CO12" s="1007"/>
      <c r="CP12" s="1007"/>
      <c r="CQ12" s="1007"/>
      <c r="CR12" s="1007"/>
      <c r="CS12" s="1007"/>
      <c r="CT12" s="1007">
        <f>+'[9]ABRIL 2015'!$H$1194</f>
        <v>10000000</v>
      </c>
      <c r="CU12" s="1007"/>
      <c r="CV12" s="1007"/>
      <c r="CW12" s="1007"/>
      <c r="CX12" s="1007"/>
      <c r="CY12" s="1007"/>
      <c r="CZ12" s="1007"/>
      <c r="DA12" s="1007"/>
      <c r="DB12" s="1007"/>
      <c r="DC12" s="1007"/>
      <c r="DD12" s="1007"/>
      <c r="DE12" s="1007"/>
      <c r="DF12" s="1007"/>
      <c r="DG12" s="1007"/>
      <c r="DH12" s="1007"/>
      <c r="DI12" s="1010">
        <f t="shared" si="15"/>
        <v>0</v>
      </c>
      <c r="DJ12" s="1007">
        <f t="shared" si="16"/>
        <v>0</v>
      </c>
      <c r="DK12" s="1007">
        <f t="shared" si="17"/>
        <v>0</v>
      </c>
      <c r="DL12" s="1007">
        <f t="shared" si="17"/>
        <v>0</v>
      </c>
      <c r="DM12" s="1007"/>
      <c r="DN12" s="1007">
        <f t="shared" si="18"/>
        <v>0</v>
      </c>
      <c r="DO12" s="1007">
        <f t="shared" si="18"/>
        <v>0</v>
      </c>
      <c r="DP12" s="1007">
        <f t="shared" si="18"/>
        <v>0</v>
      </c>
      <c r="DQ12" s="1007">
        <f t="shared" si="18"/>
        <v>0</v>
      </c>
      <c r="DR12" s="1007"/>
      <c r="DS12" s="1007">
        <f t="shared" si="19"/>
        <v>0</v>
      </c>
      <c r="DT12" s="1007">
        <f t="shared" si="19"/>
        <v>0</v>
      </c>
      <c r="DU12" s="1007"/>
      <c r="DV12" s="1007">
        <f t="shared" si="20"/>
        <v>0</v>
      </c>
      <c r="DW12" s="1007">
        <f t="shared" si="20"/>
        <v>0</v>
      </c>
      <c r="DX12" s="1007">
        <f t="shared" si="20"/>
        <v>0</v>
      </c>
      <c r="DY12" s="1007">
        <f t="shared" si="21"/>
        <v>0</v>
      </c>
      <c r="DZ12" s="1007">
        <f t="shared" si="21"/>
        <v>0</v>
      </c>
      <c r="EA12" s="1007">
        <f t="shared" si="21"/>
        <v>0</v>
      </c>
      <c r="EB12" s="1007">
        <f t="shared" si="21"/>
        <v>0</v>
      </c>
      <c r="EC12" s="1007"/>
      <c r="ED12" s="1007">
        <f t="shared" si="22"/>
        <v>0</v>
      </c>
    </row>
    <row r="13" spans="1:134" ht="55.5" customHeight="1" x14ac:dyDescent="0.25">
      <c r="A13" s="1565"/>
      <c r="B13" s="1020"/>
      <c r="C13" s="1092" t="s">
        <v>4594</v>
      </c>
      <c r="D13" s="1018" t="s">
        <v>4564</v>
      </c>
      <c r="E13" s="1019">
        <v>510</v>
      </c>
      <c r="F13" s="1094" t="s">
        <v>4660</v>
      </c>
      <c r="G13" s="1429"/>
      <c r="H13" s="1060">
        <f t="shared" si="0"/>
        <v>6601149</v>
      </c>
      <c r="I13" s="1060">
        <f t="shared" si="1"/>
        <v>23398851</v>
      </c>
      <c r="J13" s="1429"/>
      <c r="K13" s="1562"/>
      <c r="L13" s="1562"/>
      <c r="M13" s="1097">
        <v>0</v>
      </c>
      <c r="N13" s="1097">
        <v>0</v>
      </c>
      <c r="O13" s="1097">
        <v>0</v>
      </c>
      <c r="P13" s="1097">
        <v>0</v>
      </c>
      <c r="Q13" s="1097">
        <v>0</v>
      </c>
      <c r="R13" s="1097">
        <v>0</v>
      </c>
      <c r="S13" s="1094"/>
      <c r="T13" s="1094"/>
      <c r="U13" s="1094"/>
      <c r="V13" s="1094"/>
      <c r="W13" s="1094"/>
      <c r="X13" s="1094"/>
      <c r="Y13" s="1007">
        <f t="shared" si="2"/>
        <v>30000000</v>
      </c>
      <c r="Z13" s="1007"/>
      <c r="AA13" s="1007"/>
      <c r="AB13" s="1007"/>
      <c r="AC13" s="1007"/>
      <c r="AD13" s="1007"/>
      <c r="AE13" s="1007">
        <v>30000000</v>
      </c>
      <c r="AF13" s="1007"/>
      <c r="AG13" s="1007"/>
      <c r="AH13" s="1007"/>
      <c r="AI13" s="1007"/>
      <c r="AJ13" s="1007"/>
      <c r="AK13" s="1007"/>
      <c r="AL13" s="1007"/>
      <c r="AM13" s="1007"/>
      <c r="AN13" s="1007"/>
      <c r="AO13" s="1007"/>
      <c r="AP13" s="1007"/>
      <c r="AQ13" s="1007"/>
      <c r="AR13" s="1007"/>
      <c r="AS13" s="1007"/>
      <c r="AU13" s="1010">
        <f t="shared" si="3"/>
        <v>0.27089163333333333</v>
      </c>
      <c r="AV13" s="1007">
        <f t="shared" si="4"/>
        <v>8126749</v>
      </c>
      <c r="AW13" s="1007"/>
      <c r="AX13" s="1007"/>
      <c r="AY13" s="1007"/>
      <c r="AZ13" s="1007"/>
      <c r="BA13" s="1007"/>
      <c r="BB13" s="1007">
        <f>+'[8]SEPTIEMBRE 2015'!$O$2495</f>
        <v>8126749</v>
      </c>
      <c r="BC13" s="1007"/>
      <c r="BD13" s="1007"/>
      <c r="BE13" s="1007"/>
      <c r="BF13" s="1007"/>
      <c r="BG13" s="1007"/>
      <c r="BH13" s="1007"/>
      <c r="BI13" s="1007"/>
      <c r="BJ13" s="1007"/>
      <c r="BK13" s="1007"/>
      <c r="BL13" s="1007"/>
      <c r="BM13" s="1007"/>
      <c r="BN13" s="1007"/>
      <c r="BO13" s="1007"/>
      <c r="BP13" s="1007"/>
      <c r="BQ13" s="1010">
        <f t="shared" si="5"/>
        <v>0.72910836666666667</v>
      </c>
      <c r="BR13" s="1007">
        <f t="shared" si="6"/>
        <v>21873251</v>
      </c>
      <c r="BS13" s="1007">
        <f t="shared" si="7"/>
        <v>0</v>
      </c>
      <c r="BT13" s="1007">
        <f t="shared" si="8"/>
        <v>0</v>
      </c>
      <c r="BU13" s="1007"/>
      <c r="BV13" s="1007">
        <f t="shared" si="9"/>
        <v>0</v>
      </c>
      <c r="BW13" s="1007"/>
      <c r="BX13" s="1007">
        <f t="shared" si="10"/>
        <v>21873251</v>
      </c>
      <c r="BY13" s="1007">
        <f t="shared" si="10"/>
        <v>0</v>
      </c>
      <c r="BZ13" s="1007"/>
      <c r="CA13" s="1007"/>
      <c r="CB13" s="1007"/>
      <c r="CC13" s="1007"/>
      <c r="CD13" s="1007">
        <f t="shared" si="11"/>
        <v>0</v>
      </c>
      <c r="CE13" s="1007">
        <f t="shared" si="11"/>
        <v>0</v>
      </c>
      <c r="CF13" s="1007">
        <f t="shared" si="11"/>
        <v>0</v>
      </c>
      <c r="CG13" s="1007">
        <f t="shared" si="11"/>
        <v>0</v>
      </c>
      <c r="CH13" s="1007">
        <f t="shared" si="11"/>
        <v>0</v>
      </c>
      <c r="CI13" s="1007">
        <f t="shared" si="11"/>
        <v>0</v>
      </c>
      <c r="CJ13" s="1007"/>
      <c r="CK13" s="1007"/>
      <c r="CL13" s="1007">
        <f t="shared" si="12"/>
        <v>0</v>
      </c>
      <c r="CM13" s="1010">
        <f t="shared" si="13"/>
        <v>0.22003829999999999</v>
      </c>
      <c r="CN13" s="1007">
        <f t="shared" si="14"/>
        <v>6601149</v>
      </c>
      <c r="CO13" s="1007"/>
      <c r="CP13" s="1007"/>
      <c r="CQ13" s="1007"/>
      <c r="CR13" s="1007"/>
      <c r="CS13" s="1007"/>
      <c r="CT13" s="1007">
        <f>+'[8]SEPTIEMBRE 2015'!$H$2493</f>
        <v>6601149</v>
      </c>
      <c r="CU13" s="1007"/>
      <c r="CV13" s="1007"/>
      <c r="CW13" s="1007"/>
      <c r="CX13" s="1007"/>
      <c r="CY13" s="1007"/>
      <c r="CZ13" s="1007"/>
      <c r="DA13" s="1007"/>
      <c r="DB13" s="1007"/>
      <c r="DC13" s="1007"/>
      <c r="DD13" s="1007"/>
      <c r="DE13" s="1007"/>
      <c r="DF13" s="1007"/>
      <c r="DG13" s="1007"/>
      <c r="DH13" s="1007"/>
      <c r="DI13" s="1010">
        <f t="shared" si="15"/>
        <v>0.77996169999999998</v>
      </c>
      <c r="DJ13" s="1007">
        <f t="shared" si="16"/>
        <v>23398851</v>
      </c>
      <c r="DK13" s="1007">
        <f t="shared" si="17"/>
        <v>0</v>
      </c>
      <c r="DL13" s="1007">
        <f t="shared" si="17"/>
        <v>0</v>
      </c>
      <c r="DM13" s="1007"/>
      <c r="DN13" s="1007">
        <f t="shared" si="18"/>
        <v>0</v>
      </c>
      <c r="DO13" s="1007">
        <f t="shared" si="18"/>
        <v>0</v>
      </c>
      <c r="DP13" s="1007">
        <f t="shared" si="18"/>
        <v>23398851</v>
      </c>
      <c r="DQ13" s="1007">
        <f t="shared" si="18"/>
        <v>0</v>
      </c>
      <c r="DR13" s="1007"/>
      <c r="DS13" s="1007">
        <f t="shared" si="19"/>
        <v>0</v>
      </c>
      <c r="DT13" s="1007">
        <f t="shared" si="19"/>
        <v>0</v>
      </c>
      <c r="DU13" s="1007"/>
      <c r="DV13" s="1007">
        <f t="shared" si="20"/>
        <v>0</v>
      </c>
      <c r="DW13" s="1007">
        <f t="shared" si="20"/>
        <v>0</v>
      </c>
      <c r="DX13" s="1007">
        <f t="shared" si="20"/>
        <v>0</v>
      </c>
      <c r="DY13" s="1007">
        <f t="shared" si="21"/>
        <v>0</v>
      </c>
      <c r="DZ13" s="1007">
        <f t="shared" si="21"/>
        <v>0</v>
      </c>
      <c r="EA13" s="1007">
        <f t="shared" si="21"/>
        <v>0</v>
      </c>
      <c r="EB13" s="1007">
        <f t="shared" si="21"/>
        <v>0</v>
      </c>
      <c r="EC13" s="1007"/>
      <c r="ED13" s="1007">
        <f t="shared" si="22"/>
        <v>0</v>
      </c>
    </row>
    <row r="14" spans="1:134" ht="39" customHeight="1" x14ac:dyDescent="0.25">
      <c r="A14" s="1565"/>
      <c r="B14" s="1020"/>
      <c r="C14" s="1092" t="s">
        <v>4595</v>
      </c>
      <c r="D14" s="1018" t="s">
        <v>4565</v>
      </c>
      <c r="E14" s="1019">
        <v>510</v>
      </c>
      <c r="F14" s="1094" t="s">
        <v>4660</v>
      </c>
      <c r="G14" s="1429"/>
      <c r="H14" s="1060">
        <f t="shared" si="0"/>
        <v>0</v>
      </c>
      <c r="I14" s="1060">
        <f t="shared" si="1"/>
        <v>15000000</v>
      </c>
      <c r="J14" s="1429"/>
      <c r="K14" s="1562"/>
      <c r="L14" s="1562"/>
      <c r="M14" s="1097">
        <v>0</v>
      </c>
      <c r="N14" s="1097">
        <v>0</v>
      </c>
      <c r="O14" s="1097">
        <v>0</v>
      </c>
      <c r="P14" s="1097">
        <v>0</v>
      </c>
      <c r="Q14" s="1097">
        <v>0</v>
      </c>
      <c r="R14" s="1097">
        <v>0</v>
      </c>
      <c r="S14" s="1094"/>
      <c r="T14" s="1094"/>
      <c r="U14" s="1094"/>
      <c r="V14" s="1094"/>
      <c r="W14" s="1094"/>
      <c r="X14" s="1094"/>
      <c r="Y14" s="1007">
        <f t="shared" si="2"/>
        <v>15000000</v>
      </c>
      <c r="Z14" s="1007"/>
      <c r="AA14" s="1007"/>
      <c r="AB14" s="1007"/>
      <c r="AC14" s="1007"/>
      <c r="AD14" s="1007"/>
      <c r="AE14" s="1007">
        <v>15000000</v>
      </c>
      <c r="AF14" s="1007"/>
      <c r="AG14" s="1007"/>
      <c r="AH14" s="1007"/>
      <c r="AI14" s="1007"/>
      <c r="AJ14" s="1007"/>
      <c r="AK14" s="1007"/>
      <c r="AL14" s="1007"/>
      <c r="AM14" s="1007"/>
      <c r="AN14" s="1007"/>
      <c r="AO14" s="1007"/>
      <c r="AP14" s="1007"/>
      <c r="AQ14" s="1007"/>
      <c r="AR14" s="1007"/>
      <c r="AS14" s="1007"/>
      <c r="AU14" s="1010">
        <f t="shared" si="3"/>
        <v>0</v>
      </c>
      <c r="AV14" s="1007">
        <f t="shared" si="4"/>
        <v>0</v>
      </c>
      <c r="AW14" s="1007"/>
      <c r="AX14" s="1007"/>
      <c r="AY14" s="1007"/>
      <c r="AZ14" s="1007"/>
      <c r="BA14" s="1007"/>
      <c r="BB14" s="1007"/>
      <c r="BC14" s="1007"/>
      <c r="BD14" s="1007"/>
      <c r="BE14" s="1007"/>
      <c r="BF14" s="1007"/>
      <c r="BG14" s="1007"/>
      <c r="BH14" s="1007"/>
      <c r="BI14" s="1007"/>
      <c r="BJ14" s="1007"/>
      <c r="BK14" s="1007"/>
      <c r="BL14" s="1007"/>
      <c r="BM14" s="1007"/>
      <c r="BN14" s="1007"/>
      <c r="BO14" s="1007"/>
      <c r="BP14" s="1007"/>
      <c r="BQ14" s="1010">
        <f t="shared" si="5"/>
        <v>1</v>
      </c>
      <c r="BR14" s="1007">
        <f t="shared" si="6"/>
        <v>15000000</v>
      </c>
      <c r="BS14" s="1007">
        <f t="shared" si="7"/>
        <v>0</v>
      </c>
      <c r="BT14" s="1007">
        <f t="shared" si="8"/>
        <v>0</v>
      </c>
      <c r="BU14" s="1007"/>
      <c r="BV14" s="1007">
        <f t="shared" si="9"/>
        <v>0</v>
      </c>
      <c r="BW14" s="1007"/>
      <c r="BX14" s="1007">
        <f t="shared" si="10"/>
        <v>15000000</v>
      </c>
      <c r="BY14" s="1007">
        <f t="shared" si="10"/>
        <v>0</v>
      </c>
      <c r="BZ14" s="1007"/>
      <c r="CA14" s="1007"/>
      <c r="CB14" s="1007"/>
      <c r="CC14" s="1007"/>
      <c r="CD14" s="1007">
        <f t="shared" si="11"/>
        <v>0</v>
      </c>
      <c r="CE14" s="1007">
        <f t="shared" si="11"/>
        <v>0</v>
      </c>
      <c r="CF14" s="1007">
        <f t="shared" si="11"/>
        <v>0</v>
      </c>
      <c r="CG14" s="1007">
        <f t="shared" si="11"/>
        <v>0</v>
      </c>
      <c r="CH14" s="1007">
        <f t="shared" si="11"/>
        <v>0</v>
      </c>
      <c r="CI14" s="1007">
        <f t="shared" si="11"/>
        <v>0</v>
      </c>
      <c r="CJ14" s="1007"/>
      <c r="CK14" s="1007"/>
      <c r="CL14" s="1007">
        <f t="shared" si="12"/>
        <v>0</v>
      </c>
      <c r="CM14" s="1010">
        <f t="shared" si="13"/>
        <v>0</v>
      </c>
      <c r="CN14" s="1007">
        <f t="shared" si="14"/>
        <v>0</v>
      </c>
      <c r="CO14" s="1007"/>
      <c r="CP14" s="1007"/>
      <c r="CQ14" s="1007"/>
      <c r="CR14" s="1007"/>
      <c r="CS14" s="1007"/>
      <c r="CT14" s="1007"/>
      <c r="CU14" s="1007"/>
      <c r="CV14" s="1007"/>
      <c r="CW14" s="1007"/>
      <c r="CX14" s="1007"/>
      <c r="CY14" s="1007"/>
      <c r="CZ14" s="1007"/>
      <c r="DA14" s="1007"/>
      <c r="DB14" s="1007"/>
      <c r="DC14" s="1007"/>
      <c r="DD14" s="1007"/>
      <c r="DE14" s="1007"/>
      <c r="DF14" s="1007"/>
      <c r="DG14" s="1007"/>
      <c r="DH14" s="1007"/>
      <c r="DI14" s="1010">
        <f t="shared" si="15"/>
        <v>1</v>
      </c>
      <c r="DJ14" s="1007">
        <f t="shared" si="16"/>
        <v>15000000</v>
      </c>
      <c r="DK14" s="1007">
        <f t="shared" si="17"/>
        <v>0</v>
      </c>
      <c r="DL14" s="1007">
        <f t="shared" si="17"/>
        <v>0</v>
      </c>
      <c r="DM14" s="1007"/>
      <c r="DN14" s="1007">
        <f t="shared" si="18"/>
        <v>0</v>
      </c>
      <c r="DO14" s="1007">
        <f t="shared" si="18"/>
        <v>0</v>
      </c>
      <c r="DP14" s="1007">
        <f t="shared" si="18"/>
        <v>15000000</v>
      </c>
      <c r="DQ14" s="1007">
        <f t="shared" si="18"/>
        <v>0</v>
      </c>
      <c r="DR14" s="1007"/>
      <c r="DS14" s="1007">
        <f t="shared" si="19"/>
        <v>0</v>
      </c>
      <c r="DT14" s="1007">
        <f t="shared" si="19"/>
        <v>0</v>
      </c>
      <c r="DU14" s="1007"/>
      <c r="DV14" s="1007">
        <f t="shared" si="20"/>
        <v>0</v>
      </c>
      <c r="DW14" s="1007">
        <f t="shared" si="20"/>
        <v>0</v>
      </c>
      <c r="DX14" s="1007">
        <f t="shared" si="20"/>
        <v>0</v>
      </c>
      <c r="DY14" s="1007">
        <f t="shared" si="21"/>
        <v>0</v>
      </c>
      <c r="DZ14" s="1007">
        <f t="shared" si="21"/>
        <v>0</v>
      </c>
      <c r="EA14" s="1007">
        <f t="shared" si="21"/>
        <v>0</v>
      </c>
      <c r="EB14" s="1007">
        <f t="shared" si="21"/>
        <v>0</v>
      </c>
      <c r="EC14" s="1007"/>
      <c r="ED14" s="1007">
        <f t="shared" si="22"/>
        <v>0</v>
      </c>
    </row>
    <row r="15" spans="1:134" ht="34.5" customHeight="1" x14ac:dyDescent="0.25">
      <c r="A15" s="1565"/>
      <c r="B15" s="1020"/>
      <c r="C15" s="1092" t="s">
        <v>4596</v>
      </c>
      <c r="D15" s="1018" t="s">
        <v>4586</v>
      </c>
      <c r="E15" s="1019">
        <v>510</v>
      </c>
      <c r="F15" s="1094" t="s">
        <v>4660</v>
      </c>
      <c r="G15" s="1429"/>
      <c r="H15" s="1060">
        <f t="shared" si="0"/>
        <v>0</v>
      </c>
      <c r="I15" s="1060">
        <f t="shared" si="1"/>
        <v>10000000</v>
      </c>
      <c r="J15" s="1429"/>
      <c r="K15" s="1562"/>
      <c r="L15" s="1562"/>
      <c r="M15" s="1097">
        <v>0</v>
      </c>
      <c r="N15" s="1097">
        <v>0</v>
      </c>
      <c r="O15" s="1097">
        <v>0</v>
      </c>
      <c r="P15" s="1097">
        <v>0</v>
      </c>
      <c r="Q15" s="1097">
        <v>0</v>
      </c>
      <c r="R15" s="1097">
        <v>0</v>
      </c>
      <c r="S15" s="1094"/>
      <c r="T15" s="1094"/>
      <c r="U15" s="1094"/>
      <c r="V15" s="1094"/>
      <c r="W15" s="1094"/>
      <c r="X15" s="1094"/>
      <c r="Y15" s="1007">
        <f t="shared" si="2"/>
        <v>10000000</v>
      </c>
      <c r="Z15" s="1007"/>
      <c r="AA15" s="1007"/>
      <c r="AB15" s="1007"/>
      <c r="AC15" s="1007"/>
      <c r="AD15" s="1007"/>
      <c r="AE15" s="1007">
        <v>10000000</v>
      </c>
      <c r="AF15" s="1007"/>
      <c r="AG15" s="1007"/>
      <c r="AH15" s="1007"/>
      <c r="AI15" s="1007"/>
      <c r="AJ15" s="1007"/>
      <c r="AK15" s="1007"/>
      <c r="AL15" s="1007"/>
      <c r="AM15" s="1007"/>
      <c r="AN15" s="1007"/>
      <c r="AO15" s="1007"/>
      <c r="AP15" s="1007"/>
      <c r="AQ15" s="1007"/>
      <c r="AR15" s="1007"/>
      <c r="AS15" s="1007"/>
      <c r="AU15" s="1010">
        <f t="shared" si="3"/>
        <v>0</v>
      </c>
      <c r="AV15" s="1007">
        <f t="shared" si="4"/>
        <v>0</v>
      </c>
      <c r="AW15" s="1007"/>
      <c r="AX15" s="1007"/>
      <c r="AY15" s="1007"/>
      <c r="AZ15" s="1007"/>
      <c r="BA15" s="1007"/>
      <c r="BB15" s="1007"/>
      <c r="BC15" s="1007"/>
      <c r="BD15" s="1007"/>
      <c r="BE15" s="1007"/>
      <c r="BF15" s="1007"/>
      <c r="BG15" s="1007"/>
      <c r="BH15" s="1007"/>
      <c r="BI15" s="1007"/>
      <c r="BJ15" s="1007"/>
      <c r="BK15" s="1007"/>
      <c r="BL15" s="1007"/>
      <c r="BM15" s="1007"/>
      <c r="BN15" s="1007"/>
      <c r="BO15" s="1007"/>
      <c r="BP15" s="1007"/>
      <c r="BQ15" s="1010">
        <f t="shared" si="5"/>
        <v>1</v>
      </c>
      <c r="BR15" s="1007">
        <f t="shared" si="6"/>
        <v>10000000</v>
      </c>
      <c r="BS15" s="1007">
        <f t="shared" si="7"/>
        <v>0</v>
      </c>
      <c r="BT15" s="1007">
        <f t="shared" si="8"/>
        <v>0</v>
      </c>
      <c r="BU15" s="1007"/>
      <c r="BV15" s="1007">
        <f t="shared" si="9"/>
        <v>0</v>
      </c>
      <c r="BW15" s="1007"/>
      <c r="BX15" s="1007">
        <f t="shared" si="10"/>
        <v>10000000</v>
      </c>
      <c r="BY15" s="1007">
        <f t="shared" si="10"/>
        <v>0</v>
      </c>
      <c r="BZ15" s="1007"/>
      <c r="CA15" s="1007"/>
      <c r="CB15" s="1007"/>
      <c r="CC15" s="1007"/>
      <c r="CD15" s="1007">
        <f t="shared" si="11"/>
        <v>0</v>
      </c>
      <c r="CE15" s="1007">
        <f t="shared" si="11"/>
        <v>0</v>
      </c>
      <c r="CF15" s="1007">
        <f t="shared" si="11"/>
        <v>0</v>
      </c>
      <c r="CG15" s="1007">
        <f t="shared" si="11"/>
        <v>0</v>
      </c>
      <c r="CH15" s="1007">
        <f t="shared" si="11"/>
        <v>0</v>
      </c>
      <c r="CI15" s="1007">
        <f t="shared" si="11"/>
        <v>0</v>
      </c>
      <c r="CJ15" s="1007"/>
      <c r="CK15" s="1007"/>
      <c r="CL15" s="1007">
        <f t="shared" si="12"/>
        <v>0</v>
      </c>
      <c r="CM15" s="1010">
        <f t="shared" si="13"/>
        <v>0</v>
      </c>
      <c r="CN15" s="1007">
        <f t="shared" si="14"/>
        <v>0</v>
      </c>
      <c r="CO15" s="1007"/>
      <c r="CP15" s="1007"/>
      <c r="CQ15" s="1007"/>
      <c r="CR15" s="1007"/>
      <c r="CS15" s="1007"/>
      <c r="CT15" s="1007"/>
      <c r="CU15" s="1007"/>
      <c r="CV15" s="1007"/>
      <c r="CW15" s="1007"/>
      <c r="CX15" s="1007"/>
      <c r="CY15" s="1007"/>
      <c r="CZ15" s="1007"/>
      <c r="DA15" s="1007"/>
      <c r="DB15" s="1007"/>
      <c r="DC15" s="1007"/>
      <c r="DD15" s="1007"/>
      <c r="DE15" s="1007"/>
      <c r="DF15" s="1007"/>
      <c r="DG15" s="1007"/>
      <c r="DH15" s="1007"/>
      <c r="DI15" s="1010">
        <f t="shared" si="15"/>
        <v>1</v>
      </c>
      <c r="DJ15" s="1007">
        <f t="shared" si="16"/>
        <v>10000000</v>
      </c>
      <c r="DK15" s="1007">
        <f t="shared" si="17"/>
        <v>0</v>
      </c>
      <c r="DL15" s="1007">
        <f t="shared" si="17"/>
        <v>0</v>
      </c>
      <c r="DM15" s="1007"/>
      <c r="DN15" s="1007">
        <f t="shared" si="18"/>
        <v>0</v>
      </c>
      <c r="DO15" s="1007">
        <f t="shared" si="18"/>
        <v>0</v>
      </c>
      <c r="DP15" s="1007">
        <f t="shared" si="18"/>
        <v>10000000</v>
      </c>
      <c r="DQ15" s="1007">
        <f t="shared" si="18"/>
        <v>0</v>
      </c>
      <c r="DR15" s="1007"/>
      <c r="DS15" s="1007">
        <f t="shared" si="19"/>
        <v>0</v>
      </c>
      <c r="DT15" s="1007">
        <f t="shared" si="19"/>
        <v>0</v>
      </c>
      <c r="DU15" s="1007"/>
      <c r="DV15" s="1007">
        <f t="shared" si="20"/>
        <v>0</v>
      </c>
      <c r="DW15" s="1007">
        <f t="shared" si="20"/>
        <v>0</v>
      </c>
      <c r="DX15" s="1007">
        <f t="shared" si="20"/>
        <v>0</v>
      </c>
      <c r="DY15" s="1007">
        <f t="shared" si="21"/>
        <v>0</v>
      </c>
      <c r="DZ15" s="1007">
        <f t="shared" si="21"/>
        <v>0</v>
      </c>
      <c r="EA15" s="1007">
        <f t="shared" si="21"/>
        <v>0</v>
      </c>
      <c r="EB15" s="1007">
        <f t="shared" si="21"/>
        <v>0</v>
      </c>
      <c r="EC15" s="1007"/>
      <c r="ED15" s="1007">
        <f t="shared" si="22"/>
        <v>0</v>
      </c>
    </row>
    <row r="16" spans="1:134" s="203" customFormat="1" ht="29.25" customHeight="1" x14ac:dyDescent="0.25">
      <c r="A16" s="1565"/>
      <c r="B16" s="1079"/>
      <c r="C16" s="1080" t="s">
        <v>4685</v>
      </c>
      <c r="D16" s="1018" t="s">
        <v>4697</v>
      </c>
      <c r="E16" s="1019">
        <v>510</v>
      </c>
      <c r="F16" s="1094" t="s">
        <v>4660</v>
      </c>
      <c r="G16" s="1430"/>
      <c r="H16" s="1060">
        <f t="shared" si="0"/>
        <v>0</v>
      </c>
      <c r="I16" s="1060">
        <f t="shared" si="1"/>
        <v>0</v>
      </c>
      <c r="J16" s="1430"/>
      <c r="K16" s="1258"/>
      <c r="L16" s="1258"/>
      <c r="M16" s="1074">
        <v>0</v>
      </c>
      <c r="N16" s="1074">
        <v>0</v>
      </c>
      <c r="O16" s="1074">
        <v>0</v>
      </c>
      <c r="P16" s="1074"/>
      <c r="Q16" s="1074"/>
      <c r="R16" s="1074"/>
      <c r="S16" s="1094"/>
      <c r="T16" s="1094"/>
      <c r="U16" s="1094"/>
      <c r="V16" s="1094"/>
      <c r="W16" s="1094"/>
      <c r="X16" s="1094"/>
      <c r="Y16" s="1066">
        <f t="shared" si="2"/>
        <v>0</v>
      </c>
      <c r="Z16" s="1066"/>
      <c r="AA16" s="1066"/>
      <c r="AB16" s="1066"/>
      <c r="AC16" s="1066"/>
      <c r="AD16" s="1066"/>
      <c r="AE16" s="1066"/>
      <c r="AF16" s="1066"/>
      <c r="AG16" s="1066"/>
      <c r="AH16" s="1066"/>
      <c r="AI16" s="1066"/>
      <c r="AJ16" s="1066"/>
      <c r="AK16" s="1066"/>
      <c r="AL16" s="1066"/>
      <c r="AM16" s="1066"/>
      <c r="AN16" s="1066">
        <f>100000000-100000000</f>
        <v>0</v>
      </c>
      <c r="AO16" s="1066"/>
      <c r="AP16" s="1066"/>
      <c r="AQ16" s="1066"/>
      <c r="AR16" s="1066"/>
      <c r="AS16" s="1066"/>
      <c r="AU16" s="1081" t="e">
        <f t="shared" si="3"/>
        <v>#DIV/0!</v>
      </c>
      <c r="AV16" s="1066">
        <f t="shared" si="4"/>
        <v>0</v>
      </c>
      <c r="AW16" s="1066"/>
      <c r="AX16" s="1066"/>
      <c r="AY16" s="1066"/>
      <c r="AZ16" s="1066"/>
      <c r="BA16" s="1066"/>
      <c r="BB16" s="1066"/>
      <c r="BC16" s="1066"/>
      <c r="BD16" s="1066"/>
      <c r="BE16" s="1066"/>
      <c r="BF16" s="1066"/>
      <c r="BG16" s="1066"/>
      <c r="BH16" s="1066"/>
      <c r="BI16" s="1066"/>
      <c r="BJ16" s="1066"/>
      <c r="BK16" s="1066"/>
      <c r="BL16" s="1066"/>
      <c r="BM16" s="1066"/>
      <c r="BN16" s="1066"/>
      <c r="BO16" s="1066"/>
      <c r="BP16" s="1066"/>
      <c r="BQ16" s="1081" t="e">
        <f t="shared" si="5"/>
        <v>#DIV/0!</v>
      </c>
      <c r="BR16" s="1066">
        <f t="shared" si="6"/>
        <v>0</v>
      </c>
      <c r="BS16" s="1066">
        <f t="shared" si="7"/>
        <v>0</v>
      </c>
      <c r="BT16" s="1066">
        <f t="shared" si="8"/>
        <v>0</v>
      </c>
      <c r="BU16" s="1066"/>
      <c r="BV16" s="1066">
        <f t="shared" si="9"/>
        <v>0</v>
      </c>
      <c r="BW16" s="1066"/>
      <c r="BX16" s="1066">
        <f t="shared" si="10"/>
        <v>0</v>
      </c>
      <c r="BY16" s="1066">
        <f t="shared" si="10"/>
        <v>0</v>
      </c>
      <c r="BZ16" s="1066"/>
      <c r="CA16" s="1066"/>
      <c r="CB16" s="1066"/>
      <c r="CC16" s="1066"/>
      <c r="CD16" s="1066">
        <f t="shared" si="11"/>
        <v>0</v>
      </c>
      <c r="CE16" s="1066">
        <f t="shared" si="11"/>
        <v>0</v>
      </c>
      <c r="CF16" s="1066">
        <f t="shared" si="11"/>
        <v>0</v>
      </c>
      <c r="CG16" s="1066">
        <f t="shared" si="11"/>
        <v>0</v>
      </c>
      <c r="CH16" s="1066">
        <f t="shared" si="11"/>
        <v>0</v>
      </c>
      <c r="CI16" s="1066">
        <f t="shared" si="11"/>
        <v>0</v>
      </c>
      <c r="CJ16" s="1066"/>
      <c r="CK16" s="1066"/>
      <c r="CL16" s="1066">
        <f t="shared" si="12"/>
        <v>0</v>
      </c>
      <c r="CM16" s="1081" t="e">
        <f t="shared" si="13"/>
        <v>#DIV/0!</v>
      </c>
      <c r="CN16" s="1066">
        <f t="shared" si="14"/>
        <v>0</v>
      </c>
      <c r="CO16" s="1066"/>
      <c r="CP16" s="1066"/>
      <c r="CQ16" s="1066"/>
      <c r="CR16" s="1066"/>
      <c r="CS16" s="1066"/>
      <c r="CT16" s="1066"/>
      <c r="CU16" s="1066"/>
      <c r="CV16" s="1066"/>
      <c r="CW16" s="1066"/>
      <c r="CX16" s="1066"/>
      <c r="CY16" s="1066"/>
      <c r="CZ16" s="1066"/>
      <c r="DA16" s="1066"/>
      <c r="DB16" s="1066"/>
      <c r="DC16" s="1066"/>
      <c r="DD16" s="1066"/>
      <c r="DE16" s="1066"/>
      <c r="DF16" s="1066"/>
      <c r="DG16" s="1066"/>
      <c r="DH16" s="1066"/>
      <c r="DI16" s="1081" t="e">
        <f t="shared" si="15"/>
        <v>#DIV/0!</v>
      </c>
      <c r="DJ16" s="1066">
        <f t="shared" si="16"/>
        <v>0</v>
      </c>
      <c r="DK16" s="1066">
        <f t="shared" si="17"/>
        <v>0</v>
      </c>
      <c r="DL16" s="1066">
        <f t="shared" si="17"/>
        <v>0</v>
      </c>
      <c r="DM16" s="1066"/>
      <c r="DN16" s="1066">
        <f t="shared" si="18"/>
        <v>0</v>
      </c>
      <c r="DO16" s="1066">
        <f t="shared" si="18"/>
        <v>0</v>
      </c>
      <c r="DP16" s="1066">
        <f t="shared" si="18"/>
        <v>0</v>
      </c>
      <c r="DQ16" s="1066">
        <f t="shared" si="18"/>
        <v>0</v>
      </c>
      <c r="DR16" s="1066"/>
      <c r="DS16" s="1066">
        <f t="shared" si="19"/>
        <v>0</v>
      </c>
      <c r="DT16" s="1066">
        <f t="shared" si="19"/>
        <v>0</v>
      </c>
      <c r="DU16" s="1066"/>
      <c r="DV16" s="1066">
        <f t="shared" si="20"/>
        <v>0</v>
      </c>
      <c r="DW16" s="1066">
        <f t="shared" si="20"/>
        <v>0</v>
      </c>
      <c r="DX16" s="1066">
        <f t="shared" si="20"/>
        <v>0</v>
      </c>
      <c r="DY16" s="1066">
        <f t="shared" si="21"/>
        <v>0</v>
      </c>
      <c r="DZ16" s="1066">
        <f t="shared" si="21"/>
        <v>0</v>
      </c>
      <c r="EA16" s="1066">
        <f t="shared" si="21"/>
        <v>0</v>
      </c>
      <c r="EB16" s="1066">
        <f t="shared" si="21"/>
        <v>0</v>
      </c>
      <c r="EC16" s="1066"/>
      <c r="ED16" s="1066">
        <f t="shared" si="22"/>
        <v>0</v>
      </c>
    </row>
    <row r="17" spans="1:134" ht="66.75" customHeight="1" x14ac:dyDescent="0.25">
      <c r="A17" s="1565"/>
      <c r="B17" s="1064" t="s">
        <v>4301</v>
      </c>
      <c r="C17" s="1092" t="s">
        <v>4399</v>
      </c>
      <c r="D17" s="1018" t="s">
        <v>4683</v>
      </c>
      <c r="E17" s="1019">
        <v>310</v>
      </c>
      <c r="F17" s="1094" t="s">
        <v>4728</v>
      </c>
      <c r="G17" s="1428">
        <v>916000000</v>
      </c>
      <c r="H17" s="1060">
        <f t="shared" si="0"/>
        <v>278367754</v>
      </c>
      <c r="I17" s="1060">
        <f t="shared" si="1"/>
        <v>231555865</v>
      </c>
      <c r="J17" s="1428" t="s">
        <v>4763</v>
      </c>
      <c r="K17" s="1257" t="s">
        <v>4765</v>
      </c>
      <c r="L17" s="1257" t="s">
        <v>4764</v>
      </c>
      <c r="M17" s="1097">
        <v>12</v>
      </c>
      <c r="N17" s="1097">
        <v>0</v>
      </c>
      <c r="O17" s="1097">
        <v>0</v>
      </c>
      <c r="P17" s="1097">
        <v>16</v>
      </c>
      <c r="Q17" s="1097">
        <v>25</v>
      </c>
      <c r="R17" s="1097">
        <v>4</v>
      </c>
      <c r="S17" s="1099"/>
      <c r="T17" s="1099"/>
      <c r="U17" s="1099"/>
      <c r="V17" s="1099"/>
      <c r="W17" s="1099"/>
      <c r="X17" s="1099"/>
      <c r="Y17" s="1007">
        <f t="shared" si="2"/>
        <v>509923619</v>
      </c>
      <c r="Z17" s="1007"/>
      <c r="AA17" s="1007"/>
      <c r="AB17" s="1007"/>
      <c r="AC17" s="1007"/>
      <c r="AD17" s="1007"/>
      <c r="AE17" s="1007">
        <v>390000000</v>
      </c>
      <c r="AF17" s="1007"/>
      <c r="AG17" s="1007"/>
      <c r="AH17" s="1007"/>
      <c r="AI17" s="1007"/>
      <c r="AJ17" s="1007"/>
      <c r="AK17" s="1007"/>
      <c r="AL17" s="1007"/>
      <c r="AM17" s="1007"/>
      <c r="AN17" s="1007">
        <f>150000000-125000000</f>
        <v>25000000</v>
      </c>
      <c r="AO17" s="1007"/>
      <c r="AP17" s="1007"/>
      <c r="AQ17" s="1007"/>
      <c r="AR17" s="1007"/>
      <c r="AS17" s="1007">
        <f>12388298+18001909+6000000+20000000+3962083+17271329+17300000</f>
        <v>94923619</v>
      </c>
      <c r="AU17" s="1010">
        <f t="shared" si="3"/>
        <v>0.60609398247936419</v>
      </c>
      <c r="AV17" s="1007">
        <f t="shared" si="4"/>
        <v>309061637</v>
      </c>
      <c r="AW17" s="1007"/>
      <c r="AX17" s="1007"/>
      <c r="AY17" s="1007"/>
      <c r="AZ17" s="1007"/>
      <c r="BA17" s="1007"/>
      <c r="BB17" s="1007">
        <f>+'[8]SEPTIEMBRE 2015'!$O$468</f>
        <v>217044496</v>
      </c>
      <c r="BC17" s="1007"/>
      <c r="BD17" s="1007"/>
      <c r="BE17" s="1007"/>
      <c r="BF17" s="1007"/>
      <c r="BG17" s="1007"/>
      <c r="BH17" s="1007"/>
      <c r="BI17" s="1007"/>
      <c r="BJ17" s="1007"/>
      <c r="BK17" s="1007"/>
      <c r="BL17" s="1007"/>
      <c r="BM17" s="1007"/>
      <c r="BN17" s="1007"/>
      <c r="BO17" s="1007"/>
      <c r="BP17" s="1007">
        <f>+'[8]SEPTIEMBRE 2015'!$AD$468</f>
        <v>92017141</v>
      </c>
      <c r="BQ17" s="1010">
        <f t="shared" si="5"/>
        <v>0.39390601752063581</v>
      </c>
      <c r="BR17" s="1007">
        <f t="shared" si="6"/>
        <v>200861982</v>
      </c>
      <c r="BS17" s="1007">
        <f t="shared" si="7"/>
        <v>0</v>
      </c>
      <c r="BT17" s="1007">
        <f t="shared" si="8"/>
        <v>0</v>
      </c>
      <c r="BU17" s="1007"/>
      <c r="BV17" s="1007">
        <f t="shared" si="9"/>
        <v>0</v>
      </c>
      <c r="BW17" s="1007"/>
      <c r="BX17" s="1007">
        <f t="shared" si="10"/>
        <v>172955504</v>
      </c>
      <c r="BY17" s="1007">
        <f t="shared" si="10"/>
        <v>0</v>
      </c>
      <c r="BZ17" s="1007"/>
      <c r="CA17" s="1007"/>
      <c r="CB17" s="1007"/>
      <c r="CC17" s="1007"/>
      <c r="CD17" s="1007">
        <f t="shared" si="11"/>
        <v>0</v>
      </c>
      <c r="CE17" s="1007">
        <f t="shared" si="11"/>
        <v>0</v>
      </c>
      <c r="CF17" s="1007">
        <f t="shared" si="11"/>
        <v>0</v>
      </c>
      <c r="CG17" s="1007">
        <f t="shared" si="11"/>
        <v>25000000</v>
      </c>
      <c r="CH17" s="1007">
        <f t="shared" si="11"/>
        <v>0</v>
      </c>
      <c r="CI17" s="1007">
        <f t="shared" si="11"/>
        <v>0</v>
      </c>
      <c r="CJ17" s="1007"/>
      <c r="CK17" s="1007"/>
      <c r="CL17" s="1007">
        <f t="shared" si="12"/>
        <v>2906478</v>
      </c>
      <c r="CM17" s="1010">
        <f t="shared" si="13"/>
        <v>0.54590088324581021</v>
      </c>
      <c r="CN17" s="1007">
        <f t="shared" si="14"/>
        <v>278367754</v>
      </c>
      <c r="CO17" s="1007"/>
      <c r="CP17" s="1007"/>
      <c r="CQ17" s="1007"/>
      <c r="CR17" s="1007"/>
      <c r="CS17" s="1007"/>
      <c r="CT17" s="1007">
        <f>+'[8]SEPTIEMBRE 2015'!$H$466-DH17</f>
        <v>214044496</v>
      </c>
      <c r="CU17" s="1007"/>
      <c r="CV17" s="1007"/>
      <c r="CW17" s="1007"/>
      <c r="CX17" s="1007"/>
      <c r="CY17" s="1007"/>
      <c r="CZ17" s="1007"/>
      <c r="DA17" s="1007"/>
      <c r="DB17" s="1007"/>
      <c r="DC17" s="1007"/>
      <c r="DD17" s="1007"/>
      <c r="DE17" s="1007"/>
      <c r="DF17" s="1007"/>
      <c r="DG17" s="1007"/>
      <c r="DH17" s="1007">
        <f>+'[8]SEPTIEMBRE 2015'!$H$469+'[8]SEPTIEMBRE 2015'!$H$495+'[8]SEPTIEMBRE 2015'!$H$503+'[8]SEPTIEMBRE 2015'!$H$527+'[8]SEPTIEMBRE 2015'!$H$609+'[8]SEPTIEMBRE 2015'!$H$672+'[8]SEPTIEMBRE 2015'!$H$723+'[8]SEPTIEMBRE 2015'!$H$729+'[8]SEPTIEMBRE 2015'!$H$742</f>
        <v>64323258</v>
      </c>
      <c r="DI17" s="1010">
        <f t="shared" si="15"/>
        <v>0.45409911675418979</v>
      </c>
      <c r="DJ17" s="1007">
        <f t="shared" si="16"/>
        <v>231555865</v>
      </c>
      <c r="DK17" s="1007">
        <f t="shared" si="17"/>
        <v>0</v>
      </c>
      <c r="DL17" s="1007">
        <f t="shared" si="17"/>
        <v>0</v>
      </c>
      <c r="DM17" s="1007"/>
      <c r="DN17" s="1007">
        <f t="shared" si="18"/>
        <v>0</v>
      </c>
      <c r="DO17" s="1007">
        <f t="shared" si="18"/>
        <v>0</v>
      </c>
      <c r="DP17" s="1007">
        <f t="shared" si="18"/>
        <v>175955504</v>
      </c>
      <c r="DQ17" s="1007">
        <f t="shared" si="18"/>
        <v>0</v>
      </c>
      <c r="DR17" s="1007"/>
      <c r="DS17" s="1007">
        <f t="shared" si="19"/>
        <v>0</v>
      </c>
      <c r="DT17" s="1007">
        <f t="shared" si="19"/>
        <v>0</v>
      </c>
      <c r="DU17" s="1007"/>
      <c r="DV17" s="1007">
        <f t="shared" si="20"/>
        <v>0</v>
      </c>
      <c r="DW17" s="1007">
        <f t="shared" si="20"/>
        <v>0</v>
      </c>
      <c r="DX17" s="1007">
        <f t="shared" si="20"/>
        <v>0</v>
      </c>
      <c r="DY17" s="1007">
        <f t="shared" si="21"/>
        <v>25000000</v>
      </c>
      <c r="DZ17" s="1007">
        <f t="shared" si="21"/>
        <v>0</v>
      </c>
      <c r="EA17" s="1007">
        <f t="shared" si="21"/>
        <v>0</v>
      </c>
      <c r="EB17" s="1007">
        <f t="shared" si="21"/>
        <v>0</v>
      </c>
      <c r="EC17" s="1007"/>
      <c r="ED17" s="1007">
        <f t="shared" si="22"/>
        <v>30600361</v>
      </c>
    </row>
    <row r="18" spans="1:134" ht="35.25" customHeight="1" x14ac:dyDescent="0.25">
      <c r="A18" s="1565"/>
      <c r="B18" s="1020"/>
      <c r="C18" s="1092" t="s">
        <v>4597</v>
      </c>
      <c r="D18" s="1018" t="s">
        <v>4698</v>
      </c>
      <c r="E18" s="1019">
        <v>310</v>
      </c>
      <c r="F18" s="1094" t="s">
        <v>4729</v>
      </c>
      <c r="G18" s="1429"/>
      <c r="H18" s="1060">
        <f t="shared" si="0"/>
        <v>186409675</v>
      </c>
      <c r="I18" s="1060">
        <f t="shared" si="1"/>
        <v>35575469</v>
      </c>
      <c r="J18" s="1429"/>
      <c r="K18" s="1562"/>
      <c r="L18" s="1562"/>
      <c r="M18" s="1097">
        <v>9</v>
      </c>
      <c r="N18" s="1097">
        <v>30</v>
      </c>
      <c r="O18" s="1097">
        <v>3</v>
      </c>
      <c r="P18" s="1097">
        <v>10</v>
      </c>
      <c r="Q18" s="1097">
        <v>80</v>
      </c>
      <c r="R18" s="1097">
        <v>8</v>
      </c>
      <c r="S18" s="1100"/>
      <c r="T18" s="1100"/>
      <c r="U18" s="1100"/>
      <c r="V18" s="1100"/>
      <c r="W18" s="1100"/>
      <c r="X18" s="1100"/>
      <c r="Y18" s="1007">
        <f t="shared" si="2"/>
        <v>221985144</v>
      </c>
      <c r="Z18" s="1007"/>
      <c r="AA18" s="1007"/>
      <c r="AB18" s="1007"/>
      <c r="AC18" s="1007"/>
      <c r="AD18" s="1007"/>
      <c r="AE18" s="1007">
        <v>30000000</v>
      </c>
      <c r="AF18" s="1007">
        <f>222000000-30014856</f>
        <v>191985144</v>
      </c>
      <c r="AG18" s="1007"/>
      <c r="AH18" s="1007"/>
      <c r="AI18" s="1007"/>
      <c r="AJ18" s="1007"/>
      <c r="AK18" s="1007"/>
      <c r="AL18" s="1007"/>
      <c r="AM18" s="1007"/>
      <c r="AN18" s="1007"/>
      <c r="AO18" s="1007"/>
      <c r="AP18" s="1007"/>
      <c r="AQ18" s="1007"/>
      <c r="AR18" s="1007"/>
      <c r="AS18" s="1007">
        <f>3000000-3000000</f>
        <v>0</v>
      </c>
      <c r="AT18" s="949"/>
      <c r="AU18" s="1010">
        <f t="shared" si="3"/>
        <v>0.88627856556022511</v>
      </c>
      <c r="AV18" s="1007">
        <f t="shared" si="4"/>
        <v>196740675</v>
      </c>
      <c r="AW18" s="1007"/>
      <c r="AX18" s="1007"/>
      <c r="AY18" s="1007"/>
      <c r="AZ18" s="1007"/>
      <c r="BA18" s="1007"/>
      <c r="BB18" s="1007">
        <f>+'[10]JULIO 2015'!$O$577</f>
        <v>30000000</v>
      </c>
      <c r="BC18" s="1007">
        <f>+'[8]SEPTIEMBRE 2015'!$P$754</f>
        <v>166740675</v>
      </c>
      <c r="BD18" s="1007"/>
      <c r="BE18" s="1007"/>
      <c r="BF18" s="1007"/>
      <c r="BG18" s="1007"/>
      <c r="BH18" s="1007"/>
      <c r="BI18" s="1007"/>
      <c r="BJ18" s="1007"/>
      <c r="BK18" s="1007"/>
      <c r="BL18" s="1007"/>
      <c r="BM18" s="1007"/>
      <c r="BN18" s="1007"/>
      <c r="BO18" s="1007"/>
      <c r="BP18" s="1007"/>
      <c r="BQ18" s="1010">
        <f t="shared" si="5"/>
        <v>0.11372143443977489</v>
      </c>
      <c r="BR18" s="1007">
        <f t="shared" si="6"/>
        <v>25244469</v>
      </c>
      <c r="BS18" s="1007">
        <f t="shared" si="7"/>
        <v>0</v>
      </c>
      <c r="BT18" s="1007">
        <f t="shared" si="8"/>
        <v>0</v>
      </c>
      <c r="BU18" s="1007"/>
      <c r="BV18" s="1007">
        <f t="shared" si="9"/>
        <v>0</v>
      </c>
      <c r="BW18" s="1007"/>
      <c r="BX18" s="1007">
        <f t="shared" si="10"/>
        <v>0</v>
      </c>
      <c r="BY18" s="1007">
        <f t="shared" si="10"/>
        <v>25244469</v>
      </c>
      <c r="BZ18" s="1007"/>
      <c r="CA18" s="1007">
        <f>+AH18-BE18</f>
        <v>0</v>
      </c>
      <c r="CB18" s="1007">
        <f>+AI18-BF18</f>
        <v>0</v>
      </c>
      <c r="CC18" s="1007">
        <f>+AJ18-BG18</f>
        <v>0</v>
      </c>
      <c r="CD18" s="1007">
        <f t="shared" si="11"/>
        <v>0</v>
      </c>
      <c r="CE18" s="1007">
        <f t="shared" si="11"/>
        <v>0</v>
      </c>
      <c r="CF18" s="1007">
        <f t="shared" si="11"/>
        <v>0</v>
      </c>
      <c r="CG18" s="1007">
        <f t="shared" si="11"/>
        <v>0</v>
      </c>
      <c r="CH18" s="1007">
        <f t="shared" si="11"/>
        <v>0</v>
      </c>
      <c r="CI18" s="1007">
        <f t="shared" si="11"/>
        <v>0</v>
      </c>
      <c r="CJ18" s="1007"/>
      <c r="CK18" s="1007"/>
      <c r="CL18" s="1007">
        <f t="shared" si="12"/>
        <v>0</v>
      </c>
      <c r="CM18" s="1010">
        <f t="shared" si="13"/>
        <v>0.83973941517455786</v>
      </c>
      <c r="CN18" s="1007">
        <f t="shared" si="14"/>
        <v>186409675</v>
      </c>
      <c r="CO18" s="1007"/>
      <c r="CP18" s="1007"/>
      <c r="CQ18" s="1007"/>
      <c r="CR18" s="1007"/>
      <c r="CS18" s="1007"/>
      <c r="CT18" s="1007">
        <f>+'[8]SEPTIEMBRE 2015'!$H$755+'[8]SEPTIEMBRE 2015'!$H$756+'[8]SEPTIEMBRE 2015'!$H$757+'[8]SEPTIEMBRE 2015'!$H$758+'[8]SEPTIEMBRE 2015'!$H$760+'[8]SEPTIEMBRE 2015'!$H$762</f>
        <v>29177750</v>
      </c>
      <c r="CU18" s="1007">
        <f>+'[8]SEPTIEMBRE 2015'!$H$752-CT18</f>
        <v>157231925</v>
      </c>
      <c r="CV18" s="1007"/>
      <c r="CW18" s="1007"/>
      <c r="CX18" s="1007"/>
      <c r="CY18" s="1007"/>
      <c r="CZ18" s="1007"/>
      <c r="DA18" s="1007"/>
      <c r="DB18" s="1007"/>
      <c r="DC18" s="1007"/>
      <c r="DD18" s="1007"/>
      <c r="DE18" s="1007"/>
      <c r="DF18" s="1007"/>
      <c r="DG18" s="1007"/>
      <c r="DH18" s="1007"/>
      <c r="DI18" s="1010">
        <f t="shared" si="15"/>
        <v>0.16026058482544214</v>
      </c>
      <c r="DJ18" s="1007">
        <f t="shared" si="16"/>
        <v>35575469</v>
      </c>
      <c r="DK18" s="1007">
        <f t="shared" si="17"/>
        <v>0</v>
      </c>
      <c r="DL18" s="1007">
        <f t="shared" si="17"/>
        <v>0</v>
      </c>
      <c r="DM18" s="1007"/>
      <c r="DN18" s="1007">
        <f t="shared" si="18"/>
        <v>0</v>
      </c>
      <c r="DO18" s="1007">
        <f t="shared" si="18"/>
        <v>0</v>
      </c>
      <c r="DP18" s="1007">
        <f t="shared" si="18"/>
        <v>822250</v>
      </c>
      <c r="DQ18" s="1007">
        <f t="shared" si="18"/>
        <v>34753219</v>
      </c>
      <c r="DR18" s="1007"/>
      <c r="DS18" s="1007">
        <f t="shared" si="19"/>
        <v>0</v>
      </c>
      <c r="DT18" s="1007">
        <f t="shared" si="19"/>
        <v>0</v>
      </c>
      <c r="DU18" s="1007"/>
      <c r="DV18" s="1007">
        <f t="shared" si="20"/>
        <v>0</v>
      </c>
      <c r="DW18" s="1007">
        <f t="shared" si="20"/>
        <v>0</v>
      </c>
      <c r="DX18" s="1007">
        <f t="shared" si="20"/>
        <v>0</v>
      </c>
      <c r="DY18" s="1007">
        <f t="shared" si="21"/>
        <v>0</v>
      </c>
      <c r="DZ18" s="1007">
        <f t="shared" si="21"/>
        <v>0</v>
      </c>
      <c r="EA18" s="1007">
        <f t="shared" si="21"/>
        <v>0</v>
      </c>
      <c r="EB18" s="1007">
        <f t="shared" si="21"/>
        <v>0</v>
      </c>
      <c r="EC18" s="1007"/>
      <c r="ED18" s="1007">
        <f t="shared" si="22"/>
        <v>0</v>
      </c>
    </row>
    <row r="19" spans="1:134" ht="36" customHeight="1" x14ac:dyDescent="0.25">
      <c r="A19" s="1565"/>
      <c r="B19" s="1020"/>
      <c r="C19" s="1092" t="s">
        <v>4568</v>
      </c>
      <c r="D19" s="1018" t="s">
        <v>4567</v>
      </c>
      <c r="E19" s="1019">
        <v>310</v>
      </c>
      <c r="F19" s="1094" t="s">
        <v>4660</v>
      </c>
      <c r="G19" s="1429"/>
      <c r="H19" s="1060">
        <f t="shared" si="0"/>
        <v>76759184</v>
      </c>
      <c r="I19" s="1060">
        <f t="shared" si="1"/>
        <v>64240816</v>
      </c>
      <c r="J19" s="1429"/>
      <c r="K19" s="1562"/>
      <c r="L19" s="1562"/>
      <c r="M19" s="1097">
        <v>39</v>
      </c>
      <c r="N19" s="1097">
        <v>0</v>
      </c>
      <c r="O19" s="1097">
        <v>0</v>
      </c>
      <c r="P19" s="1097">
        <v>89</v>
      </c>
      <c r="Q19" s="1097">
        <v>0</v>
      </c>
      <c r="R19" s="1097">
        <v>0</v>
      </c>
      <c r="S19" s="1100"/>
      <c r="T19" s="1100"/>
      <c r="U19" s="1100"/>
      <c r="V19" s="1100"/>
      <c r="W19" s="1100"/>
      <c r="X19" s="1100"/>
      <c r="Y19" s="1007">
        <f t="shared" si="2"/>
        <v>141000000</v>
      </c>
      <c r="Z19" s="1007"/>
      <c r="AA19" s="1007">
        <f>144000000-144000000</f>
        <v>0</v>
      </c>
      <c r="AB19" s="1007"/>
      <c r="AC19" s="1007"/>
      <c r="AD19" s="1007"/>
      <c r="AE19" s="1007"/>
      <c r="AF19" s="1007">
        <f>144000000-64000000+50000000</f>
        <v>130000000</v>
      </c>
      <c r="AG19" s="1007"/>
      <c r="AH19" s="1007"/>
      <c r="AI19" s="1007"/>
      <c r="AJ19" s="1007"/>
      <c r="AK19" s="1007"/>
      <c r="AL19" s="1007"/>
      <c r="AM19" s="1007"/>
      <c r="AN19" s="1007">
        <f>11000000</f>
        <v>11000000</v>
      </c>
      <c r="AO19" s="1007"/>
      <c r="AP19" s="1007"/>
      <c r="AQ19" s="1007"/>
      <c r="AR19" s="1007"/>
      <c r="AS19" s="1007"/>
      <c r="AT19" s="949"/>
      <c r="AU19" s="1010">
        <f t="shared" si="3"/>
        <v>0.56737588652482274</v>
      </c>
      <c r="AV19" s="1007">
        <f t="shared" si="4"/>
        <v>80000000</v>
      </c>
      <c r="AW19" s="1007"/>
      <c r="AX19" s="1007"/>
      <c r="AY19" s="1007"/>
      <c r="AZ19" s="1007"/>
      <c r="BA19" s="1007"/>
      <c r="BB19" s="1007"/>
      <c r="BC19" s="1007">
        <f>+'[11]MARZO 2015'!$O$374</f>
        <v>80000000</v>
      </c>
      <c r="BD19" s="1007"/>
      <c r="BE19" s="1007"/>
      <c r="BF19" s="1007"/>
      <c r="BG19" s="1007"/>
      <c r="BH19" s="1007"/>
      <c r="BI19" s="1007"/>
      <c r="BJ19" s="1007"/>
      <c r="BK19" s="1007"/>
      <c r="BL19" s="1007"/>
      <c r="BM19" s="1007"/>
      <c r="BN19" s="1007"/>
      <c r="BO19" s="1007"/>
      <c r="BP19" s="1007"/>
      <c r="BQ19" s="1010">
        <f t="shared" si="5"/>
        <v>0.43262411347517726</v>
      </c>
      <c r="BR19" s="1007">
        <f t="shared" si="6"/>
        <v>61000000</v>
      </c>
      <c r="BS19" s="1007">
        <f t="shared" si="7"/>
        <v>0</v>
      </c>
      <c r="BT19" s="1007">
        <f t="shared" ref="BT19:BT33" si="23">AA19-AX19</f>
        <v>0</v>
      </c>
      <c r="BU19" s="1007"/>
      <c r="BV19" s="1007">
        <f t="shared" si="9"/>
        <v>0</v>
      </c>
      <c r="BW19" s="1007"/>
      <c r="BX19" s="1007">
        <f t="shared" si="10"/>
        <v>0</v>
      </c>
      <c r="BY19" s="1007">
        <f t="shared" si="10"/>
        <v>50000000</v>
      </c>
      <c r="BZ19" s="1007"/>
      <c r="CA19" s="1007"/>
      <c r="CB19" s="1007"/>
      <c r="CC19" s="1007"/>
      <c r="CD19" s="1007">
        <f t="shared" si="11"/>
        <v>0</v>
      </c>
      <c r="CE19" s="1007">
        <f t="shared" si="11"/>
        <v>0</v>
      </c>
      <c r="CF19" s="1007">
        <f t="shared" si="11"/>
        <v>0</v>
      </c>
      <c r="CG19" s="1007">
        <f t="shared" si="11"/>
        <v>11000000</v>
      </c>
      <c r="CH19" s="1007">
        <f t="shared" si="11"/>
        <v>0</v>
      </c>
      <c r="CI19" s="1007">
        <f t="shared" si="11"/>
        <v>0</v>
      </c>
      <c r="CJ19" s="1007"/>
      <c r="CK19" s="1007"/>
      <c r="CL19" s="1007">
        <f t="shared" si="12"/>
        <v>0</v>
      </c>
      <c r="CM19" s="1010">
        <f t="shared" si="13"/>
        <v>0.54439137588652486</v>
      </c>
      <c r="CN19" s="1007">
        <f t="shared" si="14"/>
        <v>76759184</v>
      </c>
      <c r="CO19" s="1007"/>
      <c r="CP19" s="1007"/>
      <c r="CQ19" s="1007"/>
      <c r="CR19" s="1007"/>
      <c r="CS19" s="1007"/>
      <c r="CT19" s="1007"/>
      <c r="CU19" s="1007">
        <f>+'[8]SEPTIEMBRE 2015'!$H$783</f>
        <v>76759184</v>
      </c>
      <c r="CV19" s="1007"/>
      <c r="CW19" s="1007"/>
      <c r="CX19" s="1007"/>
      <c r="CY19" s="1007"/>
      <c r="CZ19" s="1007"/>
      <c r="DA19" s="1007"/>
      <c r="DB19" s="1007"/>
      <c r="DC19" s="1007"/>
      <c r="DD19" s="1007"/>
      <c r="DE19" s="1007"/>
      <c r="DF19" s="1007"/>
      <c r="DG19" s="1007"/>
      <c r="DH19" s="1007"/>
      <c r="DI19" s="1010">
        <f t="shared" si="15"/>
        <v>0.45560862411347514</v>
      </c>
      <c r="DJ19" s="1007">
        <f t="shared" si="16"/>
        <v>64240816</v>
      </c>
      <c r="DK19" s="1007">
        <f t="shared" si="17"/>
        <v>0</v>
      </c>
      <c r="DL19" s="1007">
        <f t="shared" si="17"/>
        <v>0</v>
      </c>
      <c r="DM19" s="1007"/>
      <c r="DN19" s="1007">
        <f t="shared" si="18"/>
        <v>0</v>
      </c>
      <c r="DO19" s="1007">
        <f t="shared" si="18"/>
        <v>0</v>
      </c>
      <c r="DP19" s="1007">
        <f t="shared" si="18"/>
        <v>0</v>
      </c>
      <c r="DQ19" s="1007">
        <f t="shared" si="18"/>
        <v>53240816</v>
      </c>
      <c r="DR19" s="1007"/>
      <c r="DS19" s="1007">
        <f t="shared" si="19"/>
        <v>0</v>
      </c>
      <c r="DT19" s="1007">
        <f t="shared" si="19"/>
        <v>0</v>
      </c>
      <c r="DU19" s="1007"/>
      <c r="DV19" s="1007">
        <f t="shared" si="20"/>
        <v>0</v>
      </c>
      <c r="DW19" s="1007">
        <f t="shared" si="20"/>
        <v>0</v>
      </c>
      <c r="DX19" s="1007">
        <f t="shared" si="20"/>
        <v>0</v>
      </c>
      <c r="DY19" s="1007">
        <f t="shared" si="21"/>
        <v>11000000</v>
      </c>
      <c r="DZ19" s="1007">
        <f t="shared" si="21"/>
        <v>0</v>
      </c>
      <c r="EA19" s="1007">
        <f t="shared" si="21"/>
        <v>0</v>
      </c>
      <c r="EB19" s="1007">
        <f t="shared" si="21"/>
        <v>0</v>
      </c>
      <c r="EC19" s="1007"/>
      <c r="ED19" s="1007">
        <f t="shared" si="22"/>
        <v>0</v>
      </c>
    </row>
    <row r="20" spans="1:134" ht="34.5" customHeight="1" x14ac:dyDescent="0.25">
      <c r="A20" s="1565"/>
      <c r="B20" s="1020"/>
      <c r="C20" s="1092" t="s">
        <v>4569</v>
      </c>
      <c r="D20" s="1018" t="s">
        <v>4699</v>
      </c>
      <c r="E20" s="1019">
        <v>310</v>
      </c>
      <c r="F20" s="1094" t="s">
        <v>4660</v>
      </c>
      <c r="G20" s="1429"/>
      <c r="H20" s="1060">
        <f t="shared" si="0"/>
        <v>0</v>
      </c>
      <c r="I20" s="1060">
        <f t="shared" si="1"/>
        <v>0</v>
      </c>
      <c r="J20" s="1429"/>
      <c r="K20" s="1562"/>
      <c r="L20" s="1562"/>
      <c r="M20" s="1097">
        <v>0</v>
      </c>
      <c r="N20" s="1097">
        <v>0</v>
      </c>
      <c r="O20" s="1097">
        <v>0</v>
      </c>
      <c r="P20" s="1097">
        <v>0</v>
      </c>
      <c r="Q20" s="1097">
        <v>0</v>
      </c>
      <c r="R20" s="1097">
        <v>0</v>
      </c>
      <c r="S20" s="1100"/>
      <c r="T20" s="1100"/>
      <c r="U20" s="1100"/>
      <c r="V20" s="1100"/>
      <c r="W20" s="1100"/>
      <c r="X20" s="1100"/>
      <c r="Y20" s="1007">
        <f t="shared" si="2"/>
        <v>0</v>
      </c>
      <c r="Z20" s="149"/>
      <c r="AA20" s="944"/>
      <c r="AB20" s="944"/>
      <c r="AC20" s="944"/>
      <c r="AD20" s="944"/>
      <c r="AE20" s="944"/>
      <c r="AF20" s="1007">
        <f>4000000-4000000</f>
        <v>0</v>
      </c>
      <c r="AG20" s="944"/>
      <c r="AH20" s="149"/>
      <c r="AI20" s="149"/>
      <c r="AJ20" s="149"/>
      <c r="AK20" s="149"/>
      <c r="AL20" s="149"/>
      <c r="AM20" s="149"/>
      <c r="AN20" s="1007">
        <f>11000000-11000000</f>
        <v>0</v>
      </c>
      <c r="AO20" s="149"/>
      <c r="AP20" s="149"/>
      <c r="AQ20" s="149"/>
      <c r="AR20" s="149"/>
      <c r="AS20" s="944"/>
      <c r="AT20" s="949"/>
      <c r="AU20" s="1010" t="e">
        <f t="shared" si="3"/>
        <v>#DIV/0!</v>
      </c>
      <c r="AV20" s="1007">
        <f t="shared" si="4"/>
        <v>0</v>
      </c>
      <c r="AW20" s="1007"/>
      <c r="AX20" s="1007"/>
      <c r="AY20" s="1007"/>
      <c r="AZ20" s="1007"/>
      <c r="BA20" s="1007"/>
      <c r="BB20" s="1007"/>
      <c r="BC20" s="1007"/>
      <c r="BD20" s="1007"/>
      <c r="BE20" s="1007"/>
      <c r="BF20" s="1007"/>
      <c r="BG20" s="1007"/>
      <c r="BH20" s="1007"/>
      <c r="BI20" s="1007"/>
      <c r="BJ20" s="1007"/>
      <c r="BK20" s="1007"/>
      <c r="BL20" s="1007"/>
      <c r="BM20" s="1007"/>
      <c r="BN20" s="1007"/>
      <c r="BO20" s="1007"/>
      <c r="BP20" s="1007"/>
      <c r="BQ20" s="1010" t="e">
        <f t="shared" si="5"/>
        <v>#DIV/0!</v>
      </c>
      <c r="BR20" s="1007">
        <f t="shared" si="6"/>
        <v>0</v>
      </c>
      <c r="BS20" s="1007">
        <f t="shared" si="7"/>
        <v>0</v>
      </c>
      <c r="BT20" s="1007">
        <f t="shared" si="23"/>
        <v>0</v>
      </c>
      <c r="BU20" s="1007"/>
      <c r="BV20" s="1007">
        <f t="shared" si="9"/>
        <v>0</v>
      </c>
      <c r="BW20" s="1007"/>
      <c r="BX20" s="1007">
        <f t="shared" si="10"/>
        <v>0</v>
      </c>
      <c r="BY20" s="1007">
        <f t="shared" si="10"/>
        <v>0</v>
      </c>
      <c r="BZ20" s="1007"/>
      <c r="CA20" s="1007"/>
      <c r="CB20" s="1007"/>
      <c r="CC20" s="1007"/>
      <c r="CD20" s="1007">
        <f t="shared" ref="CD20:CI33" si="24">+AK20-BH20</f>
        <v>0</v>
      </c>
      <c r="CE20" s="1007">
        <f t="shared" si="24"/>
        <v>0</v>
      </c>
      <c r="CF20" s="1007">
        <f t="shared" si="24"/>
        <v>0</v>
      </c>
      <c r="CG20" s="1007">
        <f t="shared" si="24"/>
        <v>0</v>
      </c>
      <c r="CH20" s="1007">
        <f t="shared" si="24"/>
        <v>0</v>
      </c>
      <c r="CI20" s="1007">
        <f t="shared" si="24"/>
        <v>0</v>
      </c>
      <c r="CJ20" s="1007"/>
      <c r="CK20" s="1007"/>
      <c r="CL20" s="1007">
        <f t="shared" si="12"/>
        <v>0</v>
      </c>
      <c r="CM20" s="1010" t="e">
        <f t="shared" si="13"/>
        <v>#DIV/0!</v>
      </c>
      <c r="CN20" s="1007">
        <f t="shared" si="14"/>
        <v>0</v>
      </c>
      <c r="CO20" s="1007"/>
      <c r="CP20" s="1007"/>
      <c r="CQ20" s="1007"/>
      <c r="CR20" s="1007"/>
      <c r="CS20" s="1007"/>
      <c r="CT20" s="1007"/>
      <c r="CU20" s="1007"/>
      <c r="CV20" s="1007"/>
      <c r="CW20" s="1007"/>
      <c r="CX20" s="1007"/>
      <c r="CY20" s="1007"/>
      <c r="CZ20" s="1007"/>
      <c r="DA20" s="1007"/>
      <c r="DB20" s="1007"/>
      <c r="DC20" s="1007"/>
      <c r="DD20" s="1007"/>
      <c r="DE20" s="1007"/>
      <c r="DF20" s="1007"/>
      <c r="DG20" s="1007"/>
      <c r="DH20" s="1007"/>
      <c r="DI20" s="1010" t="e">
        <f t="shared" si="15"/>
        <v>#DIV/0!</v>
      </c>
      <c r="DJ20" s="1007">
        <f t="shared" si="16"/>
        <v>0</v>
      </c>
      <c r="DK20" s="1007">
        <f t="shared" si="17"/>
        <v>0</v>
      </c>
      <c r="DL20" s="1007">
        <f t="shared" si="17"/>
        <v>0</v>
      </c>
      <c r="DM20" s="1007"/>
      <c r="DN20" s="1007">
        <f t="shared" si="18"/>
        <v>0</v>
      </c>
      <c r="DO20" s="1007">
        <f t="shared" si="18"/>
        <v>0</v>
      </c>
      <c r="DP20" s="1007">
        <f t="shared" si="18"/>
        <v>0</v>
      </c>
      <c r="DQ20" s="1007">
        <f t="shared" si="18"/>
        <v>0</v>
      </c>
      <c r="DR20" s="1007"/>
      <c r="DS20" s="1007">
        <f t="shared" si="19"/>
        <v>0</v>
      </c>
      <c r="DT20" s="1007">
        <f t="shared" si="19"/>
        <v>0</v>
      </c>
      <c r="DU20" s="1007"/>
      <c r="DV20" s="1007">
        <f t="shared" si="20"/>
        <v>0</v>
      </c>
      <c r="DW20" s="1007">
        <f t="shared" si="20"/>
        <v>0</v>
      </c>
      <c r="DX20" s="1007">
        <f t="shared" si="20"/>
        <v>0</v>
      </c>
      <c r="DY20" s="1007">
        <f t="shared" si="21"/>
        <v>0</v>
      </c>
      <c r="DZ20" s="1007">
        <f t="shared" si="21"/>
        <v>0</v>
      </c>
      <c r="EA20" s="1007">
        <f t="shared" si="21"/>
        <v>0</v>
      </c>
      <c r="EB20" s="1007">
        <f t="shared" si="21"/>
        <v>0</v>
      </c>
      <c r="EC20" s="1007"/>
      <c r="ED20" s="1007">
        <f t="shared" si="22"/>
        <v>0</v>
      </c>
    </row>
    <row r="21" spans="1:134" ht="48.75" customHeight="1" x14ac:dyDescent="0.25">
      <c r="A21" s="1565"/>
      <c r="B21" s="1020"/>
      <c r="C21" s="1092" t="s">
        <v>4570</v>
      </c>
      <c r="D21" s="1018" t="s">
        <v>4566</v>
      </c>
      <c r="E21" s="1019">
        <v>310</v>
      </c>
      <c r="F21" s="1094" t="s">
        <v>4660</v>
      </c>
      <c r="G21" s="1430"/>
      <c r="H21" s="1060">
        <f t="shared" si="0"/>
        <v>0</v>
      </c>
      <c r="I21" s="1060">
        <f t="shared" si="1"/>
        <v>0</v>
      </c>
      <c r="J21" s="1430"/>
      <c r="K21" s="1258"/>
      <c r="L21" s="1258"/>
      <c r="M21" s="1097">
        <v>0</v>
      </c>
      <c r="N21" s="1097">
        <v>0</v>
      </c>
      <c r="O21" s="1097">
        <v>0</v>
      </c>
      <c r="P21" s="1097">
        <v>0</v>
      </c>
      <c r="Q21" s="1097">
        <v>0</v>
      </c>
      <c r="R21" s="1097">
        <v>0</v>
      </c>
      <c r="S21" s="1101"/>
      <c r="T21" s="1101"/>
      <c r="U21" s="1101"/>
      <c r="V21" s="1101"/>
      <c r="W21" s="1101"/>
      <c r="X21" s="1101"/>
      <c r="Y21" s="1007">
        <f t="shared" si="2"/>
        <v>0</v>
      </c>
      <c r="Z21" s="149"/>
      <c r="AA21" s="944">
        <f>36000000-36000000</f>
        <v>0</v>
      </c>
      <c r="AB21" s="944"/>
      <c r="AC21" s="944"/>
      <c r="AD21" s="944"/>
      <c r="AE21" s="944"/>
      <c r="AF21" s="1007">
        <f>34000000+36000000-20000000-50000000</f>
        <v>0</v>
      </c>
      <c r="AG21" s="944"/>
      <c r="AH21" s="149"/>
      <c r="AI21" s="149"/>
      <c r="AJ21" s="149"/>
      <c r="AK21" s="149"/>
      <c r="AL21" s="149"/>
      <c r="AM21" s="149"/>
      <c r="AN21" s="149"/>
      <c r="AO21" s="149"/>
      <c r="AP21" s="149"/>
      <c r="AQ21" s="149"/>
      <c r="AR21" s="149"/>
      <c r="AS21" s="944"/>
      <c r="AT21" s="949"/>
      <c r="AU21" s="1010" t="e">
        <f t="shared" si="3"/>
        <v>#DIV/0!</v>
      </c>
      <c r="AV21" s="1007">
        <f t="shared" si="4"/>
        <v>0</v>
      </c>
      <c r="AW21" s="1007"/>
      <c r="AX21" s="1007"/>
      <c r="AY21" s="1007"/>
      <c r="AZ21" s="1007"/>
      <c r="BA21" s="1007"/>
      <c r="BB21" s="1007"/>
      <c r="BC21" s="1007"/>
      <c r="BD21" s="1007"/>
      <c r="BE21" s="1007"/>
      <c r="BF21" s="1007"/>
      <c r="BG21" s="1007"/>
      <c r="BH21" s="1007"/>
      <c r="BI21" s="1007"/>
      <c r="BJ21" s="1007"/>
      <c r="BK21" s="1007"/>
      <c r="BL21" s="1007"/>
      <c r="BM21" s="1007"/>
      <c r="BN21" s="1007"/>
      <c r="BO21" s="1007"/>
      <c r="BP21" s="1007"/>
      <c r="BQ21" s="1010"/>
      <c r="BR21" s="1007">
        <f t="shared" si="6"/>
        <v>0</v>
      </c>
      <c r="BS21" s="1007">
        <f t="shared" si="7"/>
        <v>0</v>
      </c>
      <c r="BT21" s="1007">
        <f t="shared" si="23"/>
        <v>0</v>
      </c>
      <c r="BU21" s="1007"/>
      <c r="BV21" s="1007">
        <f t="shared" si="9"/>
        <v>0</v>
      </c>
      <c r="BW21" s="1007"/>
      <c r="BX21" s="1007">
        <f t="shared" si="10"/>
        <v>0</v>
      </c>
      <c r="BY21" s="1007">
        <f t="shared" si="10"/>
        <v>0</v>
      </c>
      <c r="BZ21" s="1007"/>
      <c r="CA21" s="1007"/>
      <c r="CB21" s="1007"/>
      <c r="CC21" s="1007"/>
      <c r="CD21" s="1007">
        <f t="shared" si="24"/>
        <v>0</v>
      </c>
      <c r="CE21" s="1007">
        <f t="shared" si="24"/>
        <v>0</v>
      </c>
      <c r="CF21" s="1007">
        <f t="shared" si="24"/>
        <v>0</v>
      </c>
      <c r="CG21" s="1007">
        <f t="shared" si="24"/>
        <v>0</v>
      </c>
      <c r="CH21" s="1007">
        <f t="shared" si="24"/>
        <v>0</v>
      </c>
      <c r="CI21" s="1007">
        <f t="shared" si="24"/>
        <v>0</v>
      </c>
      <c r="CJ21" s="1007"/>
      <c r="CK21" s="1007"/>
      <c r="CL21" s="1007">
        <f t="shared" si="12"/>
        <v>0</v>
      </c>
      <c r="CM21" s="1010" t="e">
        <f t="shared" si="13"/>
        <v>#DIV/0!</v>
      </c>
      <c r="CN21" s="1007">
        <f t="shared" si="14"/>
        <v>0</v>
      </c>
      <c r="CO21" s="1007"/>
      <c r="CP21" s="1007"/>
      <c r="CQ21" s="1007"/>
      <c r="CR21" s="1007"/>
      <c r="CS21" s="1007"/>
      <c r="CT21" s="1007"/>
      <c r="CU21" s="1007"/>
      <c r="CV21" s="1007"/>
      <c r="CW21" s="1007"/>
      <c r="CX21" s="1007"/>
      <c r="CY21" s="1007"/>
      <c r="CZ21" s="1007"/>
      <c r="DA21" s="1007"/>
      <c r="DB21" s="1007"/>
      <c r="DC21" s="1007"/>
      <c r="DD21" s="1007"/>
      <c r="DE21" s="1007"/>
      <c r="DF21" s="1007"/>
      <c r="DG21" s="1007"/>
      <c r="DH21" s="1007"/>
      <c r="DI21" s="1010" t="e">
        <f t="shared" si="15"/>
        <v>#DIV/0!</v>
      </c>
      <c r="DJ21" s="1007">
        <f t="shared" si="16"/>
        <v>0</v>
      </c>
      <c r="DK21" s="1007">
        <f t="shared" si="17"/>
        <v>0</v>
      </c>
      <c r="DL21" s="1007">
        <f t="shared" si="17"/>
        <v>0</v>
      </c>
      <c r="DM21" s="1007"/>
      <c r="DN21" s="1007">
        <f t="shared" si="18"/>
        <v>0</v>
      </c>
      <c r="DO21" s="1007">
        <f t="shared" si="18"/>
        <v>0</v>
      </c>
      <c r="DP21" s="1007">
        <f t="shared" si="18"/>
        <v>0</v>
      </c>
      <c r="DQ21" s="1007">
        <f t="shared" si="18"/>
        <v>0</v>
      </c>
      <c r="DR21" s="1007"/>
      <c r="DS21" s="1007">
        <f t="shared" si="19"/>
        <v>0</v>
      </c>
      <c r="DT21" s="1007">
        <f t="shared" si="19"/>
        <v>0</v>
      </c>
      <c r="DU21" s="1007"/>
      <c r="DV21" s="1007">
        <f t="shared" si="20"/>
        <v>0</v>
      </c>
      <c r="DW21" s="1007">
        <f t="shared" si="20"/>
        <v>0</v>
      </c>
      <c r="DX21" s="1007">
        <f t="shared" si="20"/>
        <v>0</v>
      </c>
      <c r="DY21" s="1007">
        <f t="shared" si="21"/>
        <v>0</v>
      </c>
      <c r="DZ21" s="1007">
        <f t="shared" si="21"/>
        <v>0</v>
      </c>
      <c r="EA21" s="1007">
        <f t="shared" si="21"/>
        <v>0</v>
      </c>
      <c r="EB21" s="1007">
        <f t="shared" si="21"/>
        <v>0</v>
      </c>
      <c r="EC21" s="1007"/>
      <c r="ED21" s="1007">
        <f t="shared" si="22"/>
        <v>0</v>
      </c>
    </row>
    <row r="22" spans="1:134" ht="60" customHeight="1" x14ac:dyDescent="0.25">
      <c r="A22" s="1565"/>
      <c r="B22" s="1020" t="s">
        <v>4302</v>
      </c>
      <c r="C22" s="1092" t="s">
        <v>4400</v>
      </c>
      <c r="D22" s="1018" t="s">
        <v>4572</v>
      </c>
      <c r="E22" s="1019">
        <v>510</v>
      </c>
      <c r="F22" s="1094" t="s">
        <v>4671</v>
      </c>
      <c r="G22" s="1428">
        <v>259000000</v>
      </c>
      <c r="H22" s="1060">
        <f t="shared" si="0"/>
        <v>47851843</v>
      </c>
      <c r="I22" s="1060">
        <f t="shared" si="1"/>
        <v>59148157</v>
      </c>
      <c r="J22" s="1428" t="s">
        <v>4766</v>
      </c>
      <c r="K22" s="1095" t="s">
        <v>4768</v>
      </c>
      <c r="L22" s="1097" t="s">
        <v>4767</v>
      </c>
      <c r="M22" s="1097">
        <v>19</v>
      </c>
      <c r="N22" s="1097">
        <v>10</v>
      </c>
      <c r="O22" s="1097">
        <v>2</v>
      </c>
      <c r="P22" s="1097">
        <v>19</v>
      </c>
      <c r="Q22" s="1097">
        <v>50</v>
      </c>
      <c r="R22" s="1097">
        <v>9</v>
      </c>
      <c r="S22" s="1099"/>
      <c r="T22" s="1099"/>
      <c r="U22" s="1099"/>
      <c r="V22" s="1099"/>
      <c r="W22" s="1099"/>
      <c r="X22" s="1099"/>
      <c r="Y22" s="1007">
        <f t="shared" si="2"/>
        <v>107000000</v>
      </c>
      <c r="Z22" s="1007"/>
      <c r="AA22" s="1007"/>
      <c r="AB22" s="1007"/>
      <c r="AC22" s="1007"/>
      <c r="AD22" s="1007"/>
      <c r="AE22" s="1007"/>
      <c r="AF22" s="1007"/>
      <c r="AG22" s="1007"/>
      <c r="AH22" s="1007"/>
      <c r="AI22" s="1007"/>
      <c r="AJ22" s="1007"/>
      <c r="AK22" s="1007"/>
      <c r="AL22" s="1007"/>
      <c r="AM22" s="1007"/>
      <c r="AN22" s="1007"/>
      <c r="AO22" s="1007">
        <v>50000000</v>
      </c>
      <c r="AP22" s="1007"/>
      <c r="AQ22" s="1007"/>
      <c r="AR22" s="1007"/>
      <c r="AS22" s="1007">
        <f>9000000+5000000+15000000+5000000+5000000+15000000+3000000</f>
        <v>57000000</v>
      </c>
      <c r="AU22" s="1010">
        <f t="shared" si="3"/>
        <v>0.99342156074766352</v>
      </c>
      <c r="AV22" s="1007">
        <f t="shared" si="4"/>
        <v>106296107</v>
      </c>
      <c r="AW22" s="1007"/>
      <c r="AX22" s="1007"/>
      <c r="AY22" s="1007"/>
      <c r="AZ22" s="1007"/>
      <c r="BA22" s="1007"/>
      <c r="BB22" s="1007"/>
      <c r="BC22" s="1007"/>
      <c r="BD22" s="1007"/>
      <c r="BE22" s="1007"/>
      <c r="BF22" s="1007"/>
      <c r="BG22" s="1007"/>
      <c r="BH22" s="1007"/>
      <c r="BI22" s="1007"/>
      <c r="BJ22" s="1007"/>
      <c r="BK22" s="1007"/>
      <c r="BL22" s="1007">
        <f>+'[12]FEBRERO 2015'!$X$852</f>
        <v>50000000</v>
      </c>
      <c r="BM22" s="1007"/>
      <c r="BN22" s="1007"/>
      <c r="BO22" s="1007"/>
      <c r="BP22" s="1007">
        <f>+'[8]SEPTIEMBRE 2015'!$AD$2528</f>
        <v>56296107</v>
      </c>
      <c r="BQ22" s="1010"/>
      <c r="BR22" s="1007">
        <f t="shared" si="6"/>
        <v>703893</v>
      </c>
      <c r="BS22" s="1007">
        <f t="shared" si="7"/>
        <v>0</v>
      </c>
      <c r="BT22" s="1007">
        <f t="shared" si="23"/>
        <v>0</v>
      </c>
      <c r="BU22" s="1007"/>
      <c r="BV22" s="1007">
        <f t="shared" si="9"/>
        <v>0</v>
      </c>
      <c r="BW22" s="1007"/>
      <c r="BX22" s="1007">
        <f t="shared" si="10"/>
        <v>0</v>
      </c>
      <c r="BY22" s="1007">
        <f t="shared" si="10"/>
        <v>0</v>
      </c>
      <c r="BZ22" s="1007"/>
      <c r="CA22" s="1007"/>
      <c r="CB22" s="1007"/>
      <c r="CC22" s="1007"/>
      <c r="CD22" s="1007">
        <f t="shared" si="24"/>
        <v>0</v>
      </c>
      <c r="CE22" s="1007">
        <f t="shared" si="24"/>
        <v>0</v>
      </c>
      <c r="CF22" s="1007">
        <f t="shared" si="24"/>
        <v>0</v>
      </c>
      <c r="CG22" s="1007">
        <f t="shared" si="24"/>
        <v>0</v>
      </c>
      <c r="CH22" s="1007">
        <f t="shared" si="24"/>
        <v>0</v>
      </c>
      <c r="CI22" s="1007">
        <f t="shared" si="24"/>
        <v>0</v>
      </c>
      <c r="CJ22" s="1007"/>
      <c r="CK22" s="1007"/>
      <c r="CL22" s="1007">
        <f t="shared" si="12"/>
        <v>703893</v>
      </c>
      <c r="CM22" s="1010">
        <f t="shared" si="13"/>
        <v>0.44721348598130839</v>
      </c>
      <c r="CN22" s="1007">
        <f t="shared" si="14"/>
        <v>47851843</v>
      </c>
      <c r="CO22" s="1007"/>
      <c r="CP22" s="1007"/>
      <c r="CQ22" s="1007"/>
      <c r="CR22" s="1007"/>
      <c r="CS22" s="1007"/>
      <c r="CT22" s="1007"/>
      <c r="CU22" s="1007"/>
      <c r="CV22" s="1007"/>
      <c r="CW22" s="1007"/>
      <c r="CX22" s="1007"/>
      <c r="CY22" s="1007"/>
      <c r="CZ22" s="1007"/>
      <c r="DA22" s="1007"/>
      <c r="DB22" s="1007"/>
      <c r="DC22" s="1007"/>
      <c r="DD22" s="1007">
        <f>+'[8]SEPTIEMBRE 2015'!$H$2554</f>
        <v>4799998</v>
      </c>
      <c r="DE22" s="1007"/>
      <c r="DF22" s="1007"/>
      <c r="DG22" s="1007"/>
      <c r="DH22" s="1007">
        <f>+'[8]SEPTIEMBRE 2015'!$H$2529+'[8]SEPTIEMBRE 2015'!$H$2540+'[8]SEPTIEMBRE 2015'!$H$2543+'[8]SEPTIEMBRE 2015'!$H$2558+'[8]SEPTIEMBRE 2015'!$H$2561+'[8]SEPTIEMBRE 2015'!$H$2562+'[8]SEPTIEMBRE 2015'!$H$2564</f>
        <v>43051845</v>
      </c>
      <c r="DI22" s="1010">
        <f t="shared" si="15"/>
        <v>0.55278651401869161</v>
      </c>
      <c r="DJ22" s="1007">
        <f t="shared" si="16"/>
        <v>59148157</v>
      </c>
      <c r="DK22" s="1007">
        <f t="shared" si="17"/>
        <v>0</v>
      </c>
      <c r="DL22" s="1007">
        <f t="shared" si="17"/>
        <v>0</v>
      </c>
      <c r="DM22" s="1007"/>
      <c r="DN22" s="1007">
        <f t="shared" si="18"/>
        <v>0</v>
      </c>
      <c r="DO22" s="1007">
        <f t="shared" si="18"/>
        <v>0</v>
      </c>
      <c r="DP22" s="1007">
        <f t="shared" si="18"/>
        <v>0</v>
      </c>
      <c r="DQ22" s="1007">
        <f t="shared" si="18"/>
        <v>0</v>
      </c>
      <c r="DR22" s="1007"/>
      <c r="DS22" s="1007">
        <f t="shared" si="19"/>
        <v>0</v>
      </c>
      <c r="DT22" s="1007">
        <f t="shared" si="19"/>
        <v>0</v>
      </c>
      <c r="DU22" s="1007"/>
      <c r="DV22" s="1007">
        <f t="shared" si="20"/>
        <v>0</v>
      </c>
      <c r="DW22" s="1007">
        <f t="shared" si="20"/>
        <v>0</v>
      </c>
      <c r="DX22" s="1007">
        <f t="shared" si="20"/>
        <v>0</v>
      </c>
      <c r="DY22" s="1007">
        <f t="shared" si="21"/>
        <v>0</v>
      </c>
      <c r="DZ22" s="1007">
        <f t="shared" si="21"/>
        <v>45200002</v>
      </c>
      <c r="EA22" s="1007">
        <f t="shared" si="21"/>
        <v>0</v>
      </c>
      <c r="EB22" s="1007">
        <f t="shared" si="21"/>
        <v>0</v>
      </c>
      <c r="EC22" s="1007"/>
      <c r="ED22" s="1007">
        <f t="shared" si="22"/>
        <v>13948155</v>
      </c>
    </row>
    <row r="23" spans="1:134" ht="54.75" customHeight="1" x14ac:dyDescent="0.25">
      <c r="A23" s="1565"/>
      <c r="B23" s="1020"/>
      <c r="C23" s="1092" t="s">
        <v>4401</v>
      </c>
      <c r="D23" s="1018" t="s">
        <v>4571</v>
      </c>
      <c r="E23" s="1019">
        <v>510</v>
      </c>
      <c r="F23" s="1094" t="s">
        <v>4730</v>
      </c>
      <c r="G23" s="1430"/>
      <c r="H23" s="1060">
        <f t="shared" si="0"/>
        <v>169611918</v>
      </c>
      <c r="I23" s="1060">
        <f t="shared" si="1"/>
        <v>102588082</v>
      </c>
      <c r="J23" s="1430"/>
      <c r="K23" s="1096" t="s">
        <v>4769</v>
      </c>
      <c r="L23" s="1097" t="s">
        <v>4770</v>
      </c>
      <c r="M23" s="1097">
        <v>56</v>
      </c>
      <c r="N23" s="1097">
        <v>5</v>
      </c>
      <c r="O23" s="1097">
        <v>3</v>
      </c>
      <c r="P23" s="1097">
        <v>67</v>
      </c>
      <c r="Q23" s="1097">
        <v>71</v>
      </c>
      <c r="R23" s="1097">
        <v>47</v>
      </c>
      <c r="S23" s="1101"/>
      <c r="T23" s="1101"/>
      <c r="U23" s="1101"/>
      <c r="V23" s="1101"/>
      <c r="W23" s="1101"/>
      <c r="X23" s="1101"/>
      <c r="Y23" s="1007">
        <f t="shared" si="2"/>
        <v>272200000</v>
      </c>
      <c r="Z23" s="1007"/>
      <c r="AA23" s="1007"/>
      <c r="AB23" s="1007"/>
      <c r="AC23" s="1007"/>
      <c r="AD23" s="1007"/>
      <c r="AE23" s="1007"/>
      <c r="AF23" s="1007"/>
      <c r="AG23" s="1007"/>
      <c r="AH23" s="1007"/>
      <c r="AI23" s="1007"/>
      <c r="AJ23" s="1007"/>
      <c r="AK23" s="1007"/>
      <c r="AL23" s="1007"/>
      <c r="AM23" s="1007"/>
      <c r="AN23" s="1007">
        <f>100000000</f>
        <v>100000000</v>
      </c>
      <c r="AO23" s="1007">
        <v>170000000</v>
      </c>
      <c r="AP23" s="1007"/>
      <c r="AQ23" s="1007"/>
      <c r="AR23" s="1007"/>
      <c r="AS23" s="1007">
        <v>2200000</v>
      </c>
      <c r="AU23" s="1010">
        <f t="shared" si="3"/>
        <v>0.62454077883908887</v>
      </c>
      <c r="AV23" s="1007">
        <f t="shared" si="4"/>
        <v>170000000</v>
      </c>
      <c r="AW23" s="1007"/>
      <c r="AX23" s="1007"/>
      <c r="AY23" s="1007"/>
      <c r="AZ23" s="1007"/>
      <c r="BA23" s="1007"/>
      <c r="BB23" s="1007"/>
      <c r="BC23" s="1007"/>
      <c r="BD23" s="1007"/>
      <c r="BE23" s="1007"/>
      <c r="BF23" s="1007"/>
      <c r="BG23" s="1007"/>
      <c r="BH23" s="1007"/>
      <c r="BI23" s="1007"/>
      <c r="BJ23" s="1007"/>
      <c r="BK23" s="1007"/>
      <c r="BL23" s="1007">
        <f>+'[12]FEBRERO 2015'!$X$864</f>
        <v>170000000</v>
      </c>
      <c r="BM23" s="1007"/>
      <c r="BN23" s="1007"/>
      <c r="BO23" s="1007"/>
      <c r="BP23" s="1007"/>
      <c r="BQ23" s="1010" t="e">
        <f>1-AU21</f>
        <v>#DIV/0!</v>
      </c>
      <c r="BR23" s="1007">
        <f t="shared" si="6"/>
        <v>102200000</v>
      </c>
      <c r="BS23" s="1007">
        <f t="shared" si="7"/>
        <v>0</v>
      </c>
      <c r="BT23" s="1007">
        <f t="shared" si="23"/>
        <v>0</v>
      </c>
      <c r="BU23" s="1007"/>
      <c r="BV23" s="1007">
        <f t="shared" si="9"/>
        <v>0</v>
      </c>
      <c r="BW23" s="1007"/>
      <c r="BX23" s="1007">
        <f t="shared" si="10"/>
        <v>0</v>
      </c>
      <c r="BY23" s="1007">
        <f t="shared" si="10"/>
        <v>0</v>
      </c>
      <c r="BZ23" s="1007"/>
      <c r="CA23" s="1007"/>
      <c r="CB23" s="1007"/>
      <c r="CC23" s="1007"/>
      <c r="CD23" s="1007">
        <f t="shared" si="24"/>
        <v>0</v>
      </c>
      <c r="CE23" s="1007">
        <f t="shared" si="24"/>
        <v>0</v>
      </c>
      <c r="CF23" s="1007">
        <f t="shared" si="24"/>
        <v>0</v>
      </c>
      <c r="CG23" s="1007">
        <f t="shared" si="24"/>
        <v>100000000</v>
      </c>
      <c r="CH23" s="1007">
        <f t="shared" si="24"/>
        <v>0</v>
      </c>
      <c r="CI23" s="1007">
        <f t="shared" si="24"/>
        <v>0</v>
      </c>
      <c r="CJ23" s="1007"/>
      <c r="CK23" s="1007"/>
      <c r="CL23" s="1007">
        <f t="shared" si="12"/>
        <v>2200000</v>
      </c>
      <c r="CM23" s="1010">
        <f t="shared" si="13"/>
        <v>0.62311505510653931</v>
      </c>
      <c r="CN23" s="1007">
        <f t="shared" si="14"/>
        <v>169611918</v>
      </c>
      <c r="CO23" s="1007"/>
      <c r="CP23" s="1007"/>
      <c r="CQ23" s="1007"/>
      <c r="CR23" s="1007"/>
      <c r="CS23" s="1007"/>
      <c r="CT23" s="1007"/>
      <c r="CU23" s="1007"/>
      <c r="CV23" s="1007"/>
      <c r="CW23" s="1007"/>
      <c r="CX23" s="1007"/>
      <c r="CY23" s="1007"/>
      <c r="CZ23" s="1007"/>
      <c r="DA23" s="1007"/>
      <c r="DB23" s="1007"/>
      <c r="DC23" s="1007"/>
      <c r="DD23" s="1007">
        <f>+'[8]SEPTIEMBRE 2015'!$H$2571</f>
        <v>169611918</v>
      </c>
      <c r="DE23" s="1007"/>
      <c r="DF23" s="1007"/>
      <c r="DG23" s="1007"/>
      <c r="DH23" s="1007"/>
      <c r="DI23" s="1010">
        <f t="shared" si="15"/>
        <v>0.37688494489346069</v>
      </c>
      <c r="DJ23" s="1007">
        <f t="shared" si="16"/>
        <v>102588082</v>
      </c>
      <c r="DK23" s="1007">
        <f t="shared" si="17"/>
        <v>0</v>
      </c>
      <c r="DL23" s="1007">
        <f t="shared" si="17"/>
        <v>0</v>
      </c>
      <c r="DM23" s="1007"/>
      <c r="DN23" s="1007">
        <f t="shared" si="18"/>
        <v>0</v>
      </c>
      <c r="DO23" s="1007">
        <f t="shared" si="18"/>
        <v>0</v>
      </c>
      <c r="DP23" s="1007">
        <f t="shared" si="18"/>
        <v>0</v>
      </c>
      <c r="DQ23" s="1007">
        <f t="shared" si="18"/>
        <v>0</v>
      </c>
      <c r="DR23" s="1007"/>
      <c r="DS23" s="1007">
        <f t="shared" si="19"/>
        <v>0</v>
      </c>
      <c r="DT23" s="1007">
        <f t="shared" si="19"/>
        <v>0</v>
      </c>
      <c r="DU23" s="1007"/>
      <c r="DV23" s="1007">
        <f t="shared" si="20"/>
        <v>0</v>
      </c>
      <c r="DW23" s="1007">
        <f t="shared" si="20"/>
        <v>0</v>
      </c>
      <c r="DX23" s="1007">
        <f t="shared" si="20"/>
        <v>0</v>
      </c>
      <c r="DY23" s="1007">
        <f t="shared" si="21"/>
        <v>100000000</v>
      </c>
      <c r="DZ23" s="1007">
        <f t="shared" si="21"/>
        <v>388082</v>
      </c>
      <c r="EA23" s="1007">
        <f t="shared" si="21"/>
        <v>0</v>
      </c>
      <c r="EB23" s="1007">
        <f t="shared" si="21"/>
        <v>0</v>
      </c>
      <c r="EC23" s="1007"/>
      <c r="ED23" s="1007">
        <f t="shared" si="22"/>
        <v>2200000</v>
      </c>
    </row>
    <row r="24" spans="1:134" ht="66.75" customHeight="1" x14ac:dyDescent="0.25">
      <c r="A24" s="1565"/>
      <c r="B24" s="1065" t="s">
        <v>4303</v>
      </c>
      <c r="C24" s="1092" t="s">
        <v>4402</v>
      </c>
      <c r="D24" s="1018" t="s">
        <v>4573</v>
      </c>
      <c r="E24" s="1019">
        <v>510</v>
      </c>
      <c r="F24" s="1094" t="s">
        <v>4660</v>
      </c>
      <c r="G24" s="1428">
        <v>180000000</v>
      </c>
      <c r="H24" s="1060">
        <f t="shared" si="0"/>
        <v>74373761</v>
      </c>
      <c r="I24" s="1060">
        <f t="shared" si="1"/>
        <v>25626239</v>
      </c>
      <c r="J24" s="1428" t="s">
        <v>4771</v>
      </c>
      <c r="K24" s="1569">
        <v>1</v>
      </c>
      <c r="L24" s="1257" t="s">
        <v>4772</v>
      </c>
      <c r="M24" s="1097">
        <v>0</v>
      </c>
      <c r="N24" s="1097">
        <v>0</v>
      </c>
      <c r="O24" s="1097">
        <v>0</v>
      </c>
      <c r="P24" s="1097">
        <v>26</v>
      </c>
      <c r="Q24" s="1097">
        <v>41</v>
      </c>
      <c r="R24" s="1097">
        <v>11</v>
      </c>
      <c r="S24" s="1099"/>
      <c r="T24" s="1099"/>
      <c r="U24" s="1099"/>
      <c r="V24" s="1099"/>
      <c r="W24" s="1099"/>
      <c r="X24" s="1099"/>
      <c r="Y24" s="1007">
        <f t="shared" si="2"/>
        <v>100000000</v>
      </c>
      <c r="Z24" s="1007"/>
      <c r="AA24" s="1007"/>
      <c r="AB24" s="1007"/>
      <c r="AC24" s="1007"/>
      <c r="AD24" s="1007"/>
      <c r="AE24" s="1007">
        <v>100000000</v>
      </c>
      <c r="AF24" s="1007"/>
      <c r="AG24" s="1007"/>
      <c r="AH24" s="1007"/>
      <c r="AI24" s="1007"/>
      <c r="AJ24" s="1007"/>
      <c r="AK24" s="1007"/>
      <c r="AL24" s="1007"/>
      <c r="AM24" s="1007"/>
      <c r="AN24" s="1007"/>
      <c r="AO24" s="1007"/>
      <c r="AP24" s="1007"/>
      <c r="AQ24" s="1007"/>
      <c r="AR24" s="1007"/>
      <c r="AS24" s="1007"/>
      <c r="AU24" s="1010">
        <f t="shared" si="3"/>
        <v>0.89647781999999998</v>
      </c>
      <c r="AV24" s="1007">
        <f t="shared" si="4"/>
        <v>89647782</v>
      </c>
      <c r="AW24" s="1007"/>
      <c r="AX24" s="1007"/>
      <c r="AY24" s="1007"/>
      <c r="AZ24" s="1007"/>
      <c r="BA24" s="1007"/>
      <c r="BB24" s="1007">
        <f>+'[8]SEPTIEMBRE 2015'!$O$2611</f>
        <v>89647782</v>
      </c>
      <c r="BC24" s="1007"/>
      <c r="BD24" s="1007"/>
      <c r="BE24" s="1007"/>
      <c r="BF24" s="1007"/>
      <c r="BG24" s="1007"/>
      <c r="BH24" s="1007"/>
      <c r="BI24" s="1007"/>
      <c r="BJ24" s="1007"/>
      <c r="BK24" s="1007"/>
      <c r="BL24" s="1007"/>
      <c r="BM24" s="1007"/>
      <c r="BN24" s="1007"/>
      <c r="BO24" s="1007"/>
      <c r="BP24" s="1007"/>
      <c r="BQ24" s="1010">
        <f t="shared" ref="BQ24:BQ87" si="25">1-AU24</f>
        <v>0.10352218000000002</v>
      </c>
      <c r="BR24" s="1007">
        <f t="shared" si="6"/>
        <v>10352218</v>
      </c>
      <c r="BS24" s="1007">
        <f t="shared" si="7"/>
        <v>0</v>
      </c>
      <c r="BT24" s="1007">
        <f t="shared" si="23"/>
        <v>0</v>
      </c>
      <c r="BU24" s="1007"/>
      <c r="BV24" s="1007">
        <f t="shared" si="9"/>
        <v>0</v>
      </c>
      <c r="BW24" s="1007"/>
      <c r="BX24" s="1007">
        <f t="shared" si="10"/>
        <v>10352218</v>
      </c>
      <c r="BY24" s="1007">
        <f t="shared" si="10"/>
        <v>0</v>
      </c>
      <c r="BZ24" s="1007"/>
      <c r="CA24" s="1007">
        <f>+AH24-BE24</f>
        <v>0</v>
      </c>
      <c r="CB24" s="1007">
        <f>+AI24-BF24</f>
        <v>0</v>
      </c>
      <c r="CC24" s="1007">
        <f>+AJ24-BG24</f>
        <v>0</v>
      </c>
      <c r="CD24" s="1007">
        <f t="shared" si="24"/>
        <v>0</v>
      </c>
      <c r="CE24" s="1007">
        <f t="shared" si="24"/>
        <v>0</v>
      </c>
      <c r="CF24" s="1007">
        <f t="shared" si="24"/>
        <v>0</v>
      </c>
      <c r="CG24" s="1007">
        <f t="shared" si="24"/>
        <v>0</v>
      </c>
      <c r="CH24" s="1007">
        <f t="shared" si="24"/>
        <v>0</v>
      </c>
      <c r="CI24" s="1007">
        <f t="shared" si="24"/>
        <v>0</v>
      </c>
      <c r="CJ24" s="1007">
        <f>+AQ24-BN24</f>
        <v>0</v>
      </c>
      <c r="CK24" s="1007">
        <f>+AR24-BO24</f>
        <v>0</v>
      </c>
      <c r="CL24" s="1007">
        <f t="shared" si="12"/>
        <v>0</v>
      </c>
      <c r="CM24" s="1010">
        <f t="shared" si="13"/>
        <v>0.74373761000000005</v>
      </c>
      <c r="CN24" s="1007">
        <f t="shared" si="14"/>
        <v>74373761</v>
      </c>
      <c r="CO24" s="1007"/>
      <c r="CP24" s="1007"/>
      <c r="CQ24" s="1007"/>
      <c r="CR24" s="1007"/>
      <c r="CS24" s="1007"/>
      <c r="CT24" s="1007">
        <f>+'[7]AGOSTO 2015'!$H$2113+'[7]AGOSTO 2015'!$H$2115+'[7]AGOSTO 2015'!$H$2117+'[7]AGOSTO 2015'!$H$2119+'[7]AGOSTO 2015'!$H$2121</f>
        <v>74373761</v>
      </c>
      <c r="CU24" s="1007"/>
      <c r="CV24" s="1007"/>
      <c r="CW24" s="1007"/>
      <c r="CX24" s="1007"/>
      <c r="CY24" s="1007"/>
      <c r="CZ24" s="1007"/>
      <c r="DA24" s="1007"/>
      <c r="DB24" s="1007"/>
      <c r="DC24" s="1007"/>
      <c r="DD24" s="1007"/>
      <c r="DE24" s="1007"/>
      <c r="DF24" s="1007"/>
      <c r="DG24" s="1007"/>
      <c r="DH24" s="1007"/>
      <c r="DI24" s="1010">
        <f t="shared" si="15"/>
        <v>0.25626238999999995</v>
      </c>
      <c r="DJ24" s="1007">
        <f t="shared" si="16"/>
        <v>25626239</v>
      </c>
      <c r="DK24" s="1007">
        <f t="shared" si="17"/>
        <v>0</v>
      </c>
      <c r="DL24" s="1007">
        <f t="shared" si="17"/>
        <v>0</v>
      </c>
      <c r="DM24" s="1007"/>
      <c r="DN24" s="1007">
        <f t="shared" si="18"/>
        <v>0</v>
      </c>
      <c r="DO24" s="1007">
        <f t="shared" si="18"/>
        <v>0</v>
      </c>
      <c r="DP24" s="1007">
        <f t="shared" si="18"/>
        <v>25626239</v>
      </c>
      <c r="DQ24" s="1007">
        <f t="shared" si="18"/>
        <v>0</v>
      </c>
      <c r="DR24" s="1007"/>
      <c r="DS24" s="1007">
        <f t="shared" si="19"/>
        <v>0</v>
      </c>
      <c r="DT24" s="1007">
        <f t="shared" si="19"/>
        <v>0</v>
      </c>
      <c r="DU24" s="1007"/>
      <c r="DV24" s="1007">
        <f t="shared" si="20"/>
        <v>0</v>
      </c>
      <c r="DW24" s="1007">
        <f t="shared" si="20"/>
        <v>0</v>
      </c>
      <c r="DX24" s="1007">
        <f t="shared" si="20"/>
        <v>0</v>
      </c>
      <c r="DY24" s="1007">
        <f t="shared" si="21"/>
        <v>0</v>
      </c>
      <c r="DZ24" s="1007">
        <f t="shared" si="21"/>
        <v>0</v>
      </c>
      <c r="EA24" s="1007">
        <f t="shared" si="21"/>
        <v>0</v>
      </c>
      <c r="EB24" s="1007">
        <f t="shared" si="21"/>
        <v>0</v>
      </c>
      <c r="EC24" s="1007"/>
      <c r="ED24" s="1007">
        <f t="shared" si="22"/>
        <v>0</v>
      </c>
    </row>
    <row r="25" spans="1:134" ht="51.75" customHeight="1" x14ac:dyDescent="0.25">
      <c r="A25" s="1565"/>
      <c r="B25" s="1023"/>
      <c r="C25" s="1092" t="s">
        <v>4575</v>
      </c>
      <c r="D25" s="1018" t="s">
        <v>4574</v>
      </c>
      <c r="E25" s="1019">
        <v>510</v>
      </c>
      <c r="F25" s="1094" t="s">
        <v>4660</v>
      </c>
      <c r="G25" s="1429"/>
      <c r="H25" s="1060">
        <f t="shared" si="0"/>
        <v>11870754</v>
      </c>
      <c r="I25" s="1060">
        <f t="shared" si="1"/>
        <v>18129246</v>
      </c>
      <c r="J25" s="1429"/>
      <c r="K25" s="1570"/>
      <c r="L25" s="1562"/>
      <c r="M25" s="1097">
        <v>0</v>
      </c>
      <c r="N25" s="1097">
        <v>4</v>
      </c>
      <c r="O25" s="1097">
        <v>0</v>
      </c>
      <c r="P25" s="1097">
        <v>22</v>
      </c>
      <c r="Q25" s="1097">
        <v>26</v>
      </c>
      <c r="R25" s="1097">
        <v>6</v>
      </c>
      <c r="S25" s="1100"/>
      <c r="T25" s="1100"/>
      <c r="U25" s="1100"/>
      <c r="V25" s="1100"/>
      <c r="W25" s="1100"/>
      <c r="X25" s="1100"/>
      <c r="Y25" s="1007">
        <f t="shared" si="2"/>
        <v>30000000</v>
      </c>
      <c r="Z25" s="1007"/>
      <c r="AA25" s="1007"/>
      <c r="AB25" s="1007"/>
      <c r="AC25" s="1007"/>
      <c r="AD25" s="1007"/>
      <c r="AE25" s="1007">
        <v>20000000</v>
      </c>
      <c r="AF25" s="1007"/>
      <c r="AG25" s="1007"/>
      <c r="AH25" s="1007"/>
      <c r="AI25" s="1007"/>
      <c r="AJ25" s="1007"/>
      <c r="AK25" s="1007"/>
      <c r="AL25" s="1007"/>
      <c r="AM25" s="1007"/>
      <c r="AN25" s="1007">
        <v>10000000</v>
      </c>
      <c r="AO25" s="1007"/>
      <c r="AP25" s="1007"/>
      <c r="AQ25" s="1007"/>
      <c r="AR25" s="1007"/>
      <c r="AS25" s="1007"/>
      <c r="AU25" s="1010">
        <f t="shared" si="3"/>
        <v>0.39569179999999998</v>
      </c>
      <c r="AV25" s="1007">
        <f t="shared" si="4"/>
        <v>11870754</v>
      </c>
      <c r="AW25" s="1007"/>
      <c r="AX25" s="1007"/>
      <c r="AY25" s="1007"/>
      <c r="AZ25" s="1007"/>
      <c r="BA25" s="1007"/>
      <c r="BB25" s="1007">
        <f>+'[8]SEPTIEMBRE 2015'!$O$2626</f>
        <v>9801842</v>
      </c>
      <c r="BC25" s="1007"/>
      <c r="BD25" s="1007"/>
      <c r="BE25" s="1007"/>
      <c r="BF25" s="1007"/>
      <c r="BG25" s="1007"/>
      <c r="BH25" s="1007"/>
      <c r="BI25" s="1007"/>
      <c r="BJ25" s="1007"/>
      <c r="BK25" s="1007">
        <f>+'[13]JUNIO 2015'!$X$1613</f>
        <v>2068912</v>
      </c>
      <c r="BL25" s="1007"/>
      <c r="BM25" s="1007"/>
      <c r="BN25" s="1007"/>
      <c r="BO25" s="1007"/>
      <c r="BP25" s="1007"/>
      <c r="BQ25" s="1010">
        <f t="shared" si="25"/>
        <v>0.60430819999999996</v>
      </c>
      <c r="BR25" s="1007">
        <f t="shared" si="6"/>
        <v>18129246</v>
      </c>
      <c r="BS25" s="1007">
        <f t="shared" si="7"/>
        <v>0</v>
      </c>
      <c r="BT25" s="1007">
        <f t="shared" si="23"/>
        <v>0</v>
      </c>
      <c r="BU25" s="1007"/>
      <c r="BV25" s="1007">
        <f t="shared" si="9"/>
        <v>0</v>
      </c>
      <c r="BW25" s="1007"/>
      <c r="BX25" s="1007">
        <f t="shared" si="10"/>
        <v>10198158</v>
      </c>
      <c r="BY25" s="1007">
        <f t="shared" si="10"/>
        <v>0</v>
      </c>
      <c r="BZ25" s="1007"/>
      <c r="CA25" s="1007"/>
      <c r="CB25" s="1007"/>
      <c r="CC25" s="1007"/>
      <c r="CD25" s="1007">
        <f t="shared" si="24"/>
        <v>0</v>
      </c>
      <c r="CE25" s="1007">
        <f t="shared" si="24"/>
        <v>0</v>
      </c>
      <c r="CF25" s="1007">
        <f t="shared" si="24"/>
        <v>0</v>
      </c>
      <c r="CG25" s="1007">
        <f t="shared" si="24"/>
        <v>7931088</v>
      </c>
      <c r="CH25" s="1007">
        <f t="shared" si="24"/>
        <v>0</v>
      </c>
      <c r="CI25" s="1007">
        <f t="shared" si="24"/>
        <v>0</v>
      </c>
      <c r="CJ25" s="1007"/>
      <c r="CK25" s="1007"/>
      <c r="CL25" s="1007">
        <f t="shared" si="12"/>
        <v>0</v>
      </c>
      <c r="CM25" s="1010">
        <f t="shared" si="13"/>
        <v>0.39569179999999998</v>
      </c>
      <c r="CN25" s="1007">
        <f t="shared" si="14"/>
        <v>11870754</v>
      </c>
      <c r="CO25" s="1007"/>
      <c r="CP25" s="1007"/>
      <c r="CQ25" s="1007"/>
      <c r="CR25" s="1007"/>
      <c r="CS25" s="1007"/>
      <c r="CT25" s="1007">
        <f>+'[8]SEPTIEMBRE 2015'!$H$2624-DC25</f>
        <v>9801842</v>
      </c>
      <c r="CU25" s="1007"/>
      <c r="CV25" s="1007"/>
      <c r="CW25" s="1007"/>
      <c r="CX25" s="1007"/>
      <c r="CY25" s="1007"/>
      <c r="CZ25" s="1007"/>
      <c r="DA25" s="1007"/>
      <c r="DB25" s="1007"/>
      <c r="DC25" s="1007">
        <f>+'[8]SEPTIEMBRE 2015'!$H$2627+'[8]SEPTIEMBRE 2015'!$H$2628+'[8]SEPTIEMBRE 2015'!$H$2629</f>
        <v>2068912</v>
      </c>
      <c r="DD25" s="1007"/>
      <c r="DE25" s="1007"/>
      <c r="DF25" s="1007"/>
      <c r="DG25" s="1007"/>
      <c r="DH25" s="1007"/>
      <c r="DI25" s="1010">
        <f t="shared" si="15"/>
        <v>0.60430819999999996</v>
      </c>
      <c r="DJ25" s="1007">
        <f t="shared" si="16"/>
        <v>18129246</v>
      </c>
      <c r="DK25" s="1007">
        <f t="shared" si="17"/>
        <v>0</v>
      </c>
      <c r="DL25" s="1007">
        <f t="shared" si="17"/>
        <v>0</v>
      </c>
      <c r="DM25" s="1007"/>
      <c r="DN25" s="1007">
        <f t="shared" si="18"/>
        <v>0</v>
      </c>
      <c r="DO25" s="1007">
        <f t="shared" si="18"/>
        <v>0</v>
      </c>
      <c r="DP25" s="1007">
        <f t="shared" si="18"/>
        <v>10198158</v>
      </c>
      <c r="DQ25" s="1007">
        <f t="shared" si="18"/>
        <v>0</v>
      </c>
      <c r="DR25" s="1007"/>
      <c r="DS25" s="1007">
        <f t="shared" si="19"/>
        <v>0</v>
      </c>
      <c r="DT25" s="1007">
        <f t="shared" si="19"/>
        <v>0</v>
      </c>
      <c r="DU25" s="1007"/>
      <c r="DV25" s="1007">
        <f t="shared" si="20"/>
        <v>0</v>
      </c>
      <c r="DW25" s="1007">
        <f t="shared" si="20"/>
        <v>0</v>
      </c>
      <c r="DX25" s="1007">
        <f t="shared" si="20"/>
        <v>0</v>
      </c>
      <c r="DY25" s="1007">
        <f t="shared" si="21"/>
        <v>7931088</v>
      </c>
      <c r="DZ25" s="1007">
        <f t="shared" si="21"/>
        <v>0</v>
      </c>
      <c r="EA25" s="1007">
        <f t="shared" si="21"/>
        <v>0</v>
      </c>
      <c r="EB25" s="1007">
        <f t="shared" si="21"/>
        <v>0</v>
      </c>
      <c r="EC25" s="1007"/>
      <c r="ED25" s="1007">
        <f t="shared" si="22"/>
        <v>0</v>
      </c>
    </row>
    <row r="26" spans="1:134" ht="67.5" customHeight="1" x14ac:dyDescent="0.25">
      <c r="A26" s="1565"/>
      <c r="B26" s="1024"/>
      <c r="C26" s="1092" t="s">
        <v>4576</v>
      </c>
      <c r="D26" s="1018" t="s">
        <v>4703</v>
      </c>
      <c r="E26" s="1019">
        <v>510</v>
      </c>
      <c r="F26" s="1094" t="s">
        <v>4660</v>
      </c>
      <c r="G26" s="1430"/>
      <c r="H26" s="1060">
        <f t="shared" si="0"/>
        <v>0</v>
      </c>
      <c r="I26" s="1060">
        <f t="shared" si="1"/>
        <v>60000000</v>
      </c>
      <c r="J26" s="1430"/>
      <c r="K26" s="1571"/>
      <c r="L26" s="1258"/>
      <c r="M26" s="1097">
        <v>0</v>
      </c>
      <c r="N26" s="1097">
        <v>0</v>
      </c>
      <c r="O26" s="1097">
        <v>0</v>
      </c>
      <c r="P26" s="1097">
        <v>0</v>
      </c>
      <c r="Q26" s="1097">
        <v>0</v>
      </c>
      <c r="R26" s="1097">
        <v>0</v>
      </c>
      <c r="S26" s="1101"/>
      <c r="T26" s="1101"/>
      <c r="U26" s="1101"/>
      <c r="V26" s="1101"/>
      <c r="W26" s="1101"/>
      <c r="X26" s="1101"/>
      <c r="Y26" s="1007">
        <f t="shared" si="2"/>
        <v>60000000</v>
      </c>
      <c r="Z26" s="1007"/>
      <c r="AA26" s="1007"/>
      <c r="AB26" s="1007"/>
      <c r="AC26" s="1007"/>
      <c r="AD26" s="1007"/>
      <c r="AE26" s="1007">
        <v>60000000</v>
      </c>
      <c r="AF26" s="1007"/>
      <c r="AG26" s="1007"/>
      <c r="AH26" s="1007"/>
      <c r="AI26" s="1007"/>
      <c r="AJ26" s="1007"/>
      <c r="AK26" s="1007"/>
      <c r="AL26" s="1007"/>
      <c r="AM26" s="1007"/>
      <c r="AN26" s="1007"/>
      <c r="AO26" s="1007"/>
      <c r="AP26" s="1007"/>
      <c r="AQ26" s="1007"/>
      <c r="AR26" s="1007"/>
      <c r="AS26" s="1007"/>
      <c r="AU26" s="1010">
        <f t="shared" si="3"/>
        <v>0</v>
      </c>
      <c r="AV26" s="1007">
        <f t="shared" si="4"/>
        <v>0</v>
      </c>
      <c r="AW26" s="1007"/>
      <c r="AX26" s="1007"/>
      <c r="AY26" s="1007"/>
      <c r="AZ26" s="1007"/>
      <c r="BA26" s="1007"/>
      <c r="BB26" s="1007"/>
      <c r="BC26" s="1007"/>
      <c r="BD26" s="1007"/>
      <c r="BE26" s="1007"/>
      <c r="BF26" s="1007"/>
      <c r="BG26" s="1007"/>
      <c r="BH26" s="1007"/>
      <c r="BI26" s="1007"/>
      <c r="BJ26" s="1007"/>
      <c r="BK26" s="1007"/>
      <c r="BL26" s="1007"/>
      <c r="BM26" s="1007"/>
      <c r="BN26" s="1007"/>
      <c r="BO26" s="1007"/>
      <c r="BP26" s="1007"/>
      <c r="BQ26" s="1010">
        <f t="shared" si="25"/>
        <v>1</v>
      </c>
      <c r="BR26" s="1007">
        <f t="shared" si="6"/>
        <v>60000000</v>
      </c>
      <c r="BS26" s="1007">
        <f t="shared" si="7"/>
        <v>0</v>
      </c>
      <c r="BT26" s="1007">
        <f t="shared" si="23"/>
        <v>0</v>
      </c>
      <c r="BU26" s="1007"/>
      <c r="BV26" s="1007">
        <f t="shared" si="9"/>
        <v>0</v>
      </c>
      <c r="BW26" s="1007"/>
      <c r="BX26" s="1007">
        <f t="shared" si="10"/>
        <v>60000000</v>
      </c>
      <c r="BY26" s="1007">
        <f t="shared" si="10"/>
        <v>0</v>
      </c>
      <c r="BZ26" s="1007"/>
      <c r="CA26" s="1007"/>
      <c r="CB26" s="1007"/>
      <c r="CC26" s="1007"/>
      <c r="CD26" s="1007">
        <f t="shared" si="24"/>
        <v>0</v>
      </c>
      <c r="CE26" s="1007">
        <f t="shared" si="24"/>
        <v>0</v>
      </c>
      <c r="CF26" s="1007">
        <f t="shared" si="24"/>
        <v>0</v>
      </c>
      <c r="CG26" s="1007">
        <f t="shared" si="24"/>
        <v>0</v>
      </c>
      <c r="CH26" s="1007">
        <f t="shared" si="24"/>
        <v>0</v>
      </c>
      <c r="CI26" s="1007">
        <f t="shared" si="24"/>
        <v>0</v>
      </c>
      <c r="CJ26" s="1007"/>
      <c r="CK26" s="1007"/>
      <c r="CL26" s="1007">
        <f t="shared" si="12"/>
        <v>0</v>
      </c>
      <c r="CM26" s="1010">
        <f t="shared" si="13"/>
        <v>0</v>
      </c>
      <c r="CN26" s="1007">
        <f t="shared" si="14"/>
        <v>0</v>
      </c>
      <c r="CO26" s="1007"/>
      <c r="CP26" s="1007"/>
      <c r="CQ26" s="1007"/>
      <c r="CR26" s="1007"/>
      <c r="CS26" s="1007"/>
      <c r="CT26" s="1007"/>
      <c r="CU26" s="1007"/>
      <c r="CV26" s="1007"/>
      <c r="CW26" s="1007"/>
      <c r="CX26" s="1007"/>
      <c r="CY26" s="1007"/>
      <c r="CZ26" s="1007"/>
      <c r="DA26" s="1007"/>
      <c r="DB26" s="1007"/>
      <c r="DC26" s="1007"/>
      <c r="DD26" s="1007"/>
      <c r="DE26" s="1007"/>
      <c r="DF26" s="1007"/>
      <c r="DG26" s="1007"/>
      <c r="DH26" s="1007"/>
      <c r="DI26" s="1010">
        <f t="shared" si="15"/>
        <v>1</v>
      </c>
      <c r="DJ26" s="1007">
        <f t="shared" si="16"/>
        <v>60000000</v>
      </c>
      <c r="DK26" s="1007">
        <f t="shared" si="17"/>
        <v>0</v>
      </c>
      <c r="DL26" s="1007">
        <f t="shared" si="17"/>
        <v>0</v>
      </c>
      <c r="DM26" s="1007"/>
      <c r="DN26" s="1007">
        <f t="shared" si="18"/>
        <v>0</v>
      </c>
      <c r="DO26" s="1007">
        <f t="shared" si="18"/>
        <v>0</v>
      </c>
      <c r="DP26" s="1007">
        <f t="shared" si="18"/>
        <v>60000000</v>
      </c>
      <c r="DQ26" s="1007">
        <f t="shared" si="18"/>
        <v>0</v>
      </c>
      <c r="DR26" s="1007"/>
      <c r="DS26" s="1007">
        <f t="shared" si="19"/>
        <v>0</v>
      </c>
      <c r="DT26" s="1007">
        <f t="shared" si="19"/>
        <v>0</v>
      </c>
      <c r="DU26" s="1007"/>
      <c r="DV26" s="1007">
        <f t="shared" si="20"/>
        <v>0</v>
      </c>
      <c r="DW26" s="1007">
        <f t="shared" si="20"/>
        <v>0</v>
      </c>
      <c r="DX26" s="1007">
        <f t="shared" si="20"/>
        <v>0</v>
      </c>
      <c r="DY26" s="1007">
        <f t="shared" si="21"/>
        <v>0</v>
      </c>
      <c r="DZ26" s="1007">
        <f t="shared" si="21"/>
        <v>0</v>
      </c>
      <c r="EA26" s="1007">
        <f t="shared" si="21"/>
        <v>0</v>
      </c>
      <c r="EB26" s="1007">
        <f t="shared" si="21"/>
        <v>0</v>
      </c>
      <c r="EC26" s="1007"/>
      <c r="ED26" s="1007">
        <f t="shared" si="22"/>
        <v>0</v>
      </c>
    </row>
    <row r="27" spans="1:134" ht="51" customHeight="1" x14ac:dyDescent="0.25">
      <c r="A27" s="1565"/>
      <c r="B27" s="1020" t="s">
        <v>4304</v>
      </c>
      <c r="C27" s="1092" t="s">
        <v>4403</v>
      </c>
      <c r="D27" s="1018" t="s">
        <v>4577</v>
      </c>
      <c r="E27" s="1019">
        <v>510</v>
      </c>
      <c r="F27" s="1094" t="s">
        <v>4660</v>
      </c>
      <c r="G27" s="1428">
        <v>80000000</v>
      </c>
      <c r="H27" s="1060">
        <f t="shared" si="0"/>
        <v>0</v>
      </c>
      <c r="I27" s="1060">
        <f t="shared" si="1"/>
        <v>0</v>
      </c>
      <c r="J27" s="1428" t="s">
        <v>4773</v>
      </c>
      <c r="K27" s="1257" t="s">
        <v>4774</v>
      </c>
      <c r="L27" s="1257" t="s">
        <v>4775</v>
      </c>
      <c r="M27" s="1097">
        <v>0</v>
      </c>
      <c r="N27" s="1097">
        <v>0</v>
      </c>
      <c r="O27" s="1097">
        <v>0</v>
      </c>
      <c r="P27" s="1097">
        <v>0</v>
      </c>
      <c r="Q27" s="1097">
        <v>20</v>
      </c>
      <c r="R27" s="1097">
        <v>0</v>
      </c>
      <c r="S27" s="1099"/>
      <c r="T27" s="1099"/>
      <c r="U27" s="1099"/>
      <c r="V27" s="1099"/>
      <c r="W27" s="1099"/>
      <c r="X27" s="1099"/>
      <c r="Y27" s="1007">
        <f t="shared" si="2"/>
        <v>0</v>
      </c>
      <c r="Z27" s="1007"/>
      <c r="AA27" s="1007"/>
      <c r="AB27" s="1007"/>
      <c r="AC27" s="1007"/>
      <c r="AD27" s="1007"/>
      <c r="AE27" s="1007"/>
      <c r="AF27" s="1007"/>
      <c r="AG27" s="1007"/>
      <c r="AH27" s="1007"/>
      <c r="AI27" s="1007"/>
      <c r="AJ27" s="1007"/>
      <c r="AK27" s="1007"/>
      <c r="AL27" s="1007"/>
      <c r="AM27" s="1007">
        <f>40000000-40000000</f>
        <v>0</v>
      </c>
      <c r="AN27" s="1007"/>
      <c r="AO27" s="1007"/>
      <c r="AP27" s="1007"/>
      <c r="AQ27" s="1007"/>
      <c r="AR27" s="1007"/>
      <c r="AS27" s="1007"/>
      <c r="AU27" s="1010" t="e">
        <f t="shared" si="3"/>
        <v>#DIV/0!</v>
      </c>
      <c r="AV27" s="1007">
        <f t="shared" si="4"/>
        <v>0</v>
      </c>
      <c r="AW27" s="1007"/>
      <c r="AX27" s="1007"/>
      <c r="AY27" s="1007"/>
      <c r="AZ27" s="1007"/>
      <c r="BA27" s="1007"/>
      <c r="BB27" s="1007"/>
      <c r="BC27" s="1007"/>
      <c r="BD27" s="1007"/>
      <c r="BE27" s="1007"/>
      <c r="BF27" s="1007"/>
      <c r="BG27" s="1007"/>
      <c r="BH27" s="1007"/>
      <c r="BI27" s="1007"/>
      <c r="BJ27" s="1007"/>
      <c r="BK27" s="1007"/>
      <c r="BL27" s="1007"/>
      <c r="BM27" s="1007"/>
      <c r="BN27" s="1007"/>
      <c r="BO27" s="1007"/>
      <c r="BP27" s="1007"/>
      <c r="BQ27" s="1010" t="e">
        <f t="shared" si="25"/>
        <v>#DIV/0!</v>
      </c>
      <c r="BR27" s="1007">
        <f t="shared" si="6"/>
        <v>0</v>
      </c>
      <c r="BS27" s="1007">
        <f t="shared" si="7"/>
        <v>0</v>
      </c>
      <c r="BT27" s="1007">
        <f t="shared" si="23"/>
        <v>0</v>
      </c>
      <c r="BU27" s="1007"/>
      <c r="BV27" s="1007">
        <f t="shared" si="9"/>
        <v>0</v>
      </c>
      <c r="BW27" s="1007"/>
      <c r="BX27" s="1007">
        <f t="shared" si="10"/>
        <v>0</v>
      </c>
      <c r="BY27" s="1007">
        <f t="shared" si="10"/>
        <v>0</v>
      </c>
      <c r="BZ27" s="1007"/>
      <c r="CA27" s="1007"/>
      <c r="CB27" s="1007"/>
      <c r="CC27" s="1007"/>
      <c r="CD27" s="1007">
        <f t="shared" si="24"/>
        <v>0</v>
      </c>
      <c r="CE27" s="1007">
        <f t="shared" si="24"/>
        <v>0</v>
      </c>
      <c r="CF27" s="1007">
        <f t="shared" si="24"/>
        <v>0</v>
      </c>
      <c r="CG27" s="1007">
        <f t="shared" si="24"/>
        <v>0</v>
      </c>
      <c r="CH27" s="1007">
        <f t="shared" si="24"/>
        <v>0</v>
      </c>
      <c r="CI27" s="1007">
        <f t="shared" si="24"/>
        <v>0</v>
      </c>
      <c r="CJ27" s="1007"/>
      <c r="CK27" s="1007"/>
      <c r="CL27" s="1007">
        <f t="shared" si="12"/>
        <v>0</v>
      </c>
      <c r="CM27" s="1010" t="e">
        <f t="shared" si="13"/>
        <v>#DIV/0!</v>
      </c>
      <c r="CN27" s="1007">
        <f t="shared" si="14"/>
        <v>0</v>
      </c>
      <c r="CO27" s="1007"/>
      <c r="CP27" s="1007"/>
      <c r="CQ27" s="1007"/>
      <c r="CR27" s="1007"/>
      <c r="CS27" s="1007"/>
      <c r="CT27" s="1007"/>
      <c r="CU27" s="1007"/>
      <c r="CV27" s="1007"/>
      <c r="CW27" s="1007"/>
      <c r="CX27" s="1007"/>
      <c r="CY27" s="1007"/>
      <c r="CZ27" s="1007"/>
      <c r="DA27" s="1007"/>
      <c r="DB27" s="1007"/>
      <c r="DC27" s="1007"/>
      <c r="DD27" s="1007"/>
      <c r="DE27" s="1007"/>
      <c r="DF27" s="1007"/>
      <c r="DG27" s="1007"/>
      <c r="DH27" s="1007"/>
      <c r="DI27" s="1010" t="e">
        <f t="shared" si="15"/>
        <v>#DIV/0!</v>
      </c>
      <c r="DJ27" s="1007">
        <f t="shared" si="16"/>
        <v>0</v>
      </c>
      <c r="DK27" s="1007">
        <f t="shared" si="17"/>
        <v>0</v>
      </c>
      <c r="DL27" s="1007">
        <f t="shared" si="17"/>
        <v>0</v>
      </c>
      <c r="DM27" s="1007"/>
      <c r="DN27" s="1007">
        <f t="shared" si="18"/>
        <v>0</v>
      </c>
      <c r="DO27" s="1007">
        <f t="shared" si="18"/>
        <v>0</v>
      </c>
      <c r="DP27" s="1007">
        <f t="shared" si="18"/>
        <v>0</v>
      </c>
      <c r="DQ27" s="1007">
        <f t="shared" si="18"/>
        <v>0</v>
      </c>
      <c r="DR27" s="1007"/>
      <c r="DS27" s="1007">
        <f t="shared" si="19"/>
        <v>0</v>
      </c>
      <c r="DT27" s="1007">
        <f t="shared" si="19"/>
        <v>0</v>
      </c>
      <c r="DU27" s="1007"/>
      <c r="DV27" s="1007">
        <f t="shared" si="20"/>
        <v>0</v>
      </c>
      <c r="DW27" s="1007">
        <f t="shared" si="20"/>
        <v>0</v>
      </c>
      <c r="DX27" s="1007">
        <f t="shared" si="20"/>
        <v>0</v>
      </c>
      <c r="DY27" s="1007">
        <f t="shared" si="21"/>
        <v>0</v>
      </c>
      <c r="DZ27" s="1007">
        <f t="shared" si="21"/>
        <v>0</v>
      </c>
      <c r="EA27" s="1007">
        <f t="shared" si="21"/>
        <v>0</v>
      </c>
      <c r="EB27" s="1007">
        <f t="shared" si="21"/>
        <v>0</v>
      </c>
      <c r="EC27" s="1007"/>
      <c r="ED27" s="1007">
        <f t="shared" si="22"/>
        <v>0</v>
      </c>
    </row>
    <row r="28" spans="1:134" ht="46.5" customHeight="1" x14ac:dyDescent="0.25">
      <c r="A28" s="1565"/>
      <c r="B28" s="1020"/>
      <c r="C28" s="1092" t="s">
        <v>4598</v>
      </c>
      <c r="D28" s="1018" t="s">
        <v>4578</v>
      </c>
      <c r="E28" s="1019">
        <v>510</v>
      </c>
      <c r="F28" s="1094" t="s">
        <v>4660</v>
      </c>
      <c r="G28" s="1429"/>
      <c r="H28" s="1060">
        <f t="shared" si="0"/>
        <v>0</v>
      </c>
      <c r="I28" s="1060">
        <f t="shared" si="1"/>
        <v>45000000</v>
      </c>
      <c r="J28" s="1429"/>
      <c r="K28" s="1562"/>
      <c r="L28" s="1562"/>
      <c r="M28" s="1097">
        <v>0</v>
      </c>
      <c r="N28" s="1097">
        <v>0</v>
      </c>
      <c r="O28" s="1097">
        <v>0</v>
      </c>
      <c r="P28" s="1097">
        <v>0</v>
      </c>
      <c r="Q28" s="1097">
        <v>0</v>
      </c>
      <c r="R28" s="1097">
        <v>0</v>
      </c>
      <c r="S28" s="1100"/>
      <c r="T28" s="1100"/>
      <c r="U28" s="1100"/>
      <c r="V28" s="1100"/>
      <c r="W28" s="1100"/>
      <c r="X28" s="1100"/>
      <c r="Y28" s="1007">
        <f t="shared" si="2"/>
        <v>45000000</v>
      </c>
      <c r="Z28" s="1007"/>
      <c r="AA28" s="1007"/>
      <c r="AB28" s="1007"/>
      <c r="AC28" s="1007"/>
      <c r="AD28" s="1007"/>
      <c r="AE28" s="1007"/>
      <c r="AF28" s="1007"/>
      <c r="AG28" s="1007"/>
      <c r="AH28" s="1007"/>
      <c r="AI28" s="1007"/>
      <c r="AJ28" s="1007"/>
      <c r="AK28" s="1007"/>
      <c r="AL28" s="1007"/>
      <c r="AM28" s="1007">
        <f>5000000+40000000</f>
        <v>45000000</v>
      </c>
      <c r="AN28" s="1007"/>
      <c r="AO28" s="1007"/>
      <c r="AP28" s="1007"/>
      <c r="AQ28" s="1007"/>
      <c r="AR28" s="1007"/>
      <c r="AS28" s="1007"/>
      <c r="AU28" s="1010">
        <f t="shared" si="3"/>
        <v>0</v>
      </c>
      <c r="AV28" s="1007">
        <f t="shared" si="4"/>
        <v>0</v>
      </c>
      <c r="AW28" s="1007"/>
      <c r="AX28" s="1007"/>
      <c r="AY28" s="1007"/>
      <c r="AZ28" s="1007"/>
      <c r="BA28" s="1007"/>
      <c r="BB28" s="1007"/>
      <c r="BC28" s="1007"/>
      <c r="BD28" s="1007"/>
      <c r="BE28" s="1007"/>
      <c r="BF28" s="1007"/>
      <c r="BG28" s="1007"/>
      <c r="BH28" s="1007"/>
      <c r="BI28" s="1007"/>
      <c r="BJ28" s="1007"/>
      <c r="BK28" s="1007"/>
      <c r="BL28" s="1007"/>
      <c r="BM28" s="1007"/>
      <c r="BN28" s="1007"/>
      <c r="BO28" s="1007"/>
      <c r="BP28" s="1007"/>
      <c r="BQ28" s="1010">
        <f t="shared" si="25"/>
        <v>1</v>
      </c>
      <c r="BR28" s="1007">
        <f t="shared" si="6"/>
        <v>45000000</v>
      </c>
      <c r="BS28" s="1007">
        <f t="shared" si="7"/>
        <v>0</v>
      </c>
      <c r="BT28" s="1007">
        <f t="shared" si="23"/>
        <v>0</v>
      </c>
      <c r="BU28" s="1007"/>
      <c r="BV28" s="1007">
        <f t="shared" si="9"/>
        <v>0</v>
      </c>
      <c r="BW28" s="1007"/>
      <c r="BX28" s="1007">
        <f t="shared" si="10"/>
        <v>0</v>
      </c>
      <c r="BY28" s="1007">
        <f t="shared" si="10"/>
        <v>0</v>
      </c>
      <c r="BZ28" s="1007"/>
      <c r="CA28" s="1007"/>
      <c r="CB28" s="1007"/>
      <c r="CC28" s="1007"/>
      <c r="CD28" s="1007">
        <f t="shared" si="24"/>
        <v>0</v>
      </c>
      <c r="CE28" s="1007">
        <f t="shared" si="24"/>
        <v>0</v>
      </c>
      <c r="CF28" s="1007">
        <f t="shared" si="24"/>
        <v>45000000</v>
      </c>
      <c r="CG28" s="1007">
        <f t="shared" si="24"/>
        <v>0</v>
      </c>
      <c r="CH28" s="1007">
        <f t="shared" si="24"/>
        <v>0</v>
      </c>
      <c r="CI28" s="1007">
        <f t="shared" si="24"/>
        <v>0</v>
      </c>
      <c r="CJ28" s="1007"/>
      <c r="CK28" s="1007"/>
      <c r="CL28" s="1007">
        <f t="shared" si="12"/>
        <v>0</v>
      </c>
      <c r="CM28" s="1010">
        <f t="shared" si="13"/>
        <v>0</v>
      </c>
      <c r="CN28" s="1007">
        <f t="shared" si="14"/>
        <v>0</v>
      </c>
      <c r="CO28" s="1007"/>
      <c r="CP28" s="1007"/>
      <c r="CQ28" s="1007"/>
      <c r="CR28" s="1007"/>
      <c r="CS28" s="1007"/>
      <c r="CT28" s="1007"/>
      <c r="CU28" s="1007"/>
      <c r="CV28" s="1007"/>
      <c r="CW28" s="1007"/>
      <c r="CX28" s="1007"/>
      <c r="CY28" s="1007"/>
      <c r="CZ28" s="1007"/>
      <c r="DA28" s="1007"/>
      <c r="DB28" s="1007"/>
      <c r="DC28" s="1007"/>
      <c r="DD28" s="1007"/>
      <c r="DE28" s="1007"/>
      <c r="DF28" s="1007"/>
      <c r="DG28" s="1007"/>
      <c r="DH28" s="1007"/>
      <c r="DI28" s="1010">
        <f t="shared" si="15"/>
        <v>1</v>
      </c>
      <c r="DJ28" s="1007">
        <f t="shared" si="16"/>
        <v>45000000</v>
      </c>
      <c r="DK28" s="1007">
        <f t="shared" si="17"/>
        <v>0</v>
      </c>
      <c r="DL28" s="1007">
        <f t="shared" si="17"/>
        <v>0</v>
      </c>
      <c r="DM28" s="1007"/>
      <c r="DN28" s="1007">
        <f t="shared" si="18"/>
        <v>0</v>
      </c>
      <c r="DO28" s="1007">
        <f t="shared" si="18"/>
        <v>0</v>
      </c>
      <c r="DP28" s="1007">
        <f t="shared" si="18"/>
        <v>0</v>
      </c>
      <c r="DQ28" s="1007">
        <f t="shared" si="18"/>
        <v>0</v>
      </c>
      <c r="DR28" s="1007"/>
      <c r="DS28" s="1007">
        <f t="shared" si="19"/>
        <v>0</v>
      </c>
      <c r="DT28" s="1007">
        <f t="shared" si="19"/>
        <v>0</v>
      </c>
      <c r="DU28" s="1007"/>
      <c r="DV28" s="1007">
        <f t="shared" si="20"/>
        <v>0</v>
      </c>
      <c r="DW28" s="1007">
        <f t="shared" si="20"/>
        <v>0</v>
      </c>
      <c r="DX28" s="1007">
        <f t="shared" si="20"/>
        <v>45000000</v>
      </c>
      <c r="DY28" s="1007">
        <f t="shared" si="21"/>
        <v>0</v>
      </c>
      <c r="DZ28" s="1007">
        <f t="shared" si="21"/>
        <v>0</v>
      </c>
      <c r="EA28" s="1007">
        <f t="shared" si="21"/>
        <v>0</v>
      </c>
      <c r="EB28" s="1007">
        <f t="shared" si="21"/>
        <v>0</v>
      </c>
      <c r="EC28" s="1007"/>
      <c r="ED28" s="1007">
        <f t="shared" si="22"/>
        <v>0</v>
      </c>
    </row>
    <row r="29" spans="1:134" ht="48.75" customHeight="1" x14ac:dyDescent="0.25">
      <c r="A29" s="1565"/>
      <c r="B29" s="1020"/>
      <c r="C29" s="1092" t="s">
        <v>4599</v>
      </c>
      <c r="D29" s="1018" t="s">
        <v>4686</v>
      </c>
      <c r="E29" s="1019">
        <v>510</v>
      </c>
      <c r="F29" s="1094" t="s">
        <v>4660</v>
      </c>
      <c r="G29" s="1430"/>
      <c r="H29" s="1060">
        <f t="shared" si="0"/>
        <v>0</v>
      </c>
      <c r="I29" s="1060">
        <f t="shared" si="1"/>
        <v>65000000</v>
      </c>
      <c r="J29" s="1430"/>
      <c r="K29" s="1258"/>
      <c r="L29" s="1258"/>
      <c r="M29" s="1097">
        <v>0</v>
      </c>
      <c r="N29" s="1097">
        <v>0</v>
      </c>
      <c r="O29" s="1097">
        <v>0</v>
      </c>
      <c r="P29" s="1097">
        <v>0</v>
      </c>
      <c r="Q29" s="1097">
        <v>20</v>
      </c>
      <c r="R29" s="1097">
        <v>0</v>
      </c>
      <c r="S29" s="1101"/>
      <c r="T29" s="1101"/>
      <c r="U29" s="1101"/>
      <c r="V29" s="1101"/>
      <c r="W29" s="1101"/>
      <c r="X29" s="1101"/>
      <c r="Y29" s="1007">
        <f t="shared" si="2"/>
        <v>65000000</v>
      </c>
      <c r="Z29" s="1007"/>
      <c r="AA29" s="1007"/>
      <c r="AB29" s="1007"/>
      <c r="AC29" s="1007"/>
      <c r="AD29" s="1007"/>
      <c r="AE29" s="1007"/>
      <c r="AF29" s="1007"/>
      <c r="AG29" s="1007"/>
      <c r="AH29" s="1007"/>
      <c r="AI29" s="1007"/>
      <c r="AJ29" s="1007"/>
      <c r="AK29" s="1007"/>
      <c r="AL29" s="1007"/>
      <c r="AM29" s="1007">
        <v>35000000</v>
      </c>
      <c r="AN29" s="1007">
        <v>30000000</v>
      </c>
      <c r="AO29" s="1007"/>
      <c r="AP29" s="1007"/>
      <c r="AQ29" s="1007"/>
      <c r="AR29" s="1007"/>
      <c r="AS29" s="1007"/>
      <c r="AU29" s="1010">
        <f t="shared" si="3"/>
        <v>0</v>
      </c>
      <c r="AV29" s="1007">
        <f t="shared" si="4"/>
        <v>0</v>
      </c>
      <c r="AW29" s="1007"/>
      <c r="AX29" s="1007"/>
      <c r="AY29" s="1007"/>
      <c r="AZ29" s="1007"/>
      <c r="BA29" s="1007"/>
      <c r="BB29" s="1007"/>
      <c r="BC29" s="1007"/>
      <c r="BD29" s="1007"/>
      <c r="BE29" s="1007"/>
      <c r="BF29" s="1007"/>
      <c r="BG29" s="1007"/>
      <c r="BH29" s="1007"/>
      <c r="BI29" s="1007"/>
      <c r="BJ29" s="1007"/>
      <c r="BK29" s="1007"/>
      <c r="BL29" s="1007"/>
      <c r="BM29" s="1007"/>
      <c r="BN29" s="1007"/>
      <c r="BO29" s="1007"/>
      <c r="BP29" s="1007"/>
      <c r="BQ29" s="1010">
        <f t="shared" si="25"/>
        <v>1</v>
      </c>
      <c r="BR29" s="1007">
        <f t="shared" si="6"/>
        <v>65000000</v>
      </c>
      <c r="BS29" s="1007">
        <f t="shared" si="7"/>
        <v>0</v>
      </c>
      <c r="BT29" s="1007">
        <f t="shared" si="23"/>
        <v>0</v>
      </c>
      <c r="BU29" s="1007"/>
      <c r="BV29" s="1007">
        <f t="shared" si="9"/>
        <v>0</v>
      </c>
      <c r="BW29" s="1007"/>
      <c r="BX29" s="1007">
        <f t="shared" si="10"/>
        <v>0</v>
      </c>
      <c r="BY29" s="1007">
        <f t="shared" si="10"/>
        <v>0</v>
      </c>
      <c r="BZ29" s="1007"/>
      <c r="CA29" s="1007"/>
      <c r="CB29" s="1007"/>
      <c r="CC29" s="1007"/>
      <c r="CD29" s="1007">
        <f t="shared" si="24"/>
        <v>0</v>
      </c>
      <c r="CE29" s="1007">
        <f t="shared" si="24"/>
        <v>0</v>
      </c>
      <c r="CF29" s="1007">
        <f t="shared" si="24"/>
        <v>35000000</v>
      </c>
      <c r="CG29" s="1007">
        <f t="shared" si="24"/>
        <v>30000000</v>
      </c>
      <c r="CH29" s="1007">
        <f t="shared" si="24"/>
        <v>0</v>
      </c>
      <c r="CI29" s="1007">
        <f t="shared" si="24"/>
        <v>0</v>
      </c>
      <c r="CJ29" s="1007"/>
      <c r="CK29" s="1007"/>
      <c r="CL29" s="1007">
        <f t="shared" si="12"/>
        <v>0</v>
      </c>
      <c r="CM29" s="1010">
        <f t="shared" si="13"/>
        <v>0</v>
      </c>
      <c r="CN29" s="1007">
        <f t="shared" si="14"/>
        <v>0</v>
      </c>
      <c r="CO29" s="1007"/>
      <c r="CP29" s="1007"/>
      <c r="CQ29" s="1007"/>
      <c r="CR29" s="1007"/>
      <c r="CS29" s="1007"/>
      <c r="CT29" s="1007"/>
      <c r="CU29" s="1007"/>
      <c r="CV29" s="1007"/>
      <c r="CW29" s="1007"/>
      <c r="CX29" s="1007"/>
      <c r="CY29" s="1007"/>
      <c r="CZ29" s="1007"/>
      <c r="DA29" s="1007"/>
      <c r="DB29" s="1007"/>
      <c r="DC29" s="1007"/>
      <c r="DD29" s="1007"/>
      <c r="DE29" s="1007"/>
      <c r="DF29" s="1007"/>
      <c r="DG29" s="1007"/>
      <c r="DH29" s="1007"/>
      <c r="DI29" s="1010">
        <f t="shared" si="15"/>
        <v>1</v>
      </c>
      <c r="DJ29" s="1007">
        <f t="shared" si="16"/>
        <v>65000000</v>
      </c>
      <c r="DK29" s="1007">
        <f t="shared" si="17"/>
        <v>0</v>
      </c>
      <c r="DL29" s="1007">
        <f t="shared" si="17"/>
        <v>0</v>
      </c>
      <c r="DM29" s="1007"/>
      <c r="DN29" s="1007">
        <f t="shared" si="18"/>
        <v>0</v>
      </c>
      <c r="DO29" s="1007">
        <f t="shared" si="18"/>
        <v>0</v>
      </c>
      <c r="DP29" s="1007">
        <f t="shared" si="18"/>
        <v>0</v>
      </c>
      <c r="DQ29" s="1007">
        <f t="shared" si="18"/>
        <v>0</v>
      </c>
      <c r="DR29" s="1007"/>
      <c r="DS29" s="1007">
        <f t="shared" si="19"/>
        <v>0</v>
      </c>
      <c r="DT29" s="1007">
        <f t="shared" si="19"/>
        <v>0</v>
      </c>
      <c r="DU29" s="1007"/>
      <c r="DV29" s="1007">
        <f t="shared" si="20"/>
        <v>0</v>
      </c>
      <c r="DW29" s="1007">
        <f t="shared" si="20"/>
        <v>0</v>
      </c>
      <c r="DX29" s="1007">
        <f t="shared" si="20"/>
        <v>35000000</v>
      </c>
      <c r="DY29" s="1007">
        <f t="shared" si="21"/>
        <v>30000000</v>
      </c>
      <c r="DZ29" s="1007">
        <f t="shared" si="21"/>
        <v>0</v>
      </c>
      <c r="EA29" s="1007">
        <f t="shared" si="21"/>
        <v>0</v>
      </c>
      <c r="EB29" s="1007">
        <f t="shared" si="21"/>
        <v>0</v>
      </c>
      <c r="EC29" s="1007"/>
      <c r="ED29" s="1007">
        <f t="shared" si="22"/>
        <v>0</v>
      </c>
    </row>
    <row r="30" spans="1:134" ht="36" customHeight="1" x14ac:dyDescent="0.25">
      <c r="A30" s="1565"/>
      <c r="B30" s="1566" t="s">
        <v>4305</v>
      </c>
      <c r="C30" s="1092" t="s">
        <v>4404</v>
      </c>
      <c r="D30" s="1018" t="s">
        <v>4700</v>
      </c>
      <c r="E30" s="1019">
        <v>510</v>
      </c>
      <c r="F30" s="1094" t="s">
        <v>4660</v>
      </c>
      <c r="G30" s="1428">
        <v>111000000</v>
      </c>
      <c r="H30" s="1060">
        <f t="shared" si="0"/>
        <v>876100</v>
      </c>
      <c r="I30" s="1060">
        <f t="shared" si="1"/>
        <v>1123900</v>
      </c>
      <c r="J30" s="1428" t="s">
        <v>4776</v>
      </c>
      <c r="K30" s="1257" t="s">
        <v>4777</v>
      </c>
      <c r="L30" s="1257" t="s">
        <v>4778</v>
      </c>
      <c r="M30" s="1097">
        <v>0</v>
      </c>
      <c r="N30" s="1097">
        <v>0</v>
      </c>
      <c r="O30" s="1097">
        <v>0</v>
      </c>
      <c r="P30" s="1097">
        <v>44</v>
      </c>
      <c r="Q30" s="1097">
        <v>10</v>
      </c>
      <c r="R30" s="1097">
        <v>40</v>
      </c>
      <c r="S30" s="1099"/>
      <c r="T30" s="1099"/>
      <c r="U30" s="1099"/>
      <c r="V30" s="1099"/>
      <c r="W30" s="1099"/>
      <c r="X30" s="1099"/>
      <c r="Y30" s="1007">
        <f t="shared" si="2"/>
        <v>2000000</v>
      </c>
      <c r="Z30" s="1007"/>
      <c r="AA30" s="1007"/>
      <c r="AB30" s="1007"/>
      <c r="AC30" s="1007"/>
      <c r="AD30" s="1007"/>
      <c r="AE30" s="1007"/>
      <c r="AF30" s="1007"/>
      <c r="AG30" s="1007"/>
      <c r="AH30" s="1007"/>
      <c r="AI30" s="1007"/>
      <c r="AJ30" s="1007"/>
      <c r="AK30" s="1007"/>
      <c r="AL30" s="1007"/>
      <c r="AM30" s="1007">
        <v>2000000</v>
      </c>
      <c r="AN30" s="1007"/>
      <c r="AO30" s="1007"/>
      <c r="AP30" s="1007"/>
      <c r="AQ30" s="1007"/>
      <c r="AR30" s="1007"/>
      <c r="AS30" s="1007"/>
      <c r="AU30" s="1010">
        <f t="shared" si="3"/>
        <v>0.43804999999999999</v>
      </c>
      <c r="AV30" s="1007">
        <f t="shared" si="4"/>
        <v>876100</v>
      </c>
      <c r="AW30" s="1007"/>
      <c r="AX30" s="1007"/>
      <c r="AY30" s="1007"/>
      <c r="AZ30" s="1007"/>
      <c r="BA30" s="1007"/>
      <c r="BB30" s="1007"/>
      <c r="BC30" s="1007"/>
      <c r="BD30" s="1007"/>
      <c r="BE30" s="1007"/>
      <c r="BF30" s="1007"/>
      <c r="BG30" s="1007"/>
      <c r="BH30" s="1007"/>
      <c r="BI30" s="1007"/>
      <c r="BJ30" s="1007">
        <f>+'[11]MARZO 2015'!$V$1091</f>
        <v>876100</v>
      </c>
      <c r="BK30" s="1007"/>
      <c r="BL30" s="1007"/>
      <c r="BM30" s="1007"/>
      <c r="BN30" s="1007"/>
      <c r="BO30" s="1007"/>
      <c r="BP30" s="1007"/>
      <c r="BQ30" s="1010">
        <f t="shared" si="25"/>
        <v>0.56194999999999995</v>
      </c>
      <c r="BR30" s="1007">
        <f t="shared" si="6"/>
        <v>1123900</v>
      </c>
      <c r="BS30" s="1007">
        <f t="shared" si="7"/>
        <v>0</v>
      </c>
      <c r="BT30" s="1007">
        <f t="shared" si="23"/>
        <v>0</v>
      </c>
      <c r="BU30" s="1007"/>
      <c r="BV30" s="1007">
        <f t="shared" si="9"/>
        <v>0</v>
      </c>
      <c r="BW30" s="1007"/>
      <c r="BX30" s="1007">
        <f t="shared" si="10"/>
        <v>0</v>
      </c>
      <c r="BY30" s="1007">
        <f t="shared" si="10"/>
        <v>0</v>
      </c>
      <c r="BZ30" s="1007"/>
      <c r="CA30" s="1007"/>
      <c r="CB30" s="1007"/>
      <c r="CC30" s="1007"/>
      <c r="CD30" s="1007">
        <f t="shared" si="24"/>
        <v>0</v>
      </c>
      <c r="CE30" s="1007">
        <f t="shared" si="24"/>
        <v>0</v>
      </c>
      <c r="CF30" s="1007">
        <f t="shared" si="24"/>
        <v>1123900</v>
      </c>
      <c r="CG30" s="1007">
        <f t="shared" si="24"/>
        <v>0</v>
      </c>
      <c r="CH30" s="1007">
        <f t="shared" si="24"/>
        <v>0</v>
      </c>
      <c r="CI30" s="1007">
        <f t="shared" si="24"/>
        <v>0</v>
      </c>
      <c r="CJ30" s="1007"/>
      <c r="CK30" s="1007"/>
      <c r="CL30" s="1007">
        <f t="shared" si="12"/>
        <v>0</v>
      </c>
      <c r="CM30" s="1010">
        <f t="shared" si="13"/>
        <v>0.43804999999999999</v>
      </c>
      <c r="CN30" s="1007">
        <f t="shared" si="14"/>
        <v>876100</v>
      </c>
      <c r="CO30" s="1007"/>
      <c r="CP30" s="1007"/>
      <c r="CQ30" s="1007"/>
      <c r="CR30" s="1007"/>
      <c r="CS30" s="1007"/>
      <c r="CT30" s="1007"/>
      <c r="CU30" s="1007"/>
      <c r="CV30" s="1007"/>
      <c r="CW30" s="1007"/>
      <c r="CX30" s="1007"/>
      <c r="CY30" s="1007"/>
      <c r="CZ30" s="1007"/>
      <c r="DA30" s="1007"/>
      <c r="DB30" s="1007">
        <f>+'[11]MARZO 2015'!$H$1089</f>
        <v>876100</v>
      </c>
      <c r="DC30" s="1007"/>
      <c r="DD30" s="1007"/>
      <c r="DE30" s="1007"/>
      <c r="DF30" s="1007"/>
      <c r="DG30" s="1007"/>
      <c r="DH30" s="1007"/>
      <c r="DI30" s="1010">
        <f t="shared" si="15"/>
        <v>0.56194999999999995</v>
      </c>
      <c r="DJ30" s="1007">
        <f t="shared" si="16"/>
        <v>1123900</v>
      </c>
      <c r="DK30" s="1007">
        <f t="shared" si="17"/>
        <v>0</v>
      </c>
      <c r="DL30" s="1007">
        <f t="shared" si="17"/>
        <v>0</v>
      </c>
      <c r="DM30" s="1007"/>
      <c r="DN30" s="1007">
        <f t="shared" si="18"/>
        <v>0</v>
      </c>
      <c r="DO30" s="1007">
        <f t="shared" si="18"/>
        <v>0</v>
      </c>
      <c r="DP30" s="1007">
        <f t="shared" si="18"/>
        <v>0</v>
      </c>
      <c r="DQ30" s="1007">
        <f t="shared" si="18"/>
        <v>0</v>
      </c>
      <c r="DR30" s="1007"/>
      <c r="DS30" s="1007">
        <f t="shared" si="19"/>
        <v>0</v>
      </c>
      <c r="DT30" s="1007">
        <f t="shared" si="19"/>
        <v>0</v>
      </c>
      <c r="DU30" s="1007"/>
      <c r="DV30" s="1007">
        <f t="shared" si="20"/>
        <v>0</v>
      </c>
      <c r="DW30" s="1007">
        <f t="shared" si="20"/>
        <v>0</v>
      </c>
      <c r="DX30" s="1007">
        <f t="shared" si="20"/>
        <v>1123900</v>
      </c>
      <c r="DY30" s="1007">
        <f t="shared" si="21"/>
        <v>0</v>
      </c>
      <c r="DZ30" s="1007">
        <f t="shared" si="21"/>
        <v>0</v>
      </c>
      <c r="EA30" s="1007">
        <f t="shared" si="21"/>
        <v>0</v>
      </c>
      <c r="EB30" s="1007">
        <f t="shared" si="21"/>
        <v>0</v>
      </c>
      <c r="EC30" s="1007"/>
      <c r="ED30" s="1007">
        <f t="shared" si="22"/>
        <v>0</v>
      </c>
    </row>
    <row r="31" spans="1:134" ht="26.25" customHeight="1" x14ac:dyDescent="0.25">
      <c r="A31" s="1565"/>
      <c r="B31" s="1567"/>
      <c r="C31" s="1092" t="s">
        <v>4581</v>
      </c>
      <c r="D31" s="1018" t="s">
        <v>4600</v>
      </c>
      <c r="E31" s="1019">
        <v>510</v>
      </c>
      <c r="F31" s="1094" t="s">
        <v>4660</v>
      </c>
      <c r="G31" s="1429"/>
      <c r="H31" s="1060">
        <f t="shared" si="0"/>
        <v>25219875</v>
      </c>
      <c r="I31" s="1060">
        <f t="shared" si="1"/>
        <v>35780125</v>
      </c>
      <c r="J31" s="1429"/>
      <c r="K31" s="1562"/>
      <c r="L31" s="1562"/>
      <c r="M31" s="1097">
        <v>0</v>
      </c>
      <c r="N31" s="1097">
        <v>0</v>
      </c>
      <c r="O31" s="1097">
        <v>0</v>
      </c>
      <c r="P31" s="1097">
        <v>27</v>
      </c>
      <c r="Q31" s="1097">
        <v>40</v>
      </c>
      <c r="R31" s="1097">
        <v>11</v>
      </c>
      <c r="S31" s="1100"/>
      <c r="T31" s="1100"/>
      <c r="U31" s="1100"/>
      <c r="V31" s="1100"/>
      <c r="W31" s="1100"/>
      <c r="X31" s="1100"/>
      <c r="Y31" s="1007">
        <f t="shared" si="2"/>
        <v>61000000</v>
      </c>
      <c r="Z31" s="1007"/>
      <c r="AA31" s="1007"/>
      <c r="AB31" s="1007"/>
      <c r="AC31" s="1007"/>
      <c r="AD31" s="1007"/>
      <c r="AE31" s="1007"/>
      <c r="AF31" s="1007"/>
      <c r="AG31" s="1007"/>
      <c r="AH31" s="1007"/>
      <c r="AI31" s="1007"/>
      <c r="AJ31" s="1007"/>
      <c r="AK31" s="1007"/>
      <c r="AL31" s="1007"/>
      <c r="AM31" s="1007">
        <v>40000000</v>
      </c>
      <c r="AN31" s="1007"/>
      <c r="AO31" s="1007"/>
      <c r="AP31" s="1007"/>
      <c r="AQ31" s="1007"/>
      <c r="AR31" s="1007"/>
      <c r="AS31" s="1007">
        <v>21000000</v>
      </c>
      <c r="AU31" s="1010">
        <f t="shared" si="3"/>
        <v>0.61704167213114758</v>
      </c>
      <c r="AV31" s="1007">
        <f t="shared" si="4"/>
        <v>37639542</v>
      </c>
      <c r="AW31" s="1007"/>
      <c r="AX31" s="1007"/>
      <c r="AY31" s="1007"/>
      <c r="AZ31" s="1007"/>
      <c r="BA31" s="1007"/>
      <c r="BB31" s="1007"/>
      <c r="BC31" s="1007"/>
      <c r="BD31" s="1007"/>
      <c r="BE31" s="1007"/>
      <c r="BF31" s="1007"/>
      <c r="BG31" s="1007"/>
      <c r="BH31" s="1007"/>
      <c r="BI31" s="1007"/>
      <c r="BJ31" s="1007">
        <f>+'[8]SEPTIEMBRE 2015'!$W$2671</f>
        <v>37639542</v>
      </c>
      <c r="BK31" s="1007"/>
      <c r="BL31" s="1007"/>
      <c r="BM31" s="1007"/>
      <c r="BN31" s="1007"/>
      <c r="BO31" s="1007"/>
      <c r="BP31" s="1007"/>
      <c r="BQ31" s="1010">
        <f t="shared" si="25"/>
        <v>0.38295832786885242</v>
      </c>
      <c r="BR31" s="1007">
        <f t="shared" si="6"/>
        <v>23360458</v>
      </c>
      <c r="BS31" s="1007">
        <f t="shared" si="7"/>
        <v>0</v>
      </c>
      <c r="BT31" s="1007">
        <f t="shared" si="23"/>
        <v>0</v>
      </c>
      <c r="BU31" s="1007"/>
      <c r="BV31" s="1007">
        <f t="shared" si="9"/>
        <v>0</v>
      </c>
      <c r="BW31" s="1007"/>
      <c r="BX31" s="1007">
        <f t="shared" si="10"/>
        <v>0</v>
      </c>
      <c r="BY31" s="1007">
        <f t="shared" si="10"/>
        <v>0</v>
      </c>
      <c r="BZ31" s="1007"/>
      <c r="CA31" s="1007"/>
      <c r="CB31" s="1007"/>
      <c r="CC31" s="1007"/>
      <c r="CD31" s="1007">
        <f t="shared" si="24"/>
        <v>0</v>
      </c>
      <c r="CE31" s="1007">
        <f t="shared" si="24"/>
        <v>0</v>
      </c>
      <c r="CF31" s="1007">
        <f t="shared" si="24"/>
        <v>2360458</v>
      </c>
      <c r="CG31" s="1007">
        <f t="shared" si="24"/>
        <v>0</v>
      </c>
      <c r="CH31" s="1007">
        <f t="shared" si="24"/>
        <v>0</v>
      </c>
      <c r="CI31" s="1007">
        <f t="shared" si="24"/>
        <v>0</v>
      </c>
      <c r="CJ31" s="1007"/>
      <c r="CK31" s="1007"/>
      <c r="CL31" s="1007">
        <f t="shared" si="12"/>
        <v>21000000</v>
      </c>
      <c r="CM31" s="1010">
        <f t="shared" si="13"/>
        <v>0.41344057377049181</v>
      </c>
      <c r="CN31" s="1007">
        <f t="shared" si="14"/>
        <v>25219875</v>
      </c>
      <c r="CO31" s="1007"/>
      <c r="CP31" s="1007"/>
      <c r="CQ31" s="1007"/>
      <c r="CR31" s="1007"/>
      <c r="CS31" s="1007"/>
      <c r="CT31" s="1007"/>
      <c r="CU31" s="1007"/>
      <c r="CV31" s="1007"/>
      <c r="CW31" s="1007"/>
      <c r="CX31" s="1007"/>
      <c r="CY31" s="1007"/>
      <c r="CZ31" s="1007"/>
      <c r="DA31" s="1007"/>
      <c r="DB31" s="1007">
        <f>+'[8]SEPTIEMBRE 2015'!$H$2669</f>
        <v>25219875</v>
      </c>
      <c r="DC31" s="1007"/>
      <c r="DD31" s="1007"/>
      <c r="DE31" s="1007"/>
      <c r="DF31" s="1007"/>
      <c r="DG31" s="1007"/>
      <c r="DH31" s="1007"/>
      <c r="DI31" s="1010">
        <f t="shared" si="15"/>
        <v>0.58655942622950819</v>
      </c>
      <c r="DJ31" s="1007">
        <f t="shared" si="16"/>
        <v>35780125</v>
      </c>
      <c r="DK31" s="1007">
        <f t="shared" si="17"/>
        <v>0</v>
      </c>
      <c r="DL31" s="1007">
        <f t="shared" si="17"/>
        <v>0</v>
      </c>
      <c r="DM31" s="1007"/>
      <c r="DN31" s="1007">
        <f t="shared" si="18"/>
        <v>0</v>
      </c>
      <c r="DO31" s="1007">
        <f t="shared" si="18"/>
        <v>0</v>
      </c>
      <c r="DP31" s="1007">
        <f t="shared" si="18"/>
        <v>0</v>
      </c>
      <c r="DQ31" s="1007">
        <f t="shared" si="18"/>
        <v>0</v>
      </c>
      <c r="DR31" s="1007"/>
      <c r="DS31" s="1007">
        <f t="shared" si="19"/>
        <v>0</v>
      </c>
      <c r="DT31" s="1007">
        <f t="shared" si="19"/>
        <v>0</v>
      </c>
      <c r="DU31" s="1007"/>
      <c r="DV31" s="1007">
        <f t="shared" si="20"/>
        <v>0</v>
      </c>
      <c r="DW31" s="1007">
        <f t="shared" si="20"/>
        <v>0</v>
      </c>
      <c r="DX31" s="1007">
        <f t="shared" si="20"/>
        <v>14780125</v>
      </c>
      <c r="DY31" s="1007">
        <f t="shared" si="21"/>
        <v>0</v>
      </c>
      <c r="DZ31" s="1007">
        <f t="shared" si="21"/>
        <v>0</v>
      </c>
      <c r="EA31" s="1007">
        <f t="shared" si="21"/>
        <v>0</v>
      </c>
      <c r="EB31" s="1007">
        <f t="shared" si="21"/>
        <v>0</v>
      </c>
      <c r="EC31" s="1007"/>
      <c r="ED31" s="1007">
        <f t="shared" si="22"/>
        <v>21000000</v>
      </c>
    </row>
    <row r="32" spans="1:134" ht="39" customHeight="1" x14ac:dyDescent="0.25">
      <c r="A32" s="1565"/>
      <c r="B32" s="1567"/>
      <c r="C32" s="1092" t="s">
        <v>4582</v>
      </c>
      <c r="D32" s="1018" t="s">
        <v>4579</v>
      </c>
      <c r="E32" s="1019">
        <v>510</v>
      </c>
      <c r="F32" s="1094" t="s">
        <v>4660</v>
      </c>
      <c r="G32" s="1429"/>
      <c r="H32" s="1060">
        <f t="shared" si="0"/>
        <v>10640000</v>
      </c>
      <c r="I32" s="1060">
        <f t="shared" si="1"/>
        <v>39360000</v>
      </c>
      <c r="J32" s="1429"/>
      <c r="K32" s="1562"/>
      <c r="L32" s="1562"/>
      <c r="M32" s="1097">
        <v>0</v>
      </c>
      <c r="N32" s="1097">
        <v>0</v>
      </c>
      <c r="O32" s="1097">
        <v>0</v>
      </c>
      <c r="P32" s="1097">
        <v>0</v>
      </c>
      <c r="Q32" s="1097">
        <v>40</v>
      </c>
      <c r="R32" s="1097">
        <v>0</v>
      </c>
      <c r="S32" s="1100"/>
      <c r="T32" s="1100"/>
      <c r="U32" s="1100"/>
      <c r="V32" s="1100"/>
      <c r="W32" s="1100"/>
      <c r="X32" s="1100"/>
      <c r="Y32" s="1007">
        <f t="shared" si="2"/>
        <v>50000000</v>
      </c>
      <c r="Z32" s="1007"/>
      <c r="AA32" s="1007"/>
      <c r="AB32" s="1007"/>
      <c r="AC32" s="1007"/>
      <c r="AD32" s="1007"/>
      <c r="AE32" s="1007"/>
      <c r="AF32" s="1007"/>
      <c r="AG32" s="1007"/>
      <c r="AH32" s="1007"/>
      <c r="AI32" s="1007"/>
      <c r="AJ32" s="1007"/>
      <c r="AK32" s="1007"/>
      <c r="AL32" s="1007"/>
      <c r="AM32" s="1007">
        <v>40000000</v>
      </c>
      <c r="AN32" s="1007">
        <v>10000000</v>
      </c>
      <c r="AO32" s="1007"/>
      <c r="AP32" s="1007"/>
      <c r="AQ32" s="1007"/>
      <c r="AR32" s="1007"/>
      <c r="AS32" s="1007"/>
      <c r="AU32" s="1010">
        <f t="shared" si="3"/>
        <v>0.95281987999999995</v>
      </c>
      <c r="AV32" s="1007">
        <f t="shared" si="4"/>
        <v>47640994</v>
      </c>
      <c r="AW32" s="1007"/>
      <c r="AX32" s="1007"/>
      <c r="AY32" s="1007"/>
      <c r="AZ32" s="1007"/>
      <c r="BA32" s="1007"/>
      <c r="BB32" s="1007"/>
      <c r="BC32" s="1007"/>
      <c r="BD32" s="1007"/>
      <c r="BE32" s="1007"/>
      <c r="BF32" s="1007"/>
      <c r="BG32" s="1007"/>
      <c r="BH32" s="1007"/>
      <c r="BI32" s="1007"/>
      <c r="BJ32" s="1007">
        <f>+'[13]JUNIO 2015'!$W$1673</f>
        <v>40000000</v>
      </c>
      <c r="BK32" s="1007">
        <f>+'[13]JUNIO 2015'!$X$1673</f>
        <v>7640994</v>
      </c>
      <c r="BL32" s="1007"/>
      <c r="BM32" s="1007"/>
      <c r="BN32" s="1007"/>
      <c r="BO32" s="1007"/>
      <c r="BP32" s="1007"/>
      <c r="BQ32" s="1010">
        <f t="shared" si="25"/>
        <v>4.7180120000000048E-2</v>
      </c>
      <c r="BR32" s="1007">
        <f t="shared" si="6"/>
        <v>2359006</v>
      </c>
      <c r="BS32" s="1007">
        <f t="shared" si="7"/>
        <v>0</v>
      </c>
      <c r="BT32" s="1007">
        <f t="shared" si="23"/>
        <v>0</v>
      </c>
      <c r="BU32" s="1007"/>
      <c r="BV32" s="1007">
        <f t="shared" si="9"/>
        <v>0</v>
      </c>
      <c r="BW32" s="1007"/>
      <c r="BX32" s="1007">
        <f t="shared" si="10"/>
        <v>0</v>
      </c>
      <c r="BY32" s="1007">
        <f t="shared" si="10"/>
        <v>0</v>
      </c>
      <c r="BZ32" s="1007"/>
      <c r="CA32" s="1007"/>
      <c r="CB32" s="1007"/>
      <c r="CC32" s="1007"/>
      <c r="CD32" s="1007">
        <f t="shared" si="24"/>
        <v>0</v>
      </c>
      <c r="CE32" s="1007">
        <f t="shared" si="24"/>
        <v>0</v>
      </c>
      <c r="CF32" s="1007">
        <f t="shared" si="24"/>
        <v>0</v>
      </c>
      <c r="CG32" s="1007">
        <f t="shared" si="24"/>
        <v>2359006</v>
      </c>
      <c r="CH32" s="1007">
        <f t="shared" si="24"/>
        <v>0</v>
      </c>
      <c r="CI32" s="1007">
        <f t="shared" si="24"/>
        <v>0</v>
      </c>
      <c r="CJ32" s="1007"/>
      <c r="CK32" s="1007"/>
      <c r="CL32" s="1007">
        <f t="shared" si="12"/>
        <v>0</v>
      </c>
      <c r="CM32" s="1010">
        <f t="shared" si="13"/>
        <v>0.21279999999999999</v>
      </c>
      <c r="CN32" s="1007">
        <f t="shared" si="14"/>
        <v>10640000</v>
      </c>
      <c r="CO32" s="1007"/>
      <c r="CP32" s="1007"/>
      <c r="CQ32" s="1007"/>
      <c r="CR32" s="1007"/>
      <c r="CS32" s="1007"/>
      <c r="CT32" s="1007"/>
      <c r="CU32" s="1007"/>
      <c r="CV32" s="1007"/>
      <c r="CW32" s="1007"/>
      <c r="CX32" s="1007"/>
      <c r="CY32" s="1007"/>
      <c r="CZ32" s="1007"/>
      <c r="DA32" s="1007"/>
      <c r="DB32" s="1007">
        <f>+'[10]JULIO 2015'!$W$1957</f>
        <v>3000000</v>
      </c>
      <c r="DC32" s="1007">
        <f>+'[10]JULIO 2015'!$H$1958-DB32</f>
        <v>7640000</v>
      </c>
      <c r="DD32" s="1007"/>
      <c r="DE32" s="1007"/>
      <c r="DF32" s="1007"/>
      <c r="DG32" s="1007"/>
      <c r="DH32" s="1007"/>
      <c r="DI32" s="1010">
        <f t="shared" si="15"/>
        <v>0.78720000000000001</v>
      </c>
      <c r="DJ32" s="1007">
        <f t="shared" si="16"/>
        <v>39360000</v>
      </c>
      <c r="DK32" s="1007">
        <f t="shared" si="17"/>
        <v>0</v>
      </c>
      <c r="DL32" s="1007">
        <f t="shared" si="17"/>
        <v>0</v>
      </c>
      <c r="DM32" s="1007"/>
      <c r="DN32" s="1007">
        <f t="shared" si="18"/>
        <v>0</v>
      </c>
      <c r="DO32" s="1007">
        <f t="shared" si="18"/>
        <v>0</v>
      </c>
      <c r="DP32" s="1007">
        <f t="shared" si="18"/>
        <v>0</v>
      </c>
      <c r="DQ32" s="1007">
        <f t="shared" si="18"/>
        <v>0</v>
      </c>
      <c r="DR32" s="1007"/>
      <c r="DS32" s="1007">
        <f t="shared" si="19"/>
        <v>0</v>
      </c>
      <c r="DT32" s="1007">
        <f t="shared" si="19"/>
        <v>0</v>
      </c>
      <c r="DU32" s="1007"/>
      <c r="DV32" s="1007">
        <f t="shared" si="20"/>
        <v>0</v>
      </c>
      <c r="DW32" s="1007">
        <f t="shared" si="20"/>
        <v>0</v>
      </c>
      <c r="DX32" s="1007">
        <f t="shared" si="20"/>
        <v>37000000</v>
      </c>
      <c r="DY32" s="1007">
        <f t="shared" si="21"/>
        <v>2360000</v>
      </c>
      <c r="DZ32" s="1007">
        <f t="shared" si="21"/>
        <v>0</v>
      </c>
      <c r="EA32" s="1007">
        <f t="shared" si="21"/>
        <v>0</v>
      </c>
      <c r="EB32" s="1007">
        <f t="shared" si="21"/>
        <v>0</v>
      </c>
      <c r="EC32" s="1007"/>
      <c r="ED32" s="1007">
        <f t="shared" si="22"/>
        <v>0</v>
      </c>
    </row>
    <row r="33" spans="1:134" ht="31.5" customHeight="1" x14ac:dyDescent="0.25">
      <c r="A33" s="1565"/>
      <c r="B33" s="1568"/>
      <c r="C33" s="1092" t="s">
        <v>4583</v>
      </c>
      <c r="D33" s="1018" t="s">
        <v>4580</v>
      </c>
      <c r="E33" s="1019">
        <v>510</v>
      </c>
      <c r="F33" s="1094" t="s">
        <v>4729</v>
      </c>
      <c r="G33" s="1430"/>
      <c r="H33" s="1060">
        <f t="shared" si="0"/>
        <v>949220</v>
      </c>
      <c r="I33" s="1060">
        <f t="shared" si="1"/>
        <v>12050780</v>
      </c>
      <c r="J33" s="1430"/>
      <c r="K33" s="1258"/>
      <c r="L33" s="1258"/>
      <c r="M33" s="1097">
        <v>0</v>
      </c>
      <c r="N33" s="1097">
        <v>0</v>
      </c>
      <c r="O33" s="1097">
        <v>0</v>
      </c>
      <c r="P33" s="1097">
        <v>7</v>
      </c>
      <c r="Q33" s="1097">
        <v>50</v>
      </c>
      <c r="R33" s="1097">
        <v>4</v>
      </c>
      <c r="S33" s="1101"/>
      <c r="T33" s="1101"/>
      <c r="U33" s="1101"/>
      <c r="V33" s="1101"/>
      <c r="W33" s="1101"/>
      <c r="X33" s="1101"/>
      <c r="Y33" s="1007">
        <f t="shared" si="2"/>
        <v>13000000</v>
      </c>
      <c r="Z33" s="1007"/>
      <c r="AA33" s="1007"/>
      <c r="AB33" s="1007"/>
      <c r="AC33" s="1007"/>
      <c r="AD33" s="1007"/>
      <c r="AE33" s="1007"/>
      <c r="AF33" s="1007"/>
      <c r="AG33" s="1007"/>
      <c r="AH33" s="1007"/>
      <c r="AI33" s="1007"/>
      <c r="AJ33" s="1007"/>
      <c r="AK33" s="1007"/>
      <c r="AL33" s="1007"/>
      <c r="AM33" s="1007">
        <v>8000000</v>
      </c>
      <c r="AN33" s="1007"/>
      <c r="AO33" s="1007"/>
      <c r="AP33" s="1007"/>
      <c r="AQ33" s="1007"/>
      <c r="AR33" s="1007"/>
      <c r="AS33" s="1007">
        <v>5000000</v>
      </c>
      <c r="AU33" s="1010">
        <f t="shared" si="3"/>
        <v>0.71816153846153841</v>
      </c>
      <c r="AV33" s="1007">
        <f t="shared" si="4"/>
        <v>9336100</v>
      </c>
      <c r="AW33" s="1007"/>
      <c r="AX33" s="1007"/>
      <c r="AY33" s="1007"/>
      <c r="AZ33" s="1007"/>
      <c r="BA33" s="1007"/>
      <c r="BB33" s="1007"/>
      <c r="BC33" s="1007"/>
      <c r="BD33" s="1007"/>
      <c r="BE33" s="1007"/>
      <c r="BF33" s="1007"/>
      <c r="BG33" s="1007"/>
      <c r="BH33" s="1007"/>
      <c r="BI33" s="1007"/>
      <c r="BJ33" s="1007">
        <f>+'[8]SEPTIEMBRE 2015'!$W$2704</f>
        <v>4336100</v>
      </c>
      <c r="BK33" s="1007"/>
      <c r="BL33" s="1007"/>
      <c r="BM33" s="1007"/>
      <c r="BN33" s="1007"/>
      <c r="BO33" s="1007"/>
      <c r="BP33" s="1007">
        <f>+'[10]JULIO 2015'!$AD$1962</f>
        <v>5000000</v>
      </c>
      <c r="BQ33" s="1010">
        <f t="shared" si="25"/>
        <v>0.28183846153846159</v>
      </c>
      <c r="BR33" s="1007">
        <f t="shared" si="6"/>
        <v>3663900</v>
      </c>
      <c r="BS33" s="1007">
        <f t="shared" si="7"/>
        <v>0</v>
      </c>
      <c r="BT33" s="1007">
        <f t="shared" si="23"/>
        <v>0</v>
      </c>
      <c r="BU33" s="1007"/>
      <c r="BV33" s="1007">
        <f t="shared" si="9"/>
        <v>0</v>
      </c>
      <c r="BW33" s="1007"/>
      <c r="BX33" s="1007">
        <f t="shared" si="10"/>
        <v>0</v>
      </c>
      <c r="BY33" s="1007">
        <f t="shared" si="10"/>
        <v>0</v>
      </c>
      <c r="BZ33" s="1007"/>
      <c r="CA33" s="1007"/>
      <c r="CB33" s="1007"/>
      <c r="CC33" s="1007"/>
      <c r="CD33" s="1007">
        <f t="shared" si="24"/>
        <v>0</v>
      </c>
      <c r="CE33" s="1007">
        <f t="shared" si="24"/>
        <v>0</v>
      </c>
      <c r="CF33" s="1007">
        <f t="shared" si="24"/>
        <v>3663900</v>
      </c>
      <c r="CG33" s="1007">
        <f t="shared" si="24"/>
        <v>0</v>
      </c>
      <c r="CH33" s="1007">
        <f t="shared" si="24"/>
        <v>0</v>
      </c>
      <c r="CI33" s="1007">
        <f t="shared" si="24"/>
        <v>0</v>
      </c>
      <c r="CJ33" s="1007"/>
      <c r="CK33" s="1007"/>
      <c r="CL33" s="1007">
        <f t="shared" si="12"/>
        <v>0</v>
      </c>
      <c r="CM33" s="1010">
        <f t="shared" si="13"/>
        <v>7.3016923076923076E-2</v>
      </c>
      <c r="CN33" s="1007">
        <f t="shared" si="14"/>
        <v>949220</v>
      </c>
      <c r="CO33" s="1007"/>
      <c r="CP33" s="1007"/>
      <c r="CQ33" s="1007"/>
      <c r="CR33" s="1007"/>
      <c r="CS33" s="1007"/>
      <c r="CT33" s="1007"/>
      <c r="CU33" s="1007"/>
      <c r="CV33" s="1007"/>
      <c r="CW33" s="1007"/>
      <c r="CX33" s="1007"/>
      <c r="CY33" s="1007"/>
      <c r="CZ33" s="1007"/>
      <c r="DA33" s="1007"/>
      <c r="DB33" s="1007">
        <f>+'[9]ABRIL 2015'!$H$1316</f>
        <v>949220</v>
      </c>
      <c r="DC33" s="1007"/>
      <c r="DD33" s="1007"/>
      <c r="DE33" s="1007"/>
      <c r="DF33" s="1007"/>
      <c r="DG33" s="1007"/>
      <c r="DH33" s="1007"/>
      <c r="DI33" s="1010">
        <f t="shared" si="15"/>
        <v>0.92698307692307691</v>
      </c>
      <c r="DJ33" s="1007">
        <f t="shared" si="16"/>
        <v>12050780</v>
      </c>
      <c r="DK33" s="1007">
        <f t="shared" si="17"/>
        <v>0</v>
      </c>
      <c r="DL33" s="1007">
        <f t="shared" si="17"/>
        <v>0</v>
      </c>
      <c r="DM33" s="1007"/>
      <c r="DN33" s="1007">
        <f>AC33-CR33</f>
        <v>0</v>
      </c>
      <c r="DO33" s="1007"/>
      <c r="DP33" s="1007">
        <f>AE33-CT33</f>
        <v>0</v>
      </c>
      <c r="DQ33" s="1007">
        <f>AF33-CU33</f>
        <v>0</v>
      </c>
      <c r="DR33" s="1007"/>
      <c r="DS33" s="1007">
        <f t="shared" si="19"/>
        <v>0</v>
      </c>
      <c r="DT33" s="1007">
        <f t="shared" si="19"/>
        <v>0</v>
      </c>
      <c r="DU33" s="1007"/>
      <c r="DV33" s="1007">
        <f t="shared" si="20"/>
        <v>0</v>
      </c>
      <c r="DW33" s="1007">
        <f t="shared" si="20"/>
        <v>0</v>
      </c>
      <c r="DX33" s="1007">
        <f t="shared" si="20"/>
        <v>7050780</v>
      </c>
      <c r="DY33" s="1007">
        <f t="shared" si="21"/>
        <v>0</v>
      </c>
      <c r="DZ33" s="1007">
        <f t="shared" si="21"/>
        <v>0</v>
      </c>
      <c r="EA33" s="1007">
        <f t="shared" si="21"/>
        <v>0</v>
      </c>
      <c r="EB33" s="1007">
        <f t="shared" si="21"/>
        <v>0</v>
      </c>
      <c r="EC33" s="1007"/>
      <c r="ED33" s="1007">
        <f t="shared" si="22"/>
        <v>5000000</v>
      </c>
    </row>
    <row r="34" spans="1:134" s="948" customFormat="1" ht="28.5" customHeight="1" thickBot="1" x14ac:dyDescent="0.3">
      <c r="A34" s="1057"/>
      <c r="B34" s="1572" t="s">
        <v>4339</v>
      </c>
      <c r="C34" s="1573"/>
      <c r="D34" s="1573"/>
      <c r="E34" s="1574"/>
      <c r="F34" s="1050"/>
      <c r="G34" s="1034">
        <f>SUM(G4:G33)</f>
        <v>1741000000</v>
      </c>
      <c r="H34" s="1034">
        <f>SUM(H4:H33)</f>
        <v>955358031</v>
      </c>
      <c r="I34" s="1034">
        <f>SUM(I4:I33)</f>
        <v>921750732</v>
      </c>
      <c r="J34" s="1054"/>
      <c r="K34" s="1078"/>
      <c r="L34" s="1078"/>
      <c r="M34" s="1073"/>
      <c r="N34" s="1073"/>
      <c r="O34" s="1073"/>
      <c r="P34" s="1078"/>
      <c r="Q34" s="1078"/>
      <c r="R34" s="1078"/>
      <c r="S34" s="1054"/>
      <c r="T34" s="1054"/>
      <c r="U34" s="1054"/>
      <c r="V34" s="1054"/>
      <c r="W34" s="1054"/>
      <c r="X34" s="1054"/>
      <c r="Y34" s="1034">
        <f t="shared" ref="Y34:AS34" si="26">SUM(Y4:Y33)</f>
        <v>1877108763</v>
      </c>
      <c r="Z34" s="1034">
        <f t="shared" si="26"/>
        <v>0</v>
      </c>
      <c r="AA34" s="1034">
        <f t="shared" si="26"/>
        <v>0</v>
      </c>
      <c r="AB34" s="1034">
        <f t="shared" si="26"/>
        <v>0</v>
      </c>
      <c r="AC34" s="1034">
        <f t="shared" si="26"/>
        <v>0</v>
      </c>
      <c r="AD34" s="1034">
        <f t="shared" si="26"/>
        <v>0</v>
      </c>
      <c r="AE34" s="1034">
        <f t="shared" si="26"/>
        <v>680000000</v>
      </c>
      <c r="AF34" s="1034">
        <f t="shared" si="26"/>
        <v>321985144</v>
      </c>
      <c r="AG34" s="1034">
        <f t="shared" si="26"/>
        <v>0</v>
      </c>
      <c r="AH34" s="1034">
        <f t="shared" si="26"/>
        <v>0</v>
      </c>
      <c r="AI34" s="1034">
        <f t="shared" si="26"/>
        <v>0</v>
      </c>
      <c r="AJ34" s="1034">
        <f t="shared" si="26"/>
        <v>0</v>
      </c>
      <c r="AK34" s="1034">
        <f t="shared" si="26"/>
        <v>0</v>
      </c>
      <c r="AL34" s="1034">
        <f t="shared" si="26"/>
        <v>0</v>
      </c>
      <c r="AM34" s="1034">
        <f t="shared" si="26"/>
        <v>270000000</v>
      </c>
      <c r="AN34" s="1034">
        <f t="shared" si="26"/>
        <v>186000000</v>
      </c>
      <c r="AO34" s="1034">
        <f t="shared" si="26"/>
        <v>220000000</v>
      </c>
      <c r="AP34" s="1034">
        <f t="shared" si="26"/>
        <v>0</v>
      </c>
      <c r="AQ34" s="1034">
        <f t="shared" si="26"/>
        <v>0</v>
      </c>
      <c r="AR34" s="1034">
        <f t="shared" si="26"/>
        <v>0</v>
      </c>
      <c r="AS34" s="1034">
        <f t="shared" si="26"/>
        <v>199123619</v>
      </c>
      <c r="AT34" s="1025"/>
      <c r="AU34" s="1010">
        <f t="shared" si="3"/>
        <v>0.61055917088593337</v>
      </c>
      <c r="AV34" s="1034">
        <f>SUM(AV4:AV33)</f>
        <v>1146085970</v>
      </c>
      <c r="AW34" s="1034">
        <f>SUM(AW4:AW33)</f>
        <v>0</v>
      </c>
      <c r="AX34" s="1034">
        <f>SUM(AX4:AX33)</f>
        <v>0</v>
      </c>
      <c r="AY34" s="1034"/>
      <c r="AZ34" s="1034">
        <f t="shared" ref="AZ34:BP34" si="27">SUM(AZ4:AZ33)</f>
        <v>0</v>
      </c>
      <c r="BA34" s="1034">
        <f t="shared" si="27"/>
        <v>0</v>
      </c>
      <c r="BB34" s="1034">
        <f t="shared" si="27"/>
        <v>365420869</v>
      </c>
      <c r="BC34" s="1034">
        <f t="shared" si="27"/>
        <v>246740675</v>
      </c>
      <c r="BD34" s="1034">
        <f t="shared" si="27"/>
        <v>0</v>
      </c>
      <c r="BE34" s="1034">
        <f t="shared" si="27"/>
        <v>0</v>
      </c>
      <c r="BF34" s="1034">
        <f t="shared" si="27"/>
        <v>0</v>
      </c>
      <c r="BG34" s="1034">
        <f t="shared" si="27"/>
        <v>0</v>
      </c>
      <c r="BH34" s="1034">
        <f t="shared" si="27"/>
        <v>0</v>
      </c>
      <c r="BI34" s="1034">
        <f t="shared" si="27"/>
        <v>0</v>
      </c>
      <c r="BJ34" s="1034">
        <f t="shared" si="27"/>
        <v>133901272</v>
      </c>
      <c r="BK34" s="1034">
        <f t="shared" si="27"/>
        <v>9709906</v>
      </c>
      <c r="BL34" s="1034">
        <f t="shared" si="27"/>
        <v>220000000</v>
      </c>
      <c r="BM34" s="1034">
        <f t="shared" si="27"/>
        <v>0</v>
      </c>
      <c r="BN34" s="1034">
        <f t="shared" si="27"/>
        <v>0</v>
      </c>
      <c r="BO34" s="1034">
        <f t="shared" si="27"/>
        <v>0</v>
      </c>
      <c r="BP34" s="1034">
        <f t="shared" si="27"/>
        <v>170313248</v>
      </c>
      <c r="BQ34" s="1009">
        <f t="shared" si="25"/>
        <v>0.38944082911406663</v>
      </c>
      <c r="BR34" s="1034">
        <f t="shared" ref="BR34:CL34" si="28">SUM(BR4:BR33)</f>
        <v>731022793</v>
      </c>
      <c r="BS34" s="1034">
        <f t="shared" si="28"/>
        <v>0</v>
      </c>
      <c r="BT34" s="1034">
        <f t="shared" si="28"/>
        <v>0</v>
      </c>
      <c r="BU34" s="1034">
        <f t="shared" si="28"/>
        <v>0</v>
      </c>
      <c r="BV34" s="1034">
        <f t="shared" si="28"/>
        <v>0</v>
      </c>
      <c r="BW34" s="1034">
        <f t="shared" si="28"/>
        <v>0</v>
      </c>
      <c r="BX34" s="1034">
        <f t="shared" si="28"/>
        <v>314579131</v>
      </c>
      <c r="BY34" s="1034">
        <f t="shared" si="28"/>
        <v>75244469</v>
      </c>
      <c r="BZ34" s="1034">
        <f t="shared" si="28"/>
        <v>0</v>
      </c>
      <c r="CA34" s="1034">
        <f t="shared" si="28"/>
        <v>0</v>
      </c>
      <c r="CB34" s="1034">
        <f t="shared" si="28"/>
        <v>0</v>
      </c>
      <c r="CC34" s="1034">
        <f t="shared" si="28"/>
        <v>0</v>
      </c>
      <c r="CD34" s="1034">
        <f t="shared" si="28"/>
        <v>0</v>
      </c>
      <c r="CE34" s="1034">
        <f t="shared" si="28"/>
        <v>0</v>
      </c>
      <c r="CF34" s="1034">
        <f t="shared" si="28"/>
        <v>136098728</v>
      </c>
      <c r="CG34" s="1034">
        <f t="shared" si="28"/>
        <v>176290094</v>
      </c>
      <c r="CH34" s="1034">
        <f t="shared" si="28"/>
        <v>0</v>
      </c>
      <c r="CI34" s="1034">
        <f t="shared" si="28"/>
        <v>0</v>
      </c>
      <c r="CJ34" s="1034">
        <f t="shared" si="28"/>
        <v>0</v>
      </c>
      <c r="CK34" s="1034">
        <f t="shared" si="28"/>
        <v>0</v>
      </c>
      <c r="CL34" s="1034">
        <f t="shared" si="28"/>
        <v>28810371</v>
      </c>
      <c r="CM34" s="1009">
        <f t="shared" si="13"/>
        <v>0.50895187845862722</v>
      </c>
      <c r="CN34" s="1034">
        <f>SUM(CN4:CN33)</f>
        <v>955358031</v>
      </c>
      <c r="CO34" s="1034">
        <f>SUM(CO4:CO33)</f>
        <v>0</v>
      </c>
      <c r="CP34" s="1034">
        <f>SUM(CP4:CP33)</f>
        <v>0</v>
      </c>
      <c r="CQ34" s="1034"/>
      <c r="CR34" s="1034">
        <f t="shared" ref="CR34:DH34" si="29">SUM(CR4:CR33)</f>
        <v>0</v>
      </c>
      <c r="CS34" s="1034">
        <f t="shared" si="29"/>
        <v>0</v>
      </c>
      <c r="CT34" s="1034">
        <f t="shared" si="29"/>
        <v>344798998</v>
      </c>
      <c r="CU34" s="1034">
        <f t="shared" si="29"/>
        <v>233991109</v>
      </c>
      <c r="CV34" s="1034">
        <f t="shared" si="29"/>
        <v>0</v>
      </c>
      <c r="CW34" s="1034">
        <f t="shared" si="29"/>
        <v>0</v>
      </c>
      <c r="CX34" s="1034">
        <f t="shared" si="29"/>
        <v>0</v>
      </c>
      <c r="CY34" s="1034">
        <f t="shared" si="29"/>
        <v>0</v>
      </c>
      <c r="CZ34" s="1034">
        <f t="shared" si="29"/>
        <v>0</v>
      </c>
      <c r="DA34" s="1034">
        <f t="shared" si="29"/>
        <v>0</v>
      </c>
      <c r="DB34" s="1034">
        <f t="shared" si="29"/>
        <v>81094725</v>
      </c>
      <c r="DC34" s="1034">
        <f t="shared" si="29"/>
        <v>9708912</v>
      </c>
      <c r="DD34" s="1034">
        <f t="shared" si="29"/>
        <v>174411916</v>
      </c>
      <c r="DE34" s="1034">
        <f t="shared" si="29"/>
        <v>0</v>
      </c>
      <c r="DF34" s="1034">
        <f t="shared" si="29"/>
        <v>0</v>
      </c>
      <c r="DG34" s="1034">
        <f t="shared" si="29"/>
        <v>0</v>
      </c>
      <c r="DH34" s="1034">
        <f t="shared" si="29"/>
        <v>111352371</v>
      </c>
      <c r="DI34" s="1009">
        <f t="shared" si="15"/>
        <v>0.49104812154137278</v>
      </c>
      <c r="DJ34" s="1034">
        <f>SUM(DJ4:DJ33)</f>
        <v>921750732</v>
      </c>
      <c r="DK34" s="1034">
        <f>SUM(DK4:DK33)</f>
        <v>0</v>
      </c>
      <c r="DL34" s="1034">
        <f>SUM(DL4:DL33)</f>
        <v>0</v>
      </c>
      <c r="DM34" s="1034"/>
      <c r="DN34" s="1034">
        <f t="shared" ref="DN34:ED34" si="30">SUM(DN4:DN33)</f>
        <v>0</v>
      </c>
      <c r="DO34" s="1034">
        <f t="shared" si="30"/>
        <v>0</v>
      </c>
      <c r="DP34" s="1034">
        <f t="shared" si="30"/>
        <v>335201002</v>
      </c>
      <c r="DQ34" s="1034">
        <f t="shared" si="30"/>
        <v>87994035</v>
      </c>
      <c r="DR34" s="1034">
        <f t="shared" si="30"/>
        <v>0</v>
      </c>
      <c r="DS34" s="1034">
        <f t="shared" si="30"/>
        <v>0</v>
      </c>
      <c r="DT34" s="1034">
        <f t="shared" si="30"/>
        <v>0</v>
      </c>
      <c r="DU34" s="1034">
        <f t="shared" si="30"/>
        <v>0</v>
      </c>
      <c r="DV34" s="1034">
        <f t="shared" si="30"/>
        <v>0</v>
      </c>
      <c r="DW34" s="1034">
        <f t="shared" si="30"/>
        <v>0</v>
      </c>
      <c r="DX34" s="1034">
        <f t="shared" si="30"/>
        <v>188905275</v>
      </c>
      <c r="DY34" s="1034">
        <f t="shared" si="30"/>
        <v>176291088</v>
      </c>
      <c r="DZ34" s="1034">
        <f t="shared" si="30"/>
        <v>45588084</v>
      </c>
      <c r="EA34" s="1034">
        <f t="shared" si="30"/>
        <v>0</v>
      </c>
      <c r="EB34" s="1034">
        <f t="shared" si="30"/>
        <v>0</v>
      </c>
      <c r="EC34" s="1034">
        <f t="shared" si="30"/>
        <v>0</v>
      </c>
      <c r="ED34" s="1042">
        <f t="shared" si="30"/>
        <v>87771248</v>
      </c>
    </row>
    <row r="35" spans="1:134" ht="59.25" customHeight="1" thickTop="1" x14ac:dyDescent="0.25">
      <c r="A35" s="1564" t="s">
        <v>4755</v>
      </c>
      <c r="B35" s="1026" t="s">
        <v>4306</v>
      </c>
      <c r="C35" s="1092" t="s">
        <v>4367</v>
      </c>
      <c r="D35" s="1018" t="s">
        <v>4601</v>
      </c>
      <c r="E35" s="1019">
        <v>410</v>
      </c>
      <c r="F35" s="1094" t="s">
        <v>3350</v>
      </c>
      <c r="G35" s="1576">
        <v>1000000000</v>
      </c>
      <c r="H35" s="1060">
        <f t="shared" ref="H35:H66" si="31">+CN35</f>
        <v>611824441</v>
      </c>
      <c r="I35" s="1060">
        <f t="shared" ref="I35:I66" si="32">Y35-H35</f>
        <v>11996440</v>
      </c>
      <c r="J35" s="1099" t="s">
        <v>4779</v>
      </c>
      <c r="K35" s="1095" t="s">
        <v>4780</v>
      </c>
      <c r="L35" s="1095" t="s">
        <v>4781</v>
      </c>
      <c r="M35" s="1097">
        <v>24</v>
      </c>
      <c r="N35" s="1097">
        <v>67</v>
      </c>
      <c r="O35" s="1097">
        <v>16</v>
      </c>
      <c r="P35" s="1095">
        <v>97</v>
      </c>
      <c r="Q35" s="1095">
        <v>200</v>
      </c>
      <c r="R35" s="1095">
        <v>195</v>
      </c>
      <c r="S35" s="1099"/>
      <c r="T35" s="1099"/>
      <c r="U35" s="1099"/>
      <c r="V35" s="1099"/>
      <c r="W35" s="1099"/>
      <c r="X35" s="1099"/>
      <c r="Y35" s="1007">
        <f t="shared" ref="Y35:Y66" si="33">SUM(Z35:AS35)</f>
        <v>623820881</v>
      </c>
      <c r="Z35" s="991"/>
      <c r="AA35" s="1016">
        <f>100000000+180000000-280000000</f>
        <v>0</v>
      </c>
      <c r="AB35" s="1016">
        <v>280000000</v>
      </c>
      <c r="AC35" s="1007">
        <f>300000000+220000000-216179119</f>
        <v>303820881</v>
      </c>
      <c r="AD35" s="991"/>
      <c r="AE35" s="1007">
        <f>20000000+20000000</f>
        <v>40000000</v>
      </c>
      <c r="AF35" s="1016">
        <f>400000000-180000000-220000000</f>
        <v>0</v>
      </c>
      <c r="AG35" s="991"/>
      <c r="AH35" s="991"/>
      <c r="AI35" s="991"/>
      <c r="AJ35" s="991"/>
      <c r="AK35" s="875"/>
      <c r="AL35" s="991"/>
      <c r="AM35" s="991"/>
      <c r="AN35" s="991"/>
      <c r="AO35" s="991"/>
      <c r="AP35" s="991"/>
      <c r="AQ35" s="991"/>
      <c r="AR35" s="991"/>
      <c r="AS35" s="991"/>
      <c r="AU35" s="1010">
        <f t="shared" si="3"/>
        <v>1</v>
      </c>
      <c r="AV35" s="1007">
        <f t="shared" ref="AV35:AV66" si="34">SUM(AW35:BP35)</f>
        <v>623820881</v>
      </c>
      <c r="AW35" s="1007"/>
      <c r="AX35" s="1007"/>
      <c r="AY35" s="1007">
        <v>280000000</v>
      </c>
      <c r="AZ35" s="1007">
        <f>+'[13]JUNIO 2015'!$M$866</f>
        <v>303820881</v>
      </c>
      <c r="BA35" s="1007"/>
      <c r="BB35" s="1007">
        <f>+'[13]JUNIO 2015'!$O$866</f>
        <v>40000000</v>
      </c>
      <c r="BC35" s="1007"/>
      <c r="BD35" s="1007"/>
      <c r="BE35" s="1007"/>
      <c r="BF35" s="1007"/>
      <c r="BG35" s="1007"/>
      <c r="BH35" s="1007"/>
      <c r="BI35" s="1007"/>
      <c r="BJ35" s="1007"/>
      <c r="BK35" s="1007"/>
      <c r="BL35" s="1007"/>
      <c r="BM35" s="1007"/>
      <c r="BN35" s="1007"/>
      <c r="BO35" s="1007"/>
      <c r="BP35" s="1007"/>
      <c r="BQ35" s="1010">
        <f t="shared" si="25"/>
        <v>0</v>
      </c>
      <c r="BR35" s="1007">
        <f t="shared" ref="BR35:BR66" si="35">SUM(BS35:CL35)</f>
        <v>0</v>
      </c>
      <c r="BS35" s="1007">
        <f t="shared" ref="BS35:BS58" si="36">+Z35-AW35</f>
        <v>0</v>
      </c>
      <c r="BT35" s="1007">
        <f t="shared" ref="BT35:BV50" si="37">AA35-AX35</f>
        <v>0</v>
      </c>
      <c r="BU35" s="1007">
        <f t="shared" si="37"/>
        <v>0</v>
      </c>
      <c r="BV35" s="1007">
        <f t="shared" si="37"/>
        <v>0</v>
      </c>
      <c r="BW35" s="1007"/>
      <c r="BX35" s="1007">
        <f t="shared" ref="BX35:BY58" si="38">+AE35-BB35</f>
        <v>0</v>
      </c>
      <c r="BY35" s="1007">
        <f t="shared" si="38"/>
        <v>0</v>
      </c>
      <c r="BZ35" s="1007"/>
      <c r="CA35" s="1007"/>
      <c r="CB35" s="1007">
        <f t="shared" ref="CB35:CB42" si="39">+AI35-BF35</f>
        <v>0</v>
      </c>
      <c r="CC35" s="1007"/>
      <c r="CD35" s="1007">
        <f t="shared" ref="CD35:CI54" si="40">+AK35-BH35</f>
        <v>0</v>
      </c>
      <c r="CE35" s="1007">
        <f t="shared" si="40"/>
        <v>0</v>
      </c>
      <c r="CF35" s="1007">
        <f t="shared" si="40"/>
        <v>0</v>
      </c>
      <c r="CG35" s="1007">
        <f t="shared" si="40"/>
        <v>0</v>
      </c>
      <c r="CH35" s="1007">
        <f t="shared" si="40"/>
        <v>0</v>
      </c>
      <c r="CI35" s="1007">
        <f t="shared" si="40"/>
        <v>0</v>
      </c>
      <c r="CJ35" s="1007"/>
      <c r="CK35" s="1007"/>
      <c r="CL35" s="1007">
        <f t="shared" ref="CL35:CL66" si="41">+AS35-BP35</f>
        <v>0</v>
      </c>
      <c r="CM35" s="1010">
        <f t="shared" si="13"/>
        <v>0.98076941576439469</v>
      </c>
      <c r="CN35" s="1007">
        <f t="shared" ref="CN35:CN66" si="42">SUM(CO35:DH35)</f>
        <v>611824441</v>
      </c>
      <c r="CO35" s="1007"/>
      <c r="CP35" s="1007"/>
      <c r="CQ35" s="1007">
        <f>+'[14]MAYO 2015'!$H$730+'[14]MAYO 2015'!$H$740</f>
        <v>280000000</v>
      </c>
      <c r="CR35" s="1007">
        <f>+'[13]JUNIO 2015'!$H$871+'[13]JUNIO 2015'!$H$882</f>
        <v>303820881</v>
      </c>
      <c r="CS35" s="1007"/>
      <c r="CT35" s="1007">
        <f>+'[10]JULIO 2015'!$H$1039</f>
        <v>28003560</v>
      </c>
      <c r="CU35" s="1007"/>
      <c r="CV35" s="1007"/>
      <c r="CW35" s="1007"/>
      <c r="CX35" s="1007"/>
      <c r="CY35" s="1007"/>
      <c r="CZ35" s="1007"/>
      <c r="DA35" s="1007"/>
      <c r="DB35" s="1007"/>
      <c r="DC35" s="1007"/>
      <c r="DD35" s="1007"/>
      <c r="DE35" s="1007"/>
      <c r="DF35" s="1007"/>
      <c r="DG35" s="1007"/>
      <c r="DH35" s="1007"/>
      <c r="DI35" s="1010">
        <f t="shared" si="15"/>
        <v>1.9230584235605308E-2</v>
      </c>
      <c r="DJ35" s="1007">
        <f t="shared" ref="DJ35:DJ66" si="43">SUM(DK35:ED35)</f>
        <v>11996440</v>
      </c>
      <c r="DK35" s="1007"/>
      <c r="DL35" s="1007">
        <f t="shared" ref="DL35:DN37" si="44">AA35-CP35</f>
        <v>0</v>
      </c>
      <c r="DM35" s="1007">
        <f t="shared" si="44"/>
        <v>0</v>
      </c>
      <c r="DN35" s="1007">
        <f t="shared" si="44"/>
        <v>0</v>
      </c>
      <c r="DO35" s="1007"/>
      <c r="DP35" s="1007">
        <f t="shared" ref="DP35:DQ58" si="45">AE35-CT35</f>
        <v>11996440</v>
      </c>
      <c r="DQ35" s="1007">
        <f t="shared" si="45"/>
        <v>0</v>
      </c>
      <c r="DR35" s="1007"/>
      <c r="DS35" s="1007">
        <f t="shared" ref="DS35:DT58" si="46">+AH35-CW35</f>
        <v>0</v>
      </c>
      <c r="DT35" s="1007">
        <f t="shared" si="46"/>
        <v>0</v>
      </c>
      <c r="DU35" s="1007"/>
      <c r="DV35" s="1007">
        <f t="shared" ref="DV35:DX58" si="47">AK35-CZ35</f>
        <v>0</v>
      </c>
      <c r="DW35" s="1007">
        <f t="shared" si="47"/>
        <v>0</v>
      </c>
      <c r="DX35" s="1007">
        <f t="shared" si="47"/>
        <v>0</v>
      </c>
      <c r="DY35" s="1007">
        <f t="shared" ref="DY35:EB58" si="48">+AN35-DC35</f>
        <v>0</v>
      </c>
      <c r="DZ35" s="1007">
        <f t="shared" si="48"/>
        <v>0</v>
      </c>
      <c r="EA35" s="1007">
        <f t="shared" si="48"/>
        <v>0</v>
      </c>
      <c r="EB35" s="1007">
        <f t="shared" si="48"/>
        <v>0</v>
      </c>
      <c r="EC35" s="1007"/>
      <c r="ED35" s="1007">
        <f t="shared" ref="ED35:ED66" si="49">+AS35-DH35</f>
        <v>0</v>
      </c>
    </row>
    <row r="36" spans="1:134" ht="48" customHeight="1" x14ac:dyDescent="0.25">
      <c r="A36" s="1565"/>
      <c r="B36" s="1018"/>
      <c r="C36" s="1092" t="s">
        <v>4368</v>
      </c>
      <c r="D36" s="1018" t="s">
        <v>4602</v>
      </c>
      <c r="E36" s="1019">
        <v>410</v>
      </c>
      <c r="F36" s="1094" t="s">
        <v>3350</v>
      </c>
      <c r="G36" s="1429"/>
      <c r="H36" s="1060">
        <f t="shared" si="31"/>
        <v>7649518</v>
      </c>
      <c r="I36" s="1060">
        <f t="shared" si="32"/>
        <v>0</v>
      </c>
      <c r="J36" s="1094" t="s">
        <v>4782</v>
      </c>
      <c r="K36" s="1097" t="s">
        <v>4783</v>
      </c>
      <c r="L36" s="1097" t="s">
        <v>4784</v>
      </c>
      <c r="M36" s="1097">
        <v>0</v>
      </c>
      <c r="N36" s="1097">
        <v>0</v>
      </c>
      <c r="O36" s="1097">
        <v>0</v>
      </c>
      <c r="P36" s="1097">
        <v>100</v>
      </c>
      <c r="Q36" s="1097">
        <v>33</v>
      </c>
      <c r="R36" s="1097">
        <v>33</v>
      </c>
      <c r="S36" s="1094"/>
      <c r="T36" s="1094"/>
      <c r="U36" s="1094"/>
      <c r="V36" s="1094"/>
      <c r="W36" s="1094"/>
      <c r="X36" s="1094"/>
      <c r="Y36" s="1007">
        <f t="shared" si="33"/>
        <v>7649518</v>
      </c>
      <c r="Z36" s="1007"/>
      <c r="AA36" s="1007">
        <f>100000000-92350482</f>
        <v>7649518</v>
      </c>
      <c r="AB36" s="1007"/>
      <c r="AC36" s="1007"/>
      <c r="AD36" s="1007"/>
      <c r="AE36" s="1007"/>
      <c r="AF36" s="1007"/>
      <c r="AG36" s="1007"/>
      <c r="AH36" s="1007"/>
      <c r="AI36" s="1007"/>
      <c r="AJ36" s="1007"/>
      <c r="AK36" s="1007"/>
      <c r="AL36" s="1007"/>
      <c r="AM36" s="1007"/>
      <c r="AN36" s="1007"/>
      <c r="AO36" s="1007"/>
      <c r="AP36" s="1007"/>
      <c r="AQ36" s="1007"/>
      <c r="AR36" s="1007"/>
      <c r="AS36" s="1007"/>
      <c r="AU36" s="1010">
        <f t="shared" si="3"/>
        <v>1</v>
      </c>
      <c r="AV36" s="1007">
        <f t="shared" si="34"/>
        <v>7649518</v>
      </c>
      <c r="AW36" s="1007"/>
      <c r="AX36" s="1007">
        <v>7649518</v>
      </c>
      <c r="AY36" s="1007"/>
      <c r="AZ36" s="1007"/>
      <c r="BA36" s="1007"/>
      <c r="BB36" s="1007"/>
      <c r="BC36" s="1007"/>
      <c r="BD36" s="1007"/>
      <c r="BE36" s="1007"/>
      <c r="BF36" s="1007"/>
      <c r="BG36" s="1007"/>
      <c r="BH36" s="1007"/>
      <c r="BI36" s="1007"/>
      <c r="BJ36" s="1007"/>
      <c r="BK36" s="1007"/>
      <c r="BL36" s="1007"/>
      <c r="BM36" s="1007"/>
      <c r="BN36" s="1007"/>
      <c r="BO36" s="1007"/>
      <c r="BP36" s="1007"/>
      <c r="BQ36" s="1010">
        <f t="shared" si="25"/>
        <v>0</v>
      </c>
      <c r="BR36" s="1007">
        <f t="shared" si="35"/>
        <v>0</v>
      </c>
      <c r="BS36" s="1007">
        <f t="shared" si="36"/>
        <v>0</v>
      </c>
      <c r="BT36" s="1007">
        <f t="shared" si="37"/>
        <v>0</v>
      </c>
      <c r="BU36" s="1007">
        <f t="shared" si="37"/>
        <v>0</v>
      </c>
      <c r="BV36" s="1007">
        <f t="shared" si="37"/>
        <v>0</v>
      </c>
      <c r="BW36" s="1007"/>
      <c r="BX36" s="1007">
        <f t="shared" si="38"/>
        <v>0</v>
      </c>
      <c r="BY36" s="1007">
        <f t="shared" si="38"/>
        <v>0</v>
      </c>
      <c r="BZ36" s="1007"/>
      <c r="CA36" s="1007"/>
      <c r="CB36" s="1007">
        <f t="shared" si="39"/>
        <v>0</v>
      </c>
      <c r="CC36" s="1007"/>
      <c r="CD36" s="1007">
        <f t="shared" si="40"/>
        <v>0</v>
      </c>
      <c r="CE36" s="1007">
        <f t="shared" si="40"/>
        <v>0</v>
      </c>
      <c r="CF36" s="1007">
        <f t="shared" si="40"/>
        <v>0</v>
      </c>
      <c r="CG36" s="1007">
        <f t="shared" si="40"/>
        <v>0</v>
      </c>
      <c r="CH36" s="1007">
        <f t="shared" si="40"/>
        <v>0</v>
      </c>
      <c r="CI36" s="1007">
        <f t="shared" si="40"/>
        <v>0</v>
      </c>
      <c r="CJ36" s="1007"/>
      <c r="CK36" s="1007"/>
      <c r="CL36" s="1007">
        <f t="shared" si="41"/>
        <v>0</v>
      </c>
      <c r="CM36" s="1010">
        <f t="shared" si="13"/>
        <v>1</v>
      </c>
      <c r="CN36" s="1007">
        <f t="shared" si="42"/>
        <v>7649518</v>
      </c>
      <c r="CO36" s="1007"/>
      <c r="CP36" s="1007">
        <f>+'[13]JUNIO 2015'!$K$891</f>
        <v>7649518</v>
      </c>
      <c r="CQ36" s="1007"/>
      <c r="CR36" s="1007"/>
      <c r="CS36" s="1007"/>
      <c r="CT36" s="1007"/>
      <c r="CU36" s="1007"/>
      <c r="CV36" s="1007"/>
      <c r="CW36" s="1007"/>
      <c r="CX36" s="1007"/>
      <c r="CY36" s="1007"/>
      <c r="CZ36" s="1007"/>
      <c r="DA36" s="1007"/>
      <c r="DB36" s="1007"/>
      <c r="DC36" s="1007"/>
      <c r="DD36" s="1007"/>
      <c r="DE36" s="1007"/>
      <c r="DF36" s="1007"/>
      <c r="DG36" s="1007"/>
      <c r="DH36" s="1007"/>
      <c r="DI36" s="1010">
        <f t="shared" si="15"/>
        <v>0</v>
      </c>
      <c r="DJ36" s="1007">
        <f t="shared" si="43"/>
        <v>0</v>
      </c>
      <c r="DK36" s="1007"/>
      <c r="DL36" s="1007">
        <f t="shared" si="44"/>
        <v>0</v>
      </c>
      <c r="DM36" s="1007">
        <f t="shared" si="44"/>
        <v>0</v>
      </c>
      <c r="DN36" s="1007">
        <f t="shared" si="44"/>
        <v>0</v>
      </c>
      <c r="DO36" s="1007"/>
      <c r="DP36" s="1007">
        <f t="shared" si="45"/>
        <v>0</v>
      </c>
      <c r="DQ36" s="1007">
        <f t="shared" si="45"/>
        <v>0</v>
      </c>
      <c r="DR36" s="1007"/>
      <c r="DS36" s="1007">
        <f t="shared" si="46"/>
        <v>0</v>
      </c>
      <c r="DT36" s="1007">
        <f t="shared" si="46"/>
        <v>0</v>
      </c>
      <c r="DU36" s="1007"/>
      <c r="DV36" s="1007">
        <f t="shared" si="47"/>
        <v>0</v>
      </c>
      <c r="DW36" s="1007">
        <f t="shared" si="47"/>
        <v>0</v>
      </c>
      <c r="DX36" s="1007">
        <f t="shared" si="47"/>
        <v>0</v>
      </c>
      <c r="DY36" s="1007">
        <f t="shared" si="48"/>
        <v>0</v>
      </c>
      <c r="DZ36" s="1007">
        <f t="shared" si="48"/>
        <v>0</v>
      </c>
      <c r="EA36" s="1007">
        <f t="shared" si="48"/>
        <v>0</v>
      </c>
      <c r="EB36" s="1007">
        <f t="shared" si="48"/>
        <v>0</v>
      </c>
      <c r="EC36" s="1007"/>
      <c r="ED36" s="1007">
        <f t="shared" si="49"/>
        <v>0</v>
      </c>
    </row>
    <row r="37" spans="1:134" ht="75" customHeight="1" x14ac:dyDescent="0.25">
      <c r="A37" s="1565"/>
      <c r="B37" s="1018"/>
      <c r="C37" s="1092" t="s">
        <v>4375</v>
      </c>
      <c r="D37" s="1018" t="s">
        <v>4318</v>
      </c>
      <c r="E37" s="1019">
        <v>410</v>
      </c>
      <c r="F37" s="1094" t="s">
        <v>3350</v>
      </c>
      <c r="G37" s="1430"/>
      <c r="H37" s="1060">
        <f t="shared" si="31"/>
        <v>141979331</v>
      </c>
      <c r="I37" s="1060">
        <f t="shared" si="32"/>
        <v>32388492</v>
      </c>
      <c r="J37" s="1094" t="s">
        <v>4785</v>
      </c>
      <c r="K37" s="1097" t="s">
        <v>4786</v>
      </c>
      <c r="L37" s="1097" t="s">
        <v>4787</v>
      </c>
      <c r="M37" s="1097">
        <v>56</v>
      </c>
      <c r="N37" s="1097">
        <v>100</v>
      </c>
      <c r="O37" s="1097">
        <v>56</v>
      </c>
      <c r="P37" s="1097">
        <v>49</v>
      </c>
      <c r="Q37" s="1097">
        <v>400</v>
      </c>
      <c r="R37" s="1097">
        <v>196</v>
      </c>
      <c r="S37" s="1094"/>
      <c r="T37" s="1094"/>
      <c r="U37" s="1094"/>
      <c r="V37" s="1094"/>
      <c r="W37" s="1094"/>
      <c r="X37" s="1094"/>
      <c r="Y37" s="1007">
        <f t="shared" si="33"/>
        <v>174367823</v>
      </c>
      <c r="Z37" s="1007"/>
      <c r="AA37" s="1007">
        <f>100000000-38824072</f>
        <v>61175928</v>
      </c>
      <c r="AB37" s="1007"/>
      <c r="AC37" s="1007"/>
      <c r="AD37" s="1007"/>
      <c r="AE37" s="1007">
        <v>50000000</v>
      </c>
      <c r="AF37" s="1007"/>
      <c r="AG37" s="1007"/>
      <c r="AH37" s="1007"/>
      <c r="AI37" s="1007"/>
      <c r="AJ37" s="1007"/>
      <c r="AK37" s="1007"/>
      <c r="AL37" s="1007"/>
      <c r="AM37" s="1007"/>
      <c r="AN37" s="1007"/>
      <c r="AO37" s="1007">
        <f>13191895+50000000</f>
        <v>63191895</v>
      </c>
      <c r="AP37" s="1007"/>
      <c r="AQ37" s="1007"/>
      <c r="AR37" s="1007"/>
      <c r="AS37" s="1007"/>
      <c r="AU37" s="1010">
        <f t="shared" si="3"/>
        <v>1</v>
      </c>
      <c r="AV37" s="1007">
        <f t="shared" si="34"/>
        <v>174367823</v>
      </c>
      <c r="AW37" s="1007"/>
      <c r="AX37" s="1007">
        <f>+'[13]JUNIO 2015'!$K$897</f>
        <v>61175928</v>
      </c>
      <c r="AY37" s="1007"/>
      <c r="AZ37" s="1007"/>
      <c r="BA37" s="1007"/>
      <c r="BB37" s="1007">
        <f>+'[13]JUNIO 2015'!$O$897</f>
        <v>50000000</v>
      </c>
      <c r="BC37" s="1007"/>
      <c r="BD37" s="1007"/>
      <c r="BE37" s="1007"/>
      <c r="BF37" s="1007"/>
      <c r="BG37" s="1007"/>
      <c r="BH37" s="1007"/>
      <c r="BI37" s="1007"/>
      <c r="BJ37" s="1007"/>
      <c r="BK37" s="1007"/>
      <c r="BL37" s="1007">
        <f>+'[8]SEPTIEMBRE 2015'!$Y$1352</f>
        <v>63191895</v>
      </c>
      <c r="BM37" s="1007"/>
      <c r="BN37" s="1007"/>
      <c r="BO37" s="1007"/>
      <c r="BP37" s="1007"/>
      <c r="BQ37" s="1010">
        <f t="shared" si="25"/>
        <v>0</v>
      </c>
      <c r="BR37" s="1007">
        <f t="shared" si="35"/>
        <v>0</v>
      </c>
      <c r="BS37" s="1007">
        <f t="shared" si="36"/>
        <v>0</v>
      </c>
      <c r="BT37" s="1007">
        <f t="shared" si="37"/>
        <v>0</v>
      </c>
      <c r="BU37" s="1007">
        <f t="shared" si="37"/>
        <v>0</v>
      </c>
      <c r="BV37" s="1007">
        <f t="shared" si="37"/>
        <v>0</v>
      </c>
      <c r="BW37" s="1007"/>
      <c r="BX37" s="1007">
        <f t="shared" si="38"/>
        <v>0</v>
      </c>
      <c r="BY37" s="1007">
        <f t="shared" si="38"/>
        <v>0</v>
      </c>
      <c r="BZ37" s="1007"/>
      <c r="CA37" s="1007"/>
      <c r="CB37" s="1007">
        <f t="shared" si="39"/>
        <v>0</v>
      </c>
      <c r="CC37" s="1007"/>
      <c r="CD37" s="1007">
        <f t="shared" si="40"/>
        <v>0</v>
      </c>
      <c r="CE37" s="1007">
        <f t="shared" si="40"/>
        <v>0</v>
      </c>
      <c r="CF37" s="1007">
        <f t="shared" si="40"/>
        <v>0</v>
      </c>
      <c r="CG37" s="1007">
        <f t="shared" si="40"/>
        <v>0</v>
      </c>
      <c r="CH37" s="1007">
        <f t="shared" si="40"/>
        <v>0</v>
      </c>
      <c r="CI37" s="1007">
        <f t="shared" si="40"/>
        <v>0</v>
      </c>
      <c r="CJ37" s="1007"/>
      <c r="CK37" s="1007"/>
      <c r="CL37" s="1007">
        <f t="shared" si="41"/>
        <v>0</v>
      </c>
      <c r="CM37" s="1010">
        <f t="shared" si="13"/>
        <v>0.81425189898711992</v>
      </c>
      <c r="CN37" s="1007">
        <f t="shared" si="42"/>
        <v>141979331</v>
      </c>
      <c r="CO37" s="1007"/>
      <c r="CP37" s="1007">
        <f>+'[13]JUNIO 2015'!$H$898</f>
        <v>61175928</v>
      </c>
      <c r="CQ37" s="1007"/>
      <c r="CR37" s="1007"/>
      <c r="CS37" s="1007"/>
      <c r="CT37" s="1007">
        <f>+'[8]SEPTIEMBRE 2015'!$H$1368</f>
        <v>50000000</v>
      </c>
      <c r="CU37" s="1007"/>
      <c r="CV37" s="1007"/>
      <c r="CW37" s="1007"/>
      <c r="CX37" s="1007"/>
      <c r="CY37" s="1007"/>
      <c r="CZ37" s="1007"/>
      <c r="DA37" s="1007"/>
      <c r="DB37" s="1007"/>
      <c r="DC37" s="1007"/>
      <c r="DD37" s="1007">
        <f>+'[8]SEPTIEMBRE 2015'!$H$1381+'[8]SEPTIEMBRE 2015'!$H$1384</f>
        <v>30803403</v>
      </c>
      <c r="DE37" s="1007"/>
      <c r="DF37" s="1007"/>
      <c r="DG37" s="1007"/>
      <c r="DH37" s="1007"/>
      <c r="DI37" s="1010">
        <f t="shared" si="15"/>
        <v>0.18574810101288008</v>
      </c>
      <c r="DJ37" s="1007">
        <f t="shared" si="43"/>
        <v>32388492</v>
      </c>
      <c r="DK37" s="1007"/>
      <c r="DL37" s="1007">
        <f t="shared" si="44"/>
        <v>0</v>
      </c>
      <c r="DM37" s="1007">
        <f t="shared" si="44"/>
        <v>0</v>
      </c>
      <c r="DN37" s="1007">
        <f t="shared" si="44"/>
        <v>0</v>
      </c>
      <c r="DO37" s="1007"/>
      <c r="DP37" s="1007">
        <f t="shared" si="45"/>
        <v>0</v>
      </c>
      <c r="DQ37" s="1007">
        <f t="shared" si="45"/>
        <v>0</v>
      </c>
      <c r="DR37" s="1007"/>
      <c r="DS37" s="1007">
        <f t="shared" si="46"/>
        <v>0</v>
      </c>
      <c r="DT37" s="1007">
        <f t="shared" si="46"/>
        <v>0</v>
      </c>
      <c r="DU37" s="1007"/>
      <c r="DV37" s="1007">
        <f t="shared" si="47"/>
        <v>0</v>
      </c>
      <c r="DW37" s="1007">
        <f t="shared" si="47"/>
        <v>0</v>
      </c>
      <c r="DX37" s="1007">
        <f t="shared" si="47"/>
        <v>0</v>
      </c>
      <c r="DY37" s="1007">
        <f t="shared" si="48"/>
        <v>0</v>
      </c>
      <c r="DZ37" s="1007">
        <f t="shared" si="48"/>
        <v>32388492</v>
      </c>
      <c r="EA37" s="1007">
        <f t="shared" si="48"/>
        <v>0</v>
      </c>
      <c r="EB37" s="1007">
        <f t="shared" si="48"/>
        <v>0</v>
      </c>
      <c r="EC37" s="1007"/>
      <c r="ED37" s="1007">
        <f t="shared" si="49"/>
        <v>0</v>
      </c>
    </row>
    <row r="38" spans="1:134" ht="36.75" customHeight="1" x14ac:dyDescent="0.25">
      <c r="A38" s="1565"/>
      <c r="B38" s="1018" t="s">
        <v>4308</v>
      </c>
      <c r="C38" s="1092" t="s">
        <v>4369</v>
      </c>
      <c r="D38" s="1018" t="s">
        <v>4724</v>
      </c>
      <c r="E38" s="1019">
        <v>410</v>
      </c>
      <c r="F38" s="1094" t="s">
        <v>3350</v>
      </c>
      <c r="G38" s="1428">
        <v>170000000</v>
      </c>
      <c r="H38" s="1060">
        <f t="shared" si="31"/>
        <v>0</v>
      </c>
      <c r="I38" s="1060">
        <f t="shared" si="32"/>
        <v>10000000</v>
      </c>
      <c r="J38" s="1094" t="s">
        <v>4788</v>
      </c>
      <c r="K38" s="1097" t="s">
        <v>4789</v>
      </c>
      <c r="L38" s="1097" t="s">
        <v>4790</v>
      </c>
      <c r="M38" s="1097">
        <v>0</v>
      </c>
      <c r="N38" s="1097">
        <v>0</v>
      </c>
      <c r="O38" s="1097">
        <v>0</v>
      </c>
      <c r="P38" s="1097">
        <v>0</v>
      </c>
      <c r="Q38" s="1097">
        <v>0</v>
      </c>
      <c r="R38" s="1097">
        <v>0</v>
      </c>
      <c r="S38" s="1094"/>
      <c r="T38" s="1094"/>
      <c r="U38" s="1094"/>
      <c r="V38" s="1094"/>
      <c r="W38" s="1094"/>
      <c r="X38" s="1094"/>
      <c r="Y38" s="1007">
        <f t="shared" si="33"/>
        <v>10000000</v>
      </c>
      <c r="Z38" s="1007"/>
      <c r="AA38" s="1007"/>
      <c r="AB38" s="1007"/>
      <c r="AC38" s="1007"/>
      <c r="AD38" s="1007"/>
      <c r="AE38" s="1007">
        <v>10000000</v>
      </c>
      <c r="AF38" s="1007"/>
      <c r="AG38" s="1007"/>
      <c r="AH38" s="1007"/>
      <c r="AI38" s="1007"/>
      <c r="AJ38" s="1007"/>
      <c r="AK38" s="1007"/>
      <c r="AL38" s="1007"/>
      <c r="AM38" s="1007"/>
      <c r="AN38" s="1007"/>
      <c r="AO38" s="1007"/>
      <c r="AP38" s="1007"/>
      <c r="AQ38" s="1007"/>
      <c r="AR38" s="1007"/>
      <c r="AS38" s="1007"/>
      <c r="AU38" s="1010">
        <f t="shared" si="3"/>
        <v>1</v>
      </c>
      <c r="AV38" s="1007">
        <f t="shared" si="34"/>
        <v>10000000</v>
      </c>
      <c r="AW38" s="1007"/>
      <c r="AX38" s="1007"/>
      <c r="AY38" s="1007"/>
      <c r="AZ38" s="1007"/>
      <c r="BA38" s="1007"/>
      <c r="BB38" s="1007">
        <f>+'[15]FEBRERO 2015'!$N$490</f>
        <v>10000000</v>
      </c>
      <c r="BC38" s="1007"/>
      <c r="BD38" s="1007"/>
      <c r="BE38" s="1007"/>
      <c r="BF38" s="1007"/>
      <c r="BG38" s="1007"/>
      <c r="BH38" s="1007"/>
      <c r="BI38" s="1007"/>
      <c r="BJ38" s="1007"/>
      <c r="BK38" s="1007"/>
      <c r="BL38" s="1007"/>
      <c r="BM38" s="1007"/>
      <c r="BN38" s="1007"/>
      <c r="BO38" s="1007"/>
      <c r="BP38" s="1007"/>
      <c r="BQ38" s="1010">
        <f t="shared" si="25"/>
        <v>0</v>
      </c>
      <c r="BR38" s="1007">
        <f t="shared" si="35"/>
        <v>0</v>
      </c>
      <c r="BS38" s="1007">
        <f t="shared" si="36"/>
        <v>0</v>
      </c>
      <c r="BT38" s="1007"/>
      <c r="BU38" s="1007">
        <f t="shared" si="37"/>
        <v>0</v>
      </c>
      <c r="BV38" s="1007">
        <f t="shared" si="37"/>
        <v>0</v>
      </c>
      <c r="BW38" s="1007"/>
      <c r="BX38" s="1007">
        <f t="shared" si="38"/>
        <v>0</v>
      </c>
      <c r="BY38" s="1007">
        <f t="shared" si="38"/>
        <v>0</v>
      </c>
      <c r="BZ38" s="1007"/>
      <c r="CA38" s="1007">
        <f>+AH38-BE38</f>
        <v>0</v>
      </c>
      <c r="CB38" s="1007">
        <f t="shared" si="39"/>
        <v>0</v>
      </c>
      <c r="CC38" s="1007">
        <f>+AJ38-BG38</f>
        <v>0</v>
      </c>
      <c r="CD38" s="1007">
        <f t="shared" si="40"/>
        <v>0</v>
      </c>
      <c r="CE38" s="1007">
        <f t="shared" si="40"/>
        <v>0</v>
      </c>
      <c r="CF38" s="1007">
        <f t="shared" si="40"/>
        <v>0</v>
      </c>
      <c r="CG38" s="1007">
        <f t="shared" si="40"/>
        <v>0</v>
      </c>
      <c r="CH38" s="1007">
        <f t="shared" si="40"/>
        <v>0</v>
      </c>
      <c r="CI38" s="1007">
        <f t="shared" si="40"/>
        <v>0</v>
      </c>
      <c r="CJ38" s="1007"/>
      <c r="CK38" s="1007"/>
      <c r="CL38" s="1007">
        <f t="shared" si="41"/>
        <v>0</v>
      </c>
      <c r="CM38" s="1010">
        <f t="shared" si="13"/>
        <v>0</v>
      </c>
      <c r="CN38" s="1007">
        <f t="shared" si="42"/>
        <v>0</v>
      </c>
      <c r="CO38" s="1007"/>
      <c r="CP38" s="1007"/>
      <c r="CQ38" s="1007"/>
      <c r="CR38" s="1007"/>
      <c r="CS38" s="1007"/>
      <c r="CT38" s="1007"/>
      <c r="CU38" s="1007"/>
      <c r="CV38" s="1007"/>
      <c r="CW38" s="1007"/>
      <c r="CX38" s="1007"/>
      <c r="CY38" s="1007"/>
      <c r="CZ38" s="1007"/>
      <c r="DA38" s="1007"/>
      <c r="DB38" s="1007"/>
      <c r="DC38" s="1007"/>
      <c r="DD38" s="1007"/>
      <c r="DE38" s="1007"/>
      <c r="DF38" s="1007"/>
      <c r="DG38" s="1007"/>
      <c r="DH38" s="1007"/>
      <c r="DI38" s="1010">
        <f t="shared" si="15"/>
        <v>1</v>
      </c>
      <c r="DJ38" s="1007">
        <f t="shared" si="43"/>
        <v>10000000</v>
      </c>
      <c r="DK38" s="1007"/>
      <c r="DL38" s="1007"/>
      <c r="DM38" s="1007"/>
      <c r="DN38" s="1007"/>
      <c r="DO38" s="1007"/>
      <c r="DP38" s="1007">
        <f t="shared" si="45"/>
        <v>10000000</v>
      </c>
      <c r="DQ38" s="1007">
        <f t="shared" si="45"/>
        <v>0</v>
      </c>
      <c r="DR38" s="1007"/>
      <c r="DS38" s="1007">
        <f t="shared" si="46"/>
        <v>0</v>
      </c>
      <c r="DT38" s="1007">
        <f t="shared" si="46"/>
        <v>0</v>
      </c>
      <c r="DU38" s="1007"/>
      <c r="DV38" s="1007">
        <f t="shared" si="47"/>
        <v>0</v>
      </c>
      <c r="DW38" s="1007">
        <f t="shared" si="47"/>
        <v>0</v>
      </c>
      <c r="DX38" s="1007">
        <f t="shared" si="47"/>
        <v>0</v>
      </c>
      <c r="DY38" s="1007">
        <f t="shared" si="48"/>
        <v>0</v>
      </c>
      <c r="DZ38" s="1007">
        <f t="shared" si="48"/>
        <v>0</v>
      </c>
      <c r="EA38" s="1007">
        <f t="shared" si="48"/>
        <v>0</v>
      </c>
      <c r="EB38" s="1007">
        <f t="shared" si="48"/>
        <v>0</v>
      </c>
      <c r="EC38" s="1007"/>
      <c r="ED38" s="1007">
        <f t="shared" si="49"/>
        <v>0</v>
      </c>
    </row>
    <row r="39" spans="1:134" ht="37.5" customHeight="1" x14ac:dyDescent="0.25">
      <c r="A39" s="1565"/>
      <c r="B39" s="1018"/>
      <c r="C39" s="1092" t="s">
        <v>4370</v>
      </c>
      <c r="D39" s="1018" t="s">
        <v>4603</v>
      </c>
      <c r="E39" s="1019">
        <v>410</v>
      </c>
      <c r="F39" s="1094" t="s">
        <v>3350</v>
      </c>
      <c r="G39" s="1429"/>
      <c r="H39" s="1060">
        <f t="shared" si="31"/>
        <v>92697557</v>
      </c>
      <c r="I39" s="1060">
        <f t="shared" si="32"/>
        <v>88146528</v>
      </c>
      <c r="J39" s="1094" t="s">
        <v>4776</v>
      </c>
      <c r="K39" s="1097" t="s">
        <v>4791</v>
      </c>
      <c r="L39" s="1097" t="s">
        <v>4792</v>
      </c>
      <c r="M39" s="1097">
        <v>10</v>
      </c>
      <c r="N39" s="1097">
        <v>0</v>
      </c>
      <c r="O39" s="1097">
        <v>0</v>
      </c>
      <c r="P39" s="1097">
        <v>26</v>
      </c>
      <c r="Q39" s="1097">
        <v>200</v>
      </c>
      <c r="R39" s="1097">
        <v>26</v>
      </c>
      <c r="S39" s="1094"/>
      <c r="T39" s="1094"/>
      <c r="U39" s="1094"/>
      <c r="V39" s="1094"/>
      <c r="W39" s="1094"/>
      <c r="X39" s="1094"/>
      <c r="Y39" s="1007">
        <f t="shared" si="33"/>
        <v>180844085</v>
      </c>
      <c r="Z39" s="1007"/>
      <c r="AA39" s="1007"/>
      <c r="AB39" s="1007"/>
      <c r="AC39" s="1007"/>
      <c r="AD39" s="1007"/>
      <c r="AE39" s="1007">
        <v>20000000</v>
      </c>
      <c r="AF39" s="1007"/>
      <c r="AG39" s="1007"/>
      <c r="AH39" s="1007"/>
      <c r="AI39" s="1007"/>
      <c r="AJ39" s="1007"/>
      <c r="AK39" s="1007"/>
      <c r="AL39" s="1007"/>
      <c r="AM39" s="1007"/>
      <c r="AN39" s="1007">
        <f>100000000-20000000</f>
        <v>80000000</v>
      </c>
      <c r="AO39" s="1007"/>
      <c r="AP39" s="1007"/>
      <c r="AQ39" s="1007">
        <v>80844085</v>
      </c>
      <c r="AR39" s="1007"/>
      <c r="AS39" s="1007"/>
      <c r="AU39" s="1010">
        <f t="shared" si="3"/>
        <v>0.91178572967979576</v>
      </c>
      <c r="AV39" s="1007">
        <f t="shared" si="34"/>
        <v>164891056</v>
      </c>
      <c r="AW39" s="1007"/>
      <c r="AX39" s="1007"/>
      <c r="AY39" s="1007"/>
      <c r="AZ39" s="1007"/>
      <c r="BA39" s="1007"/>
      <c r="BB39" s="1007">
        <f>+'[15]FEBRERO 2015'!$N$495</f>
        <v>20000000</v>
      </c>
      <c r="BC39" s="1007"/>
      <c r="BD39" s="1007"/>
      <c r="BE39" s="1007"/>
      <c r="BF39" s="1007"/>
      <c r="BG39" s="1007"/>
      <c r="BH39" s="1007"/>
      <c r="BI39" s="1007"/>
      <c r="BJ39" s="1007"/>
      <c r="BK39" s="1007">
        <f>+'[10]JULIO 2015'!$X$1091</f>
        <v>64046971</v>
      </c>
      <c r="BL39" s="1007"/>
      <c r="BM39" s="1007"/>
      <c r="BN39" s="1007">
        <f>+'[11]MARZO 2015'!$Z$635</f>
        <v>80844085</v>
      </c>
      <c r="BO39" s="1007"/>
      <c r="BP39" s="1007"/>
      <c r="BQ39" s="1010">
        <f t="shared" si="25"/>
        <v>8.8214270320204236E-2</v>
      </c>
      <c r="BR39" s="1007">
        <f t="shared" si="35"/>
        <v>15953029</v>
      </c>
      <c r="BS39" s="1007">
        <f t="shared" si="36"/>
        <v>0</v>
      </c>
      <c r="BT39" s="1007"/>
      <c r="BU39" s="1007">
        <f t="shared" si="37"/>
        <v>0</v>
      </c>
      <c r="BV39" s="1007">
        <f t="shared" si="37"/>
        <v>0</v>
      </c>
      <c r="BW39" s="1007"/>
      <c r="BX39" s="1007">
        <f t="shared" si="38"/>
        <v>0</v>
      </c>
      <c r="BY39" s="1007">
        <f t="shared" si="38"/>
        <v>0</v>
      </c>
      <c r="BZ39" s="1007"/>
      <c r="CA39" s="1007">
        <f>+AH39-BE39</f>
        <v>0</v>
      </c>
      <c r="CB39" s="1007">
        <f t="shared" si="39"/>
        <v>0</v>
      </c>
      <c r="CC39" s="1007">
        <f>+AJ39-BG39</f>
        <v>0</v>
      </c>
      <c r="CD39" s="1007">
        <f t="shared" si="40"/>
        <v>0</v>
      </c>
      <c r="CE39" s="1007">
        <f t="shared" si="40"/>
        <v>0</v>
      </c>
      <c r="CF39" s="1007">
        <f t="shared" si="40"/>
        <v>0</v>
      </c>
      <c r="CG39" s="1007">
        <f t="shared" si="40"/>
        <v>15953029</v>
      </c>
      <c r="CH39" s="1007">
        <f t="shared" si="40"/>
        <v>0</v>
      </c>
      <c r="CI39" s="1007">
        <f t="shared" si="40"/>
        <v>0</v>
      </c>
      <c r="CJ39" s="1007"/>
      <c r="CK39" s="1007"/>
      <c r="CL39" s="1007">
        <f t="shared" si="41"/>
        <v>0</v>
      </c>
      <c r="CM39" s="1010">
        <f t="shared" si="13"/>
        <v>0.51258274220027711</v>
      </c>
      <c r="CN39" s="1007">
        <f t="shared" si="42"/>
        <v>92697557</v>
      </c>
      <c r="CO39" s="1007"/>
      <c r="CP39" s="1007"/>
      <c r="CQ39" s="1007"/>
      <c r="CR39" s="1007"/>
      <c r="CS39" s="1007"/>
      <c r="CT39" s="1007">
        <f>+'[13]JUNIO 2015'!$H$924</f>
        <v>20000000</v>
      </c>
      <c r="CU39" s="1007"/>
      <c r="CV39" s="1007"/>
      <c r="CW39" s="1007"/>
      <c r="CX39" s="1007"/>
      <c r="CY39" s="1007"/>
      <c r="CZ39" s="1007"/>
      <c r="DA39" s="1007"/>
      <c r="DB39" s="1007"/>
      <c r="DC39" s="1007">
        <f>+'[8]SEPTIEMBRE 2015'!$H$1403+'[8]SEPTIEMBRE 2015'!$H$1412</f>
        <v>42468996</v>
      </c>
      <c r="DD39" s="1007"/>
      <c r="DE39" s="1007"/>
      <c r="DF39" s="1007">
        <f>+'[8]SEPTIEMBRE 2015'!$H$1417</f>
        <v>30228561</v>
      </c>
      <c r="DG39" s="1007"/>
      <c r="DH39" s="1007"/>
      <c r="DI39" s="1010">
        <f t="shared" si="15"/>
        <v>0.48741725779972289</v>
      </c>
      <c r="DJ39" s="1007">
        <f t="shared" si="43"/>
        <v>88146528</v>
      </c>
      <c r="DK39" s="1007"/>
      <c r="DL39" s="1007"/>
      <c r="DM39" s="1007"/>
      <c r="DN39" s="1007"/>
      <c r="DO39" s="1007"/>
      <c r="DP39" s="1007">
        <f t="shared" si="45"/>
        <v>0</v>
      </c>
      <c r="DQ39" s="1007">
        <f t="shared" si="45"/>
        <v>0</v>
      </c>
      <c r="DR39" s="1007"/>
      <c r="DS39" s="1007">
        <f t="shared" si="46"/>
        <v>0</v>
      </c>
      <c r="DT39" s="1007">
        <f t="shared" si="46"/>
        <v>0</v>
      </c>
      <c r="DU39" s="1007"/>
      <c r="DV39" s="1007">
        <f t="shared" si="47"/>
        <v>0</v>
      </c>
      <c r="DW39" s="1007">
        <f t="shared" si="47"/>
        <v>0</v>
      </c>
      <c r="DX39" s="1007">
        <f t="shared" si="47"/>
        <v>0</v>
      </c>
      <c r="DY39" s="1007">
        <f t="shared" si="48"/>
        <v>37531004</v>
      </c>
      <c r="DZ39" s="1007">
        <f t="shared" si="48"/>
        <v>0</v>
      </c>
      <c r="EA39" s="1007">
        <f t="shared" si="48"/>
        <v>0</v>
      </c>
      <c r="EB39" s="1007">
        <f t="shared" si="48"/>
        <v>50615524</v>
      </c>
      <c r="EC39" s="1007"/>
      <c r="ED39" s="1007">
        <f t="shared" si="49"/>
        <v>0</v>
      </c>
    </row>
    <row r="40" spans="1:134" ht="42" customHeight="1" x14ac:dyDescent="0.25">
      <c r="A40" s="1565"/>
      <c r="B40" s="1018"/>
      <c r="C40" s="1092" t="s">
        <v>4371</v>
      </c>
      <c r="D40" s="1018" t="s">
        <v>4604</v>
      </c>
      <c r="E40" s="1019">
        <v>410</v>
      </c>
      <c r="F40" s="1094" t="s">
        <v>3350</v>
      </c>
      <c r="G40" s="1429"/>
      <c r="H40" s="1060">
        <f t="shared" si="31"/>
        <v>1064000</v>
      </c>
      <c r="I40" s="1060">
        <f t="shared" si="32"/>
        <v>8936000</v>
      </c>
      <c r="J40" s="1094" t="s">
        <v>4793</v>
      </c>
      <c r="K40" s="1097" t="s">
        <v>4794</v>
      </c>
      <c r="L40" s="1097" t="s">
        <v>4795</v>
      </c>
      <c r="M40" s="1097">
        <v>0</v>
      </c>
      <c r="N40" s="1097">
        <v>0</v>
      </c>
      <c r="O40" s="1097">
        <v>0</v>
      </c>
      <c r="P40" s="1097">
        <v>6</v>
      </c>
      <c r="Q40" s="1097">
        <v>0</v>
      </c>
      <c r="R40" s="1097">
        <v>0</v>
      </c>
      <c r="S40" s="1094"/>
      <c r="T40" s="1094"/>
      <c r="U40" s="1094"/>
      <c r="V40" s="1094"/>
      <c r="W40" s="1094"/>
      <c r="X40" s="1094"/>
      <c r="Y40" s="1007">
        <f t="shared" si="33"/>
        <v>10000000</v>
      </c>
      <c r="Z40" s="1007"/>
      <c r="AA40" s="1007"/>
      <c r="AB40" s="1007"/>
      <c r="AC40" s="1007"/>
      <c r="AD40" s="1007"/>
      <c r="AE40" s="1007">
        <v>10000000</v>
      </c>
      <c r="AF40" s="1007"/>
      <c r="AG40" s="1007"/>
      <c r="AH40" s="1007"/>
      <c r="AI40" s="1007"/>
      <c r="AJ40" s="1007"/>
      <c r="AK40" s="1007"/>
      <c r="AL40" s="1007"/>
      <c r="AM40" s="1007"/>
      <c r="AN40" s="1007"/>
      <c r="AO40" s="1007"/>
      <c r="AP40" s="1007"/>
      <c r="AQ40" s="1007"/>
      <c r="AR40" s="1007"/>
      <c r="AS40" s="1007"/>
      <c r="AU40" s="1010">
        <f t="shared" si="3"/>
        <v>1</v>
      </c>
      <c r="AV40" s="1007">
        <f t="shared" si="34"/>
        <v>10000000</v>
      </c>
      <c r="AW40" s="1007"/>
      <c r="AX40" s="1007"/>
      <c r="AY40" s="1007"/>
      <c r="AZ40" s="1007"/>
      <c r="BA40" s="1007"/>
      <c r="BB40" s="1007">
        <f>+'[15]FEBRERO 2015'!$N$501</f>
        <v>10000000</v>
      </c>
      <c r="BC40" s="1007"/>
      <c r="BD40" s="1007"/>
      <c r="BE40" s="1007"/>
      <c r="BF40" s="1007"/>
      <c r="BG40" s="1007"/>
      <c r="BH40" s="1007"/>
      <c r="BI40" s="1007"/>
      <c r="BJ40" s="1007"/>
      <c r="BK40" s="1007"/>
      <c r="BL40" s="1007"/>
      <c r="BM40" s="1007"/>
      <c r="BN40" s="1007"/>
      <c r="BO40" s="1007"/>
      <c r="BP40" s="1007"/>
      <c r="BQ40" s="1010">
        <f t="shared" si="25"/>
        <v>0</v>
      </c>
      <c r="BR40" s="1007">
        <f t="shared" si="35"/>
        <v>0</v>
      </c>
      <c r="BS40" s="1007">
        <f t="shared" si="36"/>
        <v>0</v>
      </c>
      <c r="BT40" s="1007"/>
      <c r="BU40" s="1007">
        <f t="shared" si="37"/>
        <v>0</v>
      </c>
      <c r="BV40" s="1007">
        <f t="shared" si="37"/>
        <v>0</v>
      </c>
      <c r="BW40" s="1007"/>
      <c r="BX40" s="1007">
        <f t="shared" si="38"/>
        <v>0</v>
      </c>
      <c r="BY40" s="1007">
        <f t="shared" si="38"/>
        <v>0</v>
      </c>
      <c r="BZ40" s="1007"/>
      <c r="CA40" s="1007">
        <f>+AH40-BE40</f>
        <v>0</v>
      </c>
      <c r="CB40" s="1007">
        <f t="shared" si="39"/>
        <v>0</v>
      </c>
      <c r="CC40" s="1007">
        <f>+AJ40-BG40</f>
        <v>0</v>
      </c>
      <c r="CD40" s="1007">
        <f t="shared" si="40"/>
        <v>0</v>
      </c>
      <c r="CE40" s="1007">
        <f t="shared" si="40"/>
        <v>0</v>
      </c>
      <c r="CF40" s="1007">
        <f t="shared" si="40"/>
        <v>0</v>
      </c>
      <c r="CG40" s="1007">
        <f t="shared" si="40"/>
        <v>0</v>
      </c>
      <c r="CH40" s="1007">
        <f t="shared" si="40"/>
        <v>0</v>
      </c>
      <c r="CI40" s="1007">
        <f t="shared" si="40"/>
        <v>0</v>
      </c>
      <c r="CJ40" s="1007"/>
      <c r="CK40" s="1007"/>
      <c r="CL40" s="1007">
        <f t="shared" si="41"/>
        <v>0</v>
      </c>
      <c r="CM40" s="1010">
        <f t="shared" si="13"/>
        <v>0.10639999999999999</v>
      </c>
      <c r="CN40" s="1007">
        <f t="shared" si="42"/>
        <v>1064000</v>
      </c>
      <c r="CO40" s="1007"/>
      <c r="CP40" s="1007"/>
      <c r="CQ40" s="1007"/>
      <c r="CR40" s="1007"/>
      <c r="CS40" s="1007"/>
      <c r="CT40" s="1007">
        <f>+'[7]AGOSTO 2015'!$H$1265</f>
        <v>1064000</v>
      </c>
      <c r="CU40" s="1007"/>
      <c r="CV40" s="1007"/>
      <c r="CW40" s="1007"/>
      <c r="CX40" s="1007"/>
      <c r="CY40" s="1007"/>
      <c r="CZ40" s="1007"/>
      <c r="DA40" s="1007"/>
      <c r="DB40" s="1007"/>
      <c r="DC40" s="1007"/>
      <c r="DD40" s="1007"/>
      <c r="DE40" s="1007"/>
      <c r="DF40" s="1007"/>
      <c r="DG40" s="1007"/>
      <c r="DH40" s="1007"/>
      <c r="DI40" s="1010">
        <f t="shared" si="15"/>
        <v>0.89359999999999995</v>
      </c>
      <c r="DJ40" s="1007">
        <f t="shared" si="43"/>
        <v>8936000</v>
      </c>
      <c r="DK40" s="1007"/>
      <c r="DL40" s="1007"/>
      <c r="DM40" s="1007"/>
      <c r="DN40" s="1007"/>
      <c r="DO40" s="1007"/>
      <c r="DP40" s="1007">
        <f t="shared" si="45"/>
        <v>8936000</v>
      </c>
      <c r="DQ40" s="1007">
        <f t="shared" si="45"/>
        <v>0</v>
      </c>
      <c r="DR40" s="1007"/>
      <c r="DS40" s="1007">
        <f t="shared" si="46"/>
        <v>0</v>
      </c>
      <c r="DT40" s="1007">
        <f t="shared" si="46"/>
        <v>0</v>
      </c>
      <c r="DU40" s="1007"/>
      <c r="DV40" s="1007">
        <f t="shared" si="47"/>
        <v>0</v>
      </c>
      <c r="DW40" s="1007">
        <f t="shared" si="47"/>
        <v>0</v>
      </c>
      <c r="DX40" s="1007">
        <f t="shared" si="47"/>
        <v>0</v>
      </c>
      <c r="DY40" s="1007">
        <f t="shared" si="48"/>
        <v>0</v>
      </c>
      <c r="DZ40" s="1007">
        <f t="shared" si="48"/>
        <v>0</v>
      </c>
      <c r="EA40" s="1007">
        <f t="shared" si="48"/>
        <v>0</v>
      </c>
      <c r="EB40" s="1007">
        <f t="shared" si="48"/>
        <v>0</v>
      </c>
      <c r="EC40" s="1007"/>
      <c r="ED40" s="1007">
        <f t="shared" si="49"/>
        <v>0</v>
      </c>
    </row>
    <row r="41" spans="1:134" ht="48.75" customHeight="1" x14ac:dyDescent="0.25">
      <c r="A41" s="1565"/>
      <c r="B41" s="1018"/>
      <c r="C41" s="1092" t="s">
        <v>4372</v>
      </c>
      <c r="D41" s="1018" t="s">
        <v>4607</v>
      </c>
      <c r="E41" s="1019">
        <v>410</v>
      </c>
      <c r="F41" s="1094" t="s">
        <v>3350</v>
      </c>
      <c r="G41" s="1429"/>
      <c r="H41" s="1060">
        <f t="shared" si="31"/>
        <v>6500000</v>
      </c>
      <c r="I41" s="1060">
        <f t="shared" si="32"/>
        <v>3500000</v>
      </c>
      <c r="J41" s="1094" t="s">
        <v>4796</v>
      </c>
      <c r="K41" s="1097" t="s">
        <v>4797</v>
      </c>
      <c r="L41" s="1097" t="s">
        <v>4798</v>
      </c>
      <c r="M41" s="1097">
        <v>5</v>
      </c>
      <c r="N41" s="1097">
        <v>0</v>
      </c>
      <c r="O41" s="1097">
        <v>0</v>
      </c>
      <c r="P41" s="1097">
        <v>16</v>
      </c>
      <c r="Q41" s="1097">
        <v>0</v>
      </c>
      <c r="R41" s="1097">
        <v>0</v>
      </c>
      <c r="S41" s="1094"/>
      <c r="T41" s="1094"/>
      <c r="U41" s="1094"/>
      <c r="V41" s="1094"/>
      <c r="W41" s="1094"/>
      <c r="X41" s="1094"/>
      <c r="Y41" s="1007">
        <f t="shared" si="33"/>
        <v>10000000</v>
      </c>
      <c r="Z41" s="1007"/>
      <c r="AA41" s="1007"/>
      <c r="AB41" s="1007"/>
      <c r="AC41" s="1007"/>
      <c r="AD41" s="1007"/>
      <c r="AE41" s="1007">
        <f>30000000-20000000</f>
        <v>10000000</v>
      </c>
      <c r="AF41" s="1007"/>
      <c r="AG41" s="1007"/>
      <c r="AH41" s="1007"/>
      <c r="AI41" s="1007"/>
      <c r="AJ41" s="1007"/>
      <c r="AK41" s="1007"/>
      <c r="AL41" s="1007"/>
      <c r="AM41" s="1007"/>
      <c r="AN41" s="1007"/>
      <c r="AO41" s="1007"/>
      <c r="AP41" s="1007"/>
      <c r="AQ41" s="1007"/>
      <c r="AR41" s="1007"/>
      <c r="AS41" s="1007"/>
      <c r="AU41" s="1010">
        <f t="shared" si="3"/>
        <v>1</v>
      </c>
      <c r="AV41" s="1007">
        <f t="shared" si="34"/>
        <v>10000000</v>
      </c>
      <c r="AW41" s="1007"/>
      <c r="AX41" s="1007"/>
      <c r="AY41" s="1007"/>
      <c r="AZ41" s="1007"/>
      <c r="BA41" s="1007"/>
      <c r="BB41" s="1007">
        <f>+'[13]JUNIO 2015'!$O$956</f>
        <v>10000000</v>
      </c>
      <c r="BC41" s="1007"/>
      <c r="BD41" s="1007"/>
      <c r="BE41" s="1007"/>
      <c r="BF41" s="1007"/>
      <c r="BG41" s="1007"/>
      <c r="BH41" s="1007"/>
      <c r="BI41" s="1007"/>
      <c r="BJ41" s="1007"/>
      <c r="BK41" s="1007"/>
      <c r="BL41" s="1007"/>
      <c r="BM41" s="1007"/>
      <c r="BN41" s="1007"/>
      <c r="BO41" s="1007"/>
      <c r="BP41" s="1007"/>
      <c r="BQ41" s="1010">
        <f t="shared" si="25"/>
        <v>0</v>
      </c>
      <c r="BR41" s="1007">
        <f t="shared" si="35"/>
        <v>0</v>
      </c>
      <c r="BS41" s="1007">
        <f t="shared" si="36"/>
        <v>0</v>
      </c>
      <c r="BT41" s="1007"/>
      <c r="BU41" s="1007">
        <f t="shared" si="37"/>
        <v>0</v>
      </c>
      <c r="BV41" s="1007">
        <f t="shared" si="37"/>
        <v>0</v>
      </c>
      <c r="BW41" s="1007"/>
      <c r="BX41" s="1007">
        <f t="shared" si="38"/>
        <v>0</v>
      </c>
      <c r="BY41" s="1007">
        <f t="shared" si="38"/>
        <v>0</v>
      </c>
      <c r="BZ41" s="1007"/>
      <c r="CA41" s="1007">
        <f>+AH41-BE41</f>
        <v>0</v>
      </c>
      <c r="CB41" s="1007">
        <f t="shared" si="39"/>
        <v>0</v>
      </c>
      <c r="CC41" s="1007">
        <f>+AJ41-BG41</f>
        <v>0</v>
      </c>
      <c r="CD41" s="1007">
        <f t="shared" si="40"/>
        <v>0</v>
      </c>
      <c r="CE41" s="1007">
        <f t="shared" si="40"/>
        <v>0</v>
      </c>
      <c r="CF41" s="1007">
        <f t="shared" si="40"/>
        <v>0</v>
      </c>
      <c r="CG41" s="1007">
        <f t="shared" si="40"/>
        <v>0</v>
      </c>
      <c r="CH41" s="1007">
        <f t="shared" si="40"/>
        <v>0</v>
      </c>
      <c r="CI41" s="1007">
        <f t="shared" si="40"/>
        <v>0</v>
      </c>
      <c r="CJ41" s="1007"/>
      <c r="CK41" s="1007"/>
      <c r="CL41" s="1007">
        <f t="shared" si="41"/>
        <v>0</v>
      </c>
      <c r="CM41" s="1010">
        <f t="shared" si="13"/>
        <v>0.65</v>
      </c>
      <c r="CN41" s="1007">
        <f t="shared" si="42"/>
        <v>6500000</v>
      </c>
      <c r="CO41" s="1007"/>
      <c r="CP41" s="1007"/>
      <c r="CQ41" s="1007"/>
      <c r="CR41" s="1007"/>
      <c r="CS41" s="1007"/>
      <c r="CT41" s="1007">
        <f>+'[10]JULIO 2015'!$H$1127</f>
        <v>6500000</v>
      </c>
      <c r="CU41" s="1007"/>
      <c r="CV41" s="1007"/>
      <c r="CW41" s="1007"/>
      <c r="CX41" s="1007"/>
      <c r="CY41" s="1007"/>
      <c r="CZ41" s="1007"/>
      <c r="DA41" s="1007"/>
      <c r="DB41" s="1007"/>
      <c r="DC41" s="1007"/>
      <c r="DD41" s="1007"/>
      <c r="DE41" s="1007"/>
      <c r="DF41" s="1007"/>
      <c r="DG41" s="1007"/>
      <c r="DH41" s="1007"/>
      <c r="DI41" s="1010">
        <f t="shared" si="15"/>
        <v>0.35</v>
      </c>
      <c r="DJ41" s="1007">
        <f t="shared" si="43"/>
        <v>3500000</v>
      </c>
      <c r="DK41" s="1007"/>
      <c r="DL41" s="1007"/>
      <c r="DM41" s="1007"/>
      <c r="DN41" s="1007"/>
      <c r="DO41" s="1007"/>
      <c r="DP41" s="1007">
        <f t="shared" si="45"/>
        <v>3500000</v>
      </c>
      <c r="DQ41" s="1007">
        <f t="shared" si="45"/>
        <v>0</v>
      </c>
      <c r="DR41" s="1007"/>
      <c r="DS41" s="1007">
        <f t="shared" si="46"/>
        <v>0</v>
      </c>
      <c r="DT41" s="1007">
        <f t="shared" si="46"/>
        <v>0</v>
      </c>
      <c r="DU41" s="1007"/>
      <c r="DV41" s="1007">
        <f t="shared" si="47"/>
        <v>0</v>
      </c>
      <c r="DW41" s="1007">
        <f t="shared" si="47"/>
        <v>0</v>
      </c>
      <c r="DX41" s="1007">
        <f t="shared" si="47"/>
        <v>0</v>
      </c>
      <c r="DY41" s="1007">
        <f t="shared" si="48"/>
        <v>0</v>
      </c>
      <c r="DZ41" s="1007">
        <f t="shared" si="48"/>
        <v>0</v>
      </c>
      <c r="EA41" s="1007">
        <f t="shared" si="48"/>
        <v>0</v>
      </c>
      <c r="EB41" s="1007">
        <f t="shared" si="48"/>
        <v>0</v>
      </c>
      <c r="EC41" s="1007"/>
      <c r="ED41" s="1007">
        <f t="shared" si="49"/>
        <v>0</v>
      </c>
    </row>
    <row r="42" spans="1:134" ht="31.5" customHeight="1" x14ac:dyDescent="0.25">
      <c r="A42" s="1565"/>
      <c r="B42" s="1018"/>
      <c r="C42" s="1092" t="s">
        <v>4373</v>
      </c>
      <c r="D42" s="1018" t="s">
        <v>4606</v>
      </c>
      <c r="E42" s="1019">
        <v>410</v>
      </c>
      <c r="F42" s="1094" t="s">
        <v>4731</v>
      </c>
      <c r="G42" s="1429"/>
      <c r="H42" s="1060">
        <f t="shared" si="31"/>
        <v>42722628</v>
      </c>
      <c r="I42" s="1060">
        <f t="shared" si="32"/>
        <v>8254435</v>
      </c>
      <c r="J42" s="1094" t="s">
        <v>4799</v>
      </c>
      <c r="K42" s="1097" t="s">
        <v>4800</v>
      </c>
      <c r="L42" s="1097" t="s">
        <v>4801</v>
      </c>
      <c r="M42" s="1097">
        <v>0</v>
      </c>
      <c r="N42" s="1097">
        <v>0</v>
      </c>
      <c r="O42" s="1097">
        <v>0</v>
      </c>
      <c r="P42" s="1097">
        <v>3</v>
      </c>
      <c r="Q42" s="1097">
        <v>0</v>
      </c>
      <c r="R42" s="1097">
        <v>0</v>
      </c>
      <c r="S42" s="1094"/>
      <c r="T42" s="1094"/>
      <c r="U42" s="1094"/>
      <c r="V42" s="1094"/>
      <c r="W42" s="1094"/>
      <c r="X42" s="1094"/>
      <c r="Y42" s="1007">
        <f t="shared" si="33"/>
        <v>50977063</v>
      </c>
      <c r="Z42" s="1007"/>
      <c r="AA42" s="1007"/>
      <c r="AB42" s="1007"/>
      <c r="AC42" s="1007"/>
      <c r="AD42" s="1007"/>
      <c r="AE42" s="1007">
        <v>50000000</v>
      </c>
      <c r="AF42" s="1007"/>
      <c r="AG42" s="1007"/>
      <c r="AH42" s="1007"/>
      <c r="AI42" s="1007"/>
      <c r="AJ42" s="1007"/>
      <c r="AK42" s="1007"/>
      <c r="AL42" s="1007"/>
      <c r="AM42" s="1007"/>
      <c r="AN42" s="1007"/>
      <c r="AO42" s="1007"/>
      <c r="AP42" s="1007"/>
      <c r="AQ42" s="1007"/>
      <c r="AR42" s="1007"/>
      <c r="AS42" s="1007">
        <v>977063</v>
      </c>
      <c r="AU42" s="1010">
        <f t="shared" si="3"/>
        <v>0.98083328182323881</v>
      </c>
      <c r="AV42" s="1007">
        <f t="shared" si="34"/>
        <v>50000000</v>
      </c>
      <c r="AW42" s="1007"/>
      <c r="AX42" s="1007"/>
      <c r="AY42" s="1007"/>
      <c r="AZ42" s="1007"/>
      <c r="BA42" s="1007"/>
      <c r="BB42" s="1007">
        <f>+'[15]FEBRERO 2015'!$N$511</f>
        <v>50000000</v>
      </c>
      <c r="BC42" s="1007"/>
      <c r="BD42" s="1007"/>
      <c r="BE42" s="1007"/>
      <c r="BF42" s="1007"/>
      <c r="BG42" s="1007"/>
      <c r="BH42" s="1007"/>
      <c r="BI42" s="1007"/>
      <c r="BJ42" s="1007"/>
      <c r="BK42" s="1007"/>
      <c r="BL42" s="1007"/>
      <c r="BM42" s="1007"/>
      <c r="BN42" s="1007"/>
      <c r="BO42" s="1007"/>
      <c r="BP42" s="1007"/>
      <c r="BQ42" s="1010">
        <f t="shared" si="25"/>
        <v>1.9166718176761188E-2</v>
      </c>
      <c r="BR42" s="1007">
        <f t="shared" si="35"/>
        <v>977063</v>
      </c>
      <c r="BS42" s="1007">
        <f t="shared" si="36"/>
        <v>0</v>
      </c>
      <c r="BT42" s="1007"/>
      <c r="BU42" s="1007">
        <f t="shared" si="37"/>
        <v>0</v>
      </c>
      <c r="BV42" s="1007">
        <f t="shared" si="37"/>
        <v>0</v>
      </c>
      <c r="BW42" s="1007"/>
      <c r="BX42" s="1007">
        <f t="shared" si="38"/>
        <v>0</v>
      </c>
      <c r="BY42" s="1007">
        <f t="shared" si="38"/>
        <v>0</v>
      </c>
      <c r="BZ42" s="1007"/>
      <c r="CA42" s="1007">
        <f>+AH42-BE42</f>
        <v>0</v>
      </c>
      <c r="CB42" s="1007">
        <f t="shared" si="39"/>
        <v>0</v>
      </c>
      <c r="CC42" s="1007">
        <f>+AJ42-BG42</f>
        <v>0</v>
      </c>
      <c r="CD42" s="1007">
        <f t="shared" si="40"/>
        <v>0</v>
      </c>
      <c r="CE42" s="1007">
        <f t="shared" si="40"/>
        <v>0</v>
      </c>
      <c r="CF42" s="1007">
        <f t="shared" si="40"/>
        <v>0</v>
      </c>
      <c r="CG42" s="1007">
        <f t="shared" si="40"/>
        <v>0</v>
      </c>
      <c r="CH42" s="1007">
        <f t="shared" si="40"/>
        <v>0</v>
      </c>
      <c r="CI42" s="1007">
        <f t="shared" si="40"/>
        <v>0</v>
      </c>
      <c r="CJ42" s="1007"/>
      <c r="CK42" s="1007"/>
      <c r="CL42" s="1007">
        <f t="shared" si="41"/>
        <v>977063</v>
      </c>
      <c r="CM42" s="1010">
        <f t="shared" si="13"/>
        <v>0.83807550858706792</v>
      </c>
      <c r="CN42" s="1007">
        <f t="shared" si="42"/>
        <v>42722628</v>
      </c>
      <c r="CO42" s="1007"/>
      <c r="CP42" s="1007"/>
      <c r="CQ42" s="1007"/>
      <c r="CR42" s="1007"/>
      <c r="CS42" s="1007"/>
      <c r="CT42" s="1007">
        <f>+'[8]SEPTIEMBRE 2015'!$H$1448</f>
        <v>42722628</v>
      </c>
      <c r="CU42" s="1007"/>
      <c r="CV42" s="1007"/>
      <c r="CW42" s="1007"/>
      <c r="CX42" s="1007"/>
      <c r="CY42" s="1007"/>
      <c r="CZ42" s="1007"/>
      <c r="DA42" s="1007"/>
      <c r="DB42" s="1007"/>
      <c r="DC42" s="1007"/>
      <c r="DD42" s="1007"/>
      <c r="DE42" s="1007"/>
      <c r="DF42" s="1007"/>
      <c r="DG42" s="1007"/>
      <c r="DH42" s="1007"/>
      <c r="DI42" s="1010">
        <f t="shared" si="15"/>
        <v>0.16192449141293208</v>
      </c>
      <c r="DJ42" s="1007">
        <f t="shared" si="43"/>
        <v>8254435</v>
      </c>
      <c r="DK42" s="1007"/>
      <c r="DL42" s="1007"/>
      <c r="DM42" s="1007"/>
      <c r="DN42" s="1007"/>
      <c r="DO42" s="1007"/>
      <c r="DP42" s="1007">
        <f t="shared" si="45"/>
        <v>7277372</v>
      </c>
      <c r="DQ42" s="1007">
        <f t="shared" si="45"/>
        <v>0</v>
      </c>
      <c r="DR42" s="1007"/>
      <c r="DS42" s="1007">
        <f t="shared" si="46"/>
        <v>0</v>
      </c>
      <c r="DT42" s="1007">
        <f t="shared" si="46"/>
        <v>0</v>
      </c>
      <c r="DU42" s="1007"/>
      <c r="DV42" s="1007">
        <f t="shared" si="47"/>
        <v>0</v>
      </c>
      <c r="DW42" s="1007">
        <f t="shared" si="47"/>
        <v>0</v>
      </c>
      <c r="DX42" s="1007">
        <f t="shared" si="47"/>
        <v>0</v>
      </c>
      <c r="DY42" s="1007">
        <f t="shared" si="48"/>
        <v>0</v>
      </c>
      <c r="DZ42" s="1007">
        <f t="shared" si="48"/>
        <v>0</v>
      </c>
      <c r="EA42" s="1007">
        <f t="shared" si="48"/>
        <v>0</v>
      </c>
      <c r="EB42" s="1007">
        <f t="shared" si="48"/>
        <v>0</v>
      </c>
      <c r="EC42" s="1007"/>
      <c r="ED42" s="1007">
        <f t="shared" si="49"/>
        <v>977063</v>
      </c>
    </row>
    <row r="43" spans="1:134" ht="46.5" customHeight="1" x14ac:dyDescent="0.25">
      <c r="A43" s="1565"/>
      <c r="B43" s="1018"/>
      <c r="C43" s="1092" t="s">
        <v>4374</v>
      </c>
      <c r="D43" s="1018" t="s">
        <v>4605</v>
      </c>
      <c r="E43" s="1019">
        <v>410</v>
      </c>
      <c r="F43" s="1094" t="s">
        <v>3350</v>
      </c>
      <c r="G43" s="1430"/>
      <c r="H43" s="1060">
        <f t="shared" si="31"/>
        <v>69605000</v>
      </c>
      <c r="I43" s="1060">
        <f t="shared" si="32"/>
        <v>395000</v>
      </c>
      <c r="J43" s="1094" t="s">
        <v>4802</v>
      </c>
      <c r="K43" s="1097" t="s">
        <v>4804</v>
      </c>
      <c r="L43" s="1097" t="s">
        <v>4803</v>
      </c>
      <c r="M43" s="1097">
        <v>31</v>
      </c>
      <c r="N43" s="1097">
        <v>95</v>
      </c>
      <c r="O43" s="1097">
        <v>30</v>
      </c>
      <c r="P43" s="1097">
        <v>71</v>
      </c>
      <c r="Q43" s="1097">
        <v>585</v>
      </c>
      <c r="R43" s="1097">
        <v>414</v>
      </c>
      <c r="S43" s="1094"/>
      <c r="T43" s="1094"/>
      <c r="U43" s="1094"/>
      <c r="V43" s="1094"/>
      <c r="W43" s="1094"/>
      <c r="X43" s="1094"/>
      <c r="Y43" s="1007">
        <f t="shared" si="33"/>
        <v>70000000</v>
      </c>
      <c r="Z43" s="1007"/>
      <c r="AA43" s="1007"/>
      <c r="AB43" s="1007"/>
      <c r="AC43" s="1007"/>
      <c r="AD43" s="1007"/>
      <c r="AE43" s="1007">
        <f>50000000+20000000</f>
        <v>70000000</v>
      </c>
      <c r="AF43" s="1007"/>
      <c r="AG43" s="1007"/>
      <c r="AH43" s="1007"/>
      <c r="AI43" s="1007"/>
      <c r="AJ43" s="1007"/>
      <c r="AK43" s="1007"/>
      <c r="AL43" s="1007"/>
      <c r="AM43" s="1007"/>
      <c r="AN43" s="1007"/>
      <c r="AO43" s="1007"/>
      <c r="AP43" s="1007"/>
      <c r="AQ43" s="1007"/>
      <c r="AR43" s="1007"/>
      <c r="AS43" s="1007"/>
      <c r="AU43" s="1010">
        <f t="shared" si="3"/>
        <v>1</v>
      </c>
      <c r="AV43" s="1007">
        <f t="shared" si="34"/>
        <v>70000000</v>
      </c>
      <c r="AW43" s="1007"/>
      <c r="AX43" s="1007"/>
      <c r="AY43" s="1007"/>
      <c r="AZ43" s="1007"/>
      <c r="BA43" s="1007"/>
      <c r="BB43" s="1007">
        <f>+'[13]JUNIO 2015'!$O$970</f>
        <v>70000000</v>
      </c>
      <c r="BC43" s="1007"/>
      <c r="BD43" s="1007"/>
      <c r="BE43" s="1007"/>
      <c r="BF43" s="1007"/>
      <c r="BG43" s="1007"/>
      <c r="BH43" s="1007"/>
      <c r="BI43" s="1007"/>
      <c r="BJ43" s="1007"/>
      <c r="BK43" s="1007"/>
      <c r="BL43" s="1007"/>
      <c r="BM43" s="1007"/>
      <c r="BN43" s="1007"/>
      <c r="BO43" s="1007"/>
      <c r="BP43" s="1007"/>
      <c r="BQ43" s="1010">
        <f t="shared" si="25"/>
        <v>0</v>
      </c>
      <c r="BR43" s="1007">
        <f t="shared" si="35"/>
        <v>0</v>
      </c>
      <c r="BS43" s="1007">
        <f t="shared" si="36"/>
        <v>0</v>
      </c>
      <c r="BT43" s="1007"/>
      <c r="BU43" s="1007">
        <f t="shared" si="37"/>
        <v>0</v>
      </c>
      <c r="BV43" s="1007">
        <f t="shared" si="37"/>
        <v>0</v>
      </c>
      <c r="BW43" s="1007"/>
      <c r="BX43" s="1007">
        <f t="shared" si="38"/>
        <v>0</v>
      </c>
      <c r="BY43" s="1007">
        <f t="shared" si="38"/>
        <v>0</v>
      </c>
      <c r="BZ43" s="1007"/>
      <c r="CA43" s="1007"/>
      <c r="CB43" s="1007"/>
      <c r="CC43" s="1007"/>
      <c r="CD43" s="1007">
        <f t="shared" si="40"/>
        <v>0</v>
      </c>
      <c r="CE43" s="1007">
        <f t="shared" si="40"/>
        <v>0</v>
      </c>
      <c r="CF43" s="1007">
        <f t="shared" si="40"/>
        <v>0</v>
      </c>
      <c r="CG43" s="1007">
        <f t="shared" si="40"/>
        <v>0</v>
      </c>
      <c r="CH43" s="1007">
        <f t="shared" si="40"/>
        <v>0</v>
      </c>
      <c r="CI43" s="1007">
        <f t="shared" si="40"/>
        <v>0</v>
      </c>
      <c r="CJ43" s="1007"/>
      <c r="CK43" s="1007"/>
      <c r="CL43" s="1007">
        <f t="shared" si="41"/>
        <v>0</v>
      </c>
      <c r="CM43" s="1010">
        <f t="shared" si="13"/>
        <v>0.99435714285714283</v>
      </c>
      <c r="CN43" s="1007">
        <f t="shared" si="42"/>
        <v>69605000</v>
      </c>
      <c r="CO43" s="1007"/>
      <c r="CP43" s="1007"/>
      <c r="CQ43" s="1007"/>
      <c r="CR43" s="1007"/>
      <c r="CS43" s="1007"/>
      <c r="CT43" s="1007">
        <f>+'[8]SEPTIEMBRE 2015'!$H$1465</f>
        <v>69605000</v>
      </c>
      <c r="CU43" s="1007"/>
      <c r="CV43" s="1007"/>
      <c r="CW43" s="1007"/>
      <c r="CX43" s="1007"/>
      <c r="CY43" s="1007"/>
      <c r="CZ43" s="1007"/>
      <c r="DA43" s="1007"/>
      <c r="DB43" s="1007"/>
      <c r="DC43" s="1007"/>
      <c r="DD43" s="1007"/>
      <c r="DE43" s="1007"/>
      <c r="DF43" s="1007"/>
      <c r="DG43" s="1007"/>
      <c r="DH43" s="1007"/>
      <c r="DI43" s="1010">
        <f t="shared" si="15"/>
        <v>5.6428571428571717E-3</v>
      </c>
      <c r="DJ43" s="1007">
        <f t="shared" si="43"/>
        <v>395000</v>
      </c>
      <c r="DK43" s="1007"/>
      <c r="DL43" s="1007"/>
      <c r="DM43" s="1007"/>
      <c r="DN43" s="1007"/>
      <c r="DO43" s="1007"/>
      <c r="DP43" s="1007">
        <f t="shared" si="45"/>
        <v>395000</v>
      </c>
      <c r="DQ43" s="1007">
        <f t="shared" si="45"/>
        <v>0</v>
      </c>
      <c r="DR43" s="1007"/>
      <c r="DS43" s="1007">
        <f t="shared" si="46"/>
        <v>0</v>
      </c>
      <c r="DT43" s="1007">
        <f t="shared" si="46"/>
        <v>0</v>
      </c>
      <c r="DU43" s="1007"/>
      <c r="DV43" s="1007">
        <f t="shared" si="47"/>
        <v>0</v>
      </c>
      <c r="DW43" s="1007">
        <f t="shared" si="47"/>
        <v>0</v>
      </c>
      <c r="DX43" s="1007">
        <f t="shared" si="47"/>
        <v>0</v>
      </c>
      <c r="DY43" s="1007">
        <f t="shared" si="48"/>
        <v>0</v>
      </c>
      <c r="DZ43" s="1007">
        <f t="shared" si="48"/>
        <v>0</v>
      </c>
      <c r="EA43" s="1007">
        <f t="shared" si="48"/>
        <v>0</v>
      </c>
      <c r="EB43" s="1007">
        <f t="shared" si="48"/>
        <v>0</v>
      </c>
      <c r="EC43" s="1007"/>
      <c r="ED43" s="1007">
        <f t="shared" si="49"/>
        <v>0</v>
      </c>
    </row>
    <row r="44" spans="1:134" ht="45" customHeight="1" x14ac:dyDescent="0.25">
      <c r="A44" s="1565"/>
      <c r="B44" s="1027" t="s">
        <v>4309</v>
      </c>
      <c r="C44" s="1092" t="s">
        <v>4376</v>
      </c>
      <c r="D44" s="1018" t="s">
        <v>4320</v>
      </c>
      <c r="E44" s="1111">
        <v>410</v>
      </c>
      <c r="F44" s="1094" t="s">
        <v>3350</v>
      </c>
      <c r="G44" s="1428">
        <v>303000000</v>
      </c>
      <c r="H44" s="1060">
        <f t="shared" si="31"/>
        <v>39121546</v>
      </c>
      <c r="I44" s="1060">
        <f t="shared" si="32"/>
        <v>15301125</v>
      </c>
      <c r="J44" s="1094" t="s">
        <v>4805</v>
      </c>
      <c r="K44" s="1097" t="s">
        <v>4806</v>
      </c>
      <c r="L44" s="1097" t="s">
        <v>4815</v>
      </c>
      <c r="M44" s="1097">
        <v>0</v>
      </c>
      <c r="N44" s="1097">
        <v>21</v>
      </c>
      <c r="O44" s="1097">
        <v>0</v>
      </c>
      <c r="P44" s="1097">
        <v>18</v>
      </c>
      <c r="Q44" s="1097">
        <v>25</v>
      </c>
      <c r="R44" s="1097">
        <v>4</v>
      </c>
      <c r="S44" s="1094"/>
      <c r="T44" s="1094"/>
      <c r="U44" s="1094"/>
      <c r="V44" s="1094"/>
      <c r="W44" s="1094"/>
      <c r="X44" s="1094"/>
      <c r="Y44" s="1007">
        <f t="shared" si="33"/>
        <v>54422671</v>
      </c>
      <c r="Z44" s="1007"/>
      <c r="AA44" s="1007">
        <f>80000000-69189100</f>
        <v>10810900</v>
      </c>
      <c r="AB44" s="1007"/>
      <c r="AC44" s="1007"/>
      <c r="AD44" s="1007"/>
      <c r="AE44" s="1007"/>
      <c r="AF44" s="1007">
        <f>20000000</f>
        <v>20000000</v>
      </c>
      <c r="AG44" s="1007"/>
      <c r="AH44" s="1007"/>
      <c r="AI44" s="1007"/>
      <c r="AJ44" s="1007"/>
      <c r="AK44" s="1007"/>
      <c r="AL44" s="1007"/>
      <c r="AM44" s="1007"/>
      <c r="AN44" s="1007"/>
      <c r="AO44" s="1007">
        <v>23611771</v>
      </c>
      <c r="AP44" s="1007"/>
      <c r="AQ44" s="1007"/>
      <c r="AR44" s="1007"/>
      <c r="AS44" s="1007"/>
      <c r="AU44" s="1010">
        <f t="shared" si="3"/>
        <v>0.97676078779742359</v>
      </c>
      <c r="AV44" s="1007">
        <f t="shared" si="34"/>
        <v>53157931</v>
      </c>
      <c r="AW44" s="1007"/>
      <c r="AX44" s="1007">
        <f>+'[13]JUNIO 2015'!$K$1009</f>
        <v>9546220</v>
      </c>
      <c r="AY44" s="1007"/>
      <c r="AZ44" s="1007"/>
      <c r="BA44" s="1007"/>
      <c r="BB44" s="1007"/>
      <c r="BC44" s="1007">
        <f>+'[13]JUNIO 2015'!$P$1009</f>
        <v>20000000</v>
      </c>
      <c r="BD44" s="1007"/>
      <c r="BE44" s="1007"/>
      <c r="BF44" s="1007"/>
      <c r="BG44" s="1007"/>
      <c r="BH44" s="1007"/>
      <c r="BI44" s="1007"/>
      <c r="BJ44" s="1007"/>
      <c r="BK44" s="1007"/>
      <c r="BL44" s="1007">
        <f>+'[10]JULIO 2015'!$Y$1192</f>
        <v>23611711</v>
      </c>
      <c r="BM44" s="1007"/>
      <c r="BN44" s="1007"/>
      <c r="BO44" s="1007"/>
      <c r="BP44" s="1007"/>
      <c r="BQ44" s="1010">
        <f t="shared" si="25"/>
        <v>2.3239212202576409E-2</v>
      </c>
      <c r="BR44" s="1007">
        <f t="shared" si="35"/>
        <v>1264740</v>
      </c>
      <c r="BS44" s="1007">
        <f t="shared" si="36"/>
        <v>0</v>
      </c>
      <c r="BT44" s="1007">
        <f>AA44-AX44</f>
        <v>1264680</v>
      </c>
      <c r="BU44" s="1007">
        <f t="shared" si="37"/>
        <v>0</v>
      </c>
      <c r="BV44" s="1007">
        <f t="shared" si="37"/>
        <v>0</v>
      </c>
      <c r="BW44" s="1007"/>
      <c r="BX44" s="1007">
        <f t="shared" si="38"/>
        <v>0</v>
      </c>
      <c r="BY44" s="1007">
        <f t="shared" si="38"/>
        <v>0</v>
      </c>
      <c r="BZ44" s="1007"/>
      <c r="CA44" s="1007">
        <f t="shared" ref="CA44:CC48" si="50">+AH44-BE44</f>
        <v>0</v>
      </c>
      <c r="CB44" s="1007">
        <f t="shared" si="50"/>
        <v>0</v>
      </c>
      <c r="CC44" s="1007">
        <f t="shared" si="50"/>
        <v>0</v>
      </c>
      <c r="CD44" s="1007">
        <f t="shared" si="40"/>
        <v>0</v>
      </c>
      <c r="CE44" s="1007">
        <f t="shared" si="40"/>
        <v>0</v>
      </c>
      <c r="CF44" s="1007">
        <f t="shared" si="40"/>
        <v>0</v>
      </c>
      <c r="CG44" s="1007">
        <f t="shared" si="40"/>
        <v>0</v>
      </c>
      <c r="CH44" s="1007">
        <f t="shared" si="40"/>
        <v>60</v>
      </c>
      <c r="CI44" s="1007">
        <f t="shared" si="40"/>
        <v>0</v>
      </c>
      <c r="CJ44" s="1007"/>
      <c r="CK44" s="1007"/>
      <c r="CL44" s="1007">
        <f t="shared" si="41"/>
        <v>0</v>
      </c>
      <c r="CM44" s="1010">
        <f t="shared" si="13"/>
        <v>0.71884648954477082</v>
      </c>
      <c r="CN44" s="1007">
        <f t="shared" si="42"/>
        <v>39121546</v>
      </c>
      <c r="CO44" s="1007"/>
      <c r="CP44" s="1007">
        <f>+'[13]JUNIO 2015'!$H$1010</f>
        <v>9546220</v>
      </c>
      <c r="CQ44" s="1007"/>
      <c r="CR44" s="1007"/>
      <c r="CS44" s="1007"/>
      <c r="CT44" s="1007"/>
      <c r="CU44" s="1007">
        <f>+'[7]AGOSTO 2015'!$H$1349</f>
        <v>19911458</v>
      </c>
      <c r="CV44" s="1007"/>
      <c r="CW44" s="1007"/>
      <c r="CX44" s="1007"/>
      <c r="CY44" s="1007"/>
      <c r="CZ44" s="1007"/>
      <c r="DA44" s="1007"/>
      <c r="DB44" s="1007"/>
      <c r="DC44" s="1007"/>
      <c r="DD44" s="1007">
        <f>+'[8]SEPTIEMBRE 2015'!$H$1542</f>
        <v>9663868</v>
      </c>
      <c r="DE44" s="1007"/>
      <c r="DF44" s="1007"/>
      <c r="DG44" s="1007"/>
      <c r="DH44" s="1007"/>
      <c r="DI44" s="1010">
        <f t="shared" si="15"/>
        <v>0.28115351045522918</v>
      </c>
      <c r="DJ44" s="1007">
        <f t="shared" si="43"/>
        <v>15301125</v>
      </c>
      <c r="DK44" s="1007"/>
      <c r="DL44" s="1007">
        <f t="shared" ref="DL44:DN58" si="51">AA44-CP44</f>
        <v>1264680</v>
      </c>
      <c r="DM44" s="1007">
        <f t="shared" si="51"/>
        <v>0</v>
      </c>
      <c r="DN44" s="1007">
        <f t="shared" si="51"/>
        <v>0</v>
      </c>
      <c r="DO44" s="1007"/>
      <c r="DP44" s="1007">
        <f t="shared" si="45"/>
        <v>0</v>
      </c>
      <c r="DQ44" s="1007">
        <f t="shared" si="45"/>
        <v>88542</v>
      </c>
      <c r="DR44" s="1007"/>
      <c r="DS44" s="1007">
        <f t="shared" si="46"/>
        <v>0</v>
      </c>
      <c r="DT44" s="1007">
        <f t="shared" si="46"/>
        <v>0</v>
      </c>
      <c r="DU44" s="1007"/>
      <c r="DV44" s="1007">
        <f t="shared" si="47"/>
        <v>0</v>
      </c>
      <c r="DW44" s="1007">
        <f t="shared" si="47"/>
        <v>0</v>
      </c>
      <c r="DX44" s="1007">
        <f t="shared" si="47"/>
        <v>0</v>
      </c>
      <c r="DY44" s="1007">
        <f t="shared" si="48"/>
        <v>0</v>
      </c>
      <c r="DZ44" s="1007">
        <f t="shared" si="48"/>
        <v>13947903</v>
      </c>
      <c r="EA44" s="1007">
        <f t="shared" si="48"/>
        <v>0</v>
      </c>
      <c r="EB44" s="1007">
        <f t="shared" si="48"/>
        <v>0</v>
      </c>
      <c r="EC44" s="1007"/>
      <c r="ED44" s="1007">
        <f t="shared" si="49"/>
        <v>0</v>
      </c>
    </row>
    <row r="45" spans="1:134" ht="39" customHeight="1" x14ac:dyDescent="0.25">
      <c r="A45" s="1565"/>
      <c r="B45" s="1018"/>
      <c r="C45" s="1092" t="s">
        <v>4377</v>
      </c>
      <c r="D45" s="1106" t="s">
        <v>4321</v>
      </c>
      <c r="E45" s="1019">
        <v>410</v>
      </c>
      <c r="F45" s="1094" t="s">
        <v>3350</v>
      </c>
      <c r="G45" s="1429"/>
      <c r="H45" s="1060">
        <f t="shared" si="31"/>
        <v>24645401</v>
      </c>
      <c r="I45" s="1060">
        <f t="shared" si="32"/>
        <v>22436529</v>
      </c>
      <c r="J45" s="1094" t="s">
        <v>4807</v>
      </c>
      <c r="K45" s="1097" t="s">
        <v>4808</v>
      </c>
      <c r="L45" s="1097" t="s">
        <v>4816</v>
      </c>
      <c r="M45" s="1097">
        <v>0</v>
      </c>
      <c r="N45" s="1097">
        <v>107</v>
      </c>
      <c r="O45" s="1097">
        <v>0</v>
      </c>
      <c r="P45" s="1097">
        <v>4</v>
      </c>
      <c r="Q45" s="1097">
        <v>107</v>
      </c>
      <c r="R45" s="1097">
        <v>5</v>
      </c>
      <c r="S45" s="1094"/>
      <c r="T45" s="1094"/>
      <c r="U45" s="1094"/>
      <c r="V45" s="1094"/>
      <c r="W45" s="1094"/>
      <c r="X45" s="1094"/>
      <c r="Y45" s="1007">
        <f t="shared" si="33"/>
        <v>47081930</v>
      </c>
      <c r="Z45" s="1007"/>
      <c r="AA45" s="1007">
        <f>64000000-61918070</f>
        <v>2081930</v>
      </c>
      <c r="AB45" s="1007"/>
      <c r="AC45" s="1007"/>
      <c r="AD45" s="1007"/>
      <c r="AE45" s="1007"/>
      <c r="AF45" s="1007">
        <f>20000000</f>
        <v>20000000</v>
      </c>
      <c r="AG45" s="1007"/>
      <c r="AH45" s="1007"/>
      <c r="AI45" s="1007"/>
      <c r="AJ45" s="1007"/>
      <c r="AK45" s="1007"/>
      <c r="AL45" s="1007"/>
      <c r="AM45" s="1007"/>
      <c r="AN45" s="1007"/>
      <c r="AO45" s="1007">
        <v>25000000</v>
      </c>
      <c r="AP45" s="1007"/>
      <c r="AQ45" s="1007"/>
      <c r="AR45" s="1007"/>
      <c r="AS45" s="1007"/>
      <c r="AU45" s="1010">
        <f t="shared" si="3"/>
        <v>1</v>
      </c>
      <c r="AV45" s="1007">
        <f t="shared" si="34"/>
        <v>47081930</v>
      </c>
      <c r="AW45" s="1007"/>
      <c r="AX45" s="1007">
        <f>+'[13]JUNIO 2015'!$K$1023</f>
        <v>2081930</v>
      </c>
      <c r="AY45" s="1007"/>
      <c r="AZ45" s="1007"/>
      <c r="BA45" s="1007"/>
      <c r="BB45" s="1007"/>
      <c r="BC45" s="1007">
        <f>+'[13]JUNIO 2015'!$P$1023</f>
        <v>20000000</v>
      </c>
      <c r="BD45" s="1007"/>
      <c r="BE45" s="1007"/>
      <c r="BF45" s="1007"/>
      <c r="BG45" s="1007"/>
      <c r="BH45" s="1007"/>
      <c r="BI45" s="1007"/>
      <c r="BJ45" s="1007"/>
      <c r="BK45" s="1007"/>
      <c r="BL45" s="1007">
        <f>+'[10]JULIO 2015'!$Y$1215</f>
        <v>25000000</v>
      </c>
      <c r="BM45" s="1007"/>
      <c r="BN45" s="1007"/>
      <c r="BO45" s="1007"/>
      <c r="BP45" s="1007"/>
      <c r="BQ45" s="1010">
        <f t="shared" si="25"/>
        <v>0</v>
      </c>
      <c r="BR45" s="1007">
        <f t="shared" si="35"/>
        <v>0</v>
      </c>
      <c r="BS45" s="1007">
        <f t="shared" si="36"/>
        <v>0</v>
      </c>
      <c r="BT45" s="1007">
        <f>AA45-AX45</f>
        <v>0</v>
      </c>
      <c r="BU45" s="1007">
        <f t="shared" si="37"/>
        <v>0</v>
      </c>
      <c r="BV45" s="1007">
        <f t="shared" si="37"/>
        <v>0</v>
      </c>
      <c r="BW45" s="1007"/>
      <c r="BX45" s="1007">
        <f t="shared" si="38"/>
        <v>0</v>
      </c>
      <c r="BY45" s="1007">
        <f t="shared" si="38"/>
        <v>0</v>
      </c>
      <c r="BZ45" s="1007"/>
      <c r="CA45" s="1007">
        <f t="shared" si="50"/>
        <v>0</v>
      </c>
      <c r="CB45" s="1007">
        <f t="shared" si="50"/>
        <v>0</v>
      </c>
      <c r="CC45" s="1007">
        <f t="shared" si="50"/>
        <v>0</v>
      </c>
      <c r="CD45" s="1007">
        <f t="shared" si="40"/>
        <v>0</v>
      </c>
      <c r="CE45" s="1007">
        <f t="shared" si="40"/>
        <v>0</v>
      </c>
      <c r="CF45" s="1007">
        <f t="shared" si="40"/>
        <v>0</v>
      </c>
      <c r="CG45" s="1007">
        <f t="shared" si="40"/>
        <v>0</v>
      </c>
      <c r="CH45" s="1007">
        <f t="shared" si="40"/>
        <v>0</v>
      </c>
      <c r="CI45" s="1007">
        <f t="shared" si="40"/>
        <v>0</v>
      </c>
      <c r="CJ45" s="1007"/>
      <c r="CK45" s="1007"/>
      <c r="CL45" s="1007">
        <f t="shared" si="41"/>
        <v>0</v>
      </c>
      <c r="CM45" s="1010">
        <f t="shared" si="13"/>
        <v>0.52345774695302427</v>
      </c>
      <c r="CN45" s="1007">
        <f t="shared" si="42"/>
        <v>24645401</v>
      </c>
      <c r="CO45" s="1007"/>
      <c r="CP45" s="1007">
        <f>+'[14]MAYO 2015'!$H$858</f>
        <v>2081930</v>
      </c>
      <c r="CQ45" s="1007"/>
      <c r="CR45" s="1007"/>
      <c r="CS45" s="1007"/>
      <c r="CT45" s="1007"/>
      <c r="CU45" s="1007">
        <f>+'[8]SEPTIEMBRE 2015'!$H$1555</f>
        <v>20000000</v>
      </c>
      <c r="CV45" s="1007"/>
      <c r="CW45" s="1007"/>
      <c r="CX45" s="1007"/>
      <c r="CY45" s="1007"/>
      <c r="CZ45" s="1007"/>
      <c r="DA45" s="1007"/>
      <c r="DB45" s="1007"/>
      <c r="DC45" s="1007"/>
      <c r="DD45" s="1007">
        <f>+'[8]SEPTIEMBRE 2015'!$H$1582</f>
        <v>2563471</v>
      </c>
      <c r="DE45" s="1007"/>
      <c r="DF45" s="1007"/>
      <c r="DG45" s="1007"/>
      <c r="DH45" s="1007"/>
      <c r="DI45" s="1010">
        <f t="shared" si="15"/>
        <v>0.47654225304697573</v>
      </c>
      <c r="DJ45" s="1007">
        <f t="shared" si="43"/>
        <v>22436529</v>
      </c>
      <c r="DK45" s="1007"/>
      <c r="DL45" s="1007">
        <f t="shared" si="51"/>
        <v>0</v>
      </c>
      <c r="DM45" s="1007">
        <f t="shared" si="51"/>
        <v>0</v>
      </c>
      <c r="DN45" s="1007">
        <f t="shared" si="51"/>
        <v>0</v>
      </c>
      <c r="DO45" s="1007"/>
      <c r="DP45" s="1007">
        <f t="shared" si="45"/>
        <v>0</v>
      </c>
      <c r="DQ45" s="1007">
        <f t="shared" si="45"/>
        <v>0</v>
      </c>
      <c r="DR45" s="1007"/>
      <c r="DS45" s="1007">
        <f t="shared" si="46"/>
        <v>0</v>
      </c>
      <c r="DT45" s="1007">
        <f t="shared" si="46"/>
        <v>0</v>
      </c>
      <c r="DU45" s="1007"/>
      <c r="DV45" s="1007">
        <f t="shared" si="47"/>
        <v>0</v>
      </c>
      <c r="DW45" s="1007">
        <f t="shared" si="47"/>
        <v>0</v>
      </c>
      <c r="DX45" s="1007">
        <f t="shared" si="47"/>
        <v>0</v>
      </c>
      <c r="DY45" s="1007">
        <f t="shared" si="48"/>
        <v>0</v>
      </c>
      <c r="DZ45" s="1007">
        <f t="shared" si="48"/>
        <v>22436529</v>
      </c>
      <c r="EA45" s="1007">
        <f t="shared" si="48"/>
        <v>0</v>
      </c>
      <c r="EB45" s="1007">
        <f t="shared" si="48"/>
        <v>0</v>
      </c>
      <c r="EC45" s="1007"/>
      <c r="ED45" s="1007">
        <f t="shared" si="49"/>
        <v>0</v>
      </c>
    </row>
    <row r="46" spans="1:134" ht="49.5" customHeight="1" x14ac:dyDescent="0.25">
      <c r="A46" s="1565"/>
      <c r="B46" s="1018"/>
      <c r="C46" s="1092" t="s">
        <v>4378</v>
      </c>
      <c r="D46" s="1018" t="s">
        <v>4322</v>
      </c>
      <c r="E46" s="1019">
        <v>410</v>
      </c>
      <c r="F46" s="1094" t="s">
        <v>4670</v>
      </c>
      <c r="G46" s="1429"/>
      <c r="H46" s="1060">
        <f t="shared" si="31"/>
        <v>6478000</v>
      </c>
      <c r="I46" s="1060">
        <f t="shared" si="32"/>
        <v>1522000</v>
      </c>
      <c r="J46" s="1094" t="s">
        <v>4809</v>
      </c>
      <c r="K46" s="1097" t="s">
        <v>4810</v>
      </c>
      <c r="L46" s="1097" t="s">
        <v>4817</v>
      </c>
      <c r="M46" s="1097">
        <v>17</v>
      </c>
      <c r="N46" s="1097">
        <v>20</v>
      </c>
      <c r="O46" s="1097">
        <v>3</v>
      </c>
      <c r="P46" s="1097">
        <v>31</v>
      </c>
      <c r="Q46" s="1097">
        <v>45</v>
      </c>
      <c r="R46" s="1097">
        <v>14</v>
      </c>
      <c r="S46" s="1094"/>
      <c r="T46" s="1094"/>
      <c r="U46" s="1094"/>
      <c r="V46" s="1094"/>
      <c r="W46" s="1094"/>
      <c r="X46" s="1094"/>
      <c r="Y46" s="1007">
        <f t="shared" si="33"/>
        <v>8000000</v>
      </c>
      <c r="Z46" s="1007"/>
      <c r="AA46" s="1007"/>
      <c r="AB46" s="1007"/>
      <c r="AC46" s="1007"/>
      <c r="AD46" s="1007"/>
      <c r="AE46" s="1007"/>
      <c r="AF46" s="1007"/>
      <c r="AG46" s="1007"/>
      <c r="AH46" s="1007"/>
      <c r="AI46" s="1007"/>
      <c r="AJ46" s="1007"/>
      <c r="AK46" s="1007"/>
      <c r="AL46" s="1007"/>
      <c r="AM46" s="1007"/>
      <c r="AN46" s="1007"/>
      <c r="AO46" s="1007"/>
      <c r="AP46" s="1007"/>
      <c r="AQ46" s="1007"/>
      <c r="AR46" s="1007"/>
      <c r="AS46" s="1007">
        <f>3000000+5000000</f>
        <v>8000000</v>
      </c>
      <c r="AU46" s="1010">
        <f t="shared" si="3"/>
        <v>1</v>
      </c>
      <c r="AV46" s="1007">
        <f t="shared" si="34"/>
        <v>8000000</v>
      </c>
      <c r="AW46" s="1007"/>
      <c r="AX46" s="1007"/>
      <c r="AY46" s="1007"/>
      <c r="AZ46" s="1007"/>
      <c r="BA46" s="1007"/>
      <c r="BB46" s="1007"/>
      <c r="BC46" s="1007"/>
      <c r="BD46" s="1007"/>
      <c r="BE46" s="1007"/>
      <c r="BF46" s="1007"/>
      <c r="BG46" s="1007"/>
      <c r="BH46" s="1007"/>
      <c r="BI46" s="1007"/>
      <c r="BJ46" s="1007"/>
      <c r="BK46" s="1007"/>
      <c r="BL46" s="1007"/>
      <c r="BM46" s="1007"/>
      <c r="BN46" s="1007"/>
      <c r="BO46" s="1007"/>
      <c r="BP46" s="1007">
        <f>+'[10]JULIO 2015'!$G$1233</f>
        <v>8000000</v>
      </c>
      <c r="BQ46" s="1010">
        <f t="shared" si="25"/>
        <v>0</v>
      </c>
      <c r="BR46" s="1007">
        <f t="shared" si="35"/>
        <v>0</v>
      </c>
      <c r="BS46" s="1007">
        <f t="shared" si="36"/>
        <v>0</v>
      </c>
      <c r="BT46" s="1007"/>
      <c r="BU46" s="1007">
        <f t="shared" si="37"/>
        <v>0</v>
      </c>
      <c r="BV46" s="1007">
        <f t="shared" si="37"/>
        <v>0</v>
      </c>
      <c r="BW46" s="1007"/>
      <c r="BX46" s="1007">
        <f t="shared" si="38"/>
        <v>0</v>
      </c>
      <c r="BY46" s="1007">
        <f t="shared" si="38"/>
        <v>0</v>
      </c>
      <c r="BZ46" s="1007"/>
      <c r="CA46" s="1007">
        <f t="shared" si="50"/>
        <v>0</v>
      </c>
      <c r="CB46" s="1007">
        <f t="shared" si="50"/>
        <v>0</v>
      </c>
      <c r="CC46" s="1007">
        <f t="shared" si="50"/>
        <v>0</v>
      </c>
      <c r="CD46" s="1007">
        <f t="shared" si="40"/>
        <v>0</v>
      </c>
      <c r="CE46" s="1007">
        <f t="shared" si="40"/>
        <v>0</v>
      </c>
      <c r="CF46" s="1007">
        <f t="shared" si="40"/>
        <v>0</v>
      </c>
      <c r="CG46" s="1007">
        <f t="shared" si="40"/>
        <v>0</v>
      </c>
      <c r="CH46" s="1007">
        <f t="shared" si="40"/>
        <v>0</v>
      </c>
      <c r="CI46" s="1007">
        <f t="shared" si="40"/>
        <v>0</v>
      </c>
      <c r="CJ46" s="1007"/>
      <c r="CK46" s="1007"/>
      <c r="CL46" s="1007">
        <f t="shared" si="41"/>
        <v>0</v>
      </c>
      <c r="CM46" s="1010">
        <f t="shared" si="13"/>
        <v>0.80974999999999997</v>
      </c>
      <c r="CN46" s="1007">
        <f t="shared" si="42"/>
        <v>6478000</v>
      </c>
      <c r="CO46" s="1007"/>
      <c r="CP46" s="1007"/>
      <c r="CQ46" s="1007"/>
      <c r="CR46" s="1007"/>
      <c r="CS46" s="1007"/>
      <c r="CT46" s="1007"/>
      <c r="CU46" s="1007"/>
      <c r="CV46" s="1007"/>
      <c r="CW46" s="1007"/>
      <c r="CX46" s="1007"/>
      <c r="CY46" s="1007"/>
      <c r="CZ46" s="1007"/>
      <c r="DA46" s="1007"/>
      <c r="DB46" s="1007"/>
      <c r="DC46" s="1007"/>
      <c r="DD46" s="1007"/>
      <c r="DE46" s="1007"/>
      <c r="DF46" s="1007"/>
      <c r="DG46" s="1007"/>
      <c r="DH46" s="1007">
        <f>+'[8]SEPTIEMBRE 2015'!$H$1588</f>
        <v>6478000</v>
      </c>
      <c r="DI46" s="1010">
        <f t="shared" si="15"/>
        <v>0.19025000000000003</v>
      </c>
      <c r="DJ46" s="1007">
        <f t="shared" si="43"/>
        <v>1522000</v>
      </c>
      <c r="DK46" s="1007"/>
      <c r="DL46" s="1007"/>
      <c r="DM46" s="1007"/>
      <c r="DN46" s="1007">
        <f t="shared" si="51"/>
        <v>0</v>
      </c>
      <c r="DO46" s="1007"/>
      <c r="DP46" s="1007">
        <f t="shared" si="45"/>
        <v>0</v>
      </c>
      <c r="DQ46" s="1007">
        <f t="shared" si="45"/>
        <v>0</v>
      </c>
      <c r="DR46" s="1007"/>
      <c r="DS46" s="1007">
        <f t="shared" si="46"/>
        <v>0</v>
      </c>
      <c r="DT46" s="1007">
        <f t="shared" si="46"/>
        <v>0</v>
      </c>
      <c r="DU46" s="1007"/>
      <c r="DV46" s="1007">
        <f t="shared" si="47"/>
        <v>0</v>
      </c>
      <c r="DW46" s="1007">
        <f t="shared" si="47"/>
        <v>0</v>
      </c>
      <c r="DX46" s="1007">
        <f t="shared" si="47"/>
        <v>0</v>
      </c>
      <c r="DY46" s="1007">
        <f t="shared" si="48"/>
        <v>0</v>
      </c>
      <c r="DZ46" s="1007">
        <f t="shared" si="48"/>
        <v>0</v>
      </c>
      <c r="EA46" s="1007">
        <f t="shared" si="48"/>
        <v>0</v>
      </c>
      <c r="EB46" s="1007">
        <f t="shared" si="48"/>
        <v>0</v>
      </c>
      <c r="EC46" s="1007"/>
      <c r="ED46" s="1007">
        <f t="shared" si="49"/>
        <v>1522000</v>
      </c>
    </row>
    <row r="47" spans="1:134" ht="51" customHeight="1" x14ac:dyDescent="0.25">
      <c r="A47" s="1565"/>
      <c r="B47" s="1018"/>
      <c r="C47" s="1092" t="s">
        <v>4379</v>
      </c>
      <c r="D47" s="1018" t="s">
        <v>4323</v>
      </c>
      <c r="E47" s="1019">
        <v>410</v>
      </c>
      <c r="F47" s="1094" t="s">
        <v>3350</v>
      </c>
      <c r="G47" s="1430"/>
      <c r="H47" s="1060">
        <f t="shared" si="31"/>
        <v>142910666</v>
      </c>
      <c r="I47" s="1060">
        <f t="shared" si="32"/>
        <v>3089334</v>
      </c>
      <c r="J47" s="1094" t="s">
        <v>4825</v>
      </c>
      <c r="K47" s="1097" t="s">
        <v>4825</v>
      </c>
      <c r="L47" s="1097" t="s">
        <v>4825</v>
      </c>
      <c r="M47" s="1097">
        <v>67</v>
      </c>
      <c r="N47" s="1097">
        <v>500</v>
      </c>
      <c r="O47" s="1097">
        <v>337</v>
      </c>
      <c r="P47" s="1108">
        <v>94</v>
      </c>
      <c r="Q47" s="1108">
        <v>650</v>
      </c>
      <c r="R47" s="1108">
        <v>613</v>
      </c>
      <c r="S47" s="1094"/>
      <c r="T47" s="1094"/>
      <c r="U47" s="1094"/>
      <c r="V47" s="1094"/>
      <c r="W47" s="1094"/>
      <c r="X47" s="1094"/>
      <c r="Y47" s="1007">
        <f t="shared" si="33"/>
        <v>146000000</v>
      </c>
      <c r="Z47" s="1007"/>
      <c r="AA47" s="1007">
        <f>98670877-98670877</f>
        <v>0</v>
      </c>
      <c r="AB47" s="1007">
        <v>98670877</v>
      </c>
      <c r="AC47" s="1007"/>
      <c r="AD47" s="1007"/>
      <c r="AE47" s="1007"/>
      <c r="AF47" s="1007"/>
      <c r="AG47" s="1007"/>
      <c r="AH47" s="1007"/>
      <c r="AI47" s="1007"/>
      <c r="AJ47" s="1007"/>
      <c r="AK47" s="1007"/>
      <c r="AL47" s="1007"/>
      <c r="AM47" s="1007">
        <f>57329123-10000000</f>
        <v>47329123</v>
      </c>
      <c r="AN47" s="1007"/>
      <c r="AO47" s="1007"/>
      <c r="AP47" s="1007"/>
      <c r="AQ47" s="1007"/>
      <c r="AR47" s="1007"/>
      <c r="AS47" s="1007"/>
      <c r="AU47" s="1010">
        <f t="shared" si="3"/>
        <v>1</v>
      </c>
      <c r="AV47" s="1007">
        <f t="shared" si="34"/>
        <v>146000000</v>
      </c>
      <c r="AW47" s="1007"/>
      <c r="AX47" s="1007"/>
      <c r="AY47" s="1007">
        <v>98670877</v>
      </c>
      <c r="AZ47" s="1007"/>
      <c r="BA47" s="1007"/>
      <c r="BB47" s="1007"/>
      <c r="BC47" s="1007"/>
      <c r="BD47" s="1007"/>
      <c r="BE47" s="1007"/>
      <c r="BF47" s="1007"/>
      <c r="BG47" s="1007"/>
      <c r="BH47" s="1007"/>
      <c r="BI47" s="1007"/>
      <c r="BJ47" s="1007">
        <f>+'[11]MARZO 2015'!$V$700-10000000</f>
        <v>47329123</v>
      </c>
      <c r="BK47" s="1007"/>
      <c r="BL47" s="1007"/>
      <c r="BM47" s="1007"/>
      <c r="BN47" s="1007"/>
      <c r="BO47" s="1007"/>
      <c r="BP47" s="1007"/>
      <c r="BQ47" s="1010">
        <f t="shared" si="25"/>
        <v>0</v>
      </c>
      <c r="BR47" s="1007">
        <f t="shared" si="35"/>
        <v>0</v>
      </c>
      <c r="BS47" s="1007">
        <f t="shared" si="36"/>
        <v>0</v>
      </c>
      <c r="BT47" s="1007">
        <f t="shared" ref="BT47:BV62" si="52">AA47-AX47</f>
        <v>0</v>
      </c>
      <c r="BU47" s="1007">
        <f t="shared" si="37"/>
        <v>0</v>
      </c>
      <c r="BV47" s="1007">
        <f t="shared" si="37"/>
        <v>0</v>
      </c>
      <c r="BW47" s="1007"/>
      <c r="BX47" s="1007">
        <f t="shared" si="38"/>
        <v>0</v>
      </c>
      <c r="BY47" s="1007">
        <f t="shared" si="38"/>
        <v>0</v>
      </c>
      <c r="BZ47" s="1007"/>
      <c r="CA47" s="1007">
        <f t="shared" si="50"/>
        <v>0</v>
      </c>
      <c r="CB47" s="1007">
        <f t="shared" si="50"/>
        <v>0</v>
      </c>
      <c r="CC47" s="1007">
        <f t="shared" si="50"/>
        <v>0</v>
      </c>
      <c r="CD47" s="1007">
        <f t="shared" si="40"/>
        <v>0</v>
      </c>
      <c r="CE47" s="1007">
        <f t="shared" si="40"/>
        <v>0</v>
      </c>
      <c r="CF47" s="1007">
        <f t="shared" si="40"/>
        <v>0</v>
      </c>
      <c r="CG47" s="1007">
        <f t="shared" si="40"/>
        <v>0</v>
      </c>
      <c r="CH47" s="1007">
        <f t="shared" si="40"/>
        <v>0</v>
      </c>
      <c r="CI47" s="1007">
        <f t="shared" si="40"/>
        <v>0</v>
      </c>
      <c r="CJ47" s="1007"/>
      <c r="CK47" s="1007"/>
      <c r="CL47" s="1007">
        <f t="shared" si="41"/>
        <v>0</v>
      </c>
      <c r="CM47" s="1010">
        <f t="shared" si="13"/>
        <v>0.97884017808219181</v>
      </c>
      <c r="CN47" s="1007">
        <f t="shared" si="42"/>
        <v>142910666</v>
      </c>
      <c r="CO47" s="1007"/>
      <c r="CP47" s="1007"/>
      <c r="CQ47" s="1007">
        <v>98670877</v>
      </c>
      <c r="CR47" s="1007"/>
      <c r="CS47" s="1007"/>
      <c r="CT47" s="1007"/>
      <c r="CU47" s="1007"/>
      <c r="CV47" s="1007"/>
      <c r="CW47" s="1007"/>
      <c r="CX47" s="1007"/>
      <c r="CY47" s="1007"/>
      <c r="CZ47" s="1007"/>
      <c r="DA47" s="1007"/>
      <c r="DB47" s="1007">
        <f>+'[7]AGOSTO 2015'!$H$1417</f>
        <v>44239789</v>
      </c>
      <c r="DC47" s="1007"/>
      <c r="DD47" s="1007"/>
      <c r="DE47" s="1007"/>
      <c r="DF47" s="1007"/>
      <c r="DG47" s="1007"/>
      <c r="DH47" s="1007"/>
      <c r="DI47" s="1010">
        <f t="shared" si="15"/>
        <v>2.1159821917808186E-2</v>
      </c>
      <c r="DJ47" s="1007">
        <f t="shared" si="43"/>
        <v>3089334</v>
      </c>
      <c r="DK47" s="1007"/>
      <c r="DL47" s="1007">
        <f t="shared" ref="DL47:DM49" si="53">AA47-CP47</f>
        <v>0</v>
      </c>
      <c r="DM47" s="1007">
        <f t="shared" si="53"/>
        <v>0</v>
      </c>
      <c r="DN47" s="1007">
        <f t="shared" si="51"/>
        <v>0</v>
      </c>
      <c r="DO47" s="1007"/>
      <c r="DP47" s="1007">
        <f t="shared" si="45"/>
        <v>0</v>
      </c>
      <c r="DQ47" s="1007">
        <f t="shared" si="45"/>
        <v>0</v>
      </c>
      <c r="DR47" s="1007"/>
      <c r="DS47" s="1007">
        <f t="shared" si="46"/>
        <v>0</v>
      </c>
      <c r="DT47" s="1007">
        <f t="shared" si="46"/>
        <v>0</v>
      </c>
      <c r="DU47" s="1007"/>
      <c r="DV47" s="1007">
        <f t="shared" si="47"/>
        <v>0</v>
      </c>
      <c r="DW47" s="1007">
        <f t="shared" si="47"/>
        <v>0</v>
      </c>
      <c r="DX47" s="1007">
        <f t="shared" si="47"/>
        <v>3089334</v>
      </c>
      <c r="DY47" s="1007">
        <f t="shared" si="48"/>
        <v>0</v>
      </c>
      <c r="DZ47" s="1007">
        <f t="shared" si="48"/>
        <v>0</v>
      </c>
      <c r="EA47" s="1007">
        <f t="shared" si="48"/>
        <v>0</v>
      </c>
      <c r="EB47" s="1007">
        <f t="shared" si="48"/>
        <v>0</v>
      </c>
      <c r="EC47" s="1007"/>
      <c r="ED47" s="1007">
        <f t="shared" si="49"/>
        <v>0</v>
      </c>
    </row>
    <row r="48" spans="1:134" ht="35.25" customHeight="1" x14ac:dyDescent="0.25">
      <c r="A48" s="1565"/>
      <c r="B48" s="1018" t="s">
        <v>4310</v>
      </c>
      <c r="C48" s="1092" t="s">
        <v>4380</v>
      </c>
      <c r="D48" s="1018" t="s">
        <v>4608</v>
      </c>
      <c r="E48" s="1019">
        <v>410</v>
      </c>
      <c r="F48" s="1094" t="s">
        <v>3350</v>
      </c>
      <c r="G48" s="1428">
        <v>1150000000</v>
      </c>
      <c r="H48" s="1060">
        <f t="shared" si="31"/>
        <v>460457196</v>
      </c>
      <c r="I48" s="1060">
        <f t="shared" si="32"/>
        <v>154423804</v>
      </c>
      <c r="J48" s="1428" t="s">
        <v>4811</v>
      </c>
      <c r="K48" s="1257" t="s">
        <v>4812</v>
      </c>
      <c r="L48" s="1257" t="s">
        <v>4818</v>
      </c>
      <c r="M48" s="1097">
        <v>6</v>
      </c>
      <c r="N48" s="1097">
        <v>112</v>
      </c>
      <c r="O48" s="1097">
        <v>7</v>
      </c>
      <c r="P48" s="1097">
        <v>42</v>
      </c>
      <c r="Q48" s="1097">
        <v>132</v>
      </c>
      <c r="R48" s="1097">
        <v>55</v>
      </c>
      <c r="S48" s="1094"/>
      <c r="T48" s="1094"/>
      <c r="U48" s="1094"/>
      <c r="V48" s="1094"/>
      <c r="W48" s="1094"/>
      <c r="X48" s="1094"/>
      <c r="Y48" s="1051">
        <f t="shared" si="33"/>
        <v>614881000</v>
      </c>
      <c r="Z48" s="944"/>
      <c r="AA48" s="1007">
        <f>420000000-415119000</f>
        <v>4881000</v>
      </c>
      <c r="AB48" s="1007"/>
      <c r="AC48" s="1007"/>
      <c r="AD48" s="1007"/>
      <c r="AE48" s="1007">
        <f>30000000+30000000+10000000+20000000</f>
        <v>90000000</v>
      </c>
      <c r="AF48" s="1007">
        <f>5000000+10000000</f>
        <v>15000000</v>
      </c>
      <c r="AG48" s="1007">
        <v>102810569</v>
      </c>
      <c r="AH48" s="1007">
        <v>219471348</v>
      </c>
      <c r="AI48" s="1007"/>
      <c r="AJ48" s="1007"/>
      <c r="AK48" s="1007"/>
      <c r="AL48" s="1007"/>
      <c r="AM48" s="1007">
        <f>10000000</f>
        <v>10000000</v>
      </c>
      <c r="AN48" s="1007">
        <f>82718083+10000000+20000000+10000000</f>
        <v>122718083</v>
      </c>
      <c r="AO48" s="1007">
        <f>30000000+10000000+10000000</f>
        <v>50000000</v>
      </c>
      <c r="AP48" s="1007"/>
      <c r="AQ48" s="1007"/>
      <c r="AR48" s="1007"/>
      <c r="AS48" s="1007"/>
      <c r="AU48" s="1010">
        <f t="shared" si="3"/>
        <v>1</v>
      </c>
      <c r="AV48" s="1007">
        <f t="shared" si="34"/>
        <v>614881000</v>
      </c>
      <c r="AW48" s="1007"/>
      <c r="AX48" s="1007">
        <f>+'[13]JUNIO 2015'!$K$1062</f>
        <v>4881000</v>
      </c>
      <c r="AY48" s="1007"/>
      <c r="AZ48" s="1007"/>
      <c r="BA48" s="1007"/>
      <c r="BB48" s="1007">
        <f>+'[13]JUNIO 2015'!$O$1062</f>
        <v>90000000</v>
      </c>
      <c r="BC48" s="1007">
        <f>+'[13]JUNIO 2015'!$P$1062</f>
        <v>15000000</v>
      </c>
      <c r="BD48" s="1007">
        <f>+'[12]FEBRERO 2015'!$P$585</f>
        <v>102810569</v>
      </c>
      <c r="BE48" s="1007">
        <f>+'[12]FEBRERO 2015'!$Q$585</f>
        <v>219471348</v>
      </c>
      <c r="BF48" s="1007"/>
      <c r="BG48" s="1007"/>
      <c r="BH48" s="1007"/>
      <c r="BI48" s="1007"/>
      <c r="BJ48" s="1007">
        <f>+'[13]JUNIO 2015'!$W$1062</f>
        <v>10000000</v>
      </c>
      <c r="BK48" s="1007">
        <f>+'[13]JUNIO 2015'!$X$1062</f>
        <v>122718083</v>
      </c>
      <c r="BL48" s="1007">
        <f>+'[13]JUNIO 2015'!$Y$1062</f>
        <v>50000000</v>
      </c>
      <c r="BM48" s="1007"/>
      <c r="BN48" s="1007"/>
      <c r="BO48" s="1007"/>
      <c r="BP48" s="1007"/>
      <c r="BQ48" s="1010">
        <f t="shared" si="25"/>
        <v>0</v>
      </c>
      <c r="BR48" s="1007">
        <f t="shared" si="35"/>
        <v>0</v>
      </c>
      <c r="BS48" s="1007">
        <f t="shared" si="36"/>
        <v>0</v>
      </c>
      <c r="BT48" s="1007">
        <f t="shared" si="52"/>
        <v>0</v>
      </c>
      <c r="BU48" s="1007">
        <f t="shared" si="37"/>
        <v>0</v>
      </c>
      <c r="BV48" s="1007">
        <f t="shared" si="37"/>
        <v>0</v>
      </c>
      <c r="BW48" s="1007"/>
      <c r="BX48" s="1007">
        <f t="shared" si="38"/>
        <v>0</v>
      </c>
      <c r="BY48" s="1007">
        <f t="shared" si="38"/>
        <v>0</v>
      </c>
      <c r="BZ48" s="1007">
        <f>+AG48-BD48</f>
        <v>0</v>
      </c>
      <c r="CA48" s="1007">
        <f t="shared" si="50"/>
        <v>0</v>
      </c>
      <c r="CB48" s="1007">
        <f t="shared" si="50"/>
        <v>0</v>
      </c>
      <c r="CC48" s="1007">
        <f t="shared" si="50"/>
        <v>0</v>
      </c>
      <c r="CD48" s="1007">
        <f t="shared" si="40"/>
        <v>0</v>
      </c>
      <c r="CE48" s="1007">
        <f t="shared" si="40"/>
        <v>0</v>
      </c>
      <c r="CF48" s="1007">
        <f t="shared" si="40"/>
        <v>0</v>
      </c>
      <c r="CG48" s="1007">
        <f t="shared" si="40"/>
        <v>0</v>
      </c>
      <c r="CH48" s="1007">
        <f t="shared" si="40"/>
        <v>0</v>
      </c>
      <c r="CI48" s="1007">
        <f t="shared" si="40"/>
        <v>0</v>
      </c>
      <c r="CJ48" s="1007"/>
      <c r="CK48" s="1007"/>
      <c r="CL48" s="1007">
        <f t="shared" si="41"/>
        <v>0</v>
      </c>
      <c r="CM48" s="1010">
        <f t="shared" si="13"/>
        <v>0.74885578835579569</v>
      </c>
      <c r="CN48" s="1007">
        <f t="shared" si="42"/>
        <v>460457196</v>
      </c>
      <c r="CO48" s="1007"/>
      <c r="CP48" s="1007">
        <f>+'[7]AGOSTO 2015'!$H$1429+'[7]AGOSTO 2015'!$H$1430</f>
        <v>4881000</v>
      </c>
      <c r="CQ48" s="1007"/>
      <c r="CR48" s="1007"/>
      <c r="CS48" s="1007"/>
      <c r="CT48" s="1007">
        <f>+'[8]SEPTIEMBRE 2015'!$H$1734</f>
        <v>89690665</v>
      </c>
      <c r="CU48" s="1007">
        <f>+'[8]SEPTIEMBRE 2015'!$H$1790</f>
        <v>15000000</v>
      </c>
      <c r="CV48" s="1007">
        <f>+'[13]JUNIO 2015'!$H$1093</f>
        <v>102810569</v>
      </c>
      <c r="CW48" s="1007">
        <f>+'[8]SEPTIEMBRE 2015'!$H$1680</f>
        <v>129471348</v>
      </c>
      <c r="CX48" s="1007"/>
      <c r="CY48" s="1007"/>
      <c r="CZ48" s="1007"/>
      <c r="DA48" s="1007"/>
      <c r="DB48" s="1007"/>
      <c r="DC48" s="1007">
        <f>+'[7]AGOSTO 2015'!$H$1432</f>
        <v>82718083</v>
      </c>
      <c r="DD48" s="1007">
        <f>+'[8]SEPTIEMBRE 2015'!$H$1771</f>
        <v>35885531</v>
      </c>
      <c r="DE48" s="1007"/>
      <c r="DF48" s="1007"/>
      <c r="DG48" s="1007"/>
      <c r="DH48" s="1007"/>
      <c r="DI48" s="1010">
        <f t="shared" si="15"/>
        <v>0.25114421164420431</v>
      </c>
      <c r="DJ48" s="1007">
        <f t="shared" si="43"/>
        <v>154423804</v>
      </c>
      <c r="DK48" s="1007"/>
      <c r="DL48" s="1007">
        <f t="shared" si="53"/>
        <v>0</v>
      </c>
      <c r="DM48" s="1007">
        <f t="shared" si="53"/>
        <v>0</v>
      </c>
      <c r="DN48" s="1007">
        <f t="shared" si="51"/>
        <v>0</v>
      </c>
      <c r="DO48" s="1007"/>
      <c r="DP48" s="1007">
        <f t="shared" si="45"/>
        <v>309335</v>
      </c>
      <c r="DQ48" s="1007">
        <f t="shared" si="45"/>
        <v>0</v>
      </c>
      <c r="DR48" s="1007">
        <f>AG48-CV48</f>
        <v>0</v>
      </c>
      <c r="DS48" s="1007">
        <f t="shared" si="46"/>
        <v>90000000</v>
      </c>
      <c r="DT48" s="1007">
        <f t="shared" si="46"/>
        <v>0</v>
      </c>
      <c r="DU48" s="1007"/>
      <c r="DV48" s="1007">
        <f t="shared" si="47"/>
        <v>0</v>
      </c>
      <c r="DW48" s="1007">
        <f t="shared" si="47"/>
        <v>0</v>
      </c>
      <c r="DX48" s="1007">
        <f t="shared" si="47"/>
        <v>10000000</v>
      </c>
      <c r="DY48" s="1007">
        <f t="shared" si="48"/>
        <v>40000000</v>
      </c>
      <c r="DZ48" s="1007">
        <f t="shared" si="48"/>
        <v>14114469</v>
      </c>
      <c r="EA48" s="1007">
        <f t="shared" si="48"/>
        <v>0</v>
      </c>
      <c r="EB48" s="1007">
        <f t="shared" si="48"/>
        <v>0</v>
      </c>
      <c r="EC48" s="1007"/>
      <c r="ED48" s="1007">
        <f t="shared" si="49"/>
        <v>0</v>
      </c>
    </row>
    <row r="49" spans="1:135" ht="37.5" customHeight="1" x14ac:dyDescent="0.25">
      <c r="A49" s="1565"/>
      <c r="B49" s="1018"/>
      <c r="C49" s="1092" t="s">
        <v>4381</v>
      </c>
      <c r="D49" s="1018" t="s">
        <v>4609</v>
      </c>
      <c r="E49" s="1019">
        <v>410</v>
      </c>
      <c r="F49" s="1094" t="s">
        <v>3350</v>
      </c>
      <c r="G49" s="1429"/>
      <c r="H49" s="1060">
        <f t="shared" si="31"/>
        <v>18550000</v>
      </c>
      <c r="I49" s="1060">
        <f t="shared" si="32"/>
        <v>1450000</v>
      </c>
      <c r="J49" s="1430"/>
      <c r="K49" s="1258"/>
      <c r="L49" s="1258"/>
      <c r="M49" s="1097">
        <v>93</v>
      </c>
      <c r="N49" s="1097">
        <v>100</v>
      </c>
      <c r="O49" s="1097">
        <v>93</v>
      </c>
      <c r="P49" s="1097">
        <v>93</v>
      </c>
      <c r="Q49" s="1097">
        <v>100</v>
      </c>
      <c r="R49" s="1097">
        <v>93</v>
      </c>
      <c r="S49" s="1094"/>
      <c r="T49" s="1094"/>
      <c r="U49" s="1094"/>
      <c r="V49" s="1094"/>
      <c r="W49" s="1094"/>
      <c r="X49" s="1094"/>
      <c r="Y49" s="1007">
        <f t="shared" si="33"/>
        <v>20000000</v>
      </c>
      <c r="Z49" s="944"/>
      <c r="AA49" s="1007">
        <f>20000000-18055657-1450000</f>
        <v>494343</v>
      </c>
      <c r="AB49" s="1007">
        <v>18055657</v>
      </c>
      <c r="AC49" s="1007"/>
      <c r="AD49" s="1007"/>
      <c r="AE49" s="1007"/>
      <c r="AF49" s="1007"/>
      <c r="AG49" s="1007"/>
      <c r="AH49" s="1007"/>
      <c r="AI49" s="1007"/>
      <c r="AJ49" s="1007"/>
      <c r="AK49" s="1007"/>
      <c r="AL49" s="1007"/>
      <c r="AM49" s="1007"/>
      <c r="AN49" s="1007"/>
      <c r="AO49" s="1007">
        <v>1450000</v>
      </c>
      <c r="AP49" s="1007"/>
      <c r="AQ49" s="1007"/>
      <c r="AR49" s="1007"/>
      <c r="AS49" s="1007"/>
      <c r="AU49" s="1010">
        <f t="shared" si="3"/>
        <v>1</v>
      </c>
      <c r="AV49" s="1007">
        <f t="shared" si="34"/>
        <v>20000000</v>
      </c>
      <c r="AW49" s="1007"/>
      <c r="AX49" s="1007">
        <v>494343</v>
      </c>
      <c r="AY49" s="1007">
        <v>18055657</v>
      </c>
      <c r="AZ49" s="1007"/>
      <c r="BA49" s="1007"/>
      <c r="BB49" s="1007"/>
      <c r="BC49" s="1007"/>
      <c r="BD49" s="1007"/>
      <c r="BE49" s="1007"/>
      <c r="BF49" s="1007"/>
      <c r="BG49" s="1007"/>
      <c r="BH49" s="1007"/>
      <c r="BI49" s="1007"/>
      <c r="BJ49" s="1007"/>
      <c r="BK49" s="1007"/>
      <c r="BL49" s="1007">
        <f>+'[10]JULIO 2015'!$Y$1386</f>
        <v>1450000</v>
      </c>
      <c r="BM49" s="1007"/>
      <c r="BN49" s="1007"/>
      <c r="BO49" s="1007"/>
      <c r="BP49" s="1007"/>
      <c r="BQ49" s="1010">
        <f t="shared" si="25"/>
        <v>0</v>
      </c>
      <c r="BR49" s="1007">
        <f t="shared" si="35"/>
        <v>0</v>
      </c>
      <c r="BS49" s="1007">
        <f t="shared" si="36"/>
        <v>0</v>
      </c>
      <c r="BT49" s="1007">
        <f t="shared" si="52"/>
        <v>0</v>
      </c>
      <c r="BU49" s="1007">
        <f t="shared" si="37"/>
        <v>0</v>
      </c>
      <c r="BV49" s="1007">
        <f t="shared" si="37"/>
        <v>0</v>
      </c>
      <c r="BW49" s="1007"/>
      <c r="BX49" s="1007">
        <f t="shared" si="38"/>
        <v>0</v>
      </c>
      <c r="BY49" s="1007">
        <f t="shared" si="38"/>
        <v>0</v>
      </c>
      <c r="BZ49" s="1007"/>
      <c r="CA49" s="1007"/>
      <c r="CB49" s="1007">
        <f>+AI49-BF49</f>
        <v>0</v>
      </c>
      <c r="CC49" s="1007"/>
      <c r="CD49" s="1007">
        <f t="shared" si="40"/>
        <v>0</v>
      </c>
      <c r="CE49" s="1007">
        <f t="shared" si="40"/>
        <v>0</v>
      </c>
      <c r="CF49" s="1007">
        <f t="shared" si="40"/>
        <v>0</v>
      </c>
      <c r="CG49" s="1007">
        <f t="shared" si="40"/>
        <v>0</v>
      </c>
      <c r="CH49" s="1007">
        <f t="shared" si="40"/>
        <v>0</v>
      </c>
      <c r="CI49" s="1007">
        <f t="shared" si="40"/>
        <v>0</v>
      </c>
      <c r="CJ49" s="1007"/>
      <c r="CK49" s="1007"/>
      <c r="CL49" s="1007">
        <f t="shared" si="41"/>
        <v>0</v>
      </c>
      <c r="CM49" s="1010">
        <f t="shared" si="13"/>
        <v>0.92749999999999999</v>
      </c>
      <c r="CN49" s="1007">
        <f t="shared" si="42"/>
        <v>18550000</v>
      </c>
      <c r="CO49" s="1007"/>
      <c r="CP49" s="1007">
        <f>20000000-18055657-1450000</f>
        <v>494343</v>
      </c>
      <c r="CQ49" s="1007">
        <v>18055657</v>
      </c>
      <c r="CR49" s="1007"/>
      <c r="CS49" s="1007"/>
      <c r="CT49" s="1007"/>
      <c r="CU49" s="1007"/>
      <c r="CV49" s="1007"/>
      <c r="CW49" s="1007"/>
      <c r="CX49" s="1007"/>
      <c r="CY49" s="1007"/>
      <c r="CZ49" s="1007"/>
      <c r="DA49" s="1007"/>
      <c r="DB49" s="1007"/>
      <c r="DC49" s="1007"/>
      <c r="DD49" s="1007"/>
      <c r="DE49" s="1007"/>
      <c r="DF49" s="1007"/>
      <c r="DG49" s="1007"/>
      <c r="DH49" s="1007"/>
      <c r="DI49" s="1010">
        <f t="shared" si="15"/>
        <v>7.2500000000000009E-2</v>
      </c>
      <c r="DJ49" s="1007">
        <f t="shared" si="43"/>
        <v>1450000</v>
      </c>
      <c r="DK49" s="1007"/>
      <c r="DL49" s="1007">
        <f t="shared" si="53"/>
        <v>0</v>
      </c>
      <c r="DM49" s="1007">
        <f t="shared" si="53"/>
        <v>0</v>
      </c>
      <c r="DN49" s="1007">
        <f t="shared" si="51"/>
        <v>0</v>
      </c>
      <c r="DO49" s="1007"/>
      <c r="DP49" s="1007">
        <f t="shared" si="45"/>
        <v>0</v>
      </c>
      <c r="DQ49" s="1007">
        <f t="shared" si="45"/>
        <v>0</v>
      </c>
      <c r="DR49" s="1007"/>
      <c r="DS49" s="1007">
        <f t="shared" si="46"/>
        <v>0</v>
      </c>
      <c r="DT49" s="1007">
        <f t="shared" si="46"/>
        <v>0</v>
      </c>
      <c r="DU49" s="1007"/>
      <c r="DV49" s="1007">
        <f t="shared" si="47"/>
        <v>0</v>
      </c>
      <c r="DW49" s="1007">
        <f t="shared" si="47"/>
        <v>0</v>
      </c>
      <c r="DX49" s="1007">
        <f t="shared" si="47"/>
        <v>0</v>
      </c>
      <c r="DY49" s="1007">
        <f t="shared" si="48"/>
        <v>0</v>
      </c>
      <c r="DZ49" s="1007">
        <f t="shared" si="48"/>
        <v>1450000</v>
      </c>
      <c r="EA49" s="1007">
        <f t="shared" si="48"/>
        <v>0</v>
      </c>
      <c r="EB49" s="1007">
        <f t="shared" si="48"/>
        <v>0</v>
      </c>
      <c r="EC49" s="1007"/>
      <c r="ED49" s="1007">
        <f t="shared" si="49"/>
        <v>0</v>
      </c>
    </row>
    <row r="50" spans="1:135" ht="44.25" customHeight="1" x14ac:dyDescent="0.25">
      <c r="A50" s="1565"/>
      <c r="B50" s="1018"/>
      <c r="C50" s="1092" t="s">
        <v>4382</v>
      </c>
      <c r="D50" s="1018" t="s">
        <v>4311</v>
      </c>
      <c r="E50" s="1019">
        <v>410</v>
      </c>
      <c r="F50" s="1094" t="s">
        <v>4704</v>
      </c>
      <c r="G50" s="1429"/>
      <c r="H50" s="1060">
        <f t="shared" si="31"/>
        <v>8774500</v>
      </c>
      <c r="I50" s="1060">
        <f t="shared" si="32"/>
        <v>22725500</v>
      </c>
      <c r="J50" s="1428" t="s">
        <v>4813</v>
      </c>
      <c r="K50" s="1257" t="s">
        <v>4814</v>
      </c>
      <c r="L50" s="1257" t="s">
        <v>4813</v>
      </c>
      <c r="M50" s="1097">
        <v>0</v>
      </c>
      <c r="N50" s="1097">
        <v>0</v>
      </c>
      <c r="O50" s="1097">
        <v>0</v>
      </c>
      <c r="P50" s="1097">
        <v>8</v>
      </c>
      <c r="Q50" s="1097">
        <v>0</v>
      </c>
      <c r="R50" s="1097">
        <v>0</v>
      </c>
      <c r="S50" s="1094"/>
      <c r="T50" s="1094"/>
      <c r="U50" s="1094"/>
      <c r="V50" s="1094"/>
      <c r="W50" s="1094"/>
      <c r="X50" s="1094"/>
      <c r="Y50" s="1007">
        <f t="shared" si="33"/>
        <v>31500000</v>
      </c>
      <c r="Z50" s="944"/>
      <c r="AA50" s="1007"/>
      <c r="AB50" s="1007"/>
      <c r="AC50" s="1007"/>
      <c r="AD50" s="1007"/>
      <c r="AE50" s="1007"/>
      <c r="AF50" s="1007"/>
      <c r="AG50" s="1007"/>
      <c r="AH50" s="1007"/>
      <c r="AI50" s="1007"/>
      <c r="AJ50" s="1007"/>
      <c r="AK50" s="1007"/>
      <c r="AL50" s="1007"/>
      <c r="AM50" s="1007"/>
      <c r="AN50" s="1007">
        <f>14000000-10000000</f>
        <v>4000000</v>
      </c>
      <c r="AO50" s="1007"/>
      <c r="AP50" s="1007"/>
      <c r="AQ50" s="1007"/>
      <c r="AR50" s="1007"/>
      <c r="AS50" s="1007">
        <f>5000000+2500000+5000000+15000000</f>
        <v>27500000</v>
      </c>
      <c r="AU50" s="1010">
        <f t="shared" si="3"/>
        <v>0.36507936507936506</v>
      </c>
      <c r="AV50" s="1007">
        <f t="shared" si="34"/>
        <v>11500000</v>
      </c>
      <c r="AW50" s="1007"/>
      <c r="AX50" s="1007"/>
      <c r="AY50" s="1007"/>
      <c r="AZ50" s="1007"/>
      <c r="BA50" s="1007"/>
      <c r="BB50" s="1007"/>
      <c r="BC50" s="1007"/>
      <c r="BD50" s="1007"/>
      <c r="BE50" s="1007"/>
      <c r="BF50" s="1007"/>
      <c r="BG50" s="1007"/>
      <c r="BH50" s="1007"/>
      <c r="BI50" s="1007"/>
      <c r="BJ50" s="1007"/>
      <c r="BK50" s="1007">
        <v>4000000</v>
      </c>
      <c r="BL50" s="1007"/>
      <c r="BM50" s="1007"/>
      <c r="BN50" s="1007"/>
      <c r="BO50" s="1007"/>
      <c r="BP50" s="1007">
        <f>+'[15]FEBRERO 2015'!$AC$565</f>
        <v>7500000</v>
      </c>
      <c r="BQ50" s="1010">
        <f t="shared" si="25"/>
        <v>0.63492063492063489</v>
      </c>
      <c r="BR50" s="1007">
        <f t="shared" si="35"/>
        <v>20000000</v>
      </c>
      <c r="BS50" s="1007">
        <f t="shared" si="36"/>
        <v>0</v>
      </c>
      <c r="BT50" s="1007">
        <f t="shared" si="52"/>
        <v>0</v>
      </c>
      <c r="BU50" s="1007">
        <f t="shared" si="37"/>
        <v>0</v>
      </c>
      <c r="BV50" s="1007">
        <f t="shared" si="37"/>
        <v>0</v>
      </c>
      <c r="BW50" s="1007"/>
      <c r="BX50" s="1007">
        <f t="shared" si="38"/>
        <v>0</v>
      </c>
      <c r="BY50" s="1007">
        <f t="shared" si="38"/>
        <v>0</v>
      </c>
      <c r="BZ50" s="1007"/>
      <c r="CA50" s="1007"/>
      <c r="CB50" s="1007">
        <f>+AI50-BF50</f>
        <v>0</v>
      </c>
      <c r="CC50" s="1007"/>
      <c r="CD50" s="1007">
        <f t="shared" si="40"/>
        <v>0</v>
      </c>
      <c r="CE50" s="1007">
        <f t="shared" si="40"/>
        <v>0</v>
      </c>
      <c r="CF50" s="1007">
        <f t="shared" si="40"/>
        <v>0</v>
      </c>
      <c r="CG50" s="1007">
        <f t="shared" si="40"/>
        <v>0</v>
      </c>
      <c r="CH50" s="1007">
        <f t="shared" si="40"/>
        <v>0</v>
      </c>
      <c r="CI50" s="1007">
        <f t="shared" si="40"/>
        <v>0</v>
      </c>
      <c r="CJ50" s="1007"/>
      <c r="CK50" s="1007"/>
      <c r="CL50" s="1007">
        <f t="shared" si="41"/>
        <v>20000000</v>
      </c>
      <c r="CM50" s="1010">
        <f t="shared" si="13"/>
        <v>0.27855555555555556</v>
      </c>
      <c r="CN50" s="1007">
        <f t="shared" si="42"/>
        <v>8774500</v>
      </c>
      <c r="CO50" s="1007"/>
      <c r="CP50" s="1007"/>
      <c r="CQ50" s="1007"/>
      <c r="CR50" s="1007"/>
      <c r="CS50" s="1007"/>
      <c r="CT50" s="1007"/>
      <c r="CU50" s="1007"/>
      <c r="CV50" s="1007"/>
      <c r="CW50" s="1007"/>
      <c r="CX50" s="1007"/>
      <c r="CY50" s="1007"/>
      <c r="CZ50" s="1007"/>
      <c r="DA50" s="1007"/>
      <c r="DB50" s="1007"/>
      <c r="DC50" s="1007">
        <f>+'[10]JULIO 2015'!$H$1401</f>
        <v>4000000</v>
      </c>
      <c r="DD50" s="1007"/>
      <c r="DE50" s="1007"/>
      <c r="DF50" s="1007"/>
      <c r="DG50" s="1007"/>
      <c r="DH50" s="1007">
        <f>+'[8]SEPTIEMBRE 2015'!$H$1812</f>
        <v>4774500</v>
      </c>
      <c r="DI50" s="1010">
        <f t="shared" si="15"/>
        <v>0.72144444444444444</v>
      </c>
      <c r="DJ50" s="1007">
        <f t="shared" si="43"/>
        <v>22725500</v>
      </c>
      <c r="DK50" s="1007"/>
      <c r="DL50" s="1007"/>
      <c r="DM50" s="1007"/>
      <c r="DN50" s="1007">
        <f t="shared" si="51"/>
        <v>0</v>
      </c>
      <c r="DO50" s="1007"/>
      <c r="DP50" s="1007">
        <f t="shared" si="45"/>
        <v>0</v>
      </c>
      <c r="DQ50" s="1007">
        <f t="shared" si="45"/>
        <v>0</v>
      </c>
      <c r="DR50" s="1007"/>
      <c r="DS50" s="1007">
        <f t="shared" si="46"/>
        <v>0</v>
      </c>
      <c r="DT50" s="1007">
        <f t="shared" si="46"/>
        <v>0</v>
      </c>
      <c r="DU50" s="1007"/>
      <c r="DV50" s="1007">
        <f t="shared" si="47"/>
        <v>0</v>
      </c>
      <c r="DW50" s="1007">
        <f t="shared" si="47"/>
        <v>0</v>
      </c>
      <c r="DX50" s="1007">
        <f t="shared" si="47"/>
        <v>0</v>
      </c>
      <c r="DY50" s="1007">
        <f t="shared" si="48"/>
        <v>0</v>
      </c>
      <c r="DZ50" s="1007">
        <f t="shared" si="48"/>
        <v>0</v>
      </c>
      <c r="EA50" s="1007">
        <f t="shared" si="48"/>
        <v>0</v>
      </c>
      <c r="EB50" s="1007">
        <f t="shared" si="48"/>
        <v>0</v>
      </c>
      <c r="EC50" s="1007"/>
      <c r="ED50" s="1007">
        <f t="shared" si="49"/>
        <v>22725500</v>
      </c>
    </row>
    <row r="51" spans="1:135" ht="36.75" customHeight="1" x14ac:dyDescent="0.25">
      <c r="A51" s="1565"/>
      <c r="B51" s="1018"/>
      <c r="C51" s="1092" t="s">
        <v>4383</v>
      </c>
      <c r="D51" s="1018" t="s">
        <v>4324</v>
      </c>
      <c r="E51" s="1019">
        <v>410</v>
      </c>
      <c r="F51" s="1094" t="s">
        <v>4347</v>
      </c>
      <c r="G51" s="1429"/>
      <c r="H51" s="1060">
        <f t="shared" si="31"/>
        <v>0</v>
      </c>
      <c r="I51" s="1060">
        <f t="shared" si="32"/>
        <v>7000000</v>
      </c>
      <c r="J51" s="1429"/>
      <c r="K51" s="1562"/>
      <c r="L51" s="1562"/>
      <c r="M51" s="1097">
        <v>0</v>
      </c>
      <c r="N51" s="1097">
        <v>0</v>
      </c>
      <c r="O51" s="1097">
        <v>0</v>
      </c>
      <c r="P51" s="1097">
        <v>0</v>
      </c>
      <c r="Q51" s="1097">
        <v>0</v>
      </c>
      <c r="R51" s="1097">
        <v>0</v>
      </c>
      <c r="S51" s="1094"/>
      <c r="T51" s="1094"/>
      <c r="U51" s="1094"/>
      <c r="V51" s="1094"/>
      <c r="W51" s="1094"/>
      <c r="X51" s="1094"/>
      <c r="Y51" s="1007">
        <f t="shared" si="33"/>
        <v>7000000</v>
      </c>
      <c r="Z51" s="944"/>
      <c r="AA51" s="1007"/>
      <c r="AB51" s="1007"/>
      <c r="AC51" s="1007"/>
      <c r="AD51" s="1007"/>
      <c r="AE51" s="1007"/>
      <c r="AF51" s="1007"/>
      <c r="AG51" s="1007"/>
      <c r="AH51" s="1007"/>
      <c r="AI51" s="1007"/>
      <c r="AJ51" s="1007"/>
      <c r="AK51" s="1007"/>
      <c r="AL51" s="1007"/>
      <c r="AM51" s="1007"/>
      <c r="AN51" s="1007"/>
      <c r="AO51" s="1007"/>
      <c r="AP51" s="1007"/>
      <c r="AQ51" s="1007"/>
      <c r="AR51" s="1007"/>
      <c r="AS51" s="1007">
        <f>2000000+5000000</f>
        <v>7000000</v>
      </c>
      <c r="AU51" s="1010">
        <f t="shared" si="3"/>
        <v>0.2857142857142857</v>
      </c>
      <c r="AV51" s="1007">
        <f t="shared" si="34"/>
        <v>2000000</v>
      </c>
      <c r="AW51" s="1007"/>
      <c r="AX51" s="1007"/>
      <c r="AY51" s="1007"/>
      <c r="AZ51" s="1007"/>
      <c r="BA51" s="1007"/>
      <c r="BB51" s="1007"/>
      <c r="BC51" s="1007"/>
      <c r="BD51" s="1007"/>
      <c r="BE51" s="1007"/>
      <c r="BF51" s="1007"/>
      <c r="BG51" s="1007"/>
      <c r="BH51" s="1007"/>
      <c r="BI51" s="1007"/>
      <c r="BJ51" s="1007"/>
      <c r="BK51" s="1007"/>
      <c r="BL51" s="1007"/>
      <c r="BM51" s="1007"/>
      <c r="BN51" s="1007"/>
      <c r="BO51" s="1007"/>
      <c r="BP51" s="1007">
        <f>+'[15]FEBRERO 2015'!$AC$571</f>
        <v>2000000</v>
      </c>
      <c r="BQ51" s="1010">
        <f t="shared" si="25"/>
        <v>0.7142857142857143</v>
      </c>
      <c r="BR51" s="1007">
        <f t="shared" si="35"/>
        <v>5000000</v>
      </c>
      <c r="BS51" s="1007">
        <f t="shared" si="36"/>
        <v>0</v>
      </c>
      <c r="BT51" s="1007">
        <f t="shared" si="52"/>
        <v>0</v>
      </c>
      <c r="BU51" s="1007">
        <f t="shared" si="52"/>
        <v>0</v>
      </c>
      <c r="BV51" s="1007">
        <f t="shared" si="52"/>
        <v>0</v>
      </c>
      <c r="BW51" s="1007"/>
      <c r="BX51" s="1007">
        <f t="shared" si="38"/>
        <v>0</v>
      </c>
      <c r="BY51" s="1007">
        <f t="shared" si="38"/>
        <v>0</v>
      </c>
      <c r="BZ51" s="1007"/>
      <c r="CA51" s="1007"/>
      <c r="CB51" s="1007">
        <f>+AI51-BF51</f>
        <v>0</v>
      </c>
      <c r="CC51" s="1007"/>
      <c r="CD51" s="1007">
        <f t="shared" si="40"/>
        <v>0</v>
      </c>
      <c r="CE51" s="1007">
        <f t="shared" si="40"/>
        <v>0</v>
      </c>
      <c r="CF51" s="1007">
        <f t="shared" si="40"/>
        <v>0</v>
      </c>
      <c r="CG51" s="1007">
        <f t="shared" si="40"/>
        <v>0</v>
      </c>
      <c r="CH51" s="1007">
        <f t="shared" si="40"/>
        <v>0</v>
      </c>
      <c r="CI51" s="1007">
        <f t="shared" si="40"/>
        <v>0</v>
      </c>
      <c r="CJ51" s="1007"/>
      <c r="CK51" s="1007"/>
      <c r="CL51" s="1007">
        <f t="shared" si="41"/>
        <v>5000000</v>
      </c>
      <c r="CM51" s="1010">
        <f t="shared" si="13"/>
        <v>0</v>
      </c>
      <c r="CN51" s="1007">
        <f t="shared" si="42"/>
        <v>0</v>
      </c>
      <c r="CO51" s="1007"/>
      <c r="CP51" s="1007"/>
      <c r="CQ51" s="1007"/>
      <c r="CR51" s="1007"/>
      <c r="CS51" s="1007"/>
      <c r="CT51" s="1007"/>
      <c r="CU51" s="1007"/>
      <c r="CV51" s="1007"/>
      <c r="CW51" s="1007"/>
      <c r="CX51" s="1007"/>
      <c r="CY51" s="1007"/>
      <c r="CZ51" s="1007"/>
      <c r="DA51" s="1007"/>
      <c r="DB51" s="1007"/>
      <c r="DC51" s="1007"/>
      <c r="DD51" s="1007"/>
      <c r="DE51" s="1007"/>
      <c r="DF51" s="1007"/>
      <c r="DG51" s="1007"/>
      <c r="DH51" s="1007"/>
      <c r="DI51" s="1010">
        <f t="shared" si="15"/>
        <v>1</v>
      </c>
      <c r="DJ51" s="1007">
        <f t="shared" si="43"/>
        <v>7000000</v>
      </c>
      <c r="DK51" s="1007"/>
      <c r="DL51" s="1007"/>
      <c r="DM51" s="1007"/>
      <c r="DN51" s="1007">
        <f t="shared" si="51"/>
        <v>0</v>
      </c>
      <c r="DO51" s="1007"/>
      <c r="DP51" s="1007">
        <f t="shared" si="45"/>
        <v>0</v>
      </c>
      <c r="DQ51" s="1007">
        <f t="shared" si="45"/>
        <v>0</v>
      </c>
      <c r="DR51" s="1007"/>
      <c r="DS51" s="1007">
        <f t="shared" si="46"/>
        <v>0</v>
      </c>
      <c r="DT51" s="1007">
        <f t="shared" si="46"/>
        <v>0</v>
      </c>
      <c r="DU51" s="1007"/>
      <c r="DV51" s="1007">
        <f t="shared" si="47"/>
        <v>0</v>
      </c>
      <c r="DW51" s="1007">
        <f t="shared" si="47"/>
        <v>0</v>
      </c>
      <c r="DX51" s="1007">
        <f t="shared" si="47"/>
        <v>0</v>
      </c>
      <c r="DY51" s="1007">
        <f t="shared" si="48"/>
        <v>0</v>
      </c>
      <c r="DZ51" s="1007">
        <f t="shared" si="48"/>
        <v>0</v>
      </c>
      <c r="EA51" s="1007">
        <f t="shared" si="48"/>
        <v>0</v>
      </c>
      <c r="EB51" s="1007">
        <f t="shared" si="48"/>
        <v>0</v>
      </c>
      <c r="EC51" s="1007"/>
      <c r="ED51" s="1007">
        <f t="shared" si="49"/>
        <v>7000000</v>
      </c>
    </row>
    <row r="52" spans="1:135" s="203" customFormat="1" ht="21.75" customHeight="1" x14ac:dyDescent="0.25">
      <c r="A52" s="1565"/>
      <c r="B52" s="1018"/>
      <c r="C52" s="1080" t="s">
        <v>4384</v>
      </c>
      <c r="D52" s="1018" t="s">
        <v>4325</v>
      </c>
      <c r="E52" s="1019">
        <v>410</v>
      </c>
      <c r="F52" s="1094" t="s">
        <v>3350</v>
      </c>
      <c r="G52" s="1430"/>
      <c r="H52" s="1060">
        <f t="shared" si="31"/>
        <v>478086868</v>
      </c>
      <c r="I52" s="1060">
        <f t="shared" si="32"/>
        <v>221913132</v>
      </c>
      <c r="J52" s="1430"/>
      <c r="K52" s="1258"/>
      <c r="L52" s="1258"/>
      <c r="M52" s="1074"/>
      <c r="N52" s="1074"/>
      <c r="O52" s="1074"/>
      <c r="P52" s="1074"/>
      <c r="Q52" s="1074"/>
      <c r="R52" s="1074"/>
      <c r="S52" s="1094"/>
      <c r="T52" s="1094"/>
      <c r="U52" s="1094"/>
      <c r="V52" s="1094"/>
      <c r="W52" s="1094"/>
      <c r="X52" s="1094"/>
      <c r="Y52" s="1066">
        <f t="shared" si="33"/>
        <v>700000000</v>
      </c>
      <c r="Z52" s="149"/>
      <c r="AA52" s="1066"/>
      <c r="AB52" s="1066"/>
      <c r="AC52" s="1066"/>
      <c r="AD52" s="1066"/>
      <c r="AE52" s="1066"/>
      <c r="AF52" s="1066"/>
      <c r="AG52" s="1066"/>
      <c r="AH52" s="1066"/>
      <c r="AI52" s="1066"/>
      <c r="AJ52" s="1066"/>
      <c r="AK52" s="1066"/>
      <c r="AL52" s="1066">
        <v>700000000</v>
      </c>
      <c r="AM52" s="1066"/>
      <c r="AN52" s="1066"/>
      <c r="AO52" s="1066"/>
      <c r="AP52" s="1066"/>
      <c r="AQ52" s="1066"/>
      <c r="AR52" s="1066"/>
      <c r="AS52" s="1066"/>
      <c r="AU52" s="1081">
        <f t="shared" si="3"/>
        <v>0.87039913571428573</v>
      </c>
      <c r="AV52" s="1066">
        <f t="shared" si="34"/>
        <v>609279395</v>
      </c>
      <c r="AW52" s="1066"/>
      <c r="AX52" s="1066"/>
      <c r="AY52" s="1066"/>
      <c r="AZ52" s="1066"/>
      <c r="BA52" s="1066"/>
      <c r="BB52" s="1066"/>
      <c r="BC52" s="1066"/>
      <c r="BD52" s="1066"/>
      <c r="BE52" s="1066"/>
      <c r="BF52" s="1066"/>
      <c r="BG52" s="1066"/>
      <c r="BH52" s="1066"/>
      <c r="BI52" s="1066">
        <v>609279395</v>
      </c>
      <c r="BJ52" s="1066"/>
      <c r="BK52" s="1066"/>
      <c r="BL52" s="1066"/>
      <c r="BM52" s="1066"/>
      <c r="BN52" s="1066"/>
      <c r="BO52" s="1066"/>
      <c r="BP52" s="1066"/>
      <c r="BQ52" s="1081">
        <f t="shared" si="25"/>
        <v>0.12960086428571427</v>
      </c>
      <c r="BR52" s="1066">
        <f t="shared" si="35"/>
        <v>90720605</v>
      </c>
      <c r="BS52" s="1066">
        <f t="shared" si="36"/>
        <v>0</v>
      </c>
      <c r="BT52" s="1066">
        <f t="shared" si="52"/>
        <v>0</v>
      </c>
      <c r="BU52" s="1066">
        <f t="shared" si="52"/>
        <v>0</v>
      </c>
      <c r="BV52" s="1066">
        <f t="shared" si="52"/>
        <v>0</v>
      </c>
      <c r="BW52" s="1066"/>
      <c r="BX52" s="1066">
        <f t="shared" si="38"/>
        <v>0</v>
      </c>
      <c r="BY52" s="1066">
        <f t="shared" si="38"/>
        <v>0</v>
      </c>
      <c r="BZ52" s="1066"/>
      <c r="CA52" s="1066">
        <f>+AH52-BE52</f>
        <v>0</v>
      </c>
      <c r="CB52" s="1066">
        <f>+AI52-BF52</f>
        <v>0</v>
      </c>
      <c r="CC52" s="1066">
        <f>+AJ52-BG52</f>
        <v>0</v>
      </c>
      <c r="CD52" s="1066">
        <f t="shared" si="40"/>
        <v>0</v>
      </c>
      <c r="CE52" s="1066">
        <f t="shared" si="40"/>
        <v>90720605</v>
      </c>
      <c r="CF52" s="1066">
        <f t="shared" si="40"/>
        <v>0</v>
      </c>
      <c r="CG52" s="1066">
        <f t="shared" si="40"/>
        <v>0</v>
      </c>
      <c r="CH52" s="1066">
        <f t="shared" si="40"/>
        <v>0</v>
      </c>
      <c r="CI52" s="1066">
        <f t="shared" si="40"/>
        <v>0</v>
      </c>
      <c r="CJ52" s="1066"/>
      <c r="CK52" s="1066"/>
      <c r="CL52" s="1066">
        <f t="shared" si="41"/>
        <v>0</v>
      </c>
      <c r="CM52" s="1081">
        <f t="shared" si="13"/>
        <v>0.68298124000000004</v>
      </c>
      <c r="CN52" s="1066">
        <f t="shared" si="42"/>
        <v>478086868</v>
      </c>
      <c r="CO52" s="1066"/>
      <c r="CP52" s="1066"/>
      <c r="CQ52" s="1066"/>
      <c r="CR52" s="1066"/>
      <c r="CS52" s="1066"/>
      <c r="CT52" s="1066"/>
      <c r="CU52" s="1066"/>
      <c r="CV52" s="1066"/>
      <c r="CW52" s="1066"/>
      <c r="CX52" s="1066"/>
      <c r="CY52" s="1066"/>
      <c r="CZ52" s="1066"/>
      <c r="DA52" s="1066">
        <f>+'[8]SEPTIEMBRE 2015'!$H$1829</f>
        <v>478086868</v>
      </c>
      <c r="DB52" s="1066"/>
      <c r="DC52" s="1066"/>
      <c r="DD52" s="1066"/>
      <c r="DE52" s="1066"/>
      <c r="DF52" s="1066"/>
      <c r="DG52" s="1066"/>
      <c r="DH52" s="1066"/>
      <c r="DI52" s="1081">
        <f t="shared" si="15"/>
        <v>0.31701875999999996</v>
      </c>
      <c r="DJ52" s="1066">
        <f t="shared" si="43"/>
        <v>221913132</v>
      </c>
      <c r="DK52" s="1066"/>
      <c r="DL52" s="1066"/>
      <c r="DM52" s="1066"/>
      <c r="DN52" s="1066">
        <f t="shared" si="51"/>
        <v>0</v>
      </c>
      <c r="DO52" s="1066"/>
      <c r="DP52" s="1066">
        <f t="shared" si="45"/>
        <v>0</v>
      </c>
      <c r="DQ52" s="1066">
        <f t="shared" si="45"/>
        <v>0</v>
      </c>
      <c r="DR52" s="1066"/>
      <c r="DS52" s="1066">
        <f t="shared" si="46"/>
        <v>0</v>
      </c>
      <c r="DT52" s="1066">
        <f t="shared" si="46"/>
        <v>0</v>
      </c>
      <c r="DU52" s="1066"/>
      <c r="DV52" s="1066">
        <f t="shared" si="47"/>
        <v>0</v>
      </c>
      <c r="DW52" s="1066">
        <f t="shared" si="47"/>
        <v>221913132</v>
      </c>
      <c r="DX52" s="1066">
        <f t="shared" si="47"/>
        <v>0</v>
      </c>
      <c r="DY52" s="1066">
        <f t="shared" si="48"/>
        <v>0</v>
      </c>
      <c r="DZ52" s="1066">
        <f t="shared" si="48"/>
        <v>0</v>
      </c>
      <c r="EA52" s="1066">
        <f t="shared" si="48"/>
        <v>0</v>
      </c>
      <c r="EB52" s="1066">
        <f t="shared" si="48"/>
        <v>0</v>
      </c>
      <c r="EC52" s="1066"/>
      <c r="ED52" s="1066">
        <f t="shared" si="49"/>
        <v>0</v>
      </c>
    </row>
    <row r="53" spans="1:135" ht="53.25" customHeight="1" x14ac:dyDescent="0.25">
      <c r="A53" s="1565"/>
      <c r="B53" s="1018" t="s">
        <v>4312</v>
      </c>
      <c r="C53" s="1092" t="s">
        <v>4385</v>
      </c>
      <c r="D53" s="1018" t="s">
        <v>4327</v>
      </c>
      <c r="E53" s="1019">
        <v>410</v>
      </c>
      <c r="F53" s="1094" t="s">
        <v>4732</v>
      </c>
      <c r="G53" s="1428">
        <v>1104000000</v>
      </c>
      <c r="H53" s="1060">
        <f t="shared" si="31"/>
        <v>237292</v>
      </c>
      <c r="I53" s="1060">
        <f t="shared" si="32"/>
        <v>5762708</v>
      </c>
      <c r="J53" s="1094" t="s">
        <v>4826</v>
      </c>
      <c r="K53" s="1097" t="s">
        <v>4828</v>
      </c>
      <c r="L53" s="1097" t="s">
        <v>4830</v>
      </c>
      <c r="M53" s="1097">
        <v>0</v>
      </c>
      <c r="N53" s="1097">
        <v>0</v>
      </c>
      <c r="O53" s="1097">
        <v>0</v>
      </c>
      <c r="P53" s="1097">
        <v>0</v>
      </c>
      <c r="Q53" s="1097">
        <v>0</v>
      </c>
      <c r="R53" s="1097">
        <v>0</v>
      </c>
      <c r="S53" s="1094"/>
      <c r="T53" s="1094"/>
      <c r="U53" s="1094"/>
      <c r="V53" s="1094"/>
      <c r="W53" s="1094"/>
      <c r="X53" s="1094"/>
      <c r="Y53" s="1007">
        <f t="shared" si="33"/>
        <v>6000000</v>
      </c>
      <c r="Z53" s="944"/>
      <c r="AA53" s="1007"/>
      <c r="AB53" s="1007"/>
      <c r="AC53" s="1007"/>
      <c r="AD53" s="1007"/>
      <c r="AE53" s="1007"/>
      <c r="AF53" s="1007"/>
      <c r="AG53" s="1007"/>
      <c r="AH53" s="1007"/>
      <c r="AI53" s="1007"/>
      <c r="AJ53" s="1007"/>
      <c r="AK53" s="1007"/>
      <c r="AL53" s="1007"/>
      <c r="AM53" s="1007"/>
      <c r="AN53" s="1007"/>
      <c r="AO53" s="1007"/>
      <c r="AP53" s="1007"/>
      <c r="AQ53" s="1007"/>
      <c r="AR53" s="1007"/>
      <c r="AS53" s="1007">
        <f>4000000+2000000</f>
        <v>6000000</v>
      </c>
      <c r="AU53" s="1010">
        <f t="shared" si="3"/>
        <v>1</v>
      </c>
      <c r="AV53" s="1007">
        <f t="shared" si="34"/>
        <v>6000000</v>
      </c>
      <c r="AW53" s="1007"/>
      <c r="AX53" s="1007"/>
      <c r="AY53" s="1007"/>
      <c r="AZ53" s="1007"/>
      <c r="BA53" s="1007"/>
      <c r="BB53" s="1007"/>
      <c r="BC53" s="1007"/>
      <c r="BD53" s="1007"/>
      <c r="BE53" s="1007"/>
      <c r="BF53" s="1007"/>
      <c r="BG53" s="1007"/>
      <c r="BH53" s="1007"/>
      <c r="BI53" s="1007"/>
      <c r="BJ53" s="1007"/>
      <c r="BK53" s="1007"/>
      <c r="BL53" s="1007"/>
      <c r="BM53" s="1007"/>
      <c r="BN53" s="1007"/>
      <c r="BO53" s="1007"/>
      <c r="BP53" s="1007">
        <f>+'[10]JULIO 2015'!$AD$1462</f>
        <v>6000000</v>
      </c>
      <c r="BQ53" s="1010">
        <f t="shared" si="25"/>
        <v>0</v>
      </c>
      <c r="BR53" s="1007">
        <f t="shared" si="35"/>
        <v>0</v>
      </c>
      <c r="BS53" s="1007">
        <f t="shared" si="36"/>
        <v>0</v>
      </c>
      <c r="BT53" s="1007">
        <f t="shared" si="52"/>
        <v>0</v>
      </c>
      <c r="BU53" s="1007">
        <f t="shared" si="52"/>
        <v>0</v>
      </c>
      <c r="BV53" s="1007">
        <f t="shared" si="52"/>
        <v>0</v>
      </c>
      <c r="BW53" s="1007"/>
      <c r="BX53" s="1007">
        <f t="shared" si="38"/>
        <v>0</v>
      </c>
      <c r="BY53" s="1007">
        <f t="shared" si="38"/>
        <v>0</v>
      </c>
      <c r="BZ53" s="1007"/>
      <c r="CA53" s="1007">
        <f>+AH53-BF53</f>
        <v>0</v>
      </c>
      <c r="CB53" s="1007">
        <f>+AI53-BF53</f>
        <v>0</v>
      </c>
      <c r="CC53" s="1007">
        <f>+AJ53-BG53</f>
        <v>0</v>
      </c>
      <c r="CD53" s="1007">
        <f t="shared" si="40"/>
        <v>0</v>
      </c>
      <c r="CE53" s="1007">
        <f t="shared" si="40"/>
        <v>0</v>
      </c>
      <c r="CF53" s="1007">
        <f t="shared" si="40"/>
        <v>0</v>
      </c>
      <c r="CG53" s="1007">
        <f t="shared" si="40"/>
        <v>0</v>
      </c>
      <c r="CH53" s="1007">
        <f t="shared" si="40"/>
        <v>0</v>
      </c>
      <c r="CI53" s="1007">
        <f t="shared" si="40"/>
        <v>0</v>
      </c>
      <c r="CJ53" s="1007">
        <f>+AQ53-BN53</f>
        <v>0</v>
      </c>
      <c r="CK53" s="1007">
        <f>+AR53-BO53</f>
        <v>0</v>
      </c>
      <c r="CL53" s="1007">
        <f t="shared" si="41"/>
        <v>0</v>
      </c>
      <c r="CM53" s="1010">
        <f t="shared" si="13"/>
        <v>3.9548666666666669E-2</v>
      </c>
      <c r="CN53" s="1007">
        <f t="shared" si="42"/>
        <v>237292</v>
      </c>
      <c r="CO53" s="1007"/>
      <c r="CP53" s="1007"/>
      <c r="CQ53" s="1007"/>
      <c r="CR53" s="1007"/>
      <c r="CS53" s="1007"/>
      <c r="CT53" s="1007"/>
      <c r="CU53" s="1007"/>
      <c r="CV53" s="1007"/>
      <c r="CW53" s="1007"/>
      <c r="CX53" s="1007"/>
      <c r="CY53" s="1007"/>
      <c r="CZ53" s="1007"/>
      <c r="DA53" s="1007"/>
      <c r="DB53" s="1007"/>
      <c r="DC53" s="1007"/>
      <c r="DD53" s="1007"/>
      <c r="DE53" s="1007"/>
      <c r="DF53" s="1007"/>
      <c r="DG53" s="1007"/>
      <c r="DH53" s="1007">
        <f>+'[7]AGOSTO 2015'!$H$1644</f>
        <v>237292</v>
      </c>
      <c r="DI53" s="1010">
        <f t="shared" si="15"/>
        <v>0.96045133333333332</v>
      </c>
      <c r="DJ53" s="1007">
        <f t="shared" si="43"/>
        <v>5762708</v>
      </c>
      <c r="DK53" s="1007"/>
      <c r="DL53" s="1007"/>
      <c r="DM53" s="1007"/>
      <c r="DN53" s="1007">
        <f t="shared" si="51"/>
        <v>0</v>
      </c>
      <c r="DO53" s="1007"/>
      <c r="DP53" s="1007">
        <f t="shared" si="45"/>
        <v>0</v>
      </c>
      <c r="DQ53" s="1007">
        <f t="shared" si="45"/>
        <v>0</v>
      </c>
      <c r="DR53" s="1007"/>
      <c r="DS53" s="1007">
        <f t="shared" si="46"/>
        <v>0</v>
      </c>
      <c r="DT53" s="1007">
        <f t="shared" si="46"/>
        <v>0</v>
      </c>
      <c r="DU53" s="1007"/>
      <c r="DV53" s="1007">
        <f t="shared" si="47"/>
        <v>0</v>
      </c>
      <c r="DW53" s="1007">
        <f t="shared" si="47"/>
        <v>0</v>
      </c>
      <c r="DX53" s="1007">
        <f t="shared" si="47"/>
        <v>0</v>
      </c>
      <c r="DY53" s="1007">
        <f t="shared" si="48"/>
        <v>0</v>
      </c>
      <c r="DZ53" s="1007">
        <f t="shared" si="48"/>
        <v>0</v>
      </c>
      <c r="EA53" s="1007">
        <f t="shared" si="48"/>
        <v>0</v>
      </c>
      <c r="EB53" s="1007">
        <f t="shared" si="48"/>
        <v>0</v>
      </c>
      <c r="EC53" s="1007"/>
      <c r="ED53" s="1007">
        <f t="shared" si="49"/>
        <v>5762708</v>
      </c>
    </row>
    <row r="54" spans="1:135" ht="36.75" customHeight="1" x14ac:dyDescent="0.25">
      <c r="A54" s="1565"/>
      <c r="B54" s="1018"/>
      <c r="C54" s="1092" t="s">
        <v>4386</v>
      </c>
      <c r="D54" s="1018" t="s">
        <v>4326</v>
      </c>
      <c r="E54" s="1019">
        <v>410</v>
      </c>
      <c r="F54" s="1094" t="s">
        <v>3350</v>
      </c>
      <c r="G54" s="1429"/>
      <c r="H54" s="1060">
        <f t="shared" si="31"/>
        <v>68304224</v>
      </c>
      <c r="I54" s="1060">
        <f t="shared" si="32"/>
        <v>49135813</v>
      </c>
      <c r="J54" s="1428" t="s">
        <v>4827</v>
      </c>
      <c r="K54" s="1257" t="s">
        <v>4829</v>
      </c>
      <c r="L54" s="1257" t="s">
        <v>4831</v>
      </c>
      <c r="M54" s="1097">
        <v>6</v>
      </c>
      <c r="N54" s="1097">
        <v>400</v>
      </c>
      <c r="O54" s="1097">
        <v>25</v>
      </c>
      <c r="P54" s="1097">
        <v>44</v>
      </c>
      <c r="Q54" s="1097">
        <v>450</v>
      </c>
      <c r="R54" s="1097">
        <v>200</v>
      </c>
      <c r="S54" s="1094"/>
      <c r="T54" s="1094"/>
      <c r="U54" s="1094"/>
      <c r="V54" s="1094"/>
      <c r="W54" s="1094"/>
      <c r="X54" s="1094"/>
      <c r="Y54" s="1007">
        <f t="shared" si="33"/>
        <v>117440037</v>
      </c>
      <c r="Z54" s="944"/>
      <c r="AA54" s="1007">
        <f>400000000-352559963</f>
        <v>47440037</v>
      </c>
      <c r="AB54" s="1007"/>
      <c r="AC54" s="1007"/>
      <c r="AD54" s="1007"/>
      <c r="AE54" s="1007">
        <v>50000000</v>
      </c>
      <c r="AF54" s="1007"/>
      <c r="AG54" s="1007"/>
      <c r="AH54" s="1007"/>
      <c r="AI54" s="1007"/>
      <c r="AJ54" s="1007"/>
      <c r="AK54" s="1007"/>
      <c r="AL54" s="1007"/>
      <c r="AM54" s="1007"/>
      <c r="AN54" s="1007"/>
      <c r="AO54" s="1007">
        <v>20000000</v>
      </c>
      <c r="AP54" s="1007"/>
      <c r="AQ54" s="1007"/>
      <c r="AR54" s="1007"/>
      <c r="AS54" s="1007"/>
      <c r="AU54" s="1010">
        <f t="shared" si="3"/>
        <v>1</v>
      </c>
      <c r="AV54" s="1007">
        <f t="shared" si="34"/>
        <v>117440037</v>
      </c>
      <c r="AW54" s="1007"/>
      <c r="AX54" s="1007">
        <f>+'[13]JUNIO 2015'!$K$1243</f>
        <v>47440037</v>
      </c>
      <c r="AY54" s="1007"/>
      <c r="AZ54" s="1007"/>
      <c r="BA54" s="1007"/>
      <c r="BB54" s="1007">
        <f>+'[13]JUNIO 2015'!$O$1243</f>
        <v>50000000</v>
      </c>
      <c r="BC54" s="1007"/>
      <c r="BD54" s="1007"/>
      <c r="BE54" s="1007"/>
      <c r="BF54" s="1007"/>
      <c r="BG54" s="1007"/>
      <c r="BH54" s="1007"/>
      <c r="BI54" s="1007"/>
      <c r="BJ54" s="1007"/>
      <c r="BK54" s="1007"/>
      <c r="BL54" s="1007">
        <f>+'[10]JULIO 2015'!$Y$1469</f>
        <v>20000000</v>
      </c>
      <c r="BM54" s="1007"/>
      <c r="BN54" s="1007"/>
      <c r="BO54" s="1007"/>
      <c r="BP54" s="1007"/>
      <c r="BQ54" s="1010">
        <f t="shared" si="25"/>
        <v>0</v>
      </c>
      <c r="BR54" s="1007">
        <f t="shared" si="35"/>
        <v>0</v>
      </c>
      <c r="BS54" s="1007">
        <f t="shared" si="36"/>
        <v>0</v>
      </c>
      <c r="BT54" s="1007">
        <f t="shared" si="52"/>
        <v>0</v>
      </c>
      <c r="BU54" s="1007">
        <f t="shared" si="52"/>
        <v>0</v>
      </c>
      <c r="BV54" s="1007">
        <f t="shared" si="52"/>
        <v>0</v>
      </c>
      <c r="BW54" s="1007"/>
      <c r="BX54" s="1007">
        <f t="shared" si="38"/>
        <v>0</v>
      </c>
      <c r="BY54" s="1007">
        <f t="shared" si="38"/>
        <v>0</v>
      </c>
      <c r="BZ54" s="1007"/>
      <c r="CA54" s="1007">
        <f>+AH54-BF54</f>
        <v>0</v>
      </c>
      <c r="CB54" s="1007">
        <f>+AI54-BG54</f>
        <v>0</v>
      </c>
      <c r="CC54" s="1007">
        <f>+AJ54-BH54</f>
        <v>0</v>
      </c>
      <c r="CD54" s="1007">
        <f t="shared" si="40"/>
        <v>0</v>
      </c>
      <c r="CE54" s="1007">
        <f t="shared" si="40"/>
        <v>0</v>
      </c>
      <c r="CF54" s="1007">
        <f t="shared" si="40"/>
        <v>0</v>
      </c>
      <c r="CG54" s="1007">
        <f t="shared" si="40"/>
        <v>0</v>
      </c>
      <c r="CH54" s="1007">
        <f t="shared" si="40"/>
        <v>0</v>
      </c>
      <c r="CI54" s="1007">
        <f t="shared" si="40"/>
        <v>0</v>
      </c>
      <c r="CJ54" s="1007">
        <f>+AQ54-BN54</f>
        <v>0</v>
      </c>
      <c r="CK54" s="1007">
        <f>+AR54-BO54</f>
        <v>0</v>
      </c>
      <c r="CL54" s="1007">
        <f t="shared" si="41"/>
        <v>0</v>
      </c>
      <c r="CM54" s="1010">
        <f t="shared" si="13"/>
        <v>0.58160935354609944</v>
      </c>
      <c r="CN54" s="1007">
        <f t="shared" si="42"/>
        <v>68304224</v>
      </c>
      <c r="CO54" s="1007"/>
      <c r="CP54" s="1007">
        <f>+'[10]JULIO 2015'!$H$1471+'[10]JULIO 2015'!$H$1473+'[10]JULIO 2015'!$H$1477+'[10]JULIO 2015'!$H$1480+'[10]JULIO 2015'!$H$1485+'[10]JULIO 2015'!$H$1490+'[10]JULIO 2015'!$H$1493+'[10]JULIO 2015'!$H$1496+'[10]JULIO 2015'!$H$1502+'[10]JULIO 2015'!$H$1504</f>
        <v>47440037</v>
      </c>
      <c r="CQ54" s="1007"/>
      <c r="CR54" s="1007"/>
      <c r="CS54" s="1007"/>
      <c r="CT54" s="1007">
        <f>+'[10]JULIO 2015'!$H$1506</f>
        <v>14002131</v>
      </c>
      <c r="CU54" s="1007"/>
      <c r="CV54" s="1007"/>
      <c r="CW54" s="1007"/>
      <c r="CX54" s="1007"/>
      <c r="CY54" s="1007"/>
      <c r="CZ54" s="1007"/>
      <c r="DA54" s="1007"/>
      <c r="DB54" s="1007"/>
      <c r="DC54" s="1007"/>
      <c r="DD54" s="1007">
        <f>+'[10]JULIO 2015'!$H$1511</f>
        <v>6862056</v>
      </c>
      <c r="DE54" s="1007"/>
      <c r="DF54" s="1007"/>
      <c r="DG54" s="1007"/>
      <c r="DH54" s="1007"/>
      <c r="DI54" s="1010">
        <f t="shared" si="15"/>
        <v>0.41839064645390056</v>
      </c>
      <c r="DJ54" s="1007">
        <f t="shared" si="43"/>
        <v>49135813</v>
      </c>
      <c r="DK54" s="1007"/>
      <c r="DL54" s="1007">
        <f>AA54-CP54</f>
        <v>0</v>
      </c>
      <c r="DM54" s="1007">
        <f>AB54-CQ54</f>
        <v>0</v>
      </c>
      <c r="DN54" s="1007">
        <f t="shared" si="51"/>
        <v>0</v>
      </c>
      <c r="DO54" s="1007"/>
      <c r="DP54" s="1007">
        <f t="shared" si="45"/>
        <v>35997869</v>
      </c>
      <c r="DQ54" s="1007">
        <f t="shared" si="45"/>
        <v>0</v>
      </c>
      <c r="DR54" s="1007"/>
      <c r="DS54" s="1007">
        <f t="shared" si="46"/>
        <v>0</v>
      </c>
      <c r="DT54" s="1007">
        <f t="shared" si="46"/>
        <v>0</v>
      </c>
      <c r="DU54" s="1007"/>
      <c r="DV54" s="1007">
        <f t="shared" si="47"/>
        <v>0</v>
      </c>
      <c r="DW54" s="1007">
        <f t="shared" si="47"/>
        <v>0</v>
      </c>
      <c r="DX54" s="1007">
        <f t="shared" si="47"/>
        <v>0</v>
      </c>
      <c r="DY54" s="1007">
        <f t="shared" si="48"/>
        <v>0</v>
      </c>
      <c r="DZ54" s="1007">
        <f t="shared" si="48"/>
        <v>13137944</v>
      </c>
      <c r="EA54" s="1007">
        <f t="shared" si="48"/>
        <v>0</v>
      </c>
      <c r="EB54" s="1007">
        <f t="shared" si="48"/>
        <v>0</v>
      </c>
      <c r="EC54" s="1007"/>
      <c r="ED54" s="1007">
        <f t="shared" si="49"/>
        <v>0</v>
      </c>
    </row>
    <row r="55" spans="1:135" ht="20.25" customHeight="1" x14ac:dyDescent="0.25">
      <c r="A55" s="1565"/>
      <c r="B55" s="1018"/>
      <c r="C55" s="1092" t="s">
        <v>4387</v>
      </c>
      <c r="D55" s="1018" t="s">
        <v>4610</v>
      </c>
      <c r="E55" s="1019">
        <v>410</v>
      </c>
      <c r="F55" s="1094" t="s">
        <v>3350</v>
      </c>
      <c r="G55" s="1430"/>
      <c r="H55" s="1060">
        <f t="shared" si="31"/>
        <v>777018788</v>
      </c>
      <c r="I55" s="1060">
        <f t="shared" si="32"/>
        <v>2026994892</v>
      </c>
      <c r="J55" s="1430"/>
      <c r="K55" s="1258"/>
      <c r="L55" s="1258"/>
      <c r="M55" s="1097">
        <v>56</v>
      </c>
      <c r="N55" s="1097">
        <v>150</v>
      </c>
      <c r="O55" s="1097">
        <v>84</v>
      </c>
      <c r="P55" s="1097">
        <v>20</v>
      </c>
      <c r="Q55" s="1097">
        <v>100</v>
      </c>
      <c r="R55" s="1097">
        <v>20</v>
      </c>
      <c r="S55" s="1094"/>
      <c r="T55" s="1094"/>
      <c r="U55" s="1094"/>
      <c r="V55" s="1094"/>
      <c r="W55" s="1094"/>
      <c r="X55" s="1094"/>
      <c r="Y55" s="1007">
        <f t="shared" si="33"/>
        <v>2804013680</v>
      </c>
      <c r="Z55" s="944"/>
      <c r="AA55" s="1007"/>
      <c r="AB55" s="1007"/>
      <c r="AC55" s="1007"/>
      <c r="AD55" s="1007"/>
      <c r="AE55" s="1007"/>
      <c r="AF55" s="1007"/>
      <c r="AG55" s="1007"/>
      <c r="AH55" s="1007"/>
      <c r="AI55" s="1007"/>
      <c r="AJ55" s="1007"/>
      <c r="AK55" s="1007"/>
      <c r="AL55" s="1007">
        <f>700000000+2104013680</f>
        <v>2804013680</v>
      </c>
      <c r="AM55" s="1007"/>
      <c r="AN55" s="1007"/>
      <c r="AO55" s="1007"/>
      <c r="AP55" s="1007"/>
      <c r="AQ55" s="1007"/>
      <c r="AR55" s="1007"/>
      <c r="AS55" s="1007"/>
      <c r="AU55" s="1010">
        <f t="shared" si="3"/>
        <v>0.64077857815586692</v>
      </c>
      <c r="AV55" s="1007">
        <f t="shared" si="34"/>
        <v>1796751899</v>
      </c>
      <c r="AW55" s="1007"/>
      <c r="AX55" s="1007"/>
      <c r="AY55" s="1007"/>
      <c r="AZ55" s="1007"/>
      <c r="BA55" s="1007"/>
      <c r="BB55" s="1007"/>
      <c r="BC55" s="1007"/>
      <c r="BD55" s="1007"/>
      <c r="BE55" s="1007"/>
      <c r="BF55" s="1007"/>
      <c r="BG55" s="1007"/>
      <c r="BH55" s="1007"/>
      <c r="BI55" s="1007">
        <f>+'[8]SEPTIEMBRE 2015'!$V$1941</f>
        <v>1796751899</v>
      </c>
      <c r="BJ55" s="1007"/>
      <c r="BK55" s="1007"/>
      <c r="BL55" s="1007"/>
      <c r="BM55" s="1007"/>
      <c r="BN55" s="1007"/>
      <c r="BO55" s="1007"/>
      <c r="BP55" s="1007"/>
      <c r="BQ55" s="1010">
        <f t="shared" si="25"/>
        <v>0.35922142184413308</v>
      </c>
      <c r="BR55" s="1007">
        <f t="shared" si="35"/>
        <v>1007261781</v>
      </c>
      <c r="BS55" s="1007">
        <f t="shared" si="36"/>
        <v>0</v>
      </c>
      <c r="BT55" s="1007">
        <f t="shared" si="52"/>
        <v>0</v>
      </c>
      <c r="BU55" s="1007">
        <f t="shared" si="52"/>
        <v>0</v>
      </c>
      <c r="BV55" s="1007">
        <f t="shared" si="52"/>
        <v>0</v>
      </c>
      <c r="BW55" s="1007"/>
      <c r="BX55" s="1007">
        <f t="shared" si="38"/>
        <v>0</v>
      </c>
      <c r="BY55" s="1007">
        <f t="shared" si="38"/>
        <v>0</v>
      </c>
      <c r="BZ55" s="1007"/>
      <c r="CA55" s="1007"/>
      <c r="CB55" s="1007">
        <f>+AI55-BG55</f>
        <v>0</v>
      </c>
      <c r="CC55" s="1007"/>
      <c r="CD55" s="1007">
        <f t="shared" ref="CD55:CF58" si="54">+AK55-BH55</f>
        <v>0</v>
      </c>
      <c r="CE55" s="1007">
        <f t="shared" si="54"/>
        <v>1007261781</v>
      </c>
      <c r="CF55" s="1007">
        <f t="shared" si="54"/>
        <v>0</v>
      </c>
      <c r="CG55" s="1007"/>
      <c r="CH55" s="1007">
        <f t="shared" ref="CH55:CI58" si="55">+AO55-BL55</f>
        <v>0</v>
      </c>
      <c r="CI55" s="1007">
        <f t="shared" si="55"/>
        <v>0</v>
      </c>
      <c r="CJ55" s="1007"/>
      <c r="CK55" s="1007"/>
      <c r="CL55" s="1007">
        <f t="shared" si="41"/>
        <v>0</v>
      </c>
      <c r="CM55" s="1010">
        <f t="shared" si="13"/>
        <v>0.27710948542875868</v>
      </c>
      <c r="CN55" s="1007">
        <f t="shared" si="42"/>
        <v>777018788</v>
      </c>
      <c r="CO55" s="1007"/>
      <c r="CP55" s="1007"/>
      <c r="CQ55" s="1007"/>
      <c r="CR55" s="1007"/>
      <c r="CS55" s="1007"/>
      <c r="CT55" s="1007"/>
      <c r="CU55" s="1007"/>
      <c r="CV55" s="1007"/>
      <c r="CW55" s="1007"/>
      <c r="CX55" s="1007"/>
      <c r="CY55" s="1007"/>
      <c r="CZ55" s="1007"/>
      <c r="DA55" s="1007">
        <f>+'[8]SEPTIEMBRE 2015'!$H$1939</f>
        <v>777018788</v>
      </c>
      <c r="DB55" s="1007"/>
      <c r="DC55" s="1007"/>
      <c r="DD55" s="1007"/>
      <c r="DE55" s="1007"/>
      <c r="DF55" s="1007"/>
      <c r="DG55" s="1007"/>
      <c r="DH55" s="1007"/>
      <c r="DI55" s="1010">
        <f t="shared" si="15"/>
        <v>0.72289051457124132</v>
      </c>
      <c r="DJ55" s="1007">
        <f t="shared" si="43"/>
        <v>2026994892</v>
      </c>
      <c r="DK55" s="1007"/>
      <c r="DL55" s="1007"/>
      <c r="DM55" s="1007"/>
      <c r="DN55" s="1007">
        <f t="shared" si="51"/>
        <v>0</v>
      </c>
      <c r="DO55" s="1007"/>
      <c r="DP55" s="1007">
        <f t="shared" si="45"/>
        <v>0</v>
      </c>
      <c r="DQ55" s="1007">
        <f t="shared" si="45"/>
        <v>0</v>
      </c>
      <c r="DR55" s="1007"/>
      <c r="DS55" s="1007">
        <f t="shared" si="46"/>
        <v>0</v>
      </c>
      <c r="DT55" s="1007">
        <f t="shared" si="46"/>
        <v>0</v>
      </c>
      <c r="DU55" s="1007"/>
      <c r="DV55" s="1007">
        <f t="shared" si="47"/>
        <v>0</v>
      </c>
      <c r="DW55" s="1007">
        <f t="shared" si="47"/>
        <v>2026994892</v>
      </c>
      <c r="DX55" s="1007">
        <f t="shared" si="47"/>
        <v>0</v>
      </c>
      <c r="DY55" s="1007">
        <f t="shared" si="48"/>
        <v>0</v>
      </c>
      <c r="DZ55" s="1007">
        <f t="shared" si="48"/>
        <v>0</v>
      </c>
      <c r="EA55" s="1007">
        <f t="shared" si="48"/>
        <v>0</v>
      </c>
      <c r="EB55" s="1007">
        <f t="shared" si="48"/>
        <v>0</v>
      </c>
      <c r="EC55" s="1007"/>
      <c r="ED55" s="1007">
        <f t="shared" si="49"/>
        <v>0</v>
      </c>
    </row>
    <row r="56" spans="1:135" ht="46.5" customHeight="1" x14ac:dyDescent="0.25">
      <c r="A56" s="1565"/>
      <c r="B56" s="1018" t="s">
        <v>4313</v>
      </c>
      <c r="C56" s="1092" t="s">
        <v>4388</v>
      </c>
      <c r="D56" s="1018" t="s">
        <v>4611</v>
      </c>
      <c r="E56" s="1019">
        <v>410</v>
      </c>
      <c r="F56" s="1094" t="s">
        <v>3350</v>
      </c>
      <c r="G56" s="1428">
        <v>50000000</v>
      </c>
      <c r="H56" s="1060">
        <f t="shared" si="31"/>
        <v>35000000</v>
      </c>
      <c r="I56" s="1060">
        <f t="shared" si="32"/>
        <v>0</v>
      </c>
      <c r="J56" s="1094" t="s">
        <v>4832</v>
      </c>
      <c r="K56" s="1097" t="s">
        <v>4833</v>
      </c>
      <c r="L56" s="1097" t="s">
        <v>4834</v>
      </c>
      <c r="M56" s="1097">
        <v>73</v>
      </c>
      <c r="N56" s="1097">
        <v>0</v>
      </c>
      <c r="O56" s="1097">
        <v>0</v>
      </c>
      <c r="P56" s="1097">
        <v>85</v>
      </c>
      <c r="Q56" s="1097">
        <v>50</v>
      </c>
      <c r="R56" s="1097">
        <v>42</v>
      </c>
      <c r="S56" s="1094"/>
      <c r="T56" s="1094"/>
      <c r="U56" s="1094"/>
      <c r="V56" s="1094"/>
      <c r="W56" s="1094"/>
      <c r="X56" s="1094"/>
      <c r="Y56" s="1007">
        <f t="shared" si="33"/>
        <v>35000000</v>
      </c>
      <c r="Z56" s="944"/>
      <c r="AA56" s="1007"/>
      <c r="AB56" s="1007"/>
      <c r="AC56" s="1007"/>
      <c r="AD56" s="1007"/>
      <c r="AE56" s="1007">
        <v>35000000</v>
      </c>
      <c r="AF56" s="1007"/>
      <c r="AG56" s="1007"/>
      <c r="AH56" s="1007"/>
      <c r="AI56" s="1007"/>
      <c r="AJ56" s="1007"/>
      <c r="AK56" s="1007"/>
      <c r="AL56" s="1007"/>
      <c r="AM56" s="1007"/>
      <c r="AN56" s="1007"/>
      <c r="AO56" s="1007"/>
      <c r="AP56" s="1007"/>
      <c r="AQ56" s="1007"/>
      <c r="AR56" s="1007"/>
      <c r="AS56" s="1007"/>
      <c r="AU56" s="1010">
        <f t="shared" si="3"/>
        <v>1</v>
      </c>
      <c r="AV56" s="1007">
        <f t="shared" si="34"/>
        <v>35000000</v>
      </c>
      <c r="AW56" s="1007"/>
      <c r="AX56" s="1007"/>
      <c r="AY56" s="1007"/>
      <c r="AZ56" s="1007"/>
      <c r="BA56" s="1007"/>
      <c r="BB56" s="1007">
        <f>+'[15]FEBRERO 2015'!$N$658</f>
        <v>35000000</v>
      </c>
      <c r="BC56" s="1007"/>
      <c r="BD56" s="1007"/>
      <c r="BE56" s="1007"/>
      <c r="BF56" s="1007"/>
      <c r="BG56" s="1007"/>
      <c r="BH56" s="1007"/>
      <c r="BI56" s="1007"/>
      <c r="BJ56" s="1007"/>
      <c r="BK56" s="1007"/>
      <c r="BL56" s="1007"/>
      <c r="BM56" s="1007"/>
      <c r="BN56" s="1007"/>
      <c r="BO56" s="1007"/>
      <c r="BP56" s="1007"/>
      <c r="BQ56" s="1010">
        <f t="shared" si="25"/>
        <v>0</v>
      </c>
      <c r="BR56" s="1007">
        <f t="shared" si="35"/>
        <v>0</v>
      </c>
      <c r="BS56" s="1007">
        <f t="shared" si="36"/>
        <v>0</v>
      </c>
      <c r="BT56" s="1007">
        <f t="shared" si="52"/>
        <v>0</v>
      </c>
      <c r="BU56" s="1007">
        <f t="shared" si="52"/>
        <v>0</v>
      </c>
      <c r="BV56" s="1007">
        <f t="shared" si="52"/>
        <v>0</v>
      </c>
      <c r="BW56" s="1007"/>
      <c r="BX56" s="1007">
        <f t="shared" si="38"/>
        <v>0</v>
      </c>
      <c r="BY56" s="1007">
        <f t="shared" si="38"/>
        <v>0</v>
      </c>
      <c r="BZ56" s="1007"/>
      <c r="CA56" s="1007">
        <f>+AH56-BE56</f>
        <v>0</v>
      </c>
      <c r="CB56" s="1007">
        <f>+AI56-BF56</f>
        <v>0</v>
      </c>
      <c r="CC56" s="1007">
        <f>+AJ56-BG56</f>
        <v>0</v>
      </c>
      <c r="CD56" s="1007">
        <f t="shared" si="54"/>
        <v>0</v>
      </c>
      <c r="CE56" s="1007">
        <f t="shared" si="54"/>
        <v>0</v>
      </c>
      <c r="CF56" s="1007">
        <f t="shared" si="54"/>
        <v>0</v>
      </c>
      <c r="CG56" s="1007">
        <f>+AN56-BK56</f>
        <v>0</v>
      </c>
      <c r="CH56" s="1007">
        <f t="shared" si="55"/>
        <v>0</v>
      </c>
      <c r="CI56" s="1007">
        <f t="shared" si="55"/>
        <v>0</v>
      </c>
      <c r="CJ56" s="1007">
        <f>+AQ56-BN56</f>
        <v>0</v>
      </c>
      <c r="CK56" s="1007">
        <f>+AR56-BO56</f>
        <v>0</v>
      </c>
      <c r="CL56" s="1007">
        <f t="shared" si="41"/>
        <v>0</v>
      </c>
      <c r="CM56" s="1010">
        <f t="shared" si="13"/>
        <v>1</v>
      </c>
      <c r="CN56" s="1007">
        <f t="shared" si="42"/>
        <v>35000000</v>
      </c>
      <c r="CO56" s="1007"/>
      <c r="CP56" s="1007"/>
      <c r="CQ56" s="1007"/>
      <c r="CR56" s="1007"/>
      <c r="CS56" s="1007"/>
      <c r="CT56" s="1007">
        <f>+'[8]SEPTIEMBRE 2015'!$H$2273</f>
        <v>35000000</v>
      </c>
      <c r="CU56" s="1007"/>
      <c r="CV56" s="1007"/>
      <c r="CW56" s="1007"/>
      <c r="CX56" s="1007"/>
      <c r="CY56" s="1007"/>
      <c r="CZ56" s="1007"/>
      <c r="DA56" s="1007"/>
      <c r="DB56" s="1007"/>
      <c r="DC56" s="1007"/>
      <c r="DD56" s="1007"/>
      <c r="DE56" s="1007"/>
      <c r="DF56" s="1007"/>
      <c r="DG56" s="1007"/>
      <c r="DH56" s="1007"/>
      <c r="DI56" s="1010">
        <f t="shared" si="15"/>
        <v>0</v>
      </c>
      <c r="DJ56" s="1007">
        <f t="shared" si="43"/>
        <v>0</v>
      </c>
      <c r="DK56" s="1007"/>
      <c r="DL56" s="1007"/>
      <c r="DM56" s="1007"/>
      <c r="DN56" s="1007">
        <f t="shared" si="51"/>
        <v>0</v>
      </c>
      <c r="DO56" s="1007"/>
      <c r="DP56" s="1007">
        <f t="shared" si="45"/>
        <v>0</v>
      </c>
      <c r="DQ56" s="1007">
        <f t="shared" si="45"/>
        <v>0</v>
      </c>
      <c r="DR56" s="1007"/>
      <c r="DS56" s="1007">
        <f t="shared" si="46"/>
        <v>0</v>
      </c>
      <c r="DT56" s="1007">
        <f t="shared" si="46"/>
        <v>0</v>
      </c>
      <c r="DU56" s="1007"/>
      <c r="DV56" s="1007">
        <f t="shared" si="47"/>
        <v>0</v>
      </c>
      <c r="DW56" s="1007">
        <f t="shared" si="47"/>
        <v>0</v>
      </c>
      <c r="DX56" s="1007">
        <f t="shared" si="47"/>
        <v>0</v>
      </c>
      <c r="DY56" s="1007">
        <f t="shared" si="48"/>
        <v>0</v>
      </c>
      <c r="DZ56" s="1007">
        <f t="shared" si="48"/>
        <v>0</v>
      </c>
      <c r="EA56" s="1007">
        <f t="shared" si="48"/>
        <v>0</v>
      </c>
      <c r="EB56" s="1007">
        <f t="shared" si="48"/>
        <v>0</v>
      </c>
      <c r="EC56" s="1007"/>
      <c r="ED56" s="1007">
        <f t="shared" si="49"/>
        <v>0</v>
      </c>
    </row>
    <row r="57" spans="1:135" ht="35.25" customHeight="1" x14ac:dyDescent="0.25">
      <c r="A57" s="1565"/>
      <c r="B57" s="1018"/>
      <c r="C57" s="1092" t="s">
        <v>4556</v>
      </c>
      <c r="D57" s="1018" t="s">
        <v>4612</v>
      </c>
      <c r="E57" s="1019">
        <v>410</v>
      </c>
      <c r="F57" s="1094" t="s">
        <v>3350</v>
      </c>
      <c r="G57" s="1430"/>
      <c r="H57" s="1060">
        <f t="shared" si="31"/>
        <v>14594526</v>
      </c>
      <c r="I57" s="1060">
        <f t="shared" si="32"/>
        <v>405474</v>
      </c>
      <c r="J57" s="1094" t="s">
        <v>4832</v>
      </c>
      <c r="K57" s="1097" t="s">
        <v>4833</v>
      </c>
      <c r="L57" s="1097" t="s">
        <v>4834</v>
      </c>
      <c r="M57" s="1097">
        <v>0</v>
      </c>
      <c r="N57" s="1097">
        <v>100</v>
      </c>
      <c r="O57" s="1097">
        <v>0</v>
      </c>
      <c r="P57" s="1097">
        <v>47</v>
      </c>
      <c r="Q57" s="1097">
        <v>50</v>
      </c>
      <c r="R57" s="1097">
        <v>23</v>
      </c>
      <c r="S57" s="1094"/>
      <c r="T57" s="1094"/>
      <c r="U57" s="1094"/>
      <c r="V57" s="1094"/>
      <c r="W57" s="1094"/>
      <c r="X57" s="1094"/>
      <c r="Y57" s="1007">
        <f t="shared" si="33"/>
        <v>15000000</v>
      </c>
      <c r="Z57" s="944"/>
      <c r="AA57" s="1007"/>
      <c r="AB57" s="1007"/>
      <c r="AC57" s="1007"/>
      <c r="AD57" s="1007"/>
      <c r="AE57" s="1007">
        <v>15000000</v>
      </c>
      <c r="AF57" s="1007"/>
      <c r="AG57" s="1007"/>
      <c r="AH57" s="1007"/>
      <c r="AI57" s="1007"/>
      <c r="AJ57" s="1007"/>
      <c r="AK57" s="1007"/>
      <c r="AL57" s="1007"/>
      <c r="AM57" s="1007"/>
      <c r="AN57" s="1007"/>
      <c r="AO57" s="1007"/>
      <c r="AP57" s="1007"/>
      <c r="AQ57" s="1007"/>
      <c r="AR57" s="1007"/>
      <c r="AS57" s="1007"/>
      <c r="AU57" s="1010">
        <f t="shared" si="3"/>
        <v>1</v>
      </c>
      <c r="AV57" s="1007">
        <f t="shared" si="34"/>
        <v>15000000</v>
      </c>
      <c r="AW57" s="1007"/>
      <c r="AX57" s="1007"/>
      <c r="AY57" s="1007"/>
      <c r="AZ57" s="1007"/>
      <c r="BA57" s="1007"/>
      <c r="BB57" s="1007">
        <f>+'[15]FEBRERO 2015'!$G$661</f>
        <v>15000000</v>
      </c>
      <c r="BC57" s="1007"/>
      <c r="BD57" s="1007"/>
      <c r="BE57" s="1007"/>
      <c r="BF57" s="1007"/>
      <c r="BG57" s="1007"/>
      <c r="BH57" s="1007"/>
      <c r="BI57" s="1007"/>
      <c r="BJ57" s="1007"/>
      <c r="BK57" s="1007"/>
      <c r="BL57" s="1007"/>
      <c r="BM57" s="1007"/>
      <c r="BN57" s="1007"/>
      <c r="BO57" s="1007"/>
      <c r="BP57" s="1007"/>
      <c r="BQ57" s="1010">
        <f t="shared" si="25"/>
        <v>0</v>
      </c>
      <c r="BR57" s="1007">
        <f t="shared" si="35"/>
        <v>0</v>
      </c>
      <c r="BS57" s="1007">
        <f t="shared" si="36"/>
        <v>0</v>
      </c>
      <c r="BT57" s="1007"/>
      <c r="BU57" s="1007">
        <f t="shared" si="52"/>
        <v>0</v>
      </c>
      <c r="BV57" s="1007">
        <f t="shared" si="52"/>
        <v>0</v>
      </c>
      <c r="BW57" s="1007"/>
      <c r="BX57" s="1007">
        <f t="shared" si="38"/>
        <v>0</v>
      </c>
      <c r="BY57" s="1007">
        <f t="shared" si="38"/>
        <v>0</v>
      </c>
      <c r="BZ57" s="1007"/>
      <c r="CA57" s="1007"/>
      <c r="CB57" s="1007">
        <f>+AI57-BF57</f>
        <v>0</v>
      </c>
      <c r="CC57" s="1007"/>
      <c r="CD57" s="1007">
        <f t="shared" si="54"/>
        <v>0</v>
      </c>
      <c r="CE57" s="1007">
        <f t="shared" si="54"/>
        <v>0</v>
      </c>
      <c r="CF57" s="1007">
        <f t="shared" si="54"/>
        <v>0</v>
      </c>
      <c r="CG57" s="1007">
        <f>+AN57-BK57</f>
        <v>0</v>
      </c>
      <c r="CH57" s="1007">
        <f t="shared" si="55"/>
        <v>0</v>
      </c>
      <c r="CI57" s="1007">
        <f t="shared" si="55"/>
        <v>0</v>
      </c>
      <c r="CJ57" s="1007"/>
      <c r="CK57" s="1007"/>
      <c r="CL57" s="1007">
        <f t="shared" si="41"/>
        <v>0</v>
      </c>
      <c r="CM57" s="1010">
        <f t="shared" si="13"/>
        <v>0.97296839999999996</v>
      </c>
      <c r="CN57" s="1007">
        <f t="shared" si="42"/>
        <v>14594526</v>
      </c>
      <c r="CO57" s="1007"/>
      <c r="CP57" s="1007"/>
      <c r="CQ57" s="1007"/>
      <c r="CR57" s="1007"/>
      <c r="CS57" s="1007"/>
      <c r="CT57" s="1007">
        <f>+'[8]SEPTIEMBRE 2015'!$H$2283</f>
        <v>14594526</v>
      </c>
      <c r="CU57" s="1007"/>
      <c r="CV57" s="1007"/>
      <c r="CW57" s="1007"/>
      <c r="CX57" s="1007"/>
      <c r="CY57" s="1007"/>
      <c r="CZ57" s="1007"/>
      <c r="DA57" s="1007"/>
      <c r="DB57" s="1007"/>
      <c r="DC57" s="1007"/>
      <c r="DD57" s="1007"/>
      <c r="DE57" s="1007"/>
      <c r="DF57" s="1007"/>
      <c r="DG57" s="1007"/>
      <c r="DH57" s="1007"/>
      <c r="DI57" s="1010">
        <f t="shared" si="15"/>
        <v>2.7031600000000044E-2</v>
      </c>
      <c r="DJ57" s="1007">
        <f t="shared" si="43"/>
        <v>405474</v>
      </c>
      <c r="DK57" s="1007"/>
      <c r="DL57" s="1007"/>
      <c r="DM57" s="1007"/>
      <c r="DN57" s="1007">
        <f t="shared" si="51"/>
        <v>0</v>
      </c>
      <c r="DO57" s="1007"/>
      <c r="DP57" s="1007">
        <f t="shared" si="45"/>
        <v>405474</v>
      </c>
      <c r="DQ57" s="1007">
        <f t="shared" si="45"/>
        <v>0</v>
      </c>
      <c r="DR57" s="1007"/>
      <c r="DS57" s="1007">
        <f t="shared" si="46"/>
        <v>0</v>
      </c>
      <c r="DT57" s="1007">
        <f t="shared" si="46"/>
        <v>0</v>
      </c>
      <c r="DU57" s="1007"/>
      <c r="DV57" s="1007">
        <f t="shared" si="47"/>
        <v>0</v>
      </c>
      <c r="DW57" s="1007">
        <f t="shared" si="47"/>
        <v>0</v>
      </c>
      <c r="DX57" s="1007">
        <f t="shared" si="47"/>
        <v>0</v>
      </c>
      <c r="DY57" s="1007">
        <f t="shared" si="48"/>
        <v>0</v>
      </c>
      <c r="DZ57" s="1007">
        <f t="shared" si="48"/>
        <v>0</v>
      </c>
      <c r="EA57" s="1007">
        <f t="shared" si="48"/>
        <v>0</v>
      </c>
      <c r="EB57" s="1007">
        <f t="shared" si="48"/>
        <v>0</v>
      </c>
      <c r="EC57" s="1007"/>
      <c r="ED57" s="1007">
        <f t="shared" si="49"/>
        <v>0</v>
      </c>
    </row>
    <row r="58" spans="1:135" ht="67.5" customHeight="1" x14ac:dyDescent="0.25">
      <c r="A58" s="1565"/>
      <c r="B58" s="1018" t="s">
        <v>4314</v>
      </c>
      <c r="C58" s="1092" t="s">
        <v>4389</v>
      </c>
      <c r="D58" s="1018" t="s">
        <v>4328</v>
      </c>
      <c r="E58" s="1019">
        <v>410</v>
      </c>
      <c r="F58" s="1094" t="s">
        <v>4590</v>
      </c>
      <c r="G58" s="1428">
        <v>291000000</v>
      </c>
      <c r="H58" s="1060">
        <f t="shared" si="31"/>
        <v>129011140</v>
      </c>
      <c r="I58" s="1060">
        <f t="shared" si="32"/>
        <v>214252150</v>
      </c>
      <c r="J58" s="1428" t="s">
        <v>4835</v>
      </c>
      <c r="K58" s="1257" t="s">
        <v>4836</v>
      </c>
      <c r="L58" s="1257" t="s">
        <v>4837</v>
      </c>
      <c r="M58" s="1097">
        <v>5</v>
      </c>
      <c r="N58" s="1097">
        <v>100</v>
      </c>
      <c r="O58" s="1097">
        <v>5</v>
      </c>
      <c r="P58" s="1097">
        <v>27</v>
      </c>
      <c r="Q58" s="1097">
        <v>300</v>
      </c>
      <c r="R58" s="1097">
        <v>82</v>
      </c>
      <c r="S58" s="1094"/>
      <c r="T58" s="1094"/>
      <c r="U58" s="1094"/>
      <c r="V58" s="1094"/>
      <c r="W58" s="1094"/>
      <c r="X58" s="1094"/>
      <c r="Y58" s="1007">
        <f t="shared" si="33"/>
        <v>343263290</v>
      </c>
      <c r="Z58" s="944"/>
      <c r="AA58" s="1007"/>
      <c r="AB58" s="1007"/>
      <c r="AC58" s="1007">
        <f>181000000-87736710+250000000</f>
        <v>343263290</v>
      </c>
      <c r="AD58" s="1007"/>
      <c r="AE58" s="1007">
        <f>100000000-100000000</f>
        <v>0</v>
      </c>
      <c r="AF58" s="1007"/>
      <c r="AG58" s="1007"/>
      <c r="AH58" s="1007"/>
      <c r="AI58" s="1007"/>
      <c r="AJ58" s="1007"/>
      <c r="AK58" s="1007"/>
      <c r="AL58" s="1007"/>
      <c r="AM58" s="1007"/>
      <c r="AN58" s="1007"/>
      <c r="AO58" s="1007"/>
      <c r="AP58" s="1007"/>
      <c r="AQ58" s="1007"/>
      <c r="AR58" s="1007"/>
      <c r="AS58" s="1007">
        <f>10455882-10455882</f>
        <v>0</v>
      </c>
      <c r="AU58" s="1010">
        <f t="shared" si="3"/>
        <v>1</v>
      </c>
      <c r="AV58" s="1007">
        <f t="shared" si="34"/>
        <v>343263290</v>
      </c>
      <c r="AW58" s="1007"/>
      <c r="AX58" s="1007"/>
      <c r="AY58" s="1007"/>
      <c r="AZ58" s="1007">
        <f>+'[13]JUNIO 2015'!$M$1391</f>
        <v>343263290</v>
      </c>
      <c r="BA58" s="1007"/>
      <c r="BB58" s="1007"/>
      <c r="BC58" s="1007"/>
      <c r="BD58" s="1007"/>
      <c r="BE58" s="1007"/>
      <c r="BF58" s="1007"/>
      <c r="BG58" s="1007"/>
      <c r="BH58" s="1007"/>
      <c r="BI58" s="1007"/>
      <c r="BJ58" s="1007"/>
      <c r="BK58" s="1007"/>
      <c r="BL58" s="1007"/>
      <c r="BM58" s="1007"/>
      <c r="BN58" s="1007"/>
      <c r="BO58" s="1007"/>
      <c r="BP58" s="1007"/>
      <c r="BQ58" s="1010">
        <f t="shared" si="25"/>
        <v>0</v>
      </c>
      <c r="BR58" s="1007">
        <f t="shared" si="35"/>
        <v>0</v>
      </c>
      <c r="BS58" s="1007">
        <f t="shared" si="36"/>
        <v>0</v>
      </c>
      <c r="BT58" s="1007"/>
      <c r="BU58" s="1007">
        <f t="shared" si="52"/>
        <v>0</v>
      </c>
      <c r="BV58" s="1007">
        <f t="shared" si="52"/>
        <v>0</v>
      </c>
      <c r="BW58" s="1007"/>
      <c r="BX58" s="1007">
        <f t="shared" si="38"/>
        <v>0</v>
      </c>
      <c r="BY58" s="1007">
        <f t="shared" si="38"/>
        <v>0</v>
      </c>
      <c r="BZ58" s="1007"/>
      <c r="CA58" s="1007"/>
      <c r="CB58" s="1007">
        <f>+AI58-BF58</f>
        <v>0</v>
      </c>
      <c r="CC58" s="1007"/>
      <c r="CD58" s="1007">
        <f t="shared" si="54"/>
        <v>0</v>
      </c>
      <c r="CE58" s="1007">
        <f t="shared" si="54"/>
        <v>0</v>
      </c>
      <c r="CF58" s="1007">
        <f t="shared" si="54"/>
        <v>0</v>
      </c>
      <c r="CG58" s="1007">
        <f>+AN58-BK58</f>
        <v>0</v>
      </c>
      <c r="CH58" s="1007">
        <f t="shared" si="55"/>
        <v>0</v>
      </c>
      <c r="CI58" s="1007">
        <f t="shared" si="55"/>
        <v>0</v>
      </c>
      <c r="CJ58" s="1007"/>
      <c r="CK58" s="1007"/>
      <c r="CL58" s="1007">
        <f t="shared" si="41"/>
        <v>0</v>
      </c>
      <c r="CM58" s="1010">
        <f t="shared" si="13"/>
        <v>0.37583727639503778</v>
      </c>
      <c r="CN58" s="1007">
        <f t="shared" si="42"/>
        <v>129011140</v>
      </c>
      <c r="CO58" s="1007"/>
      <c r="CP58" s="1007"/>
      <c r="CQ58" s="1007"/>
      <c r="CR58" s="1007">
        <f>+'[8]SEPTIEMBRE 2015'!$H$2288</f>
        <v>129011140</v>
      </c>
      <c r="CS58" s="1007"/>
      <c r="CT58" s="1007"/>
      <c r="CU58" s="1007"/>
      <c r="CV58" s="1007"/>
      <c r="CW58" s="1007"/>
      <c r="CX58" s="1007"/>
      <c r="CY58" s="1007"/>
      <c r="CZ58" s="1007"/>
      <c r="DA58" s="1007"/>
      <c r="DB58" s="1007"/>
      <c r="DC58" s="1007"/>
      <c r="DD58" s="1007"/>
      <c r="DE58" s="1007"/>
      <c r="DF58" s="1007"/>
      <c r="DG58" s="1007"/>
      <c r="DH58" s="1007"/>
      <c r="DI58" s="1010">
        <f t="shared" si="15"/>
        <v>0.62416272360496228</v>
      </c>
      <c r="DJ58" s="1007">
        <f t="shared" si="43"/>
        <v>214252150</v>
      </c>
      <c r="DK58" s="1007"/>
      <c r="DL58" s="1007"/>
      <c r="DM58" s="1007"/>
      <c r="DN58" s="1007">
        <f t="shared" si="51"/>
        <v>214252150</v>
      </c>
      <c r="DO58" s="1007"/>
      <c r="DP58" s="1007">
        <f t="shared" si="45"/>
        <v>0</v>
      </c>
      <c r="DQ58" s="1007">
        <f t="shared" si="45"/>
        <v>0</v>
      </c>
      <c r="DR58" s="1007"/>
      <c r="DS58" s="1007">
        <f t="shared" si="46"/>
        <v>0</v>
      </c>
      <c r="DT58" s="1007">
        <f t="shared" si="46"/>
        <v>0</v>
      </c>
      <c r="DU58" s="1007"/>
      <c r="DV58" s="1007">
        <f t="shared" si="47"/>
        <v>0</v>
      </c>
      <c r="DW58" s="1007">
        <f t="shared" si="47"/>
        <v>0</v>
      </c>
      <c r="DX58" s="1007">
        <f t="shared" si="47"/>
        <v>0</v>
      </c>
      <c r="DY58" s="1007">
        <f t="shared" si="48"/>
        <v>0</v>
      </c>
      <c r="DZ58" s="1007">
        <f t="shared" si="48"/>
        <v>0</v>
      </c>
      <c r="EA58" s="1007">
        <f t="shared" si="48"/>
        <v>0</v>
      </c>
      <c r="EB58" s="1007">
        <f t="shared" si="48"/>
        <v>0</v>
      </c>
      <c r="EC58" s="1007"/>
      <c r="ED58" s="1007">
        <f t="shared" si="49"/>
        <v>0</v>
      </c>
    </row>
    <row r="59" spans="1:135" s="203" customFormat="1" ht="37.5" customHeight="1" x14ac:dyDescent="0.25">
      <c r="A59" s="1565"/>
      <c r="B59" s="1018"/>
      <c r="C59" s="1080" t="s">
        <v>4719</v>
      </c>
      <c r="D59" s="1018" t="s">
        <v>4720</v>
      </c>
      <c r="E59" s="1019">
        <v>410</v>
      </c>
      <c r="F59" s="1094" t="s">
        <v>4670</v>
      </c>
      <c r="G59" s="1430"/>
      <c r="H59" s="1060">
        <f t="shared" si="31"/>
        <v>0</v>
      </c>
      <c r="I59" s="1060">
        <f t="shared" si="32"/>
        <v>2000000</v>
      </c>
      <c r="J59" s="1430"/>
      <c r="K59" s="1258"/>
      <c r="L59" s="1258"/>
      <c r="M59" s="1082"/>
      <c r="N59" s="1082"/>
      <c r="O59" s="1082"/>
      <c r="P59" s="1074"/>
      <c r="Q59" s="1074"/>
      <c r="R59" s="1074"/>
      <c r="S59" s="1094"/>
      <c r="T59" s="1094"/>
      <c r="U59" s="1094"/>
      <c r="V59" s="1094"/>
      <c r="W59" s="1094"/>
      <c r="X59" s="1094"/>
      <c r="Y59" s="1066">
        <f t="shared" si="33"/>
        <v>2000000</v>
      </c>
      <c r="Z59" s="149"/>
      <c r="AA59" s="1083"/>
      <c r="AB59" s="1083"/>
      <c r="AC59" s="1066"/>
      <c r="AD59" s="1066"/>
      <c r="AE59" s="1083"/>
      <c r="AF59" s="1066"/>
      <c r="AG59" s="1066"/>
      <c r="AH59" s="1066"/>
      <c r="AI59" s="1066"/>
      <c r="AJ59" s="1066"/>
      <c r="AK59" s="1066"/>
      <c r="AL59" s="1066"/>
      <c r="AM59" s="1066"/>
      <c r="AN59" s="1066"/>
      <c r="AO59" s="1066"/>
      <c r="AP59" s="1066"/>
      <c r="AQ59" s="1066"/>
      <c r="AR59" s="1066"/>
      <c r="AS59" s="1066">
        <f>2000000</f>
        <v>2000000</v>
      </c>
      <c r="AU59" s="1081">
        <f t="shared" si="3"/>
        <v>1</v>
      </c>
      <c r="AV59" s="1066">
        <f t="shared" si="34"/>
        <v>2000000</v>
      </c>
      <c r="AW59" s="1066"/>
      <c r="AX59" s="1066"/>
      <c r="AY59" s="1066"/>
      <c r="AZ59" s="1066"/>
      <c r="BA59" s="1066"/>
      <c r="BB59" s="1066"/>
      <c r="BC59" s="1066"/>
      <c r="BD59" s="1066"/>
      <c r="BE59" s="1066"/>
      <c r="BF59" s="1066"/>
      <c r="BG59" s="1066"/>
      <c r="BH59" s="1066"/>
      <c r="BI59" s="1066"/>
      <c r="BJ59" s="1066"/>
      <c r="BK59" s="1066"/>
      <c r="BL59" s="1066"/>
      <c r="BM59" s="1066"/>
      <c r="BN59" s="1066"/>
      <c r="BO59" s="1066"/>
      <c r="BP59" s="1066">
        <f>+'[10]JULIO 2015'!$G$1634</f>
        <v>2000000</v>
      </c>
      <c r="BQ59" s="1081">
        <f t="shared" si="25"/>
        <v>0</v>
      </c>
      <c r="BR59" s="1066">
        <f t="shared" si="35"/>
        <v>0</v>
      </c>
      <c r="BS59" s="1066"/>
      <c r="BT59" s="1066"/>
      <c r="BU59" s="1066">
        <f t="shared" si="52"/>
        <v>0</v>
      </c>
      <c r="BV59" s="1066"/>
      <c r="BW59" s="1066"/>
      <c r="BX59" s="1066"/>
      <c r="BY59" s="1066"/>
      <c r="BZ59" s="1066"/>
      <c r="CA59" s="1066"/>
      <c r="CB59" s="1066"/>
      <c r="CC59" s="1066"/>
      <c r="CD59" s="1066"/>
      <c r="CE59" s="1066"/>
      <c r="CF59" s="1066"/>
      <c r="CG59" s="1066"/>
      <c r="CH59" s="1066"/>
      <c r="CI59" s="1066"/>
      <c r="CJ59" s="1066"/>
      <c r="CK59" s="1066"/>
      <c r="CL59" s="1066">
        <f t="shared" si="41"/>
        <v>0</v>
      </c>
      <c r="CM59" s="1081">
        <f t="shared" si="13"/>
        <v>0</v>
      </c>
      <c r="CN59" s="1066">
        <f t="shared" si="42"/>
        <v>0</v>
      </c>
      <c r="CO59" s="1066"/>
      <c r="CP59" s="1066"/>
      <c r="CQ59" s="1066"/>
      <c r="CR59" s="1066"/>
      <c r="CS59" s="1066"/>
      <c r="CT59" s="1066"/>
      <c r="CU59" s="1066"/>
      <c r="CV59" s="1066"/>
      <c r="CW59" s="1066"/>
      <c r="CX59" s="1066"/>
      <c r="CY59" s="1066"/>
      <c r="CZ59" s="1066"/>
      <c r="DA59" s="1066"/>
      <c r="DB59" s="1066"/>
      <c r="DC59" s="1066"/>
      <c r="DD59" s="1066"/>
      <c r="DE59" s="1066"/>
      <c r="DF59" s="1066"/>
      <c r="DG59" s="1066"/>
      <c r="DH59" s="1066"/>
      <c r="DI59" s="1081">
        <f t="shared" si="15"/>
        <v>1</v>
      </c>
      <c r="DJ59" s="1066">
        <f t="shared" si="43"/>
        <v>2000000</v>
      </c>
      <c r="DK59" s="1066"/>
      <c r="DL59" s="1066"/>
      <c r="DM59" s="1066"/>
      <c r="DN59" s="1066"/>
      <c r="DO59" s="1066"/>
      <c r="DP59" s="1066"/>
      <c r="DQ59" s="1066"/>
      <c r="DR59" s="1066"/>
      <c r="DS59" s="1066"/>
      <c r="DT59" s="1066"/>
      <c r="DU59" s="1066"/>
      <c r="DV59" s="1066"/>
      <c r="DW59" s="1066"/>
      <c r="DX59" s="1066"/>
      <c r="DY59" s="1066"/>
      <c r="DZ59" s="1066"/>
      <c r="EA59" s="1066"/>
      <c r="EB59" s="1066"/>
      <c r="EC59" s="1066"/>
      <c r="ED59" s="1066">
        <f t="shared" si="49"/>
        <v>2000000</v>
      </c>
    </row>
    <row r="60" spans="1:135" ht="78" customHeight="1" x14ac:dyDescent="0.25">
      <c r="A60" s="1565"/>
      <c r="B60" s="1018" t="s">
        <v>4315</v>
      </c>
      <c r="C60" s="1092" t="s">
        <v>4390</v>
      </c>
      <c r="D60" s="1018" t="s">
        <v>4329</v>
      </c>
      <c r="E60" s="1019">
        <v>410</v>
      </c>
      <c r="F60" s="1094" t="s">
        <v>3350</v>
      </c>
      <c r="G60" s="1094">
        <v>300000000</v>
      </c>
      <c r="H60" s="1060">
        <f t="shared" si="31"/>
        <v>214914190</v>
      </c>
      <c r="I60" s="1060">
        <f t="shared" si="32"/>
        <v>7904547</v>
      </c>
      <c r="J60" s="1094" t="s">
        <v>4838</v>
      </c>
      <c r="K60" s="1097" t="s">
        <v>4839</v>
      </c>
      <c r="L60" s="1097" t="s">
        <v>4838</v>
      </c>
      <c r="M60" s="1097">
        <v>23</v>
      </c>
      <c r="N60" s="1097">
        <v>100</v>
      </c>
      <c r="O60" s="1097">
        <v>23</v>
      </c>
      <c r="P60" s="1097">
        <v>78</v>
      </c>
      <c r="Q60" s="1097">
        <v>200</v>
      </c>
      <c r="R60" s="1097">
        <v>155</v>
      </c>
      <c r="S60" s="1094"/>
      <c r="T60" s="1094"/>
      <c r="U60" s="1094"/>
      <c r="V60" s="1094"/>
      <c r="W60" s="1094"/>
      <c r="X60" s="1094"/>
      <c r="Y60" s="1007">
        <f t="shared" si="33"/>
        <v>222818737</v>
      </c>
      <c r="Z60" s="944"/>
      <c r="AA60" s="1016">
        <f>55819123-55819123</f>
        <v>0</v>
      </c>
      <c r="AB60" s="1016"/>
      <c r="AC60" s="1007">
        <f>150000000-21362140</f>
        <v>128637860</v>
      </c>
      <c r="AD60" s="1007"/>
      <c r="AE60" s="1016">
        <f>150000000-55819123+20000000-20000000</f>
        <v>94180877</v>
      </c>
      <c r="AF60" s="944"/>
      <c r="AG60" s="944"/>
      <c r="AH60" s="944"/>
      <c r="AI60" s="1007"/>
      <c r="AJ60" s="1007"/>
      <c r="AK60" s="1007"/>
      <c r="AL60" s="1007"/>
      <c r="AM60" s="1007"/>
      <c r="AN60" s="1007"/>
      <c r="AO60" s="1007"/>
      <c r="AP60" s="1007"/>
      <c r="AQ60" s="1007"/>
      <c r="AR60" s="1007"/>
      <c r="AS60" s="1007"/>
      <c r="AU60" s="1010">
        <f t="shared" si="3"/>
        <v>1</v>
      </c>
      <c r="AV60" s="1007">
        <f t="shared" si="34"/>
        <v>222818737</v>
      </c>
      <c r="AW60" s="1007"/>
      <c r="AX60" s="1007"/>
      <c r="AY60" s="1007"/>
      <c r="AZ60" s="1007">
        <f>+'[13]JUNIO 2015'!$M$1412</f>
        <v>128637860</v>
      </c>
      <c r="BA60" s="1007"/>
      <c r="BB60" s="1007">
        <f>+'[13]JUNIO 2015'!$O$1412</f>
        <v>94180877</v>
      </c>
      <c r="BC60" s="1007"/>
      <c r="BD60" s="1007"/>
      <c r="BE60" s="1007"/>
      <c r="BF60" s="1007"/>
      <c r="BG60" s="1007"/>
      <c r="BH60" s="1007"/>
      <c r="BI60" s="1007"/>
      <c r="BJ60" s="1007"/>
      <c r="BK60" s="1007"/>
      <c r="BL60" s="1007"/>
      <c r="BM60" s="1007"/>
      <c r="BN60" s="1007"/>
      <c r="BO60" s="1007"/>
      <c r="BP60" s="1007"/>
      <c r="BQ60" s="1010">
        <f t="shared" si="25"/>
        <v>0</v>
      </c>
      <c r="BR60" s="1007">
        <f t="shared" si="35"/>
        <v>0</v>
      </c>
      <c r="BS60" s="1007">
        <f t="shared" ref="BS60:BS66" si="56">+Z60-AW60</f>
        <v>0</v>
      </c>
      <c r="BT60" s="1007">
        <f>AA60-AX60</f>
        <v>0</v>
      </c>
      <c r="BU60" s="1007">
        <f t="shared" si="52"/>
        <v>0</v>
      </c>
      <c r="BV60" s="1007">
        <f t="shared" si="52"/>
        <v>0</v>
      </c>
      <c r="BW60" s="1007"/>
      <c r="BX60" s="1007">
        <f t="shared" ref="BX60:BY66" si="57">+AE60-BB60</f>
        <v>0</v>
      </c>
      <c r="BY60" s="1007">
        <f t="shared" si="57"/>
        <v>0</v>
      </c>
      <c r="BZ60" s="1007"/>
      <c r="CA60" s="1007"/>
      <c r="CB60" s="1007">
        <f t="shared" ref="CB60:CB66" si="58">+AI60-BF60</f>
        <v>0</v>
      </c>
      <c r="CC60" s="1007"/>
      <c r="CD60" s="1007">
        <f t="shared" ref="CD60:CI66" si="59">+AK60-BH60</f>
        <v>0</v>
      </c>
      <c r="CE60" s="1007">
        <f t="shared" si="59"/>
        <v>0</v>
      </c>
      <c r="CF60" s="1007">
        <f t="shared" si="59"/>
        <v>0</v>
      </c>
      <c r="CG60" s="1007">
        <f t="shared" si="59"/>
        <v>0</v>
      </c>
      <c r="CH60" s="1007">
        <f t="shared" si="59"/>
        <v>0</v>
      </c>
      <c r="CI60" s="1007">
        <f t="shared" si="59"/>
        <v>0</v>
      </c>
      <c r="CJ60" s="1007"/>
      <c r="CK60" s="1007"/>
      <c r="CL60" s="1007">
        <f t="shared" si="41"/>
        <v>0</v>
      </c>
      <c r="CM60" s="1010">
        <f t="shared" si="13"/>
        <v>0.96452476525795938</v>
      </c>
      <c r="CN60" s="1007">
        <f t="shared" si="42"/>
        <v>214914190</v>
      </c>
      <c r="CO60" s="1007"/>
      <c r="CP60" s="1007"/>
      <c r="CQ60" s="1007"/>
      <c r="CR60" s="1007">
        <f>+'[7]AGOSTO 2015'!$H$1852</f>
        <v>128637860</v>
      </c>
      <c r="CS60" s="1007"/>
      <c r="CT60" s="1007">
        <f>+'[8]SEPTIEMBRE 2015'!$H$2314+'[8]SEPTIEMBRE 2015'!$H$2332</f>
        <v>86276330</v>
      </c>
      <c r="CU60" s="1007"/>
      <c r="CV60" s="1007"/>
      <c r="CW60" s="1007"/>
      <c r="CX60" s="1007"/>
      <c r="CY60" s="1007"/>
      <c r="CZ60" s="1007"/>
      <c r="DA60" s="1007"/>
      <c r="DB60" s="1007"/>
      <c r="DC60" s="1007"/>
      <c r="DD60" s="1007"/>
      <c r="DE60" s="1007"/>
      <c r="DF60" s="1007"/>
      <c r="DG60" s="1007"/>
      <c r="DH60" s="1007"/>
      <c r="DI60" s="1010">
        <f t="shared" si="15"/>
        <v>3.5475234742040618E-2</v>
      </c>
      <c r="DJ60" s="1007">
        <f t="shared" si="43"/>
        <v>7904547</v>
      </c>
      <c r="DK60" s="1007"/>
      <c r="DL60" s="1007">
        <f>AA60-CP60</f>
        <v>0</v>
      </c>
      <c r="DM60" s="1007">
        <f>AB60-CQ60</f>
        <v>0</v>
      </c>
      <c r="DN60" s="1007">
        <f>AC60-CR60</f>
        <v>0</v>
      </c>
      <c r="DO60" s="1007"/>
      <c r="DP60" s="1007">
        <f t="shared" ref="DP60:DQ66" si="60">AE60-CT60</f>
        <v>7904547</v>
      </c>
      <c r="DQ60" s="1007">
        <f t="shared" si="60"/>
        <v>0</v>
      </c>
      <c r="DR60" s="1007"/>
      <c r="DS60" s="1007">
        <f t="shared" ref="DS60:DT66" si="61">+AH60-CW60</f>
        <v>0</v>
      </c>
      <c r="DT60" s="1007">
        <f t="shared" si="61"/>
        <v>0</v>
      </c>
      <c r="DU60" s="1007"/>
      <c r="DV60" s="1007">
        <f t="shared" ref="DV60:DX66" si="62">AK60-CZ60</f>
        <v>0</v>
      </c>
      <c r="DW60" s="1007">
        <f t="shared" si="62"/>
        <v>0</v>
      </c>
      <c r="DX60" s="1007">
        <f t="shared" si="62"/>
        <v>0</v>
      </c>
      <c r="DY60" s="1007">
        <f t="shared" ref="DY60:EB66" si="63">+AN60-DC60</f>
        <v>0</v>
      </c>
      <c r="DZ60" s="1007">
        <f t="shared" si="63"/>
        <v>0</v>
      </c>
      <c r="EA60" s="1007">
        <f t="shared" si="63"/>
        <v>0</v>
      </c>
      <c r="EB60" s="1007">
        <f t="shared" si="63"/>
        <v>0</v>
      </c>
      <c r="EC60" s="1007"/>
      <c r="ED60" s="1007">
        <f t="shared" si="49"/>
        <v>0</v>
      </c>
      <c r="EE60" s="948"/>
    </row>
    <row r="61" spans="1:135" ht="61.5" customHeight="1" x14ac:dyDescent="0.25">
      <c r="A61" s="1565"/>
      <c r="B61" s="1018" t="s">
        <v>4316</v>
      </c>
      <c r="C61" s="1092" t="s">
        <v>4391</v>
      </c>
      <c r="D61" s="1018" t="s">
        <v>4330</v>
      </c>
      <c r="E61" s="1019">
        <v>410</v>
      </c>
      <c r="F61" s="1094" t="s">
        <v>4335</v>
      </c>
      <c r="G61" s="1428">
        <v>225000000</v>
      </c>
      <c r="H61" s="1060">
        <f t="shared" si="31"/>
        <v>0</v>
      </c>
      <c r="I61" s="1060">
        <f t="shared" si="32"/>
        <v>5000000</v>
      </c>
      <c r="J61" s="1094" t="s">
        <v>4840</v>
      </c>
      <c r="K61" s="1097" t="s">
        <v>4841</v>
      </c>
      <c r="L61" s="1097" t="s">
        <v>4847</v>
      </c>
      <c r="M61" s="1097">
        <v>0</v>
      </c>
      <c r="N61" s="1097">
        <v>0</v>
      </c>
      <c r="O61" s="1097">
        <v>0</v>
      </c>
      <c r="P61" s="1097">
        <v>0</v>
      </c>
      <c r="Q61" s="1097">
        <v>0</v>
      </c>
      <c r="R61" s="1097">
        <v>0</v>
      </c>
      <c r="S61" s="1094"/>
      <c r="T61" s="1094"/>
      <c r="U61" s="1094"/>
      <c r="V61" s="1094"/>
      <c r="W61" s="1094"/>
      <c r="X61" s="1094"/>
      <c r="Y61" s="1007">
        <f t="shared" si="33"/>
        <v>5000000</v>
      </c>
      <c r="Z61" s="944"/>
      <c r="AA61" s="944"/>
      <c r="AB61" s="944"/>
      <c r="AC61" s="1007"/>
      <c r="AD61" s="1007"/>
      <c r="AE61" s="944"/>
      <c r="AF61" s="944"/>
      <c r="AG61" s="944"/>
      <c r="AH61" s="944"/>
      <c r="AI61" s="1007"/>
      <c r="AJ61" s="1007"/>
      <c r="AK61" s="1007"/>
      <c r="AL61" s="1007"/>
      <c r="AM61" s="1007"/>
      <c r="AN61" s="1007"/>
      <c r="AO61" s="1007"/>
      <c r="AP61" s="1007"/>
      <c r="AQ61" s="1007"/>
      <c r="AR61" s="1007"/>
      <c r="AS61" s="1007">
        <f>5000000</f>
        <v>5000000</v>
      </c>
      <c r="AU61" s="1010">
        <f t="shared" si="3"/>
        <v>1</v>
      </c>
      <c r="AV61" s="1007">
        <f t="shared" si="34"/>
        <v>5000000</v>
      </c>
      <c r="AW61" s="1007"/>
      <c r="AX61" s="1007"/>
      <c r="AY61" s="1007"/>
      <c r="AZ61" s="1007"/>
      <c r="BA61" s="1007"/>
      <c r="BB61" s="1007"/>
      <c r="BC61" s="1007"/>
      <c r="BD61" s="1007"/>
      <c r="BE61" s="1007"/>
      <c r="BF61" s="1007"/>
      <c r="BG61" s="1007"/>
      <c r="BH61" s="1007"/>
      <c r="BI61" s="1007"/>
      <c r="BJ61" s="1007"/>
      <c r="BK61" s="1007"/>
      <c r="BL61" s="1007"/>
      <c r="BM61" s="1007"/>
      <c r="BN61" s="1007"/>
      <c r="BO61" s="1007"/>
      <c r="BP61" s="1007">
        <f>+'[15]FEBRERO 2015'!$AC$685</f>
        <v>5000000</v>
      </c>
      <c r="BQ61" s="1010">
        <f t="shared" si="25"/>
        <v>0</v>
      </c>
      <c r="BR61" s="1007">
        <f t="shared" si="35"/>
        <v>0</v>
      </c>
      <c r="BS61" s="1007">
        <f t="shared" si="56"/>
        <v>0</v>
      </c>
      <c r="BT61" s="1007"/>
      <c r="BU61" s="1007">
        <f t="shared" si="52"/>
        <v>0</v>
      </c>
      <c r="BV61" s="1007">
        <f t="shared" si="52"/>
        <v>0</v>
      </c>
      <c r="BW61" s="1007"/>
      <c r="BX61" s="1007">
        <f t="shared" si="57"/>
        <v>0</v>
      </c>
      <c r="BY61" s="1007">
        <f t="shared" si="57"/>
        <v>0</v>
      </c>
      <c r="BZ61" s="1007"/>
      <c r="CA61" s="1007"/>
      <c r="CB61" s="1007">
        <f t="shared" si="58"/>
        <v>0</v>
      </c>
      <c r="CC61" s="1007"/>
      <c r="CD61" s="1007">
        <f t="shared" si="59"/>
        <v>0</v>
      </c>
      <c r="CE61" s="1007">
        <f t="shared" si="59"/>
        <v>0</v>
      </c>
      <c r="CF61" s="1007">
        <f t="shared" si="59"/>
        <v>0</v>
      </c>
      <c r="CG61" s="1007">
        <f t="shared" si="59"/>
        <v>0</v>
      </c>
      <c r="CH61" s="1007">
        <f t="shared" si="59"/>
        <v>0</v>
      </c>
      <c r="CI61" s="1007">
        <f t="shared" si="59"/>
        <v>0</v>
      </c>
      <c r="CJ61" s="1007"/>
      <c r="CK61" s="1007"/>
      <c r="CL61" s="1007">
        <f t="shared" si="41"/>
        <v>0</v>
      </c>
      <c r="CM61" s="1010">
        <f t="shared" si="13"/>
        <v>0</v>
      </c>
      <c r="CN61" s="1007">
        <f t="shared" si="42"/>
        <v>0</v>
      </c>
      <c r="CO61" s="1007"/>
      <c r="CP61" s="1007"/>
      <c r="CQ61" s="1007"/>
      <c r="CR61" s="1007"/>
      <c r="CS61" s="1007"/>
      <c r="CT61" s="1007"/>
      <c r="CU61" s="1007"/>
      <c r="CV61" s="1007"/>
      <c r="CW61" s="1007"/>
      <c r="CX61" s="1007"/>
      <c r="CY61" s="1007"/>
      <c r="CZ61" s="1007"/>
      <c r="DA61" s="1007"/>
      <c r="DB61" s="1007"/>
      <c r="DC61" s="1007"/>
      <c r="DD61" s="1007"/>
      <c r="DE61" s="1007"/>
      <c r="DF61" s="1007"/>
      <c r="DG61" s="1007"/>
      <c r="DH61" s="1007"/>
      <c r="DI61" s="1010">
        <f t="shared" si="15"/>
        <v>1</v>
      </c>
      <c r="DJ61" s="1007">
        <f t="shared" si="43"/>
        <v>5000000</v>
      </c>
      <c r="DK61" s="1007"/>
      <c r="DL61" s="1007"/>
      <c r="DM61" s="1007"/>
      <c r="DN61" s="1007">
        <f t="shared" ref="DN61:DN66" si="64">AC61-CR61</f>
        <v>0</v>
      </c>
      <c r="DO61" s="1007"/>
      <c r="DP61" s="1007">
        <f t="shared" si="60"/>
        <v>0</v>
      </c>
      <c r="DQ61" s="1007">
        <f t="shared" si="60"/>
        <v>0</v>
      </c>
      <c r="DR61" s="1007"/>
      <c r="DS61" s="1007">
        <f t="shared" si="61"/>
        <v>0</v>
      </c>
      <c r="DT61" s="1007">
        <f t="shared" si="61"/>
        <v>0</v>
      </c>
      <c r="DU61" s="1007"/>
      <c r="DV61" s="1007">
        <f t="shared" si="62"/>
        <v>0</v>
      </c>
      <c r="DW61" s="1007">
        <f t="shared" si="62"/>
        <v>0</v>
      </c>
      <c r="DX61" s="1007">
        <f t="shared" si="62"/>
        <v>0</v>
      </c>
      <c r="DY61" s="1007">
        <f t="shared" si="63"/>
        <v>0</v>
      </c>
      <c r="DZ61" s="1007">
        <f t="shared" si="63"/>
        <v>0</v>
      </c>
      <c r="EA61" s="1007">
        <f t="shared" si="63"/>
        <v>0</v>
      </c>
      <c r="EB61" s="1007">
        <f t="shared" si="63"/>
        <v>0</v>
      </c>
      <c r="EC61" s="1007"/>
      <c r="ED61" s="1007">
        <f t="shared" si="49"/>
        <v>5000000</v>
      </c>
    </row>
    <row r="62" spans="1:135" ht="54.75" customHeight="1" x14ac:dyDescent="0.25">
      <c r="A62" s="1565"/>
      <c r="B62" s="1018"/>
      <c r="C62" s="1092" t="s">
        <v>4392</v>
      </c>
      <c r="D62" s="1018" t="s">
        <v>4337</v>
      </c>
      <c r="E62" s="1019">
        <v>410</v>
      </c>
      <c r="F62" s="1094" t="s">
        <v>4319</v>
      </c>
      <c r="G62" s="1429"/>
      <c r="H62" s="1060">
        <f t="shared" si="31"/>
        <v>46441999</v>
      </c>
      <c r="I62" s="1060">
        <f t="shared" si="32"/>
        <v>43558001</v>
      </c>
      <c r="J62" s="1094" t="s">
        <v>4842</v>
      </c>
      <c r="K62" s="1097" t="s">
        <v>4843</v>
      </c>
      <c r="L62" s="1097" t="s">
        <v>4848</v>
      </c>
      <c r="M62" s="1097">
        <v>13</v>
      </c>
      <c r="N62" s="1097">
        <v>0</v>
      </c>
      <c r="O62" s="1097">
        <v>0</v>
      </c>
      <c r="P62" s="1097">
        <v>18</v>
      </c>
      <c r="Q62" s="1097">
        <v>60</v>
      </c>
      <c r="R62" s="1097">
        <v>11</v>
      </c>
      <c r="S62" s="1094"/>
      <c r="T62" s="1094"/>
      <c r="U62" s="1094"/>
      <c r="V62" s="1094"/>
      <c r="W62" s="1094"/>
      <c r="X62" s="1094"/>
      <c r="Y62" s="1007">
        <f t="shared" si="33"/>
        <v>90000000</v>
      </c>
      <c r="Z62" s="944"/>
      <c r="AA62" s="944"/>
      <c r="AB62" s="944"/>
      <c r="AC62" s="1007"/>
      <c r="AD62" s="1007"/>
      <c r="AE62" s="944"/>
      <c r="AF62" s="944"/>
      <c r="AG62" s="944"/>
      <c r="AH62" s="944"/>
      <c r="AI62" s="1007"/>
      <c r="AJ62" s="1007"/>
      <c r="AK62" s="1007"/>
      <c r="AL62" s="1007"/>
      <c r="AM62" s="1007"/>
      <c r="AN62" s="1007">
        <v>15000000</v>
      </c>
      <c r="AO62" s="1007">
        <f>105000000-30000000</f>
        <v>75000000</v>
      </c>
      <c r="AP62" s="1007"/>
      <c r="AQ62" s="1007"/>
      <c r="AR62" s="1007"/>
      <c r="AS62" s="1007"/>
      <c r="AU62" s="1010">
        <f t="shared" si="3"/>
        <v>0.9302111111111111</v>
      </c>
      <c r="AV62" s="1007">
        <f t="shared" si="34"/>
        <v>83719000</v>
      </c>
      <c r="AW62" s="1007"/>
      <c r="AX62" s="1007"/>
      <c r="AY62" s="1007"/>
      <c r="AZ62" s="1007"/>
      <c r="BA62" s="1007"/>
      <c r="BB62" s="1007"/>
      <c r="BC62" s="1007"/>
      <c r="BD62" s="1007"/>
      <c r="BE62" s="1007"/>
      <c r="BF62" s="1007"/>
      <c r="BG62" s="1007"/>
      <c r="BH62" s="1007"/>
      <c r="BI62" s="1007"/>
      <c r="BJ62" s="1007"/>
      <c r="BK62" s="1007">
        <f>+'[12]FEBRERO 2015'!$W$740</f>
        <v>15000000</v>
      </c>
      <c r="BL62" s="1007">
        <f>+'[8]SEPTIEMBRE 2015'!$Y$2347</f>
        <v>68719000</v>
      </c>
      <c r="BM62" s="1007"/>
      <c r="BN62" s="1007"/>
      <c r="BO62" s="1007"/>
      <c r="BP62" s="1007"/>
      <c r="BQ62" s="1010">
        <f t="shared" si="25"/>
        <v>6.97888888888889E-2</v>
      </c>
      <c r="BR62" s="1007">
        <f t="shared" si="35"/>
        <v>6281000</v>
      </c>
      <c r="BS62" s="1007">
        <f t="shared" si="56"/>
        <v>0</v>
      </c>
      <c r="BT62" s="1007"/>
      <c r="BU62" s="1007">
        <f t="shared" si="52"/>
        <v>0</v>
      </c>
      <c r="BV62" s="1007">
        <f t="shared" si="52"/>
        <v>0</v>
      </c>
      <c r="BW62" s="1007"/>
      <c r="BX62" s="1007">
        <f t="shared" si="57"/>
        <v>0</v>
      </c>
      <c r="BY62" s="1007">
        <f t="shared" si="57"/>
        <v>0</v>
      </c>
      <c r="BZ62" s="1007"/>
      <c r="CA62" s="1007"/>
      <c r="CB62" s="1007">
        <f t="shared" si="58"/>
        <v>0</v>
      </c>
      <c r="CC62" s="1007"/>
      <c r="CD62" s="1007">
        <f t="shared" si="59"/>
        <v>0</v>
      </c>
      <c r="CE62" s="1007">
        <f t="shared" si="59"/>
        <v>0</v>
      </c>
      <c r="CF62" s="1007">
        <f t="shared" si="59"/>
        <v>0</v>
      </c>
      <c r="CG62" s="1007">
        <f t="shared" si="59"/>
        <v>0</v>
      </c>
      <c r="CH62" s="1007">
        <f t="shared" si="59"/>
        <v>6281000</v>
      </c>
      <c r="CI62" s="1007">
        <f t="shared" si="59"/>
        <v>0</v>
      </c>
      <c r="CJ62" s="1007"/>
      <c r="CK62" s="1007"/>
      <c r="CL62" s="1007">
        <f t="shared" si="41"/>
        <v>0</v>
      </c>
      <c r="CM62" s="1010">
        <f t="shared" si="13"/>
        <v>0.51602221111111113</v>
      </c>
      <c r="CN62" s="1007">
        <f t="shared" si="42"/>
        <v>46441999</v>
      </c>
      <c r="CO62" s="1007"/>
      <c r="CP62" s="1007"/>
      <c r="CQ62" s="1007"/>
      <c r="CR62" s="1007"/>
      <c r="CS62" s="1007"/>
      <c r="CT62" s="1007"/>
      <c r="CU62" s="1007"/>
      <c r="CV62" s="1007"/>
      <c r="CW62" s="1007"/>
      <c r="CX62" s="1007"/>
      <c r="CY62" s="1007"/>
      <c r="CZ62" s="1007"/>
      <c r="DA62" s="1007"/>
      <c r="DB62" s="1007"/>
      <c r="DC62" s="1007">
        <f>+'[9]ABRIL 2015'!$H$1101</f>
        <v>15000000</v>
      </c>
      <c r="DD62" s="1007">
        <f>+'[8]SEPTIEMBRE 2015'!$H$2348</f>
        <v>31441999</v>
      </c>
      <c r="DE62" s="1007"/>
      <c r="DF62" s="1007"/>
      <c r="DG62" s="1007"/>
      <c r="DH62" s="1007"/>
      <c r="DI62" s="1010">
        <f t="shared" si="15"/>
        <v>0.48397778888888887</v>
      </c>
      <c r="DJ62" s="1007">
        <f t="shared" si="43"/>
        <v>43558001</v>
      </c>
      <c r="DK62" s="1007"/>
      <c r="DL62" s="1007"/>
      <c r="DM62" s="1007"/>
      <c r="DN62" s="1007">
        <f t="shared" si="64"/>
        <v>0</v>
      </c>
      <c r="DO62" s="1007"/>
      <c r="DP62" s="1007">
        <f t="shared" si="60"/>
        <v>0</v>
      </c>
      <c r="DQ62" s="1007">
        <f t="shared" si="60"/>
        <v>0</v>
      </c>
      <c r="DR62" s="1007"/>
      <c r="DS62" s="1007">
        <f t="shared" si="61"/>
        <v>0</v>
      </c>
      <c r="DT62" s="1007">
        <f t="shared" si="61"/>
        <v>0</v>
      </c>
      <c r="DU62" s="1007"/>
      <c r="DV62" s="1007">
        <f t="shared" si="62"/>
        <v>0</v>
      </c>
      <c r="DW62" s="1007">
        <f t="shared" si="62"/>
        <v>0</v>
      </c>
      <c r="DX62" s="1007">
        <f t="shared" si="62"/>
        <v>0</v>
      </c>
      <c r="DY62" s="1007">
        <f t="shared" si="63"/>
        <v>0</v>
      </c>
      <c r="DZ62" s="1007">
        <f t="shared" si="63"/>
        <v>43558001</v>
      </c>
      <c r="EA62" s="1007">
        <f t="shared" si="63"/>
        <v>0</v>
      </c>
      <c r="EB62" s="1007">
        <f t="shared" si="63"/>
        <v>0</v>
      </c>
      <c r="EC62" s="1007"/>
      <c r="ED62" s="1007">
        <f t="shared" si="49"/>
        <v>0</v>
      </c>
    </row>
    <row r="63" spans="1:135" ht="49.5" customHeight="1" x14ac:dyDescent="0.25">
      <c r="A63" s="1565"/>
      <c r="B63" s="1018"/>
      <c r="C63" s="1092" t="s">
        <v>4393</v>
      </c>
      <c r="D63" s="1018" t="s">
        <v>4331</v>
      </c>
      <c r="E63" s="1019">
        <v>410</v>
      </c>
      <c r="F63" s="1094" t="s">
        <v>4319</v>
      </c>
      <c r="G63" s="1429"/>
      <c r="H63" s="1060">
        <f t="shared" si="31"/>
        <v>3078500</v>
      </c>
      <c r="I63" s="1060">
        <f t="shared" si="32"/>
        <v>1921500</v>
      </c>
      <c r="J63" s="1428" t="s">
        <v>4844</v>
      </c>
      <c r="K63" s="1257" t="s">
        <v>4845</v>
      </c>
      <c r="L63" s="1257" t="s">
        <v>4849</v>
      </c>
      <c r="M63" s="1097">
        <v>62</v>
      </c>
      <c r="N63" s="1097">
        <v>100</v>
      </c>
      <c r="O63" s="1097">
        <v>62</v>
      </c>
      <c r="P63" s="1097">
        <v>62</v>
      </c>
      <c r="Q63" s="1097">
        <v>100</v>
      </c>
      <c r="R63" s="1097">
        <v>62</v>
      </c>
      <c r="S63" s="1094"/>
      <c r="T63" s="1094"/>
      <c r="U63" s="1094"/>
      <c r="V63" s="1094"/>
      <c r="W63" s="1094"/>
      <c r="X63" s="1094"/>
      <c r="Y63" s="1007">
        <f t="shared" si="33"/>
        <v>5000000</v>
      </c>
      <c r="Z63" s="944"/>
      <c r="AA63" s="944"/>
      <c r="AB63" s="944"/>
      <c r="AC63" s="1007"/>
      <c r="AD63" s="1007"/>
      <c r="AE63" s="944"/>
      <c r="AF63" s="944"/>
      <c r="AG63" s="944"/>
      <c r="AH63" s="944"/>
      <c r="AI63" s="1007"/>
      <c r="AJ63" s="1007"/>
      <c r="AK63" s="1007"/>
      <c r="AL63" s="1007"/>
      <c r="AM63" s="1007"/>
      <c r="AN63" s="1007"/>
      <c r="AO63" s="1007">
        <v>5000000</v>
      </c>
      <c r="AP63" s="1007"/>
      <c r="AQ63" s="1007"/>
      <c r="AR63" s="1007"/>
      <c r="AS63" s="1007"/>
      <c r="AU63" s="1010">
        <f t="shared" si="3"/>
        <v>1</v>
      </c>
      <c r="AV63" s="1007">
        <f t="shared" si="34"/>
        <v>5000000</v>
      </c>
      <c r="AW63" s="1007"/>
      <c r="AX63" s="1007"/>
      <c r="AY63" s="1007"/>
      <c r="AZ63" s="1007"/>
      <c r="BA63" s="1007"/>
      <c r="BB63" s="1007"/>
      <c r="BC63" s="1007"/>
      <c r="BD63" s="1007"/>
      <c r="BE63" s="1007"/>
      <c r="BF63" s="1007"/>
      <c r="BG63" s="1007"/>
      <c r="BH63" s="1007"/>
      <c r="BI63" s="1007"/>
      <c r="BJ63" s="1007"/>
      <c r="BK63" s="1007"/>
      <c r="BL63" s="1007">
        <f>+'[15]FEBRERO 2015'!$X$695</f>
        <v>5000000</v>
      </c>
      <c r="BM63" s="1007"/>
      <c r="BN63" s="1007"/>
      <c r="BO63" s="1007"/>
      <c r="BP63" s="1007"/>
      <c r="BQ63" s="1010">
        <f t="shared" si="25"/>
        <v>0</v>
      </c>
      <c r="BR63" s="1007">
        <f t="shared" si="35"/>
        <v>0</v>
      </c>
      <c r="BS63" s="1007">
        <f t="shared" si="56"/>
        <v>0</v>
      </c>
      <c r="BT63" s="1007"/>
      <c r="BU63" s="1007">
        <f t="shared" ref="BU63:BV66" si="65">AB63-AY63</f>
        <v>0</v>
      </c>
      <c r="BV63" s="1007">
        <f t="shared" si="65"/>
        <v>0</v>
      </c>
      <c r="BW63" s="1007"/>
      <c r="BX63" s="1007">
        <f t="shared" si="57"/>
        <v>0</v>
      </c>
      <c r="BY63" s="1007">
        <f t="shared" si="57"/>
        <v>0</v>
      </c>
      <c r="BZ63" s="1007"/>
      <c r="CA63" s="1007"/>
      <c r="CB63" s="1007">
        <f t="shared" si="58"/>
        <v>0</v>
      </c>
      <c r="CC63" s="1007"/>
      <c r="CD63" s="1007">
        <f t="shared" si="59"/>
        <v>0</v>
      </c>
      <c r="CE63" s="1007">
        <f t="shared" si="59"/>
        <v>0</v>
      </c>
      <c r="CF63" s="1007">
        <f t="shared" si="59"/>
        <v>0</v>
      </c>
      <c r="CG63" s="1007">
        <f t="shared" si="59"/>
        <v>0</v>
      </c>
      <c r="CH63" s="1007">
        <f t="shared" si="59"/>
        <v>0</v>
      </c>
      <c r="CI63" s="1007">
        <f t="shared" si="59"/>
        <v>0</v>
      </c>
      <c r="CJ63" s="1007"/>
      <c r="CK63" s="1007"/>
      <c r="CL63" s="1007">
        <f t="shared" si="41"/>
        <v>0</v>
      </c>
      <c r="CM63" s="1010">
        <f t="shared" si="13"/>
        <v>0.61570000000000003</v>
      </c>
      <c r="CN63" s="1007">
        <f t="shared" si="42"/>
        <v>3078500</v>
      </c>
      <c r="CO63" s="1007"/>
      <c r="CP63" s="1007"/>
      <c r="CQ63" s="1007"/>
      <c r="CR63" s="1007"/>
      <c r="CS63" s="1007"/>
      <c r="CT63" s="1007"/>
      <c r="CU63" s="1007"/>
      <c r="CV63" s="1007"/>
      <c r="CW63" s="1007"/>
      <c r="CX63" s="1007"/>
      <c r="CY63" s="1007"/>
      <c r="CZ63" s="1007"/>
      <c r="DA63" s="1007"/>
      <c r="DB63" s="1007"/>
      <c r="DC63" s="1007"/>
      <c r="DD63" s="1007">
        <f>+'[9]ABRIL 2015'!$H$1104</f>
        <v>3078500</v>
      </c>
      <c r="DE63" s="1007"/>
      <c r="DF63" s="1007"/>
      <c r="DG63" s="1007"/>
      <c r="DH63" s="1007"/>
      <c r="DI63" s="1010">
        <f t="shared" si="15"/>
        <v>0.38429999999999997</v>
      </c>
      <c r="DJ63" s="1007">
        <f t="shared" si="43"/>
        <v>1921500</v>
      </c>
      <c r="DK63" s="1007"/>
      <c r="DL63" s="1007"/>
      <c r="DM63" s="1007"/>
      <c r="DN63" s="1007">
        <f t="shared" si="64"/>
        <v>0</v>
      </c>
      <c r="DO63" s="1007"/>
      <c r="DP63" s="1007">
        <f t="shared" si="60"/>
        <v>0</v>
      </c>
      <c r="DQ63" s="1007">
        <f t="shared" si="60"/>
        <v>0</v>
      </c>
      <c r="DR63" s="1007"/>
      <c r="DS63" s="1007">
        <f t="shared" si="61"/>
        <v>0</v>
      </c>
      <c r="DT63" s="1007">
        <f t="shared" si="61"/>
        <v>0</v>
      </c>
      <c r="DU63" s="1007"/>
      <c r="DV63" s="1007">
        <f t="shared" si="62"/>
        <v>0</v>
      </c>
      <c r="DW63" s="1007">
        <f t="shared" si="62"/>
        <v>0</v>
      </c>
      <c r="DX63" s="1007">
        <f t="shared" si="62"/>
        <v>0</v>
      </c>
      <c r="DY63" s="1007">
        <f t="shared" si="63"/>
        <v>0</v>
      </c>
      <c r="DZ63" s="1007">
        <f t="shared" si="63"/>
        <v>1921500</v>
      </c>
      <c r="EA63" s="1007">
        <f t="shared" si="63"/>
        <v>0</v>
      </c>
      <c r="EB63" s="1007">
        <f t="shared" si="63"/>
        <v>0</v>
      </c>
      <c r="EC63" s="1007"/>
      <c r="ED63" s="1007">
        <f t="shared" si="49"/>
        <v>0</v>
      </c>
    </row>
    <row r="64" spans="1:135" ht="51" customHeight="1" x14ac:dyDescent="0.25">
      <c r="A64" s="1565"/>
      <c r="B64" s="1018"/>
      <c r="C64" s="1092" t="s">
        <v>4394</v>
      </c>
      <c r="D64" s="1018" t="s">
        <v>4820</v>
      </c>
      <c r="E64" s="1019">
        <v>410</v>
      </c>
      <c r="F64" s="1094" t="s">
        <v>4733</v>
      </c>
      <c r="G64" s="1429"/>
      <c r="H64" s="1060">
        <f t="shared" si="31"/>
        <v>17499959</v>
      </c>
      <c r="I64" s="1060">
        <f t="shared" si="32"/>
        <v>49774801</v>
      </c>
      <c r="J64" s="1430"/>
      <c r="K64" s="1258"/>
      <c r="L64" s="1258"/>
      <c r="M64" s="1097">
        <v>6</v>
      </c>
      <c r="N64" s="1097">
        <v>0</v>
      </c>
      <c r="O64" s="1097">
        <v>0</v>
      </c>
      <c r="P64" s="1097">
        <v>19</v>
      </c>
      <c r="Q64" s="1097">
        <v>0</v>
      </c>
      <c r="R64" s="1097">
        <v>0</v>
      </c>
      <c r="S64" s="1094"/>
      <c r="T64" s="1094"/>
      <c r="U64" s="1094"/>
      <c r="V64" s="1094"/>
      <c r="W64" s="1094"/>
      <c r="X64" s="1094"/>
      <c r="Y64" s="1007">
        <f t="shared" si="33"/>
        <v>67274760</v>
      </c>
      <c r="Z64" s="944"/>
      <c r="AA64" s="944"/>
      <c r="AB64" s="944"/>
      <c r="AC64" s="944"/>
      <c r="AD64" s="944"/>
      <c r="AE64" s="944"/>
      <c r="AF64" s="944"/>
      <c r="AG64" s="944"/>
      <c r="AH64" s="944"/>
      <c r="AI64" s="1007"/>
      <c r="AJ64" s="1007"/>
      <c r="AK64" s="1007"/>
      <c r="AL64" s="1007"/>
      <c r="AM64" s="1007"/>
      <c r="AN64" s="1007">
        <v>15000000</v>
      </c>
      <c r="AO64" s="1007">
        <f>55000000-10000000</f>
        <v>45000000</v>
      </c>
      <c r="AP64" s="1007"/>
      <c r="AQ64" s="1007"/>
      <c r="AR64" s="1007"/>
      <c r="AS64" s="1007">
        <f>4000000+3274760</f>
        <v>7274760</v>
      </c>
      <c r="AU64" s="1010">
        <f t="shared" si="3"/>
        <v>0.99995540675284456</v>
      </c>
      <c r="AV64" s="1007">
        <f t="shared" si="34"/>
        <v>67271760</v>
      </c>
      <c r="AW64" s="1007"/>
      <c r="AX64" s="1007"/>
      <c r="AY64" s="1007"/>
      <c r="AZ64" s="1007"/>
      <c r="BA64" s="1007"/>
      <c r="BB64" s="1007"/>
      <c r="BC64" s="1007"/>
      <c r="BD64" s="1007"/>
      <c r="BE64" s="1007"/>
      <c r="BF64" s="1007"/>
      <c r="BG64" s="1007"/>
      <c r="BH64" s="1007"/>
      <c r="BI64" s="1007"/>
      <c r="BJ64" s="1007"/>
      <c r="BK64" s="1007">
        <f>+'[12]FEBRERO 2015'!$W$753</f>
        <v>15000000</v>
      </c>
      <c r="BL64" s="1007">
        <f>+'[13]JUNIO 2015'!$Y$1453</f>
        <v>45000000</v>
      </c>
      <c r="BM64" s="1007"/>
      <c r="BN64" s="1007"/>
      <c r="BO64" s="1007"/>
      <c r="BP64" s="1007">
        <f>+'[8]SEPTIEMBRE 2015'!$AD$2368</f>
        <v>7271760</v>
      </c>
      <c r="BQ64" s="1010">
        <f t="shared" si="25"/>
        <v>4.4593247155444438E-5</v>
      </c>
      <c r="BR64" s="1007">
        <f t="shared" si="35"/>
        <v>3000</v>
      </c>
      <c r="BS64" s="1007">
        <f t="shared" si="56"/>
        <v>0</v>
      </c>
      <c r="BT64" s="1007"/>
      <c r="BU64" s="1007">
        <f t="shared" si="65"/>
        <v>0</v>
      </c>
      <c r="BV64" s="1007">
        <f t="shared" si="65"/>
        <v>0</v>
      </c>
      <c r="BW64" s="1007"/>
      <c r="BX64" s="1007">
        <f t="shared" si="57"/>
        <v>0</v>
      </c>
      <c r="BY64" s="1007">
        <f t="shared" si="57"/>
        <v>0</v>
      </c>
      <c r="BZ64" s="1007"/>
      <c r="CA64" s="1007"/>
      <c r="CB64" s="1007">
        <f t="shared" si="58"/>
        <v>0</v>
      </c>
      <c r="CC64" s="1007"/>
      <c r="CD64" s="1007">
        <f t="shared" si="59"/>
        <v>0</v>
      </c>
      <c r="CE64" s="1007">
        <f t="shared" si="59"/>
        <v>0</v>
      </c>
      <c r="CF64" s="1007">
        <f t="shared" si="59"/>
        <v>0</v>
      </c>
      <c r="CG64" s="1007">
        <f t="shared" si="59"/>
        <v>0</v>
      </c>
      <c r="CH64" s="1007">
        <f t="shared" si="59"/>
        <v>0</v>
      </c>
      <c r="CI64" s="1007">
        <f t="shared" si="59"/>
        <v>0</v>
      </c>
      <c r="CJ64" s="1007"/>
      <c r="CK64" s="1007"/>
      <c r="CL64" s="1007">
        <f t="shared" si="41"/>
        <v>3000</v>
      </c>
      <c r="CM64" s="1010">
        <f t="shared" si="13"/>
        <v>0.26012666563210335</v>
      </c>
      <c r="CN64" s="1007">
        <f t="shared" si="42"/>
        <v>17499959</v>
      </c>
      <c r="CO64" s="1007"/>
      <c r="CP64" s="1007"/>
      <c r="CQ64" s="1007"/>
      <c r="CR64" s="1007"/>
      <c r="CS64" s="1007"/>
      <c r="CT64" s="1007"/>
      <c r="CU64" s="1007"/>
      <c r="CV64" s="1007"/>
      <c r="CW64" s="1007"/>
      <c r="CX64" s="1007"/>
      <c r="CY64" s="1007"/>
      <c r="CZ64" s="1007"/>
      <c r="DA64" s="1007"/>
      <c r="DB64" s="1007"/>
      <c r="DC64" s="1007">
        <f>+'[10]JULIO 2015'!$H$1694</f>
        <v>14408959</v>
      </c>
      <c r="DD64" s="1007">
        <f>+'[9]ABRIL 2015'!$H$1115</f>
        <v>3091000</v>
      </c>
      <c r="DE64" s="1007"/>
      <c r="DF64" s="1007"/>
      <c r="DG64" s="1007"/>
      <c r="DH64" s="1007"/>
      <c r="DI64" s="1010">
        <f t="shared" si="15"/>
        <v>0.73987333436789671</v>
      </c>
      <c r="DJ64" s="1007">
        <f t="shared" si="43"/>
        <v>49774801</v>
      </c>
      <c r="DK64" s="1007"/>
      <c r="DL64" s="1007"/>
      <c r="DM64" s="1007"/>
      <c r="DN64" s="1007">
        <f t="shared" si="64"/>
        <v>0</v>
      </c>
      <c r="DO64" s="1007"/>
      <c r="DP64" s="1007">
        <f t="shared" si="60"/>
        <v>0</v>
      </c>
      <c r="DQ64" s="1007">
        <f t="shared" si="60"/>
        <v>0</v>
      </c>
      <c r="DR64" s="1007"/>
      <c r="DS64" s="1007">
        <f t="shared" si="61"/>
        <v>0</v>
      </c>
      <c r="DT64" s="1007">
        <f t="shared" si="61"/>
        <v>0</v>
      </c>
      <c r="DU64" s="1007"/>
      <c r="DV64" s="1007">
        <f t="shared" si="62"/>
        <v>0</v>
      </c>
      <c r="DW64" s="1007">
        <f t="shared" si="62"/>
        <v>0</v>
      </c>
      <c r="DX64" s="1007">
        <f t="shared" si="62"/>
        <v>0</v>
      </c>
      <c r="DY64" s="1007">
        <f t="shared" si="63"/>
        <v>591041</v>
      </c>
      <c r="DZ64" s="1007">
        <f t="shared" si="63"/>
        <v>41909000</v>
      </c>
      <c r="EA64" s="1007">
        <f t="shared" si="63"/>
        <v>0</v>
      </c>
      <c r="EB64" s="1007">
        <f t="shared" si="63"/>
        <v>0</v>
      </c>
      <c r="EC64" s="1007"/>
      <c r="ED64" s="1007">
        <f t="shared" si="49"/>
        <v>7274760</v>
      </c>
    </row>
    <row r="65" spans="1:134" ht="51" customHeight="1" x14ac:dyDescent="0.25">
      <c r="A65" s="1565"/>
      <c r="B65" s="1018"/>
      <c r="C65" s="1092" t="s">
        <v>4395</v>
      </c>
      <c r="D65" s="1018" t="s">
        <v>4332</v>
      </c>
      <c r="E65" s="1019">
        <v>410</v>
      </c>
      <c r="F65" s="1094" t="s">
        <v>4319</v>
      </c>
      <c r="G65" s="1429"/>
      <c r="H65" s="1060">
        <f t="shared" si="31"/>
        <v>24466293</v>
      </c>
      <c r="I65" s="1060">
        <f t="shared" si="32"/>
        <v>15533707</v>
      </c>
      <c r="J65" s="1428" t="s">
        <v>4846</v>
      </c>
      <c r="K65" s="1257" t="s">
        <v>4846</v>
      </c>
      <c r="L65" s="1257" t="s">
        <v>4846</v>
      </c>
      <c r="M65" s="1097">
        <v>37</v>
      </c>
      <c r="N65" s="1097">
        <v>0</v>
      </c>
      <c r="O65" s="1097">
        <v>0</v>
      </c>
      <c r="P65" s="1097">
        <v>49</v>
      </c>
      <c r="Q65" s="1097">
        <v>100</v>
      </c>
      <c r="R65" s="1097">
        <v>49</v>
      </c>
      <c r="S65" s="1094"/>
      <c r="T65" s="1094"/>
      <c r="U65" s="1094"/>
      <c r="V65" s="1094"/>
      <c r="W65" s="1094"/>
      <c r="X65" s="1094"/>
      <c r="Y65" s="1007">
        <f t="shared" si="33"/>
        <v>40000000</v>
      </c>
      <c r="Z65" s="944"/>
      <c r="AA65" s="944"/>
      <c r="AB65" s="944"/>
      <c r="AC65" s="944"/>
      <c r="AD65" s="944"/>
      <c r="AE65" s="944"/>
      <c r="AF65" s="944"/>
      <c r="AG65" s="944"/>
      <c r="AH65" s="944"/>
      <c r="AI65" s="1007"/>
      <c r="AJ65" s="1007"/>
      <c r="AK65" s="1007"/>
      <c r="AL65" s="1007"/>
      <c r="AM65" s="1007">
        <v>21280016</v>
      </c>
      <c r="AN65" s="1007">
        <v>15000000</v>
      </c>
      <c r="AO65" s="1007">
        <f>13719984-10000000</f>
        <v>3719984</v>
      </c>
      <c r="AP65" s="1007"/>
      <c r="AQ65" s="1007"/>
      <c r="AR65" s="1007"/>
      <c r="AS65" s="1007"/>
      <c r="AU65" s="1010">
        <f t="shared" si="3"/>
        <v>0.75</v>
      </c>
      <c r="AV65" s="1007">
        <f t="shared" si="34"/>
        <v>30000000</v>
      </c>
      <c r="AW65" s="1007"/>
      <c r="AX65" s="1007"/>
      <c r="AY65" s="1007"/>
      <c r="AZ65" s="1007"/>
      <c r="BA65" s="1007"/>
      <c r="BB65" s="1007"/>
      <c r="BC65" s="1007"/>
      <c r="BD65" s="1007"/>
      <c r="BE65" s="1007"/>
      <c r="BF65" s="1007"/>
      <c r="BG65" s="1007"/>
      <c r="BH65" s="1007"/>
      <c r="BI65" s="1007"/>
      <c r="BJ65" s="1007">
        <f>+'[13]JUNIO 2015'!$W$1466</f>
        <v>11280016</v>
      </c>
      <c r="BK65" s="1007">
        <f>+'[12]FEBRERO 2015'!$W$759</f>
        <v>15000000</v>
      </c>
      <c r="BL65" s="1007">
        <v>3719984</v>
      </c>
      <c r="BM65" s="1007"/>
      <c r="BN65" s="1007"/>
      <c r="BO65" s="1007"/>
      <c r="BP65" s="1007"/>
      <c r="BQ65" s="1010">
        <f t="shared" si="25"/>
        <v>0.25</v>
      </c>
      <c r="BR65" s="1007">
        <f t="shared" si="35"/>
        <v>10000000</v>
      </c>
      <c r="BS65" s="1007">
        <f t="shared" si="56"/>
        <v>0</v>
      </c>
      <c r="BT65" s="1007"/>
      <c r="BU65" s="1007">
        <f t="shared" si="65"/>
        <v>0</v>
      </c>
      <c r="BV65" s="1007">
        <f t="shared" si="65"/>
        <v>0</v>
      </c>
      <c r="BW65" s="1007"/>
      <c r="BX65" s="1007">
        <f t="shared" si="57"/>
        <v>0</v>
      </c>
      <c r="BY65" s="1007">
        <f t="shared" si="57"/>
        <v>0</v>
      </c>
      <c r="BZ65" s="1007"/>
      <c r="CA65" s="1007"/>
      <c r="CB65" s="1007">
        <f t="shared" si="58"/>
        <v>0</v>
      </c>
      <c r="CC65" s="1007"/>
      <c r="CD65" s="1007">
        <f t="shared" si="59"/>
        <v>0</v>
      </c>
      <c r="CE65" s="1007">
        <f t="shared" si="59"/>
        <v>0</v>
      </c>
      <c r="CF65" s="1007">
        <f t="shared" si="59"/>
        <v>10000000</v>
      </c>
      <c r="CG65" s="1007">
        <f t="shared" si="59"/>
        <v>0</v>
      </c>
      <c r="CH65" s="1007">
        <f t="shared" si="59"/>
        <v>0</v>
      </c>
      <c r="CI65" s="1007">
        <f t="shared" si="59"/>
        <v>0</v>
      </c>
      <c r="CJ65" s="1007"/>
      <c r="CK65" s="1007"/>
      <c r="CL65" s="1007">
        <f t="shared" si="41"/>
        <v>0</v>
      </c>
      <c r="CM65" s="1010">
        <f t="shared" si="13"/>
        <v>0.61165732500000003</v>
      </c>
      <c r="CN65" s="1007">
        <f t="shared" si="42"/>
        <v>24466293</v>
      </c>
      <c r="CO65" s="1007"/>
      <c r="CP65" s="1007"/>
      <c r="CQ65" s="1007"/>
      <c r="CR65" s="1007"/>
      <c r="CS65" s="1007"/>
      <c r="CT65" s="1007"/>
      <c r="CU65" s="1007"/>
      <c r="CV65" s="1007"/>
      <c r="CW65" s="1007"/>
      <c r="CX65" s="1007"/>
      <c r="CY65" s="1007"/>
      <c r="CZ65" s="1007"/>
      <c r="DA65" s="1007"/>
      <c r="DB65" s="1007">
        <f>+'[8]SEPTIEMBRE 2015'!$H$2401</f>
        <v>9466293</v>
      </c>
      <c r="DC65" s="1007">
        <f>+'[8]SEPTIEMBRE 2015'!$H$2405</f>
        <v>15000000</v>
      </c>
      <c r="DD65" s="1007"/>
      <c r="DE65" s="1007"/>
      <c r="DF65" s="1007"/>
      <c r="DG65" s="1007"/>
      <c r="DH65" s="1007"/>
      <c r="DI65" s="1010">
        <f t="shared" si="15"/>
        <v>0.38834267499999997</v>
      </c>
      <c r="DJ65" s="1007">
        <f t="shared" si="43"/>
        <v>15533707</v>
      </c>
      <c r="DK65" s="1007"/>
      <c r="DL65" s="1007"/>
      <c r="DM65" s="1007"/>
      <c r="DN65" s="1007">
        <f t="shared" si="64"/>
        <v>0</v>
      </c>
      <c r="DO65" s="1007"/>
      <c r="DP65" s="1007">
        <f t="shared" si="60"/>
        <v>0</v>
      </c>
      <c r="DQ65" s="1007">
        <f t="shared" si="60"/>
        <v>0</v>
      </c>
      <c r="DR65" s="1007"/>
      <c r="DS65" s="1007">
        <f t="shared" si="61"/>
        <v>0</v>
      </c>
      <c r="DT65" s="1007">
        <f t="shared" si="61"/>
        <v>0</v>
      </c>
      <c r="DU65" s="1007"/>
      <c r="DV65" s="1007">
        <f t="shared" si="62"/>
        <v>0</v>
      </c>
      <c r="DW65" s="1007">
        <f t="shared" si="62"/>
        <v>0</v>
      </c>
      <c r="DX65" s="1007">
        <f t="shared" si="62"/>
        <v>11813723</v>
      </c>
      <c r="DY65" s="1007">
        <f t="shared" si="63"/>
        <v>0</v>
      </c>
      <c r="DZ65" s="1007">
        <f t="shared" si="63"/>
        <v>3719984</v>
      </c>
      <c r="EA65" s="1007">
        <f t="shared" si="63"/>
        <v>0</v>
      </c>
      <c r="EB65" s="1007">
        <f t="shared" si="63"/>
        <v>0</v>
      </c>
      <c r="EC65" s="1007"/>
      <c r="ED65" s="1007">
        <f t="shared" si="49"/>
        <v>0</v>
      </c>
    </row>
    <row r="66" spans="1:134" ht="50.25" customHeight="1" x14ac:dyDescent="0.25">
      <c r="A66" s="1575"/>
      <c r="B66" s="1018"/>
      <c r="C66" s="1092" t="s">
        <v>4396</v>
      </c>
      <c r="D66" s="1018" t="s">
        <v>4333</v>
      </c>
      <c r="E66" s="1019">
        <v>410</v>
      </c>
      <c r="F66" s="1094" t="s">
        <v>4334</v>
      </c>
      <c r="G66" s="1430"/>
      <c r="H66" s="1060">
        <f t="shared" si="31"/>
        <v>14389000</v>
      </c>
      <c r="I66" s="1060">
        <f t="shared" si="32"/>
        <v>2048254</v>
      </c>
      <c r="J66" s="1430"/>
      <c r="K66" s="1258"/>
      <c r="L66" s="1258"/>
      <c r="M66" s="1097">
        <v>39</v>
      </c>
      <c r="N66" s="1097">
        <v>35</v>
      </c>
      <c r="O66" s="1097">
        <v>14</v>
      </c>
      <c r="P66" s="1097">
        <v>49</v>
      </c>
      <c r="Q66" s="1097">
        <v>35</v>
      </c>
      <c r="R66" s="1097">
        <v>17</v>
      </c>
      <c r="S66" s="1094"/>
      <c r="T66" s="1094"/>
      <c r="U66" s="1094"/>
      <c r="V66" s="1094"/>
      <c r="W66" s="1094"/>
      <c r="X66" s="1094"/>
      <c r="Y66" s="1007">
        <f t="shared" si="33"/>
        <v>16437254</v>
      </c>
      <c r="Z66" s="944"/>
      <c r="AA66" s="944"/>
      <c r="AB66" s="944"/>
      <c r="AC66" s="944"/>
      <c r="AD66" s="944"/>
      <c r="AE66" s="944"/>
      <c r="AF66" s="944"/>
      <c r="AG66" s="944"/>
      <c r="AH66" s="944"/>
      <c r="AI66" s="944"/>
      <c r="AJ66" s="944"/>
      <c r="AK66" s="149"/>
      <c r="AL66" s="944"/>
      <c r="AM66" s="944"/>
      <c r="AN66" s="944"/>
      <c r="AO66" s="944"/>
      <c r="AP66" s="944"/>
      <c r="AQ66" s="944"/>
      <c r="AR66" s="944"/>
      <c r="AS66" s="1007">
        <f>20437254-4000000</f>
        <v>16437254</v>
      </c>
      <c r="AU66" s="1010">
        <f t="shared" si="3"/>
        <v>1</v>
      </c>
      <c r="AV66" s="1007">
        <f t="shared" si="34"/>
        <v>16437254</v>
      </c>
      <c r="AW66" s="1007"/>
      <c r="AX66" s="1007"/>
      <c r="AY66" s="1007"/>
      <c r="AZ66" s="1007"/>
      <c r="BA66" s="1007"/>
      <c r="BB66" s="1007"/>
      <c r="BC66" s="1007"/>
      <c r="BD66" s="1007"/>
      <c r="BE66" s="1007"/>
      <c r="BF66" s="1007"/>
      <c r="BG66" s="1007"/>
      <c r="BH66" s="1007"/>
      <c r="BI66" s="1007"/>
      <c r="BJ66" s="1007"/>
      <c r="BK66" s="1007"/>
      <c r="BL66" s="1007"/>
      <c r="BM66" s="1007"/>
      <c r="BN66" s="1007"/>
      <c r="BO66" s="1007"/>
      <c r="BP66" s="1007">
        <v>16437254</v>
      </c>
      <c r="BQ66" s="1010">
        <f t="shared" si="25"/>
        <v>0</v>
      </c>
      <c r="BR66" s="1007">
        <f t="shared" si="35"/>
        <v>0</v>
      </c>
      <c r="BS66" s="1007">
        <f t="shared" si="56"/>
        <v>0</v>
      </c>
      <c r="BT66" s="1007"/>
      <c r="BU66" s="1007">
        <f t="shared" si="65"/>
        <v>0</v>
      </c>
      <c r="BV66" s="1007">
        <f t="shared" si="65"/>
        <v>0</v>
      </c>
      <c r="BW66" s="1007"/>
      <c r="BX66" s="1007">
        <f t="shared" si="57"/>
        <v>0</v>
      </c>
      <c r="BY66" s="1007">
        <f t="shared" si="57"/>
        <v>0</v>
      </c>
      <c r="BZ66" s="1007"/>
      <c r="CA66" s="1007">
        <f>+AH66-BE66</f>
        <v>0</v>
      </c>
      <c r="CB66" s="1007">
        <f t="shared" si="58"/>
        <v>0</v>
      </c>
      <c r="CC66" s="1007">
        <f>+AJ66-BG66</f>
        <v>0</v>
      </c>
      <c r="CD66" s="1007">
        <f t="shared" si="59"/>
        <v>0</v>
      </c>
      <c r="CE66" s="1007">
        <f t="shared" si="59"/>
        <v>0</v>
      </c>
      <c r="CF66" s="1007">
        <f t="shared" si="59"/>
        <v>0</v>
      </c>
      <c r="CG66" s="1007">
        <f t="shared" si="59"/>
        <v>0</v>
      </c>
      <c r="CH66" s="1007">
        <f t="shared" si="59"/>
        <v>0</v>
      </c>
      <c r="CI66" s="1007">
        <f t="shared" si="59"/>
        <v>0</v>
      </c>
      <c r="CJ66" s="1007">
        <f>+AQ66-BN66</f>
        <v>0</v>
      </c>
      <c r="CK66" s="1007">
        <f>+AR66-BO66</f>
        <v>0</v>
      </c>
      <c r="CL66" s="1007">
        <f t="shared" si="41"/>
        <v>0</v>
      </c>
      <c r="CM66" s="1010">
        <f t="shared" si="13"/>
        <v>0.8753895267421189</v>
      </c>
      <c r="CN66" s="1007">
        <f t="shared" si="42"/>
        <v>14389000</v>
      </c>
      <c r="CO66" s="1007"/>
      <c r="CP66" s="1007"/>
      <c r="CQ66" s="1007"/>
      <c r="CR66" s="1007"/>
      <c r="CS66" s="1007"/>
      <c r="CT66" s="1007"/>
      <c r="CU66" s="1007"/>
      <c r="CV66" s="1007"/>
      <c r="CW66" s="1007"/>
      <c r="CX66" s="1007"/>
      <c r="CY66" s="1007"/>
      <c r="CZ66" s="1007"/>
      <c r="DA66" s="1007"/>
      <c r="DB66" s="1007"/>
      <c r="DC66" s="1007"/>
      <c r="DD66" s="1007"/>
      <c r="DE66" s="1007"/>
      <c r="DF66" s="1007"/>
      <c r="DG66" s="1007"/>
      <c r="DH66" s="1007">
        <f>+'[8]SEPTIEMBRE 2015'!$H$2412</f>
        <v>14389000</v>
      </c>
      <c r="DI66" s="1010">
        <f t="shared" si="15"/>
        <v>0.1246104732578811</v>
      </c>
      <c r="DJ66" s="1007">
        <f t="shared" si="43"/>
        <v>2048254</v>
      </c>
      <c r="DK66" s="1007"/>
      <c r="DL66" s="1007">
        <f>AA66-CP66</f>
        <v>0</v>
      </c>
      <c r="DM66" s="1007"/>
      <c r="DN66" s="1007">
        <f t="shared" si="64"/>
        <v>0</v>
      </c>
      <c r="DO66" s="1007"/>
      <c r="DP66" s="1007">
        <f t="shared" si="60"/>
        <v>0</v>
      </c>
      <c r="DQ66" s="1007">
        <f t="shared" si="60"/>
        <v>0</v>
      </c>
      <c r="DR66" s="1007"/>
      <c r="DS66" s="1007">
        <f t="shared" si="61"/>
        <v>0</v>
      </c>
      <c r="DT66" s="1007">
        <f t="shared" si="61"/>
        <v>0</v>
      </c>
      <c r="DU66" s="1007"/>
      <c r="DV66" s="1007">
        <f t="shared" si="62"/>
        <v>0</v>
      </c>
      <c r="DW66" s="1007">
        <f t="shared" si="62"/>
        <v>0</v>
      </c>
      <c r="DX66" s="1007">
        <f t="shared" si="62"/>
        <v>0</v>
      </c>
      <c r="DY66" s="1007">
        <f t="shared" si="63"/>
        <v>0</v>
      </c>
      <c r="DZ66" s="1007">
        <f t="shared" si="63"/>
        <v>0</v>
      </c>
      <c r="EA66" s="1007">
        <f t="shared" si="63"/>
        <v>0</v>
      </c>
      <c r="EB66" s="1007">
        <f t="shared" si="63"/>
        <v>0</v>
      </c>
      <c r="EC66" s="1007"/>
      <c r="ED66" s="1007">
        <f t="shared" si="49"/>
        <v>2048254</v>
      </c>
    </row>
    <row r="67" spans="1:134" s="948" customFormat="1" ht="22.5" customHeight="1" thickBot="1" x14ac:dyDescent="0.3">
      <c r="A67" s="1055"/>
      <c r="B67" s="1577" t="s">
        <v>4338</v>
      </c>
      <c r="C67" s="1577"/>
      <c r="D67" s="1577"/>
      <c r="E67" s="1577"/>
      <c r="F67" s="1050"/>
      <c r="G67" s="1008">
        <f>SUM(G35:G66)</f>
        <v>4593000000</v>
      </c>
      <c r="H67" s="1008">
        <f>SUM(H35:H66)</f>
        <v>3498022563</v>
      </c>
      <c r="I67" s="1008">
        <f>SUM(I35:I66)</f>
        <v>3037770166</v>
      </c>
      <c r="J67" s="1054"/>
      <c r="K67" s="1078"/>
      <c r="L67" s="1078"/>
      <c r="M67" s="1073"/>
      <c r="N67" s="1073"/>
      <c r="O67" s="1073"/>
      <c r="P67" s="1078"/>
      <c r="Q67" s="1078"/>
      <c r="R67" s="1078"/>
      <c r="S67" s="1054"/>
      <c r="T67" s="1054"/>
      <c r="U67" s="1054"/>
      <c r="V67" s="1054"/>
      <c r="W67" s="1054"/>
      <c r="X67" s="1054"/>
      <c r="Y67" s="1008">
        <f t="shared" ref="Y67:AS67" si="66">SUM(Y35:Y66)</f>
        <v>6535792729</v>
      </c>
      <c r="Z67" s="1008">
        <f t="shared" si="66"/>
        <v>0</v>
      </c>
      <c r="AA67" s="1008">
        <f t="shared" si="66"/>
        <v>134533656</v>
      </c>
      <c r="AB67" s="1008">
        <f t="shared" si="66"/>
        <v>396726534</v>
      </c>
      <c r="AC67" s="1008">
        <f t="shared" si="66"/>
        <v>775722031</v>
      </c>
      <c r="AD67" s="1008">
        <f t="shared" si="66"/>
        <v>0</v>
      </c>
      <c r="AE67" s="1008">
        <f t="shared" si="66"/>
        <v>544180877</v>
      </c>
      <c r="AF67" s="1008">
        <f t="shared" si="66"/>
        <v>55000000</v>
      </c>
      <c r="AG67" s="1008">
        <f t="shared" si="66"/>
        <v>102810569</v>
      </c>
      <c r="AH67" s="1008">
        <f t="shared" si="66"/>
        <v>219471348</v>
      </c>
      <c r="AI67" s="1008">
        <f t="shared" si="66"/>
        <v>0</v>
      </c>
      <c r="AJ67" s="1008">
        <f t="shared" si="66"/>
        <v>0</v>
      </c>
      <c r="AK67" s="1008">
        <f t="shared" si="66"/>
        <v>0</v>
      </c>
      <c r="AL67" s="1008">
        <f t="shared" si="66"/>
        <v>3504013680</v>
      </c>
      <c r="AM67" s="1008">
        <f t="shared" si="66"/>
        <v>78609139</v>
      </c>
      <c r="AN67" s="1008">
        <f t="shared" si="66"/>
        <v>251718083</v>
      </c>
      <c r="AO67" s="1008">
        <f t="shared" si="66"/>
        <v>311973650</v>
      </c>
      <c r="AP67" s="1008">
        <f t="shared" si="66"/>
        <v>0</v>
      </c>
      <c r="AQ67" s="1008">
        <f t="shared" si="66"/>
        <v>80844085</v>
      </c>
      <c r="AR67" s="1008">
        <f t="shared" si="66"/>
        <v>0</v>
      </c>
      <c r="AS67" s="1008">
        <f t="shared" si="66"/>
        <v>80189077</v>
      </c>
      <c r="AU67" s="1009">
        <f t="shared" si="3"/>
        <v>0.82290423426920767</v>
      </c>
      <c r="AV67" s="1008">
        <f t="shared" ref="AV67:BP67" si="67">SUM(AV35:AV66)</f>
        <v>5378331511</v>
      </c>
      <c r="AW67" s="1008">
        <f t="shared" si="67"/>
        <v>0</v>
      </c>
      <c r="AX67" s="1008">
        <f t="shared" si="67"/>
        <v>133268976</v>
      </c>
      <c r="AY67" s="1008">
        <f t="shared" si="67"/>
        <v>396726534</v>
      </c>
      <c r="AZ67" s="1008">
        <f t="shared" si="67"/>
        <v>775722031</v>
      </c>
      <c r="BA67" s="1008">
        <f t="shared" si="67"/>
        <v>0</v>
      </c>
      <c r="BB67" s="1008">
        <f t="shared" si="67"/>
        <v>544180877</v>
      </c>
      <c r="BC67" s="1008">
        <f t="shared" si="67"/>
        <v>55000000</v>
      </c>
      <c r="BD67" s="1008">
        <f t="shared" si="67"/>
        <v>102810569</v>
      </c>
      <c r="BE67" s="1008">
        <f t="shared" si="67"/>
        <v>219471348</v>
      </c>
      <c r="BF67" s="1008">
        <f t="shared" si="67"/>
        <v>0</v>
      </c>
      <c r="BG67" s="1008">
        <f t="shared" si="67"/>
        <v>0</v>
      </c>
      <c r="BH67" s="1008">
        <f t="shared" si="67"/>
        <v>0</v>
      </c>
      <c r="BI67" s="1008">
        <f t="shared" si="67"/>
        <v>2406031294</v>
      </c>
      <c r="BJ67" s="1008">
        <f t="shared" si="67"/>
        <v>68609139</v>
      </c>
      <c r="BK67" s="1008">
        <f t="shared" si="67"/>
        <v>235765054</v>
      </c>
      <c r="BL67" s="1008">
        <f t="shared" si="67"/>
        <v>305692590</v>
      </c>
      <c r="BM67" s="1008">
        <f t="shared" si="67"/>
        <v>0</v>
      </c>
      <c r="BN67" s="1008">
        <f t="shared" si="67"/>
        <v>80844085</v>
      </c>
      <c r="BO67" s="1008">
        <f t="shared" si="67"/>
        <v>0</v>
      </c>
      <c r="BP67" s="1008">
        <f t="shared" si="67"/>
        <v>54209014</v>
      </c>
      <c r="BQ67" s="1009">
        <f t="shared" si="25"/>
        <v>0.17709576573079233</v>
      </c>
      <c r="BR67" s="1008">
        <f t="shared" ref="BR67:CL67" si="68">SUM(BR35:BR66)</f>
        <v>1157461218</v>
      </c>
      <c r="BS67" s="1008">
        <f t="shared" si="68"/>
        <v>0</v>
      </c>
      <c r="BT67" s="1008">
        <f t="shared" si="68"/>
        <v>1264680</v>
      </c>
      <c r="BU67" s="1008">
        <f t="shared" si="68"/>
        <v>0</v>
      </c>
      <c r="BV67" s="1008">
        <f t="shared" si="68"/>
        <v>0</v>
      </c>
      <c r="BW67" s="1008">
        <f t="shared" si="68"/>
        <v>0</v>
      </c>
      <c r="BX67" s="1008">
        <f t="shared" si="68"/>
        <v>0</v>
      </c>
      <c r="BY67" s="1008">
        <f t="shared" si="68"/>
        <v>0</v>
      </c>
      <c r="BZ67" s="1008">
        <f t="shared" si="68"/>
        <v>0</v>
      </c>
      <c r="CA67" s="1008">
        <f t="shared" si="68"/>
        <v>0</v>
      </c>
      <c r="CB67" s="1008">
        <f t="shared" si="68"/>
        <v>0</v>
      </c>
      <c r="CC67" s="1008">
        <f t="shared" si="68"/>
        <v>0</v>
      </c>
      <c r="CD67" s="1008">
        <f t="shared" si="68"/>
        <v>0</v>
      </c>
      <c r="CE67" s="1008">
        <f t="shared" si="68"/>
        <v>1097982386</v>
      </c>
      <c r="CF67" s="1008">
        <f t="shared" si="68"/>
        <v>10000000</v>
      </c>
      <c r="CG67" s="1008">
        <f t="shared" si="68"/>
        <v>15953029</v>
      </c>
      <c r="CH67" s="1008">
        <f t="shared" si="68"/>
        <v>6281060</v>
      </c>
      <c r="CI67" s="1008">
        <f t="shared" si="68"/>
        <v>0</v>
      </c>
      <c r="CJ67" s="1008">
        <f t="shared" si="68"/>
        <v>0</v>
      </c>
      <c r="CK67" s="1008">
        <f t="shared" si="68"/>
        <v>0</v>
      </c>
      <c r="CL67" s="1008">
        <f t="shared" si="68"/>
        <v>25980063</v>
      </c>
      <c r="CM67" s="1009">
        <f t="shared" si="13"/>
        <v>0.53521014328971994</v>
      </c>
      <c r="CN67" s="1008">
        <f t="shared" ref="CN67:ED67" si="69">SUM(CN35:CN66)</f>
        <v>3498022563</v>
      </c>
      <c r="CO67" s="1008">
        <f t="shared" si="69"/>
        <v>0</v>
      </c>
      <c r="CP67" s="1008">
        <f t="shared" si="69"/>
        <v>133268976</v>
      </c>
      <c r="CQ67" s="1008">
        <f t="shared" si="69"/>
        <v>396726534</v>
      </c>
      <c r="CR67" s="1008">
        <f t="shared" si="69"/>
        <v>561469881</v>
      </c>
      <c r="CS67" s="1008">
        <f t="shared" si="69"/>
        <v>0</v>
      </c>
      <c r="CT67" s="1008">
        <f t="shared" si="69"/>
        <v>457458840</v>
      </c>
      <c r="CU67" s="1008">
        <f t="shared" si="69"/>
        <v>54911458</v>
      </c>
      <c r="CV67" s="1008">
        <f t="shared" si="69"/>
        <v>102810569</v>
      </c>
      <c r="CW67" s="1008">
        <f t="shared" si="69"/>
        <v>129471348</v>
      </c>
      <c r="CX67" s="1008">
        <f t="shared" si="69"/>
        <v>0</v>
      </c>
      <c r="CY67" s="1008">
        <f t="shared" si="69"/>
        <v>0</v>
      </c>
      <c r="CZ67" s="1008">
        <f t="shared" si="69"/>
        <v>0</v>
      </c>
      <c r="DA67" s="1008">
        <f t="shared" si="69"/>
        <v>1255105656</v>
      </c>
      <c r="DB67" s="1008">
        <f t="shared" si="69"/>
        <v>53706082</v>
      </c>
      <c r="DC67" s="1008">
        <f t="shared" si="69"/>
        <v>173596038</v>
      </c>
      <c r="DD67" s="1008">
        <f t="shared" si="69"/>
        <v>123389828</v>
      </c>
      <c r="DE67" s="1008">
        <f t="shared" si="69"/>
        <v>0</v>
      </c>
      <c r="DF67" s="1008">
        <f t="shared" si="69"/>
        <v>30228561</v>
      </c>
      <c r="DG67" s="1008">
        <f t="shared" si="69"/>
        <v>0</v>
      </c>
      <c r="DH67" s="1008">
        <f t="shared" si="69"/>
        <v>25878792</v>
      </c>
      <c r="DI67" s="1008">
        <f t="shared" si="69"/>
        <v>13.344282617332807</v>
      </c>
      <c r="DJ67" s="1008">
        <f t="shared" si="69"/>
        <v>3037770166</v>
      </c>
      <c r="DK67" s="1008">
        <f t="shared" si="69"/>
        <v>0</v>
      </c>
      <c r="DL67" s="1008">
        <f t="shared" si="69"/>
        <v>1264680</v>
      </c>
      <c r="DM67" s="1008">
        <f t="shared" si="69"/>
        <v>0</v>
      </c>
      <c r="DN67" s="1008">
        <f t="shared" si="69"/>
        <v>214252150</v>
      </c>
      <c r="DO67" s="1008">
        <f t="shared" si="69"/>
        <v>0</v>
      </c>
      <c r="DP67" s="1008">
        <f t="shared" si="69"/>
        <v>86722037</v>
      </c>
      <c r="DQ67" s="1008">
        <f t="shared" si="69"/>
        <v>88542</v>
      </c>
      <c r="DR67" s="1008">
        <f t="shared" si="69"/>
        <v>0</v>
      </c>
      <c r="DS67" s="1008">
        <f t="shared" si="69"/>
        <v>90000000</v>
      </c>
      <c r="DT67" s="1008">
        <f t="shared" si="69"/>
        <v>0</v>
      </c>
      <c r="DU67" s="1008">
        <f t="shared" si="69"/>
        <v>0</v>
      </c>
      <c r="DV67" s="1008">
        <f t="shared" si="69"/>
        <v>0</v>
      </c>
      <c r="DW67" s="1008">
        <f t="shared" si="69"/>
        <v>2248908024</v>
      </c>
      <c r="DX67" s="1008">
        <f t="shared" si="69"/>
        <v>24903057</v>
      </c>
      <c r="DY67" s="1008">
        <f t="shared" si="69"/>
        <v>78122045</v>
      </c>
      <c r="DZ67" s="1008">
        <f t="shared" si="69"/>
        <v>188583822</v>
      </c>
      <c r="EA67" s="1008">
        <f t="shared" si="69"/>
        <v>0</v>
      </c>
      <c r="EB67" s="1008">
        <f t="shared" si="69"/>
        <v>50615524</v>
      </c>
      <c r="EC67" s="1008">
        <f t="shared" si="69"/>
        <v>0</v>
      </c>
      <c r="ED67" s="1043">
        <f t="shared" si="69"/>
        <v>54310285</v>
      </c>
    </row>
    <row r="68" spans="1:134" ht="66.75" customHeight="1" thickTop="1" x14ac:dyDescent="0.25">
      <c r="A68" s="1578" t="s">
        <v>4756</v>
      </c>
      <c r="B68" s="1018" t="s">
        <v>4340</v>
      </c>
      <c r="C68" s="1092" t="s">
        <v>4405</v>
      </c>
      <c r="D68" s="1018" t="s">
        <v>4344</v>
      </c>
      <c r="E68" s="1019">
        <v>520</v>
      </c>
      <c r="F68" s="1094" t="s">
        <v>4732</v>
      </c>
      <c r="G68" s="1576">
        <v>331000000</v>
      </c>
      <c r="H68" s="1060">
        <f t="shared" ref="H68:H103" si="70">+CN68</f>
        <v>1671542</v>
      </c>
      <c r="I68" s="1060">
        <f t="shared" ref="I68:I99" si="71">Y68-H68</f>
        <v>1328458</v>
      </c>
      <c r="J68" s="1094" t="s">
        <v>4850</v>
      </c>
      <c r="K68" s="1097" t="s">
        <v>4854</v>
      </c>
      <c r="L68" s="1097" t="s">
        <v>4860</v>
      </c>
      <c r="M68" s="1097">
        <v>0</v>
      </c>
      <c r="N68" s="1097">
        <v>0</v>
      </c>
      <c r="O68" s="1097">
        <v>0</v>
      </c>
      <c r="P68" s="1097">
        <v>0</v>
      </c>
      <c r="Q68" s="1097">
        <v>0</v>
      </c>
      <c r="R68" s="1097">
        <v>0</v>
      </c>
      <c r="S68" s="1094"/>
      <c r="T68" s="1094"/>
      <c r="U68" s="1094"/>
      <c r="V68" s="1094"/>
      <c r="W68" s="1094"/>
      <c r="X68" s="1094"/>
      <c r="Y68" s="1007">
        <f t="shared" ref="Y68:Y103" si="72">SUM(Z68:AS68)</f>
        <v>3000000</v>
      </c>
      <c r="Z68" s="944"/>
      <c r="AA68" s="1007"/>
      <c r="AB68" s="1007"/>
      <c r="AC68" s="1007"/>
      <c r="AD68" s="1007"/>
      <c r="AE68" s="1007"/>
      <c r="AF68" s="1007"/>
      <c r="AG68" s="1007"/>
      <c r="AH68" s="1007"/>
      <c r="AI68" s="1007"/>
      <c r="AJ68" s="1007"/>
      <c r="AK68" s="1007"/>
      <c r="AL68" s="1007"/>
      <c r="AM68" s="1007"/>
      <c r="AN68" s="1007"/>
      <c r="AO68" s="1007"/>
      <c r="AP68" s="1007"/>
      <c r="AQ68" s="1007"/>
      <c r="AR68" s="1007"/>
      <c r="AS68" s="1007">
        <f>2000000+1000000</f>
        <v>3000000</v>
      </c>
      <c r="AU68" s="1010">
        <f t="shared" ref="AU68:AU104" si="73">+AV68/Y68</f>
        <v>0.66666666666666663</v>
      </c>
      <c r="AV68" s="1007">
        <f t="shared" ref="AV68:AV103" si="74">SUM(AW68:BP68)</f>
        <v>2000000</v>
      </c>
      <c r="AW68" s="1007"/>
      <c r="AX68" s="1007"/>
      <c r="AY68" s="1007"/>
      <c r="AZ68" s="1007"/>
      <c r="BA68" s="1007"/>
      <c r="BB68" s="1007"/>
      <c r="BC68" s="1007"/>
      <c r="BD68" s="1007"/>
      <c r="BE68" s="1007"/>
      <c r="BF68" s="1007"/>
      <c r="BG68" s="1007"/>
      <c r="BH68" s="1007"/>
      <c r="BI68" s="1007"/>
      <c r="BJ68" s="1007"/>
      <c r="BK68" s="1007"/>
      <c r="BL68" s="1007"/>
      <c r="BM68" s="1007"/>
      <c r="BN68" s="1007"/>
      <c r="BO68" s="1007"/>
      <c r="BP68" s="1007">
        <f>+'[8]SEPTIEMBRE 2015'!$G$2914</f>
        <v>2000000</v>
      </c>
      <c r="BQ68" s="1010">
        <f t="shared" si="25"/>
        <v>0.33333333333333337</v>
      </c>
      <c r="BR68" s="1007">
        <f t="shared" ref="BR68:BR103" si="75">SUM(BS68:CL68)</f>
        <v>1000000</v>
      </c>
      <c r="BS68" s="1007">
        <f t="shared" ref="BS68:BS103" si="76">+Z68-AW68</f>
        <v>0</v>
      </c>
      <c r="BT68" s="1007">
        <f t="shared" ref="BT68:BT103" si="77">AA68-AX68</f>
        <v>0</v>
      </c>
      <c r="BU68" s="1007"/>
      <c r="BV68" s="1007">
        <f t="shared" ref="BV68:BV103" si="78">AC68-AZ68</f>
        <v>0</v>
      </c>
      <c r="BW68" s="1007"/>
      <c r="BX68" s="1007">
        <f t="shared" ref="BX68:BY103" si="79">+AE68-BB68</f>
        <v>0</v>
      </c>
      <c r="BY68" s="1007">
        <f t="shared" si="79"/>
        <v>0</v>
      </c>
      <c r="BZ68" s="1007"/>
      <c r="CA68" s="1007">
        <f t="shared" ref="CA68:CI83" si="80">+AH68-BE68</f>
        <v>0</v>
      </c>
      <c r="CB68" s="1007">
        <f t="shared" si="80"/>
        <v>0</v>
      </c>
      <c r="CC68" s="1007">
        <f t="shared" si="80"/>
        <v>0</v>
      </c>
      <c r="CD68" s="1007">
        <f t="shared" si="80"/>
        <v>0</v>
      </c>
      <c r="CE68" s="1007">
        <f t="shared" si="80"/>
        <v>0</v>
      </c>
      <c r="CF68" s="1007">
        <f t="shared" si="80"/>
        <v>0</v>
      </c>
      <c r="CG68" s="1007">
        <f t="shared" si="80"/>
        <v>0</v>
      </c>
      <c r="CH68" s="1007">
        <f t="shared" si="80"/>
        <v>0</v>
      </c>
      <c r="CI68" s="1007">
        <f t="shared" si="80"/>
        <v>0</v>
      </c>
      <c r="CJ68" s="1007"/>
      <c r="CK68" s="1007"/>
      <c r="CL68" s="1007">
        <f t="shared" ref="CL68:CL103" si="81">+AS68-BP68</f>
        <v>1000000</v>
      </c>
      <c r="CM68" s="1010">
        <f t="shared" ref="CM68:CM104" si="82">+CN68/Y68</f>
        <v>0.55718066666666666</v>
      </c>
      <c r="CN68" s="1007">
        <f t="shared" ref="CN68:CN103" si="83">SUM(CO68:DH68)</f>
        <v>1671542</v>
      </c>
      <c r="CO68" s="1007"/>
      <c r="CP68" s="1007"/>
      <c r="CQ68" s="1007"/>
      <c r="CR68" s="1007"/>
      <c r="CS68" s="1007"/>
      <c r="CT68" s="1007"/>
      <c r="CU68" s="1007"/>
      <c r="CV68" s="1007"/>
      <c r="CW68" s="1007"/>
      <c r="CX68" s="1007"/>
      <c r="CY68" s="1007"/>
      <c r="CZ68" s="1007"/>
      <c r="DA68" s="1007"/>
      <c r="DB68" s="1007"/>
      <c r="DC68" s="1007"/>
      <c r="DD68" s="1007"/>
      <c r="DE68" s="1007"/>
      <c r="DF68" s="1007"/>
      <c r="DG68" s="1007"/>
      <c r="DH68" s="1007">
        <f>+'[8]SEPTIEMBRE 2015'!$H$2914</f>
        <v>1671542</v>
      </c>
      <c r="DI68" s="1010">
        <f t="shared" ref="DI68:DI104" si="84">1-CM68</f>
        <v>0.44281933333333334</v>
      </c>
      <c r="DJ68" s="1007">
        <f t="shared" ref="DJ68:DJ103" si="85">SUM(DK68:ED68)</f>
        <v>1328458</v>
      </c>
      <c r="DK68" s="1007"/>
      <c r="DL68" s="1007"/>
      <c r="DM68" s="1007"/>
      <c r="DN68" s="1007">
        <f t="shared" ref="DN68:DN103" si="86">AC68-CR68</f>
        <v>0</v>
      </c>
      <c r="DO68" s="1007"/>
      <c r="DP68" s="1007">
        <f t="shared" ref="DP68:DQ103" si="87">AE68-CT68</f>
        <v>0</v>
      </c>
      <c r="DQ68" s="1007">
        <f t="shared" si="87"/>
        <v>0</v>
      </c>
      <c r="DR68" s="1007"/>
      <c r="DS68" s="1007">
        <f t="shared" ref="DS68:DT103" si="88">+AH68-CW68</f>
        <v>0</v>
      </c>
      <c r="DT68" s="1007">
        <f t="shared" si="88"/>
        <v>0</v>
      </c>
      <c r="DU68" s="1007"/>
      <c r="DV68" s="1007">
        <f t="shared" ref="DV68:DX103" si="89">AK68-CZ68</f>
        <v>0</v>
      </c>
      <c r="DW68" s="1007">
        <f t="shared" si="89"/>
        <v>0</v>
      </c>
      <c r="DX68" s="1007">
        <f t="shared" si="89"/>
        <v>0</v>
      </c>
      <c r="DY68" s="1007">
        <f t="shared" ref="DY68:EB103" si="90">+AN68-DC68</f>
        <v>0</v>
      </c>
      <c r="DZ68" s="1007">
        <f t="shared" si="90"/>
        <v>0</v>
      </c>
      <c r="EA68" s="1007">
        <f t="shared" si="90"/>
        <v>0</v>
      </c>
      <c r="EB68" s="1007">
        <f t="shared" si="90"/>
        <v>0</v>
      </c>
      <c r="EC68" s="1007"/>
      <c r="ED68" s="1007">
        <f t="shared" ref="ED68:ED103" si="91">+AS68-DH68</f>
        <v>1328458</v>
      </c>
    </row>
    <row r="69" spans="1:134" ht="30.75" customHeight="1" x14ac:dyDescent="0.25">
      <c r="A69" s="1578"/>
      <c r="B69" s="1018"/>
      <c r="C69" s="1092" t="s">
        <v>4406</v>
      </c>
      <c r="D69" s="1018" t="s">
        <v>4341</v>
      </c>
      <c r="E69" s="1019">
        <v>520</v>
      </c>
      <c r="F69" s="1094" t="s">
        <v>3350</v>
      </c>
      <c r="G69" s="1429"/>
      <c r="H69" s="1060">
        <f t="shared" si="70"/>
        <v>18740479</v>
      </c>
      <c r="I69" s="1060">
        <f t="shared" si="71"/>
        <v>11259521</v>
      </c>
      <c r="J69" s="1428" t="s">
        <v>4851</v>
      </c>
      <c r="K69" s="1257" t="s">
        <v>4855</v>
      </c>
      <c r="L69" s="1257" t="s">
        <v>4861</v>
      </c>
      <c r="M69" s="1097">
        <v>13</v>
      </c>
      <c r="N69" s="1097">
        <v>10</v>
      </c>
      <c r="O69" s="1097">
        <v>1</v>
      </c>
      <c r="P69" s="1097">
        <v>24</v>
      </c>
      <c r="Q69" s="1097">
        <v>20</v>
      </c>
      <c r="R69" s="1097">
        <v>5</v>
      </c>
      <c r="S69" s="1094"/>
      <c r="T69" s="1094"/>
      <c r="U69" s="1094"/>
      <c r="V69" s="1094"/>
      <c r="W69" s="1094"/>
      <c r="X69" s="1094"/>
      <c r="Y69" s="1007">
        <f t="shared" si="72"/>
        <v>30000000</v>
      </c>
      <c r="Z69" s="1007"/>
      <c r="AA69" s="1007"/>
      <c r="AB69" s="1007"/>
      <c r="AC69" s="1007"/>
      <c r="AD69" s="1007"/>
      <c r="AE69" s="1007">
        <f>50000000-20000000</f>
        <v>30000000</v>
      </c>
      <c r="AF69" s="1007"/>
      <c r="AG69" s="1007"/>
      <c r="AH69" s="1007"/>
      <c r="AI69" s="1007"/>
      <c r="AJ69" s="1007"/>
      <c r="AK69" s="1007"/>
      <c r="AL69" s="1007"/>
      <c r="AM69" s="1007"/>
      <c r="AN69" s="1007"/>
      <c r="AO69" s="1007"/>
      <c r="AP69" s="1007"/>
      <c r="AQ69" s="1007"/>
      <c r="AR69" s="1007"/>
      <c r="AS69" s="1007"/>
      <c r="AU69" s="1010">
        <f t="shared" si="73"/>
        <v>1</v>
      </c>
      <c r="AV69" s="1007">
        <f t="shared" si="74"/>
        <v>30000000</v>
      </c>
      <c r="AW69" s="1007"/>
      <c r="AX69" s="1007"/>
      <c r="AY69" s="1007"/>
      <c r="AZ69" s="1007"/>
      <c r="BA69" s="1007"/>
      <c r="BB69" s="1007">
        <f>+'[15]FEBRERO 2015'!$N$1017-20000000</f>
        <v>30000000</v>
      </c>
      <c r="BC69" s="1007"/>
      <c r="BD69" s="1007"/>
      <c r="BE69" s="1007"/>
      <c r="BF69" s="1007"/>
      <c r="BG69" s="1007"/>
      <c r="BH69" s="1007"/>
      <c r="BI69" s="1007"/>
      <c r="BJ69" s="1007"/>
      <c r="BK69" s="1007"/>
      <c r="BL69" s="1007"/>
      <c r="BM69" s="1007"/>
      <c r="BN69" s="1007"/>
      <c r="BO69" s="1007"/>
      <c r="BP69" s="1007"/>
      <c r="BQ69" s="1010">
        <f t="shared" si="25"/>
        <v>0</v>
      </c>
      <c r="BR69" s="1007">
        <f t="shared" si="75"/>
        <v>0</v>
      </c>
      <c r="BS69" s="1007">
        <f t="shared" si="76"/>
        <v>0</v>
      </c>
      <c r="BT69" s="1007">
        <f t="shared" si="77"/>
        <v>0</v>
      </c>
      <c r="BU69" s="1007"/>
      <c r="BV69" s="1007">
        <f t="shared" si="78"/>
        <v>0</v>
      </c>
      <c r="BW69" s="1007"/>
      <c r="BX69" s="1007">
        <f t="shared" si="79"/>
        <v>0</v>
      </c>
      <c r="BY69" s="1007">
        <f t="shared" si="79"/>
        <v>0</v>
      </c>
      <c r="BZ69" s="1007"/>
      <c r="CA69" s="1007"/>
      <c r="CB69" s="1007">
        <f t="shared" si="80"/>
        <v>0</v>
      </c>
      <c r="CC69" s="1007"/>
      <c r="CD69" s="1007">
        <f t="shared" si="80"/>
        <v>0</v>
      </c>
      <c r="CE69" s="1007">
        <f t="shared" si="80"/>
        <v>0</v>
      </c>
      <c r="CF69" s="1007">
        <f t="shared" si="80"/>
        <v>0</v>
      </c>
      <c r="CG69" s="1007">
        <f t="shared" si="80"/>
        <v>0</v>
      </c>
      <c r="CH69" s="1007">
        <f t="shared" si="80"/>
        <v>0</v>
      </c>
      <c r="CI69" s="1007">
        <f t="shared" si="80"/>
        <v>0</v>
      </c>
      <c r="CJ69" s="1007"/>
      <c r="CK69" s="1007"/>
      <c r="CL69" s="1007">
        <f t="shared" si="81"/>
        <v>0</v>
      </c>
      <c r="CM69" s="1010">
        <f t="shared" si="82"/>
        <v>0.62468263333333329</v>
      </c>
      <c r="CN69" s="1007">
        <f t="shared" si="83"/>
        <v>18740479</v>
      </c>
      <c r="CO69" s="1007"/>
      <c r="CP69" s="1007"/>
      <c r="CQ69" s="1007"/>
      <c r="CR69" s="1007"/>
      <c r="CS69" s="1007"/>
      <c r="CT69" s="1007">
        <f>+'[8]SEPTIEMBRE 2015'!$H$2922</f>
        <v>18740479</v>
      </c>
      <c r="CU69" s="1007"/>
      <c r="CV69" s="1007"/>
      <c r="CW69" s="1007"/>
      <c r="CX69" s="1007"/>
      <c r="CY69" s="1007"/>
      <c r="CZ69" s="1007"/>
      <c r="DA69" s="1007"/>
      <c r="DB69" s="1007"/>
      <c r="DC69" s="1007"/>
      <c r="DD69" s="1007"/>
      <c r="DE69" s="1007"/>
      <c r="DF69" s="1007"/>
      <c r="DG69" s="1007"/>
      <c r="DH69" s="1007"/>
      <c r="DI69" s="1010">
        <f t="shared" si="84"/>
        <v>0.37531736666666671</v>
      </c>
      <c r="DJ69" s="1007">
        <f t="shared" si="85"/>
        <v>11259521</v>
      </c>
      <c r="DK69" s="1007"/>
      <c r="DL69" s="1007"/>
      <c r="DM69" s="1007"/>
      <c r="DN69" s="1007">
        <f t="shared" si="86"/>
        <v>0</v>
      </c>
      <c r="DO69" s="1007"/>
      <c r="DP69" s="1007">
        <f t="shared" si="87"/>
        <v>11259521</v>
      </c>
      <c r="DQ69" s="1007">
        <f t="shared" si="87"/>
        <v>0</v>
      </c>
      <c r="DR69" s="1007"/>
      <c r="DS69" s="1007">
        <f t="shared" si="88"/>
        <v>0</v>
      </c>
      <c r="DT69" s="1007">
        <f t="shared" si="88"/>
        <v>0</v>
      </c>
      <c r="DU69" s="1007"/>
      <c r="DV69" s="1007">
        <f t="shared" si="89"/>
        <v>0</v>
      </c>
      <c r="DW69" s="1007">
        <f t="shared" si="89"/>
        <v>0</v>
      </c>
      <c r="DX69" s="1007">
        <f t="shared" si="89"/>
        <v>0</v>
      </c>
      <c r="DY69" s="1007">
        <f t="shared" si="90"/>
        <v>0</v>
      </c>
      <c r="DZ69" s="1007">
        <f t="shared" si="90"/>
        <v>0</v>
      </c>
      <c r="EA69" s="1007">
        <f t="shared" si="90"/>
        <v>0</v>
      </c>
      <c r="EB69" s="1007">
        <f t="shared" si="90"/>
        <v>0</v>
      </c>
      <c r="EC69" s="1007"/>
      <c r="ED69" s="1007">
        <f t="shared" si="91"/>
        <v>0</v>
      </c>
    </row>
    <row r="70" spans="1:134" ht="27" customHeight="1" x14ac:dyDescent="0.25">
      <c r="A70" s="1578"/>
      <c r="B70" s="1018"/>
      <c r="C70" s="1092" t="s">
        <v>4407</v>
      </c>
      <c r="D70" s="1018" t="s">
        <v>4342</v>
      </c>
      <c r="E70" s="1019">
        <v>520</v>
      </c>
      <c r="F70" s="1094" t="s">
        <v>3350</v>
      </c>
      <c r="G70" s="1429"/>
      <c r="H70" s="1060">
        <f t="shared" si="70"/>
        <v>15854838</v>
      </c>
      <c r="I70" s="1060">
        <f t="shared" si="71"/>
        <v>4145162</v>
      </c>
      <c r="J70" s="1430"/>
      <c r="K70" s="1258"/>
      <c r="L70" s="1258"/>
      <c r="M70" s="1097">
        <v>0</v>
      </c>
      <c r="N70" s="1097">
        <v>0</v>
      </c>
      <c r="O70" s="1097">
        <v>0</v>
      </c>
      <c r="P70" s="1097">
        <v>0</v>
      </c>
      <c r="Q70" s="1097">
        <v>10</v>
      </c>
      <c r="R70" s="1097">
        <v>0</v>
      </c>
      <c r="S70" s="1094"/>
      <c r="T70" s="1094"/>
      <c r="U70" s="1094"/>
      <c r="V70" s="1094"/>
      <c r="W70" s="1094"/>
      <c r="X70" s="1094"/>
      <c r="Y70" s="1007">
        <f t="shared" si="72"/>
        <v>20000000</v>
      </c>
      <c r="Z70" s="1007"/>
      <c r="AA70" s="1007"/>
      <c r="AB70" s="1007"/>
      <c r="AC70" s="1007"/>
      <c r="AD70" s="1007"/>
      <c r="AE70" s="1007">
        <f>50000000-20000000-20000000</f>
        <v>10000000</v>
      </c>
      <c r="AF70" s="1007"/>
      <c r="AG70" s="1007"/>
      <c r="AH70" s="1007"/>
      <c r="AI70" s="1007"/>
      <c r="AJ70" s="1007"/>
      <c r="AK70" s="1007"/>
      <c r="AL70" s="1007"/>
      <c r="AM70" s="1007"/>
      <c r="AN70" s="1007">
        <v>10000000</v>
      </c>
      <c r="AO70" s="1007"/>
      <c r="AP70" s="1007"/>
      <c r="AQ70" s="1007"/>
      <c r="AR70" s="1007"/>
      <c r="AS70" s="1007"/>
      <c r="AU70" s="1010">
        <f t="shared" si="73"/>
        <v>1</v>
      </c>
      <c r="AV70" s="1007">
        <f t="shared" si="74"/>
        <v>20000000</v>
      </c>
      <c r="AW70" s="1007"/>
      <c r="AX70" s="1007"/>
      <c r="AY70" s="1007"/>
      <c r="AZ70" s="1007"/>
      <c r="BA70" s="1007"/>
      <c r="BB70" s="1007">
        <f>+'[15]FEBRERO 2015'!$N$1024-40000000</f>
        <v>10000000</v>
      </c>
      <c r="BC70" s="1007"/>
      <c r="BD70" s="1007"/>
      <c r="BE70" s="1007"/>
      <c r="BF70" s="1007"/>
      <c r="BG70" s="1007"/>
      <c r="BH70" s="1007"/>
      <c r="BI70" s="1007"/>
      <c r="BJ70" s="1007"/>
      <c r="BK70" s="1007">
        <f>+'[12]FEBRERO 2015'!$W$1086</f>
        <v>10000000</v>
      </c>
      <c r="BL70" s="1007"/>
      <c r="BM70" s="1007"/>
      <c r="BN70" s="1007"/>
      <c r="BO70" s="1007"/>
      <c r="BP70" s="1007"/>
      <c r="BQ70" s="1010">
        <f t="shared" si="25"/>
        <v>0</v>
      </c>
      <c r="BR70" s="1007">
        <f t="shared" si="75"/>
        <v>0</v>
      </c>
      <c r="BS70" s="1007">
        <f t="shared" si="76"/>
        <v>0</v>
      </c>
      <c r="BT70" s="1007">
        <f t="shared" si="77"/>
        <v>0</v>
      </c>
      <c r="BU70" s="1007"/>
      <c r="BV70" s="1007">
        <f t="shared" si="78"/>
        <v>0</v>
      </c>
      <c r="BW70" s="1007"/>
      <c r="BX70" s="1007">
        <f t="shared" si="79"/>
        <v>0</v>
      </c>
      <c r="BY70" s="1007">
        <f t="shared" si="79"/>
        <v>0</v>
      </c>
      <c r="BZ70" s="1007"/>
      <c r="CA70" s="1007"/>
      <c r="CB70" s="1007">
        <f t="shared" si="80"/>
        <v>0</v>
      </c>
      <c r="CC70" s="1007"/>
      <c r="CD70" s="1007">
        <f t="shared" si="80"/>
        <v>0</v>
      </c>
      <c r="CE70" s="1007">
        <f t="shared" si="80"/>
        <v>0</v>
      </c>
      <c r="CF70" s="1007">
        <f t="shared" si="80"/>
        <v>0</v>
      </c>
      <c r="CG70" s="1007">
        <f t="shared" si="80"/>
        <v>0</v>
      </c>
      <c r="CH70" s="1007">
        <f t="shared" si="80"/>
        <v>0</v>
      </c>
      <c r="CI70" s="1007">
        <f t="shared" si="80"/>
        <v>0</v>
      </c>
      <c r="CJ70" s="1007"/>
      <c r="CK70" s="1007"/>
      <c r="CL70" s="1007">
        <f t="shared" si="81"/>
        <v>0</v>
      </c>
      <c r="CM70" s="1010">
        <f t="shared" si="82"/>
        <v>0.7927419</v>
      </c>
      <c r="CN70" s="1007">
        <f t="shared" si="83"/>
        <v>15854838</v>
      </c>
      <c r="CO70" s="1007"/>
      <c r="CP70" s="1007"/>
      <c r="CQ70" s="1007"/>
      <c r="CR70" s="1007"/>
      <c r="CS70" s="1007"/>
      <c r="CT70" s="1007">
        <f>+'[8]SEPTIEMBRE 2015'!$H$2949</f>
        <v>5854838</v>
      </c>
      <c r="CU70" s="1007"/>
      <c r="CV70" s="1007"/>
      <c r="CW70" s="1007"/>
      <c r="CX70" s="1007"/>
      <c r="CY70" s="1007"/>
      <c r="CZ70" s="1007"/>
      <c r="DA70" s="1007"/>
      <c r="DB70" s="1007"/>
      <c r="DC70" s="1007">
        <f>+'[8]SEPTIEMBRE 2015'!$H$2955</f>
        <v>10000000</v>
      </c>
      <c r="DD70" s="1007"/>
      <c r="DE70" s="1007"/>
      <c r="DF70" s="1007"/>
      <c r="DG70" s="1007"/>
      <c r="DH70" s="1007"/>
      <c r="DI70" s="1010">
        <f t="shared" si="84"/>
        <v>0.2072581</v>
      </c>
      <c r="DJ70" s="1007">
        <f t="shared" si="85"/>
        <v>4145162</v>
      </c>
      <c r="DK70" s="1007"/>
      <c r="DL70" s="1007"/>
      <c r="DM70" s="1007"/>
      <c r="DN70" s="1007">
        <f t="shared" si="86"/>
        <v>0</v>
      </c>
      <c r="DO70" s="1007"/>
      <c r="DP70" s="1007">
        <f t="shared" si="87"/>
        <v>4145162</v>
      </c>
      <c r="DQ70" s="1007">
        <f t="shared" si="87"/>
        <v>0</v>
      </c>
      <c r="DR70" s="1007"/>
      <c r="DS70" s="1007">
        <f t="shared" si="88"/>
        <v>0</v>
      </c>
      <c r="DT70" s="1007">
        <f t="shared" si="88"/>
        <v>0</v>
      </c>
      <c r="DU70" s="1007"/>
      <c r="DV70" s="1007">
        <f t="shared" si="89"/>
        <v>0</v>
      </c>
      <c r="DW70" s="1007">
        <f t="shared" si="89"/>
        <v>0</v>
      </c>
      <c r="DX70" s="1007">
        <f t="shared" si="89"/>
        <v>0</v>
      </c>
      <c r="DY70" s="1007">
        <f t="shared" si="90"/>
        <v>0</v>
      </c>
      <c r="DZ70" s="1007">
        <f t="shared" si="90"/>
        <v>0</v>
      </c>
      <c r="EA70" s="1007">
        <f t="shared" si="90"/>
        <v>0</v>
      </c>
      <c r="EB70" s="1007">
        <f t="shared" si="90"/>
        <v>0</v>
      </c>
      <c r="EC70" s="1007"/>
      <c r="ED70" s="1007">
        <f t="shared" si="91"/>
        <v>0</v>
      </c>
    </row>
    <row r="71" spans="1:134" ht="55.5" customHeight="1" x14ac:dyDescent="0.25">
      <c r="A71" s="1578"/>
      <c r="B71" s="1018"/>
      <c r="C71" s="1092" t="s">
        <v>4408</v>
      </c>
      <c r="D71" s="1018" t="s">
        <v>4343</v>
      </c>
      <c r="E71" s="1019">
        <v>520</v>
      </c>
      <c r="F71" s="1094" t="s">
        <v>4734</v>
      </c>
      <c r="G71" s="1429"/>
      <c r="H71" s="1060">
        <f t="shared" si="70"/>
        <v>204763116</v>
      </c>
      <c r="I71" s="1060">
        <f t="shared" si="71"/>
        <v>24736884</v>
      </c>
      <c r="J71" s="1094" t="s">
        <v>4852</v>
      </c>
      <c r="K71" s="1097" t="s">
        <v>4856</v>
      </c>
      <c r="L71" s="1097" t="s">
        <v>4862</v>
      </c>
      <c r="M71" s="1097">
        <v>15</v>
      </c>
      <c r="N71" s="1097">
        <v>67</v>
      </c>
      <c r="O71" s="1097">
        <v>10</v>
      </c>
      <c r="P71" s="1097">
        <v>69</v>
      </c>
      <c r="Q71" s="1097">
        <v>18</v>
      </c>
      <c r="R71" s="1097">
        <v>12</v>
      </c>
      <c r="S71" s="1094"/>
      <c r="T71" s="1094"/>
      <c r="U71" s="1094"/>
      <c r="V71" s="1094"/>
      <c r="W71" s="1094"/>
      <c r="X71" s="1094"/>
      <c r="Y71" s="1007">
        <f t="shared" si="72"/>
        <v>229500000</v>
      </c>
      <c r="Z71" s="944"/>
      <c r="AA71" s="1007"/>
      <c r="AB71" s="1007"/>
      <c r="AC71" s="1007"/>
      <c r="AD71" s="1007"/>
      <c r="AE71" s="1007">
        <v>200000000</v>
      </c>
      <c r="AF71" s="1007"/>
      <c r="AG71" s="1007"/>
      <c r="AH71" s="1007"/>
      <c r="AI71" s="1007"/>
      <c r="AJ71" s="1007"/>
      <c r="AK71" s="1007"/>
      <c r="AL71" s="1007"/>
      <c r="AM71" s="1007"/>
      <c r="AN71" s="1007">
        <f>25000000</f>
        <v>25000000</v>
      </c>
      <c r="AO71" s="1007"/>
      <c r="AP71" s="1007"/>
      <c r="AQ71" s="1007"/>
      <c r="AR71" s="1007"/>
      <c r="AS71" s="1007">
        <f>2000000+2500000</f>
        <v>4500000</v>
      </c>
      <c r="AU71" s="1010">
        <f t="shared" si="73"/>
        <v>0.92096165577342048</v>
      </c>
      <c r="AV71" s="1007">
        <f t="shared" si="74"/>
        <v>211360700</v>
      </c>
      <c r="AW71" s="1007"/>
      <c r="AX71" s="1007"/>
      <c r="AY71" s="1007"/>
      <c r="AZ71" s="1007"/>
      <c r="BA71" s="1007"/>
      <c r="BB71" s="1007">
        <f>+'[15]FEBRERO 2015'!$N$1029</f>
        <v>200000000</v>
      </c>
      <c r="BC71" s="1007"/>
      <c r="BD71" s="1007"/>
      <c r="BE71" s="1007"/>
      <c r="BF71" s="1007"/>
      <c r="BG71" s="1007"/>
      <c r="BH71" s="1007"/>
      <c r="BI71" s="1007"/>
      <c r="BJ71" s="1007"/>
      <c r="BK71" s="1007">
        <f>+'[8]SEPTIEMBRE 2015'!$X$2960</f>
        <v>6860700</v>
      </c>
      <c r="BL71" s="1007"/>
      <c r="BM71" s="1007"/>
      <c r="BN71" s="1007"/>
      <c r="BO71" s="1007"/>
      <c r="BP71" s="1007">
        <f>+'[10]JULIO 2015'!$AD$2168</f>
        <v>4500000</v>
      </c>
      <c r="BQ71" s="1010">
        <f t="shared" si="25"/>
        <v>7.9038344226579516E-2</v>
      </c>
      <c r="BR71" s="1007">
        <f t="shared" si="75"/>
        <v>18139300</v>
      </c>
      <c r="BS71" s="1007">
        <f t="shared" si="76"/>
        <v>0</v>
      </c>
      <c r="BT71" s="1007">
        <f t="shared" si="77"/>
        <v>0</v>
      </c>
      <c r="BU71" s="1007"/>
      <c r="BV71" s="1007">
        <f t="shared" si="78"/>
        <v>0</v>
      </c>
      <c r="BW71" s="1007"/>
      <c r="BX71" s="1007">
        <f t="shared" si="79"/>
        <v>0</v>
      </c>
      <c r="BY71" s="1007">
        <f t="shared" si="79"/>
        <v>0</v>
      </c>
      <c r="BZ71" s="1007"/>
      <c r="CA71" s="1007">
        <f>+AH71-BE71</f>
        <v>0</v>
      </c>
      <c r="CB71" s="1007">
        <f t="shared" si="80"/>
        <v>0</v>
      </c>
      <c r="CC71" s="1007">
        <f t="shared" si="80"/>
        <v>0</v>
      </c>
      <c r="CD71" s="1007">
        <f t="shared" si="80"/>
        <v>0</v>
      </c>
      <c r="CE71" s="1007">
        <f t="shared" si="80"/>
        <v>0</v>
      </c>
      <c r="CF71" s="1007">
        <f t="shared" si="80"/>
        <v>0</v>
      </c>
      <c r="CG71" s="1007">
        <f t="shared" si="80"/>
        <v>18139300</v>
      </c>
      <c r="CH71" s="1007">
        <f t="shared" si="80"/>
        <v>0</v>
      </c>
      <c r="CI71" s="1007">
        <f t="shared" si="80"/>
        <v>0</v>
      </c>
      <c r="CJ71" s="1007"/>
      <c r="CK71" s="1007"/>
      <c r="CL71" s="1007">
        <f t="shared" si="81"/>
        <v>0</v>
      </c>
      <c r="CM71" s="1010">
        <f t="shared" si="82"/>
        <v>0.89221401307189541</v>
      </c>
      <c r="CN71" s="1007">
        <f t="shared" si="83"/>
        <v>204763116</v>
      </c>
      <c r="CO71" s="1007"/>
      <c r="CP71" s="1007"/>
      <c r="CQ71" s="1007"/>
      <c r="CR71" s="1007"/>
      <c r="CS71" s="1007"/>
      <c r="CT71" s="1007">
        <f>+'[8]SEPTIEMBRE 2015'!$H$2966</f>
        <v>196216648</v>
      </c>
      <c r="CU71" s="1007"/>
      <c r="CV71" s="1007"/>
      <c r="CW71" s="1007"/>
      <c r="CX71" s="1007"/>
      <c r="CY71" s="1007"/>
      <c r="CZ71" s="1007"/>
      <c r="DA71" s="1007"/>
      <c r="DB71" s="1007"/>
      <c r="DC71" s="1007">
        <f>+'[8]SEPTIEMBRE 2015'!$H$3040+'[8]SEPTIEMBRE 2015'!$H$3041+'[8]SEPTIEMBRE 2015'!$H$3042+'[8]SEPTIEMBRE 2015'!$H$3043</f>
        <v>6860700</v>
      </c>
      <c r="DD71" s="1007"/>
      <c r="DE71" s="1007"/>
      <c r="DF71" s="1007"/>
      <c r="DG71" s="1007"/>
      <c r="DH71" s="1007">
        <f>+'[8]SEPTIEMBRE 2015'!$H$2961+'[8]SEPTIEMBRE 2015'!$H$3037</f>
        <v>1685768</v>
      </c>
      <c r="DI71" s="1010">
        <f t="shared" si="84"/>
        <v>0.10778598692810459</v>
      </c>
      <c r="DJ71" s="1007">
        <f t="shared" si="85"/>
        <v>24736884</v>
      </c>
      <c r="DK71" s="1007"/>
      <c r="DL71" s="1007"/>
      <c r="DM71" s="1007"/>
      <c r="DN71" s="1007">
        <f t="shared" si="86"/>
        <v>0</v>
      </c>
      <c r="DO71" s="1007"/>
      <c r="DP71" s="1007">
        <f t="shared" si="87"/>
        <v>3783352</v>
      </c>
      <c r="DQ71" s="1007">
        <f t="shared" si="87"/>
        <v>0</v>
      </c>
      <c r="DR71" s="1007"/>
      <c r="DS71" s="1007">
        <f t="shared" si="88"/>
        <v>0</v>
      </c>
      <c r="DT71" s="1007">
        <f t="shared" si="88"/>
        <v>0</v>
      </c>
      <c r="DU71" s="1007"/>
      <c r="DV71" s="1007">
        <f t="shared" si="89"/>
        <v>0</v>
      </c>
      <c r="DW71" s="1007">
        <f t="shared" si="89"/>
        <v>0</v>
      </c>
      <c r="DX71" s="1007">
        <f t="shared" si="89"/>
        <v>0</v>
      </c>
      <c r="DY71" s="1007">
        <f t="shared" si="90"/>
        <v>18139300</v>
      </c>
      <c r="DZ71" s="1007">
        <f t="shared" si="90"/>
        <v>0</v>
      </c>
      <c r="EA71" s="1007">
        <f t="shared" si="90"/>
        <v>0</v>
      </c>
      <c r="EB71" s="1007">
        <f t="shared" si="90"/>
        <v>0</v>
      </c>
      <c r="EC71" s="1007"/>
      <c r="ED71" s="1007">
        <f t="shared" si="91"/>
        <v>2814232</v>
      </c>
    </row>
    <row r="72" spans="1:134" ht="51" customHeight="1" x14ac:dyDescent="0.25">
      <c r="A72" s="1578"/>
      <c r="B72" s="1018"/>
      <c r="C72" s="1092" t="s">
        <v>4409</v>
      </c>
      <c r="D72" s="1018" t="s">
        <v>4346</v>
      </c>
      <c r="E72" s="1019">
        <v>520</v>
      </c>
      <c r="F72" s="1094" t="s">
        <v>4735</v>
      </c>
      <c r="G72" s="1429"/>
      <c r="H72" s="1060">
        <f t="shared" si="70"/>
        <v>28906771</v>
      </c>
      <c r="I72" s="1060">
        <f t="shared" si="71"/>
        <v>17093229</v>
      </c>
      <c r="J72" s="1428" t="s">
        <v>4853</v>
      </c>
      <c r="K72" s="1257" t="s">
        <v>4857</v>
      </c>
      <c r="L72" s="1257" t="s">
        <v>4853</v>
      </c>
      <c r="M72" s="1097">
        <v>39</v>
      </c>
      <c r="N72" s="1097">
        <v>0</v>
      </c>
      <c r="O72" s="1097">
        <v>0</v>
      </c>
      <c r="P72" s="1097">
        <v>21</v>
      </c>
      <c r="Q72" s="1097">
        <v>0</v>
      </c>
      <c r="R72" s="1097">
        <v>0</v>
      </c>
      <c r="S72" s="1094"/>
      <c r="T72" s="1094"/>
      <c r="U72" s="1094"/>
      <c r="V72" s="1094"/>
      <c r="W72" s="1094"/>
      <c r="X72" s="1094"/>
      <c r="Y72" s="1007">
        <f t="shared" si="72"/>
        <v>46000000</v>
      </c>
      <c r="Z72" s="944"/>
      <c r="AA72" s="1007"/>
      <c r="AB72" s="1007"/>
      <c r="AC72" s="1007"/>
      <c r="AD72" s="1007"/>
      <c r="AE72" s="1007"/>
      <c r="AF72" s="1007"/>
      <c r="AG72" s="1007"/>
      <c r="AH72" s="1007"/>
      <c r="AI72" s="1007"/>
      <c r="AJ72" s="1007"/>
      <c r="AK72" s="1007"/>
      <c r="AL72" s="1007"/>
      <c r="AM72" s="1007"/>
      <c r="AN72" s="1007"/>
      <c r="AO72" s="1007"/>
      <c r="AP72" s="1007"/>
      <c r="AQ72" s="1007"/>
      <c r="AR72" s="1007"/>
      <c r="AS72" s="1007">
        <f>25000000+17000000+4000000</f>
        <v>46000000</v>
      </c>
      <c r="AU72" s="1010">
        <f t="shared" si="73"/>
        <v>0.63043478260869568</v>
      </c>
      <c r="AV72" s="1007">
        <f t="shared" si="74"/>
        <v>29000000</v>
      </c>
      <c r="AW72" s="1007"/>
      <c r="AX72" s="1007"/>
      <c r="AY72" s="1007"/>
      <c r="AZ72" s="1007"/>
      <c r="BA72" s="1007"/>
      <c r="BB72" s="1007"/>
      <c r="BC72" s="1007"/>
      <c r="BD72" s="1007"/>
      <c r="BE72" s="1007"/>
      <c r="BF72" s="1007"/>
      <c r="BG72" s="1007"/>
      <c r="BH72" s="1007"/>
      <c r="BI72" s="1007"/>
      <c r="BJ72" s="1007"/>
      <c r="BK72" s="1007"/>
      <c r="BL72" s="1007"/>
      <c r="BM72" s="1007"/>
      <c r="BN72" s="1007"/>
      <c r="BO72" s="1007"/>
      <c r="BP72" s="1007">
        <f>+'[8]SEPTIEMBRE 2015'!$AD$3049</f>
        <v>29000000</v>
      </c>
      <c r="BQ72" s="1010">
        <f t="shared" si="25"/>
        <v>0.36956521739130432</v>
      </c>
      <c r="BR72" s="1007">
        <f t="shared" si="75"/>
        <v>17000000</v>
      </c>
      <c r="BS72" s="1007">
        <f t="shared" si="76"/>
        <v>0</v>
      </c>
      <c r="BT72" s="1007">
        <f t="shared" si="77"/>
        <v>0</v>
      </c>
      <c r="BU72" s="1007"/>
      <c r="BV72" s="1007">
        <f t="shared" si="78"/>
        <v>0</v>
      </c>
      <c r="BW72" s="1007"/>
      <c r="BX72" s="1007">
        <f t="shared" si="79"/>
        <v>0</v>
      </c>
      <c r="BY72" s="1007">
        <f t="shared" si="79"/>
        <v>0</v>
      </c>
      <c r="BZ72" s="1007"/>
      <c r="CA72" s="1007">
        <f>+AH72-BE72</f>
        <v>0</v>
      </c>
      <c r="CB72" s="1007">
        <f t="shared" si="80"/>
        <v>0</v>
      </c>
      <c r="CC72" s="1007">
        <f t="shared" si="80"/>
        <v>0</v>
      </c>
      <c r="CD72" s="1007">
        <f t="shared" si="80"/>
        <v>0</v>
      </c>
      <c r="CE72" s="1007">
        <f t="shared" si="80"/>
        <v>0</v>
      </c>
      <c r="CF72" s="1007">
        <f t="shared" si="80"/>
        <v>0</v>
      </c>
      <c r="CG72" s="1007">
        <f t="shared" si="80"/>
        <v>0</v>
      </c>
      <c r="CH72" s="1007">
        <f t="shared" si="80"/>
        <v>0</v>
      </c>
      <c r="CI72" s="1007">
        <f t="shared" si="80"/>
        <v>0</v>
      </c>
      <c r="CJ72" s="1007">
        <f>+AQ72-BN72</f>
        <v>0</v>
      </c>
      <c r="CK72" s="1007"/>
      <c r="CL72" s="1007">
        <f t="shared" si="81"/>
        <v>17000000</v>
      </c>
      <c r="CM72" s="1010">
        <f t="shared" si="82"/>
        <v>0.62840806521739134</v>
      </c>
      <c r="CN72" s="1007">
        <f t="shared" si="83"/>
        <v>28906771</v>
      </c>
      <c r="CO72" s="1007"/>
      <c r="CP72" s="1007"/>
      <c r="CQ72" s="1007"/>
      <c r="CR72" s="1007"/>
      <c r="CS72" s="1007"/>
      <c r="CT72" s="1007"/>
      <c r="CU72" s="1007"/>
      <c r="CV72" s="1007"/>
      <c r="CW72" s="1007"/>
      <c r="CX72" s="1007"/>
      <c r="CY72" s="1007"/>
      <c r="CZ72" s="1007"/>
      <c r="DA72" s="1007"/>
      <c r="DB72" s="1007"/>
      <c r="DC72" s="1007"/>
      <c r="DD72" s="1007"/>
      <c r="DE72" s="1007"/>
      <c r="DF72" s="1007"/>
      <c r="DG72" s="1007"/>
      <c r="DH72" s="1007">
        <f>+'[8]SEPTIEMBRE 2015'!$H$3047</f>
        <v>28906771</v>
      </c>
      <c r="DI72" s="1010">
        <f t="shared" si="84"/>
        <v>0.37159193478260866</v>
      </c>
      <c r="DJ72" s="1007">
        <f t="shared" si="85"/>
        <v>17093229</v>
      </c>
      <c r="DK72" s="1007"/>
      <c r="DL72" s="1007"/>
      <c r="DM72" s="1007"/>
      <c r="DN72" s="1007">
        <f t="shared" si="86"/>
        <v>0</v>
      </c>
      <c r="DO72" s="1007"/>
      <c r="DP72" s="1007">
        <f t="shared" si="87"/>
        <v>0</v>
      </c>
      <c r="DQ72" s="1007">
        <f t="shared" si="87"/>
        <v>0</v>
      </c>
      <c r="DR72" s="1007"/>
      <c r="DS72" s="1007">
        <f t="shared" si="88"/>
        <v>0</v>
      </c>
      <c r="DT72" s="1007">
        <f t="shared" si="88"/>
        <v>0</v>
      </c>
      <c r="DU72" s="1007"/>
      <c r="DV72" s="1007">
        <f t="shared" si="89"/>
        <v>0</v>
      </c>
      <c r="DW72" s="1007">
        <f t="shared" si="89"/>
        <v>0</v>
      </c>
      <c r="DX72" s="1007">
        <f t="shared" si="89"/>
        <v>0</v>
      </c>
      <c r="DY72" s="1007">
        <f t="shared" si="90"/>
        <v>0</v>
      </c>
      <c r="DZ72" s="1007">
        <f t="shared" si="90"/>
        <v>0</v>
      </c>
      <c r="EA72" s="1007">
        <f t="shared" si="90"/>
        <v>0</v>
      </c>
      <c r="EB72" s="1007">
        <f t="shared" si="90"/>
        <v>0</v>
      </c>
      <c r="EC72" s="1007"/>
      <c r="ED72" s="1007">
        <f t="shared" si="91"/>
        <v>17093229</v>
      </c>
    </row>
    <row r="73" spans="1:134" ht="40.5" customHeight="1" x14ac:dyDescent="0.25">
      <c r="A73" s="1578"/>
      <c r="B73" s="1018"/>
      <c r="C73" s="1092" t="s">
        <v>4410</v>
      </c>
      <c r="D73" s="1018" t="s">
        <v>4613</v>
      </c>
      <c r="E73" s="1019">
        <v>520</v>
      </c>
      <c r="F73" s="1094" t="s">
        <v>4345</v>
      </c>
      <c r="G73" s="1430"/>
      <c r="H73" s="1060">
        <f t="shared" si="70"/>
        <v>1764945</v>
      </c>
      <c r="I73" s="1060">
        <f t="shared" si="71"/>
        <v>1235055</v>
      </c>
      <c r="J73" s="1430"/>
      <c r="K73" s="1258"/>
      <c r="L73" s="1258"/>
      <c r="M73" s="1097">
        <v>81</v>
      </c>
      <c r="N73" s="1097">
        <v>0</v>
      </c>
      <c r="O73" s="1097">
        <v>24</v>
      </c>
      <c r="P73" s="1097">
        <v>59</v>
      </c>
      <c r="Q73" s="1097">
        <v>0</v>
      </c>
      <c r="R73" s="1097">
        <v>0</v>
      </c>
      <c r="S73" s="1094"/>
      <c r="T73" s="1094"/>
      <c r="U73" s="1094"/>
      <c r="V73" s="1094"/>
      <c r="W73" s="1094"/>
      <c r="X73" s="1094"/>
      <c r="Y73" s="1007">
        <f t="shared" si="72"/>
        <v>3000000</v>
      </c>
      <c r="Z73" s="944"/>
      <c r="AA73" s="1007"/>
      <c r="AB73" s="1007"/>
      <c r="AC73" s="1007"/>
      <c r="AD73" s="1007"/>
      <c r="AE73" s="1007"/>
      <c r="AF73" s="1007"/>
      <c r="AG73" s="1007"/>
      <c r="AH73" s="1007"/>
      <c r="AI73" s="1007"/>
      <c r="AJ73" s="1007"/>
      <c r="AK73" s="1007"/>
      <c r="AL73" s="1007"/>
      <c r="AM73" s="1007"/>
      <c r="AN73" s="1007"/>
      <c r="AO73" s="1007"/>
      <c r="AP73" s="1007"/>
      <c r="AQ73" s="1007"/>
      <c r="AR73" s="1007"/>
      <c r="AS73" s="1007">
        <f>2000000+1000000</f>
        <v>3000000</v>
      </c>
      <c r="AU73" s="1010">
        <f t="shared" si="73"/>
        <v>1</v>
      </c>
      <c r="AV73" s="1007">
        <f t="shared" si="74"/>
        <v>3000000</v>
      </c>
      <c r="AW73" s="1007"/>
      <c r="AX73" s="1007"/>
      <c r="AY73" s="1007"/>
      <c r="AZ73" s="1007"/>
      <c r="BA73" s="1007"/>
      <c r="BB73" s="1007"/>
      <c r="BC73" s="1007"/>
      <c r="BD73" s="1007"/>
      <c r="BE73" s="1007"/>
      <c r="BF73" s="1007"/>
      <c r="BG73" s="1007"/>
      <c r="BH73" s="1007"/>
      <c r="BI73" s="1007"/>
      <c r="BJ73" s="1007"/>
      <c r="BK73" s="1007"/>
      <c r="BL73" s="1007"/>
      <c r="BM73" s="1007"/>
      <c r="BN73" s="1007"/>
      <c r="BO73" s="1007"/>
      <c r="BP73" s="1007">
        <f>+'[10]JULIO 2015'!$AD$2253</f>
        <v>3000000</v>
      </c>
      <c r="BQ73" s="1010">
        <f t="shared" si="25"/>
        <v>0</v>
      </c>
      <c r="BR73" s="1007">
        <f t="shared" si="75"/>
        <v>0</v>
      </c>
      <c r="BS73" s="1007">
        <f t="shared" si="76"/>
        <v>0</v>
      </c>
      <c r="BT73" s="1007">
        <f t="shared" si="77"/>
        <v>0</v>
      </c>
      <c r="BU73" s="1007"/>
      <c r="BV73" s="1007">
        <f t="shared" si="78"/>
        <v>0</v>
      </c>
      <c r="BW73" s="1007"/>
      <c r="BX73" s="1007">
        <f t="shared" si="79"/>
        <v>0</v>
      </c>
      <c r="BY73" s="1007">
        <f t="shared" si="79"/>
        <v>0</v>
      </c>
      <c r="BZ73" s="1007"/>
      <c r="CA73" s="1007"/>
      <c r="CB73" s="1007">
        <f t="shared" si="80"/>
        <v>0</v>
      </c>
      <c r="CC73" s="1007">
        <f t="shared" si="80"/>
        <v>0</v>
      </c>
      <c r="CD73" s="1007">
        <f t="shared" si="80"/>
        <v>0</v>
      </c>
      <c r="CE73" s="1007">
        <f t="shared" si="80"/>
        <v>0</v>
      </c>
      <c r="CF73" s="1007">
        <f t="shared" si="80"/>
        <v>0</v>
      </c>
      <c r="CG73" s="1007">
        <f t="shared" si="80"/>
        <v>0</v>
      </c>
      <c r="CH73" s="1007">
        <f t="shared" si="80"/>
        <v>0</v>
      </c>
      <c r="CI73" s="1007">
        <f t="shared" si="80"/>
        <v>0</v>
      </c>
      <c r="CJ73" s="1007"/>
      <c r="CK73" s="1007"/>
      <c r="CL73" s="1007">
        <f t="shared" si="81"/>
        <v>0</v>
      </c>
      <c r="CM73" s="1010">
        <f t="shared" si="82"/>
        <v>0.58831500000000003</v>
      </c>
      <c r="CN73" s="1007">
        <f t="shared" si="83"/>
        <v>1764945</v>
      </c>
      <c r="CO73" s="1007"/>
      <c r="CP73" s="1007"/>
      <c r="CQ73" s="1007"/>
      <c r="CR73" s="1007"/>
      <c r="CS73" s="1007"/>
      <c r="CT73" s="1007"/>
      <c r="CU73" s="1007"/>
      <c r="CV73" s="1007"/>
      <c r="CW73" s="1007"/>
      <c r="CX73" s="1007"/>
      <c r="CY73" s="1007"/>
      <c r="CZ73" s="1007"/>
      <c r="DA73" s="1007"/>
      <c r="DB73" s="1007"/>
      <c r="DC73" s="1007"/>
      <c r="DD73" s="1007"/>
      <c r="DE73" s="1007"/>
      <c r="DF73" s="1007"/>
      <c r="DG73" s="1007"/>
      <c r="DH73" s="1007">
        <f>+'[9]ABRIL 2015'!$H$1527</f>
        <v>1764945</v>
      </c>
      <c r="DI73" s="1010">
        <f t="shared" si="84"/>
        <v>0.41168499999999997</v>
      </c>
      <c r="DJ73" s="1007">
        <f t="shared" si="85"/>
        <v>1235055</v>
      </c>
      <c r="DK73" s="1007"/>
      <c r="DL73" s="1007"/>
      <c r="DM73" s="1007"/>
      <c r="DN73" s="1007">
        <f t="shared" si="86"/>
        <v>0</v>
      </c>
      <c r="DO73" s="1007"/>
      <c r="DP73" s="1007">
        <f t="shared" si="87"/>
        <v>0</v>
      </c>
      <c r="DQ73" s="1007">
        <f t="shared" si="87"/>
        <v>0</v>
      </c>
      <c r="DR73" s="1007"/>
      <c r="DS73" s="1007">
        <f t="shared" si="88"/>
        <v>0</v>
      </c>
      <c r="DT73" s="1007">
        <f t="shared" si="88"/>
        <v>0</v>
      </c>
      <c r="DU73" s="1007"/>
      <c r="DV73" s="1007">
        <f t="shared" si="89"/>
        <v>0</v>
      </c>
      <c r="DW73" s="1007">
        <f t="shared" si="89"/>
        <v>0</v>
      </c>
      <c r="DX73" s="1007">
        <f t="shared" si="89"/>
        <v>0</v>
      </c>
      <c r="DY73" s="1007">
        <f t="shared" si="90"/>
        <v>0</v>
      </c>
      <c r="DZ73" s="1007">
        <f t="shared" si="90"/>
        <v>0</v>
      </c>
      <c r="EA73" s="1007">
        <f t="shared" si="90"/>
        <v>0</v>
      </c>
      <c r="EB73" s="1007">
        <f t="shared" si="90"/>
        <v>0</v>
      </c>
      <c r="EC73" s="1007"/>
      <c r="ED73" s="1007">
        <f t="shared" si="91"/>
        <v>1235055</v>
      </c>
    </row>
    <row r="74" spans="1:134" ht="51.75" customHeight="1" x14ac:dyDescent="0.25">
      <c r="A74" s="1578"/>
      <c r="B74" s="1018" t="s">
        <v>4348</v>
      </c>
      <c r="C74" s="1092" t="s">
        <v>4411</v>
      </c>
      <c r="D74" s="1018" t="s">
        <v>4614</v>
      </c>
      <c r="E74" s="1019">
        <v>520</v>
      </c>
      <c r="F74" s="1094" t="s">
        <v>3350</v>
      </c>
      <c r="G74" s="1428">
        <v>100000000</v>
      </c>
      <c r="H74" s="1060">
        <f t="shared" si="70"/>
        <v>0</v>
      </c>
      <c r="I74" s="1060">
        <f t="shared" si="71"/>
        <v>25000000</v>
      </c>
      <c r="J74" s="1428" t="s">
        <v>4858</v>
      </c>
      <c r="K74" s="1257" t="s">
        <v>4859</v>
      </c>
      <c r="L74" s="1257" t="s">
        <v>4863</v>
      </c>
      <c r="M74" s="1097">
        <v>0</v>
      </c>
      <c r="N74" s="1097">
        <v>0</v>
      </c>
      <c r="O74" s="1097">
        <v>0</v>
      </c>
      <c r="P74" s="1097">
        <v>0</v>
      </c>
      <c r="Q74" s="1097">
        <v>0</v>
      </c>
      <c r="R74" s="1097">
        <v>0</v>
      </c>
      <c r="S74" s="1094"/>
      <c r="T74" s="1094"/>
      <c r="U74" s="1094"/>
      <c r="V74" s="1094"/>
      <c r="W74" s="1094"/>
      <c r="X74" s="1094"/>
      <c r="Y74" s="1007">
        <f t="shared" si="72"/>
        <v>25000000</v>
      </c>
      <c r="Z74" s="944"/>
      <c r="AA74" s="1007"/>
      <c r="AB74" s="1007"/>
      <c r="AC74" s="1007"/>
      <c r="AD74" s="1007"/>
      <c r="AE74" s="1007"/>
      <c r="AF74" s="1007">
        <f>50000000-25000000</f>
        <v>25000000</v>
      </c>
      <c r="AG74" s="1007"/>
      <c r="AH74" s="1007"/>
      <c r="AI74" s="1007"/>
      <c r="AJ74" s="1007"/>
      <c r="AK74" s="1007"/>
      <c r="AL74" s="1007"/>
      <c r="AM74" s="1007"/>
      <c r="AN74" s="1007"/>
      <c r="AO74" s="1007"/>
      <c r="AP74" s="1007"/>
      <c r="AQ74" s="1007"/>
      <c r="AR74" s="1007"/>
      <c r="AS74" s="1007"/>
      <c r="AU74" s="1010">
        <f t="shared" si="73"/>
        <v>0</v>
      </c>
      <c r="AV74" s="1007">
        <f t="shared" si="74"/>
        <v>0</v>
      </c>
      <c r="AW74" s="1007"/>
      <c r="AX74" s="1007"/>
      <c r="AY74" s="1007"/>
      <c r="AZ74" s="1007"/>
      <c r="BA74" s="1007"/>
      <c r="BB74" s="1007"/>
      <c r="BC74" s="1007"/>
      <c r="BD74" s="1007"/>
      <c r="BE74" s="1007"/>
      <c r="BF74" s="1007"/>
      <c r="BG74" s="1007"/>
      <c r="BH74" s="1007"/>
      <c r="BI74" s="1007"/>
      <c r="BJ74" s="1007"/>
      <c r="BK74" s="1007"/>
      <c r="BL74" s="1007"/>
      <c r="BM74" s="1007"/>
      <c r="BN74" s="1007"/>
      <c r="BO74" s="1007"/>
      <c r="BP74" s="1007"/>
      <c r="BQ74" s="1010">
        <f t="shared" si="25"/>
        <v>1</v>
      </c>
      <c r="BR74" s="1007">
        <f t="shared" si="75"/>
        <v>25000000</v>
      </c>
      <c r="BS74" s="1007">
        <f t="shared" si="76"/>
        <v>0</v>
      </c>
      <c r="BT74" s="1007">
        <f t="shared" si="77"/>
        <v>0</v>
      </c>
      <c r="BU74" s="1007"/>
      <c r="BV74" s="1007">
        <f t="shared" si="78"/>
        <v>0</v>
      </c>
      <c r="BW74" s="1007"/>
      <c r="BX74" s="1007">
        <f t="shared" si="79"/>
        <v>0</v>
      </c>
      <c r="BY74" s="1007">
        <f t="shared" si="79"/>
        <v>25000000</v>
      </c>
      <c r="BZ74" s="1007"/>
      <c r="CA74" s="1007">
        <f>+AH74-BE74</f>
        <v>0</v>
      </c>
      <c r="CB74" s="1007">
        <f t="shared" si="80"/>
        <v>0</v>
      </c>
      <c r="CC74" s="1007">
        <f t="shared" si="80"/>
        <v>0</v>
      </c>
      <c r="CD74" s="1007">
        <f t="shared" si="80"/>
        <v>0</v>
      </c>
      <c r="CE74" s="1007">
        <f t="shared" si="80"/>
        <v>0</v>
      </c>
      <c r="CF74" s="1007">
        <f t="shared" si="80"/>
        <v>0</v>
      </c>
      <c r="CG74" s="1007">
        <f t="shared" si="80"/>
        <v>0</v>
      </c>
      <c r="CH74" s="1007">
        <f t="shared" si="80"/>
        <v>0</v>
      </c>
      <c r="CI74" s="1007">
        <f t="shared" si="80"/>
        <v>0</v>
      </c>
      <c r="CJ74" s="1007">
        <f>+AQ74-BN74</f>
        <v>0</v>
      </c>
      <c r="CK74" s="1007"/>
      <c r="CL74" s="1007">
        <f t="shared" si="81"/>
        <v>0</v>
      </c>
      <c r="CM74" s="1010">
        <f t="shared" si="82"/>
        <v>0</v>
      </c>
      <c r="CN74" s="1007">
        <f t="shared" si="83"/>
        <v>0</v>
      </c>
      <c r="CO74" s="1007"/>
      <c r="CP74" s="1007"/>
      <c r="CQ74" s="1007"/>
      <c r="CR74" s="1007"/>
      <c r="CS74" s="1007"/>
      <c r="CT74" s="1007"/>
      <c r="CU74" s="1007"/>
      <c r="CV74" s="1007"/>
      <c r="CW74" s="1007"/>
      <c r="CX74" s="1007"/>
      <c r="CY74" s="1007"/>
      <c r="CZ74" s="1007"/>
      <c r="DA74" s="1007"/>
      <c r="DB74" s="1007"/>
      <c r="DC74" s="1007"/>
      <c r="DD74" s="1007"/>
      <c r="DE74" s="1007"/>
      <c r="DF74" s="1007"/>
      <c r="DG74" s="1007"/>
      <c r="DH74" s="1007"/>
      <c r="DI74" s="1010">
        <f t="shared" si="84"/>
        <v>1</v>
      </c>
      <c r="DJ74" s="1007">
        <f t="shared" si="85"/>
        <v>25000000</v>
      </c>
      <c r="DK74" s="1007"/>
      <c r="DL74" s="1007"/>
      <c r="DM74" s="1007"/>
      <c r="DN74" s="1007">
        <f t="shared" si="86"/>
        <v>0</v>
      </c>
      <c r="DO74" s="1007"/>
      <c r="DP74" s="1007">
        <f t="shared" si="87"/>
        <v>0</v>
      </c>
      <c r="DQ74" s="1007">
        <f t="shared" si="87"/>
        <v>25000000</v>
      </c>
      <c r="DR74" s="1007"/>
      <c r="DS74" s="1007">
        <f t="shared" si="88"/>
        <v>0</v>
      </c>
      <c r="DT74" s="1007">
        <f t="shared" si="88"/>
        <v>0</v>
      </c>
      <c r="DU74" s="1007"/>
      <c r="DV74" s="1007">
        <f t="shared" si="89"/>
        <v>0</v>
      </c>
      <c r="DW74" s="1007">
        <f t="shared" si="89"/>
        <v>0</v>
      </c>
      <c r="DX74" s="1007">
        <f t="shared" si="89"/>
        <v>0</v>
      </c>
      <c r="DY74" s="1007">
        <f t="shared" si="90"/>
        <v>0</v>
      </c>
      <c r="DZ74" s="1007">
        <f t="shared" si="90"/>
        <v>0</v>
      </c>
      <c r="EA74" s="1007">
        <f t="shared" si="90"/>
        <v>0</v>
      </c>
      <c r="EB74" s="1007">
        <f t="shared" si="90"/>
        <v>0</v>
      </c>
      <c r="EC74" s="1007"/>
      <c r="ED74" s="1007">
        <f t="shared" si="91"/>
        <v>0</v>
      </c>
    </row>
    <row r="75" spans="1:134" ht="34.5" customHeight="1" x14ac:dyDescent="0.25">
      <c r="A75" s="1578"/>
      <c r="B75" s="1018"/>
      <c r="C75" s="1092" t="s">
        <v>4412</v>
      </c>
      <c r="D75" s="1018" t="s">
        <v>4615</v>
      </c>
      <c r="E75" s="1019">
        <v>520</v>
      </c>
      <c r="F75" s="1094" t="s">
        <v>3350</v>
      </c>
      <c r="G75" s="1429"/>
      <c r="H75" s="1060">
        <f t="shared" si="70"/>
        <v>27607364</v>
      </c>
      <c r="I75" s="1060">
        <f t="shared" si="71"/>
        <v>2392636</v>
      </c>
      <c r="J75" s="1429"/>
      <c r="K75" s="1562"/>
      <c r="L75" s="1562"/>
      <c r="M75" s="1097">
        <v>66</v>
      </c>
      <c r="N75" s="1097">
        <v>50</v>
      </c>
      <c r="O75" s="1097">
        <v>33</v>
      </c>
      <c r="P75" s="1097">
        <v>79</v>
      </c>
      <c r="Q75" s="1097">
        <v>100</v>
      </c>
      <c r="R75" s="1097">
        <v>79</v>
      </c>
      <c r="S75" s="1094"/>
      <c r="T75" s="1094"/>
      <c r="U75" s="1094"/>
      <c r="V75" s="1094"/>
      <c r="W75" s="1094"/>
      <c r="X75" s="1094"/>
      <c r="Y75" s="1007">
        <f t="shared" si="72"/>
        <v>30000000</v>
      </c>
      <c r="Z75" s="944"/>
      <c r="AA75" s="1007"/>
      <c r="AB75" s="1007"/>
      <c r="AC75" s="1007"/>
      <c r="AD75" s="1007"/>
      <c r="AE75" s="1007">
        <v>20000000</v>
      </c>
      <c r="AF75" s="1007"/>
      <c r="AG75" s="1007"/>
      <c r="AH75" s="1007"/>
      <c r="AI75" s="1007"/>
      <c r="AJ75" s="1007"/>
      <c r="AK75" s="1007"/>
      <c r="AL75" s="1007"/>
      <c r="AM75" s="1007"/>
      <c r="AN75" s="1007">
        <v>10000000</v>
      </c>
      <c r="AO75" s="1007"/>
      <c r="AP75" s="1007"/>
      <c r="AQ75" s="1007"/>
      <c r="AR75" s="1007"/>
      <c r="AS75" s="1007"/>
      <c r="AU75" s="1010">
        <f t="shared" si="73"/>
        <v>1</v>
      </c>
      <c r="AV75" s="1007">
        <f t="shared" si="74"/>
        <v>30000000</v>
      </c>
      <c r="AW75" s="1007"/>
      <c r="AX75" s="1007"/>
      <c r="AY75" s="1007"/>
      <c r="AZ75" s="1007"/>
      <c r="BA75" s="1007"/>
      <c r="BB75" s="1007">
        <f>+'[16]ENERO 2015'!$L$922</f>
        <v>20000000</v>
      </c>
      <c r="BC75" s="1007"/>
      <c r="BD75" s="1007"/>
      <c r="BE75" s="1007"/>
      <c r="BF75" s="1007"/>
      <c r="BG75" s="1007"/>
      <c r="BH75" s="1007"/>
      <c r="BI75" s="1007"/>
      <c r="BJ75" s="1007"/>
      <c r="BK75" s="1007">
        <f>+'[12]FEBRERO 2015'!$W$1134</f>
        <v>10000000</v>
      </c>
      <c r="BL75" s="1007"/>
      <c r="BM75" s="1007"/>
      <c r="BN75" s="1007"/>
      <c r="BO75" s="1007"/>
      <c r="BP75" s="1007"/>
      <c r="BQ75" s="1010">
        <f t="shared" si="25"/>
        <v>0</v>
      </c>
      <c r="BR75" s="1007">
        <f t="shared" si="75"/>
        <v>0</v>
      </c>
      <c r="BS75" s="1007">
        <f t="shared" si="76"/>
        <v>0</v>
      </c>
      <c r="BT75" s="1007">
        <f t="shared" si="77"/>
        <v>0</v>
      </c>
      <c r="BU75" s="1007"/>
      <c r="BV75" s="1007">
        <f t="shared" si="78"/>
        <v>0</v>
      </c>
      <c r="BW75" s="1007"/>
      <c r="BX75" s="1007">
        <f t="shared" si="79"/>
        <v>0</v>
      </c>
      <c r="BY75" s="1007">
        <f t="shared" si="79"/>
        <v>0</v>
      </c>
      <c r="BZ75" s="1007"/>
      <c r="CA75" s="1007">
        <f>+AH75-BE75</f>
        <v>0</v>
      </c>
      <c r="CB75" s="1007">
        <f t="shared" si="80"/>
        <v>0</v>
      </c>
      <c r="CC75" s="1007">
        <f t="shared" si="80"/>
        <v>0</v>
      </c>
      <c r="CD75" s="1007">
        <f t="shared" si="80"/>
        <v>0</v>
      </c>
      <c r="CE75" s="1007">
        <f t="shared" si="80"/>
        <v>0</v>
      </c>
      <c r="CF75" s="1007">
        <f t="shared" si="80"/>
        <v>0</v>
      </c>
      <c r="CG75" s="1007">
        <f t="shared" si="80"/>
        <v>0</v>
      </c>
      <c r="CH75" s="1007">
        <f t="shared" si="80"/>
        <v>0</v>
      </c>
      <c r="CI75" s="1007">
        <f t="shared" si="80"/>
        <v>0</v>
      </c>
      <c r="CJ75" s="1007">
        <f>+AQ75-BN75</f>
        <v>0</v>
      </c>
      <c r="CK75" s="1007"/>
      <c r="CL75" s="1007">
        <f t="shared" si="81"/>
        <v>0</v>
      </c>
      <c r="CM75" s="1010">
        <f t="shared" si="82"/>
        <v>0.92024546666666662</v>
      </c>
      <c r="CN75" s="1007">
        <f t="shared" si="83"/>
        <v>27607364</v>
      </c>
      <c r="CO75" s="1007"/>
      <c r="CP75" s="1007"/>
      <c r="CQ75" s="1007"/>
      <c r="CR75" s="1007"/>
      <c r="CS75" s="1007"/>
      <c r="CT75" s="1007">
        <f>+'[8]SEPTIEMBRE 2015'!$H$3080</f>
        <v>20000000</v>
      </c>
      <c r="CU75" s="1007"/>
      <c r="CV75" s="1007"/>
      <c r="CW75" s="1007"/>
      <c r="CX75" s="1007"/>
      <c r="CY75" s="1007"/>
      <c r="CZ75" s="1007"/>
      <c r="DA75" s="1007"/>
      <c r="DB75" s="1007"/>
      <c r="DC75" s="1007">
        <f>+'[8]SEPTIEMBRE 2015'!$H$3083</f>
        <v>7607364</v>
      </c>
      <c r="DD75" s="1007"/>
      <c r="DE75" s="1007"/>
      <c r="DF75" s="1007"/>
      <c r="DG75" s="1007"/>
      <c r="DH75" s="1007"/>
      <c r="DI75" s="1010">
        <f t="shared" si="84"/>
        <v>7.9754533333333377E-2</v>
      </c>
      <c r="DJ75" s="1007">
        <f t="shared" si="85"/>
        <v>2392636</v>
      </c>
      <c r="DK75" s="1007"/>
      <c r="DL75" s="1007"/>
      <c r="DM75" s="1007"/>
      <c r="DN75" s="1007">
        <f t="shared" si="86"/>
        <v>0</v>
      </c>
      <c r="DO75" s="1007"/>
      <c r="DP75" s="1007">
        <f t="shared" si="87"/>
        <v>0</v>
      </c>
      <c r="DQ75" s="1007">
        <f t="shared" si="87"/>
        <v>0</v>
      </c>
      <c r="DR75" s="1007"/>
      <c r="DS75" s="1007">
        <f t="shared" si="88"/>
        <v>0</v>
      </c>
      <c r="DT75" s="1007">
        <f t="shared" si="88"/>
        <v>0</v>
      </c>
      <c r="DU75" s="1007"/>
      <c r="DV75" s="1007">
        <f t="shared" si="89"/>
        <v>0</v>
      </c>
      <c r="DW75" s="1007">
        <f t="shared" si="89"/>
        <v>0</v>
      </c>
      <c r="DX75" s="1007">
        <f t="shared" si="89"/>
        <v>0</v>
      </c>
      <c r="DY75" s="1007">
        <f t="shared" si="90"/>
        <v>2392636</v>
      </c>
      <c r="DZ75" s="1007">
        <f t="shared" si="90"/>
        <v>0</v>
      </c>
      <c r="EA75" s="1007">
        <f t="shared" si="90"/>
        <v>0</v>
      </c>
      <c r="EB75" s="1007">
        <f t="shared" si="90"/>
        <v>0</v>
      </c>
      <c r="EC75" s="1007"/>
      <c r="ED75" s="1007">
        <f t="shared" si="91"/>
        <v>0</v>
      </c>
    </row>
    <row r="76" spans="1:134" ht="51" customHeight="1" x14ac:dyDescent="0.25">
      <c r="A76" s="1578"/>
      <c r="B76" s="1018"/>
      <c r="C76" s="1092" t="s">
        <v>4413</v>
      </c>
      <c r="D76" s="1018" t="s">
        <v>4349</v>
      </c>
      <c r="E76" s="1019">
        <v>520</v>
      </c>
      <c r="F76" s="1094" t="s">
        <v>3350</v>
      </c>
      <c r="G76" s="1430"/>
      <c r="H76" s="1060">
        <f t="shared" si="70"/>
        <v>12228000</v>
      </c>
      <c r="I76" s="1060">
        <f t="shared" si="71"/>
        <v>17772000</v>
      </c>
      <c r="J76" s="1430"/>
      <c r="K76" s="1258"/>
      <c r="L76" s="1258"/>
      <c r="M76" s="1097">
        <v>7</v>
      </c>
      <c r="N76" s="1097">
        <v>30</v>
      </c>
      <c r="O76" s="1097">
        <v>2</v>
      </c>
      <c r="P76" s="1097">
        <v>41</v>
      </c>
      <c r="Q76" s="1097">
        <v>100</v>
      </c>
      <c r="R76" s="1097">
        <v>41</v>
      </c>
      <c r="S76" s="1094"/>
      <c r="T76" s="1094"/>
      <c r="U76" s="1094"/>
      <c r="V76" s="1094"/>
      <c r="W76" s="1094"/>
      <c r="X76" s="1094"/>
      <c r="Y76" s="1007">
        <f t="shared" si="72"/>
        <v>30000000</v>
      </c>
      <c r="Z76" s="944"/>
      <c r="AA76" s="1007"/>
      <c r="AB76" s="1007"/>
      <c r="AC76" s="1007"/>
      <c r="AD76" s="1007"/>
      <c r="AE76" s="1007">
        <v>30000000</v>
      </c>
      <c r="AF76" s="1007"/>
      <c r="AG76" s="1007"/>
      <c r="AH76" s="1007"/>
      <c r="AI76" s="1007"/>
      <c r="AJ76" s="1007"/>
      <c r="AK76" s="1007"/>
      <c r="AL76" s="1007"/>
      <c r="AM76" s="1007"/>
      <c r="AN76" s="1007"/>
      <c r="AO76" s="1007"/>
      <c r="AP76" s="1007"/>
      <c r="AQ76" s="1007"/>
      <c r="AR76" s="1007"/>
      <c r="AS76" s="1007"/>
      <c r="AU76" s="1010">
        <f t="shared" si="73"/>
        <v>1</v>
      </c>
      <c r="AV76" s="1007">
        <f t="shared" si="74"/>
        <v>30000000</v>
      </c>
      <c r="AW76" s="1007"/>
      <c r="AX76" s="1007"/>
      <c r="AY76" s="1007"/>
      <c r="AZ76" s="1007"/>
      <c r="BA76" s="1007"/>
      <c r="BB76" s="1007">
        <f>+'[15]FEBRERO 2015'!$N$1070</f>
        <v>30000000</v>
      </c>
      <c r="BC76" s="1007"/>
      <c r="BD76" s="1007"/>
      <c r="BE76" s="1007"/>
      <c r="BF76" s="1007"/>
      <c r="BG76" s="1007"/>
      <c r="BH76" s="1007"/>
      <c r="BI76" s="1007"/>
      <c r="BJ76" s="1007"/>
      <c r="BK76" s="1007"/>
      <c r="BL76" s="1007"/>
      <c r="BM76" s="1007"/>
      <c r="BN76" s="1007"/>
      <c r="BO76" s="1007"/>
      <c r="BP76" s="1007"/>
      <c r="BQ76" s="1010">
        <f t="shared" si="25"/>
        <v>0</v>
      </c>
      <c r="BR76" s="1007">
        <f t="shared" si="75"/>
        <v>0</v>
      </c>
      <c r="BS76" s="1007">
        <f t="shared" si="76"/>
        <v>0</v>
      </c>
      <c r="BT76" s="1007">
        <f t="shared" si="77"/>
        <v>0</v>
      </c>
      <c r="BU76" s="1007"/>
      <c r="BV76" s="1007">
        <f t="shared" si="78"/>
        <v>0</v>
      </c>
      <c r="BW76" s="1007"/>
      <c r="BX76" s="1007">
        <f t="shared" si="79"/>
        <v>0</v>
      </c>
      <c r="BY76" s="1007">
        <f t="shared" si="79"/>
        <v>0</v>
      </c>
      <c r="BZ76" s="1007"/>
      <c r="CA76" s="1007">
        <f>AH76-BE76</f>
        <v>0</v>
      </c>
      <c r="CB76" s="1007">
        <f t="shared" si="80"/>
        <v>0</v>
      </c>
      <c r="CC76" s="1007">
        <f t="shared" si="80"/>
        <v>0</v>
      </c>
      <c r="CD76" s="1007">
        <f t="shared" si="80"/>
        <v>0</v>
      </c>
      <c r="CE76" s="1007">
        <f t="shared" si="80"/>
        <v>0</v>
      </c>
      <c r="CF76" s="1007">
        <f t="shared" si="80"/>
        <v>0</v>
      </c>
      <c r="CG76" s="1007">
        <f>AN76-BK76</f>
        <v>0</v>
      </c>
      <c r="CH76" s="1007">
        <f t="shared" si="80"/>
        <v>0</v>
      </c>
      <c r="CI76" s="1007">
        <f t="shared" si="80"/>
        <v>0</v>
      </c>
      <c r="CJ76" s="1007">
        <f>+AQ76-BN76</f>
        <v>0</v>
      </c>
      <c r="CK76" s="1007"/>
      <c r="CL76" s="1007">
        <f t="shared" si="81"/>
        <v>0</v>
      </c>
      <c r="CM76" s="1010">
        <f t="shared" si="82"/>
        <v>0.40760000000000002</v>
      </c>
      <c r="CN76" s="1007">
        <f t="shared" si="83"/>
        <v>12228000</v>
      </c>
      <c r="CO76" s="1007"/>
      <c r="CP76" s="1007"/>
      <c r="CQ76" s="1007"/>
      <c r="CR76" s="1007"/>
      <c r="CS76" s="1007"/>
      <c r="CT76" s="1007">
        <f>+'[13]JUNIO 2015'!$H$1939</f>
        <v>12228000</v>
      </c>
      <c r="CU76" s="1007"/>
      <c r="CV76" s="1007"/>
      <c r="CW76" s="1007"/>
      <c r="CX76" s="1007"/>
      <c r="CY76" s="1007"/>
      <c r="CZ76" s="1007"/>
      <c r="DA76" s="1007"/>
      <c r="DB76" s="1007"/>
      <c r="DC76" s="1007"/>
      <c r="DD76" s="1007"/>
      <c r="DE76" s="1007"/>
      <c r="DF76" s="1007"/>
      <c r="DG76" s="1007"/>
      <c r="DH76" s="1007"/>
      <c r="DI76" s="1010">
        <f t="shared" si="84"/>
        <v>0.59240000000000004</v>
      </c>
      <c r="DJ76" s="1007">
        <f t="shared" si="85"/>
        <v>17772000</v>
      </c>
      <c r="DK76" s="1007"/>
      <c r="DL76" s="1007"/>
      <c r="DM76" s="1007"/>
      <c r="DN76" s="1007">
        <f t="shared" si="86"/>
        <v>0</v>
      </c>
      <c r="DO76" s="1007"/>
      <c r="DP76" s="1007">
        <f t="shared" si="87"/>
        <v>17772000</v>
      </c>
      <c r="DQ76" s="1007">
        <f t="shared" si="87"/>
        <v>0</v>
      </c>
      <c r="DR76" s="1007"/>
      <c r="DS76" s="1007">
        <f t="shared" si="88"/>
        <v>0</v>
      </c>
      <c r="DT76" s="1007">
        <f t="shared" si="88"/>
        <v>0</v>
      </c>
      <c r="DU76" s="1007"/>
      <c r="DV76" s="1007">
        <f t="shared" si="89"/>
        <v>0</v>
      </c>
      <c r="DW76" s="1007">
        <f t="shared" si="89"/>
        <v>0</v>
      </c>
      <c r="DX76" s="1007">
        <f t="shared" si="89"/>
        <v>0</v>
      </c>
      <c r="DY76" s="1007">
        <f t="shared" si="90"/>
        <v>0</v>
      </c>
      <c r="DZ76" s="1007">
        <f t="shared" si="90"/>
        <v>0</v>
      </c>
      <c r="EA76" s="1007">
        <f t="shared" si="90"/>
        <v>0</v>
      </c>
      <c r="EB76" s="1007">
        <f t="shared" si="90"/>
        <v>0</v>
      </c>
      <c r="EC76" s="1007"/>
      <c r="ED76" s="1007">
        <f t="shared" si="91"/>
        <v>0</v>
      </c>
    </row>
    <row r="77" spans="1:134" ht="30" customHeight="1" x14ac:dyDescent="0.25">
      <c r="A77" s="1578"/>
      <c r="B77" s="1018" t="s">
        <v>4350</v>
      </c>
      <c r="C77" s="1092" t="s">
        <v>4414</v>
      </c>
      <c r="D77" s="1018" t="s">
        <v>4351</v>
      </c>
      <c r="E77" s="1019">
        <v>520</v>
      </c>
      <c r="F77" s="1094" t="s">
        <v>4736</v>
      </c>
      <c r="G77" s="1428">
        <v>1710000000</v>
      </c>
      <c r="H77" s="1060">
        <f t="shared" si="70"/>
        <v>0</v>
      </c>
      <c r="I77" s="1060">
        <f t="shared" si="71"/>
        <v>2898900</v>
      </c>
      <c r="J77" s="1428" t="s">
        <v>4864</v>
      </c>
      <c r="K77" s="1257" t="s">
        <v>4870</v>
      </c>
      <c r="L77" s="1257" t="s">
        <v>4877</v>
      </c>
      <c r="M77" s="1097">
        <v>0</v>
      </c>
      <c r="N77" s="1097">
        <v>0</v>
      </c>
      <c r="O77" s="1097">
        <v>0</v>
      </c>
      <c r="P77" s="1097">
        <v>0</v>
      </c>
      <c r="Q77" s="1097">
        <v>0</v>
      </c>
      <c r="R77" s="1097">
        <v>0</v>
      </c>
      <c r="S77" s="1094"/>
      <c r="T77" s="1094"/>
      <c r="U77" s="1094"/>
      <c r="V77" s="1094"/>
      <c r="W77" s="1094"/>
      <c r="X77" s="1094"/>
      <c r="Y77" s="1007">
        <f t="shared" si="72"/>
        <v>2898900</v>
      </c>
      <c r="Z77" s="944"/>
      <c r="AA77" s="944"/>
      <c r="AB77" s="944"/>
      <c r="AC77" s="944"/>
      <c r="AD77" s="944"/>
      <c r="AE77" s="944"/>
      <c r="AF77" s="1007"/>
      <c r="AG77" s="1007"/>
      <c r="AH77" s="1007"/>
      <c r="AI77" s="1007"/>
      <c r="AJ77" s="1007"/>
      <c r="AK77" s="1007"/>
      <c r="AL77" s="1007"/>
      <c r="AM77" s="1007"/>
      <c r="AN77" s="1007"/>
      <c r="AO77" s="1007"/>
      <c r="AP77" s="1007"/>
      <c r="AQ77" s="1007"/>
      <c r="AR77" s="1007"/>
      <c r="AS77" s="1007">
        <f>2500000+398900</f>
        <v>2898900</v>
      </c>
      <c r="AU77" s="1010">
        <f t="shared" si="73"/>
        <v>1</v>
      </c>
      <c r="AV77" s="1007">
        <f t="shared" si="74"/>
        <v>2898900</v>
      </c>
      <c r="AW77" s="1007"/>
      <c r="AX77" s="1007"/>
      <c r="AY77" s="1007"/>
      <c r="AZ77" s="1007"/>
      <c r="BA77" s="1007"/>
      <c r="BB77" s="1007"/>
      <c r="BC77" s="1007"/>
      <c r="BD77" s="1007"/>
      <c r="BE77" s="1007"/>
      <c r="BF77" s="1007"/>
      <c r="BG77" s="1007"/>
      <c r="BH77" s="1007"/>
      <c r="BI77" s="1007"/>
      <c r="BJ77" s="1007"/>
      <c r="BK77" s="1007"/>
      <c r="BL77" s="1007"/>
      <c r="BM77" s="1007"/>
      <c r="BN77" s="1007"/>
      <c r="BO77" s="1007"/>
      <c r="BP77" s="1007">
        <f>+'[10]JULIO 2015'!$AD$2291</f>
        <v>2898900</v>
      </c>
      <c r="BQ77" s="1010">
        <f t="shared" si="25"/>
        <v>0</v>
      </c>
      <c r="BR77" s="1007">
        <f t="shared" si="75"/>
        <v>0</v>
      </c>
      <c r="BS77" s="1007">
        <f t="shared" si="76"/>
        <v>0</v>
      </c>
      <c r="BT77" s="1007">
        <f t="shared" si="77"/>
        <v>0</v>
      </c>
      <c r="BU77" s="1007"/>
      <c r="BV77" s="1007">
        <f t="shared" si="78"/>
        <v>0</v>
      </c>
      <c r="BW77" s="1007"/>
      <c r="BX77" s="1007">
        <f t="shared" si="79"/>
        <v>0</v>
      </c>
      <c r="BY77" s="1007">
        <f t="shared" si="79"/>
        <v>0</v>
      </c>
      <c r="BZ77" s="1007"/>
      <c r="CA77" s="1007">
        <f>AH77-BE77</f>
        <v>0</v>
      </c>
      <c r="CB77" s="1007">
        <f t="shared" si="80"/>
        <v>0</v>
      </c>
      <c r="CC77" s="1007">
        <f t="shared" si="80"/>
        <v>0</v>
      </c>
      <c r="CD77" s="1007">
        <f t="shared" si="80"/>
        <v>0</v>
      </c>
      <c r="CE77" s="1007">
        <f t="shared" si="80"/>
        <v>0</v>
      </c>
      <c r="CF77" s="1007">
        <f t="shared" si="80"/>
        <v>0</v>
      </c>
      <c r="CG77" s="1007">
        <f>AN77-BK77</f>
        <v>0</v>
      </c>
      <c r="CH77" s="1007">
        <f t="shared" si="80"/>
        <v>0</v>
      </c>
      <c r="CI77" s="1007">
        <f t="shared" si="80"/>
        <v>0</v>
      </c>
      <c r="CJ77" s="1007"/>
      <c r="CK77" s="1007"/>
      <c r="CL77" s="1007">
        <f t="shared" si="81"/>
        <v>0</v>
      </c>
      <c r="CM77" s="1010">
        <f t="shared" si="82"/>
        <v>0</v>
      </c>
      <c r="CN77" s="1007">
        <f t="shared" si="83"/>
        <v>0</v>
      </c>
      <c r="CO77" s="1007"/>
      <c r="CP77" s="1007"/>
      <c r="CQ77" s="1007"/>
      <c r="CR77" s="1007"/>
      <c r="CS77" s="1007"/>
      <c r="CT77" s="1007"/>
      <c r="CU77" s="1007"/>
      <c r="CV77" s="1007"/>
      <c r="CW77" s="1007"/>
      <c r="CX77" s="1007"/>
      <c r="CY77" s="1007"/>
      <c r="CZ77" s="1007"/>
      <c r="DA77" s="1007"/>
      <c r="DB77" s="1007"/>
      <c r="DC77" s="1007"/>
      <c r="DD77" s="1007"/>
      <c r="DE77" s="1007"/>
      <c r="DF77" s="1007"/>
      <c r="DG77" s="1007"/>
      <c r="DH77" s="1007"/>
      <c r="DI77" s="1010">
        <f t="shared" si="84"/>
        <v>1</v>
      </c>
      <c r="DJ77" s="1007">
        <f t="shared" si="85"/>
        <v>2898900</v>
      </c>
      <c r="DK77" s="1007"/>
      <c r="DL77" s="1007"/>
      <c r="DM77" s="1007"/>
      <c r="DN77" s="1007">
        <f t="shared" si="86"/>
        <v>0</v>
      </c>
      <c r="DO77" s="1007"/>
      <c r="DP77" s="1007">
        <f t="shared" si="87"/>
        <v>0</v>
      </c>
      <c r="DQ77" s="1007">
        <f t="shared" si="87"/>
        <v>0</v>
      </c>
      <c r="DR77" s="1007"/>
      <c r="DS77" s="1007">
        <f t="shared" si="88"/>
        <v>0</v>
      </c>
      <c r="DT77" s="1007">
        <f t="shared" si="88"/>
        <v>0</v>
      </c>
      <c r="DU77" s="1007"/>
      <c r="DV77" s="1007">
        <f t="shared" si="89"/>
        <v>0</v>
      </c>
      <c r="DW77" s="1007">
        <f t="shared" si="89"/>
        <v>0</v>
      </c>
      <c r="DX77" s="1007">
        <f t="shared" si="89"/>
        <v>0</v>
      </c>
      <c r="DY77" s="1007">
        <f t="shared" si="90"/>
        <v>0</v>
      </c>
      <c r="DZ77" s="1007">
        <f t="shared" si="90"/>
        <v>0</v>
      </c>
      <c r="EA77" s="1007">
        <f t="shared" si="90"/>
        <v>0</v>
      </c>
      <c r="EB77" s="1007">
        <f t="shared" si="90"/>
        <v>0</v>
      </c>
      <c r="EC77" s="1007"/>
      <c r="ED77" s="1007">
        <f t="shared" si="91"/>
        <v>2898900</v>
      </c>
    </row>
    <row r="78" spans="1:134" ht="24.75" customHeight="1" x14ac:dyDescent="0.25">
      <c r="A78" s="1578"/>
      <c r="B78" s="1018"/>
      <c r="C78" s="1092" t="s">
        <v>4415</v>
      </c>
      <c r="D78" s="1018" t="s">
        <v>4651</v>
      </c>
      <c r="E78" s="1019">
        <v>520</v>
      </c>
      <c r="F78" s="1094" t="s">
        <v>4319</v>
      </c>
      <c r="G78" s="1429"/>
      <c r="H78" s="1060">
        <f t="shared" si="70"/>
        <v>266382870</v>
      </c>
      <c r="I78" s="1060">
        <f t="shared" si="71"/>
        <v>8617130</v>
      </c>
      <c r="J78" s="1430"/>
      <c r="K78" s="1258"/>
      <c r="L78" s="1258"/>
      <c r="M78" s="1097">
        <v>11</v>
      </c>
      <c r="N78" s="1097">
        <v>140</v>
      </c>
      <c r="O78" s="1097">
        <v>15</v>
      </c>
      <c r="P78" s="1097">
        <v>72</v>
      </c>
      <c r="Q78" s="1097">
        <v>160</v>
      </c>
      <c r="R78" s="1097">
        <v>116</v>
      </c>
      <c r="S78" s="1094"/>
      <c r="T78" s="1094"/>
      <c r="U78" s="1094"/>
      <c r="V78" s="1094"/>
      <c r="W78" s="1094"/>
      <c r="X78" s="1094"/>
      <c r="Y78" s="1007">
        <f t="shared" si="72"/>
        <v>275000000</v>
      </c>
      <c r="Z78" s="944"/>
      <c r="AA78" s="1016">
        <f>300000000-300000000</f>
        <v>0</v>
      </c>
      <c r="AB78" s="1016"/>
      <c r="AC78" s="944"/>
      <c r="AD78" s="944"/>
      <c r="AE78" s="944"/>
      <c r="AF78" s="1007">
        <f>300000000-25000000</f>
        <v>275000000</v>
      </c>
      <c r="AG78" s="1007"/>
      <c r="AH78" s="1007"/>
      <c r="AI78" s="1007"/>
      <c r="AJ78" s="1007"/>
      <c r="AK78" s="1007"/>
      <c r="AL78" s="1007"/>
      <c r="AM78" s="1007"/>
      <c r="AN78" s="1007"/>
      <c r="AO78" s="1007"/>
      <c r="AP78" s="1007"/>
      <c r="AQ78" s="1007"/>
      <c r="AR78" s="1007"/>
      <c r="AS78" s="1007"/>
      <c r="AU78" s="1010">
        <f t="shared" si="73"/>
        <v>1</v>
      </c>
      <c r="AV78" s="1007">
        <f t="shared" si="74"/>
        <v>275000000</v>
      </c>
      <c r="AW78" s="1007"/>
      <c r="AX78" s="1007"/>
      <c r="AY78" s="1007"/>
      <c r="AZ78" s="1007"/>
      <c r="BA78" s="1007"/>
      <c r="BB78" s="1007"/>
      <c r="BC78" s="1007">
        <f>+'[12]FEBRERO 2015'!$O$1154-25000000</f>
        <v>275000000</v>
      </c>
      <c r="BD78" s="1007"/>
      <c r="BE78" s="1007"/>
      <c r="BF78" s="1007"/>
      <c r="BG78" s="1007"/>
      <c r="BH78" s="1007"/>
      <c r="BI78" s="1007"/>
      <c r="BJ78" s="1007"/>
      <c r="BK78" s="1007"/>
      <c r="BL78" s="1007"/>
      <c r="BM78" s="1007"/>
      <c r="BN78" s="1007"/>
      <c r="BO78" s="1007"/>
      <c r="BP78" s="1007"/>
      <c r="BQ78" s="1010">
        <f t="shared" si="25"/>
        <v>0</v>
      </c>
      <c r="BR78" s="1007">
        <f t="shared" si="75"/>
        <v>0</v>
      </c>
      <c r="BS78" s="1007">
        <f t="shared" si="76"/>
        <v>0</v>
      </c>
      <c r="BT78" s="1007">
        <f t="shared" si="77"/>
        <v>0</v>
      </c>
      <c r="BU78" s="1007"/>
      <c r="BV78" s="1007">
        <f t="shared" si="78"/>
        <v>0</v>
      </c>
      <c r="BW78" s="1007"/>
      <c r="BX78" s="1007">
        <f t="shared" si="79"/>
        <v>0</v>
      </c>
      <c r="BY78" s="1007">
        <f t="shared" si="79"/>
        <v>0</v>
      </c>
      <c r="BZ78" s="1007"/>
      <c r="CA78" s="1007">
        <f>AH78-BE78</f>
        <v>0</v>
      </c>
      <c r="CB78" s="1007">
        <f t="shared" si="80"/>
        <v>0</v>
      </c>
      <c r="CC78" s="1007">
        <f t="shared" si="80"/>
        <v>0</v>
      </c>
      <c r="CD78" s="1007">
        <f t="shared" si="80"/>
        <v>0</v>
      </c>
      <c r="CE78" s="1007">
        <f t="shared" si="80"/>
        <v>0</v>
      </c>
      <c r="CF78" s="1007">
        <f t="shared" si="80"/>
        <v>0</v>
      </c>
      <c r="CG78" s="1007">
        <f>AN78-BK78</f>
        <v>0</v>
      </c>
      <c r="CH78" s="1007">
        <f t="shared" si="80"/>
        <v>0</v>
      </c>
      <c r="CI78" s="1007">
        <f t="shared" si="80"/>
        <v>0</v>
      </c>
      <c r="CJ78" s="1007"/>
      <c r="CK78" s="1007"/>
      <c r="CL78" s="1007">
        <f t="shared" si="81"/>
        <v>0</v>
      </c>
      <c r="CM78" s="1010">
        <f t="shared" si="82"/>
        <v>0.96866498181818184</v>
      </c>
      <c r="CN78" s="1007">
        <f t="shared" si="83"/>
        <v>266382870</v>
      </c>
      <c r="CO78" s="1007"/>
      <c r="CP78" s="1007"/>
      <c r="CQ78" s="1007"/>
      <c r="CR78" s="1007"/>
      <c r="CS78" s="1007"/>
      <c r="CT78" s="1007"/>
      <c r="CU78" s="1007">
        <f>+'[8]SEPTIEMBRE 2015'!$H$3110</f>
        <v>266382870</v>
      </c>
      <c r="CV78" s="1007"/>
      <c r="CW78" s="1007"/>
      <c r="CX78" s="1007"/>
      <c r="CY78" s="1007"/>
      <c r="CZ78" s="1007"/>
      <c r="DA78" s="1007"/>
      <c r="DB78" s="1007"/>
      <c r="DC78" s="1007"/>
      <c r="DD78" s="1007"/>
      <c r="DE78" s="1007"/>
      <c r="DF78" s="1007"/>
      <c r="DG78" s="1007"/>
      <c r="DH78" s="1007"/>
      <c r="DI78" s="1010">
        <f t="shared" si="84"/>
        <v>3.1335018181818164E-2</v>
      </c>
      <c r="DJ78" s="1007">
        <f t="shared" si="85"/>
        <v>8617130</v>
      </c>
      <c r="DK78" s="1007"/>
      <c r="DL78" s="1007">
        <f>AA78-CP78</f>
        <v>0</v>
      </c>
      <c r="DM78" s="1007">
        <f>AB78-CQ78</f>
        <v>0</v>
      </c>
      <c r="DN78" s="1007">
        <f t="shared" si="86"/>
        <v>0</v>
      </c>
      <c r="DO78" s="1007"/>
      <c r="DP78" s="1007">
        <f t="shared" si="87"/>
        <v>0</v>
      </c>
      <c r="DQ78" s="1007">
        <f t="shared" si="87"/>
        <v>8617130</v>
      </c>
      <c r="DR78" s="1007"/>
      <c r="DS78" s="1007">
        <f t="shared" si="88"/>
        <v>0</v>
      </c>
      <c r="DT78" s="1007">
        <f t="shared" si="88"/>
        <v>0</v>
      </c>
      <c r="DU78" s="1007"/>
      <c r="DV78" s="1007">
        <f t="shared" si="89"/>
        <v>0</v>
      </c>
      <c r="DW78" s="1007">
        <f t="shared" si="89"/>
        <v>0</v>
      </c>
      <c r="DX78" s="1007">
        <f t="shared" si="89"/>
        <v>0</v>
      </c>
      <c r="DY78" s="1007">
        <f t="shared" si="90"/>
        <v>0</v>
      </c>
      <c r="DZ78" s="1007">
        <f t="shared" si="90"/>
        <v>0</v>
      </c>
      <c r="EA78" s="1007">
        <f t="shared" si="90"/>
        <v>0</v>
      </c>
      <c r="EB78" s="1007">
        <f t="shared" si="90"/>
        <v>0</v>
      </c>
      <c r="EC78" s="1007"/>
      <c r="ED78" s="1007">
        <f t="shared" si="91"/>
        <v>0</v>
      </c>
    </row>
    <row r="79" spans="1:134" ht="46.5" customHeight="1" x14ac:dyDescent="0.25">
      <c r="A79" s="1578"/>
      <c r="B79" s="1018"/>
      <c r="C79" s="1092" t="s">
        <v>4416</v>
      </c>
      <c r="D79" s="1018" t="s">
        <v>4352</v>
      </c>
      <c r="E79" s="1019">
        <v>520</v>
      </c>
      <c r="F79" s="1094" t="s">
        <v>4347</v>
      </c>
      <c r="G79" s="1429"/>
      <c r="H79" s="1060">
        <f t="shared" si="70"/>
        <v>770398</v>
      </c>
      <c r="I79" s="1060">
        <f t="shared" si="71"/>
        <v>13396003</v>
      </c>
      <c r="J79" s="1094" t="s">
        <v>4865</v>
      </c>
      <c r="K79" s="1097" t="s">
        <v>4871</v>
      </c>
      <c r="L79" s="1097" t="s">
        <v>4878</v>
      </c>
      <c r="M79" s="1097">
        <v>10</v>
      </c>
      <c r="N79" s="1097">
        <v>0</v>
      </c>
      <c r="O79" s="1097">
        <v>0</v>
      </c>
      <c r="P79" s="1097">
        <v>5</v>
      </c>
      <c r="Q79" s="1097">
        <v>0</v>
      </c>
      <c r="R79" s="1097">
        <v>0</v>
      </c>
      <c r="S79" s="1094"/>
      <c r="T79" s="1094"/>
      <c r="U79" s="1094"/>
      <c r="V79" s="1094"/>
      <c r="W79" s="1094"/>
      <c r="X79" s="1094"/>
      <c r="Y79" s="1007">
        <f t="shared" si="72"/>
        <v>14166401</v>
      </c>
      <c r="Z79" s="944"/>
      <c r="AA79" s="944"/>
      <c r="AB79" s="944"/>
      <c r="AC79" s="944"/>
      <c r="AD79" s="944"/>
      <c r="AE79" s="944"/>
      <c r="AF79" s="1007"/>
      <c r="AG79" s="1007"/>
      <c r="AH79" s="1007"/>
      <c r="AI79" s="1007"/>
      <c r="AJ79" s="1007"/>
      <c r="AK79" s="1007"/>
      <c r="AL79" s="1007"/>
      <c r="AM79" s="1007"/>
      <c r="AN79" s="1007"/>
      <c r="AO79" s="1007"/>
      <c r="AP79" s="1007"/>
      <c r="AQ79" s="1007"/>
      <c r="AR79" s="1007"/>
      <c r="AS79" s="1007">
        <f>5000000+3000000+6166401</f>
        <v>14166401</v>
      </c>
      <c r="AU79" s="1010">
        <f t="shared" si="73"/>
        <v>0.3529477952798315</v>
      </c>
      <c r="AV79" s="1007">
        <f t="shared" si="74"/>
        <v>5000000</v>
      </c>
      <c r="AW79" s="1007"/>
      <c r="AX79" s="1007"/>
      <c r="AY79" s="1007"/>
      <c r="AZ79" s="1007"/>
      <c r="BA79" s="1007"/>
      <c r="BB79" s="1007"/>
      <c r="BC79" s="1007"/>
      <c r="BD79" s="1007"/>
      <c r="BE79" s="1007"/>
      <c r="BF79" s="1007"/>
      <c r="BG79" s="1007"/>
      <c r="BH79" s="1007"/>
      <c r="BI79" s="1007"/>
      <c r="BJ79" s="1007"/>
      <c r="BK79" s="1007"/>
      <c r="BL79" s="1007"/>
      <c r="BM79" s="1007"/>
      <c r="BN79" s="1007"/>
      <c r="BO79" s="1007"/>
      <c r="BP79" s="1007">
        <f>+'[15]FEBRERO 2015'!$AC$1088</f>
        <v>5000000</v>
      </c>
      <c r="BQ79" s="1010">
        <f t="shared" si="25"/>
        <v>0.64705220472016856</v>
      </c>
      <c r="BR79" s="1007">
        <f t="shared" si="75"/>
        <v>9166401</v>
      </c>
      <c r="BS79" s="1007">
        <f t="shared" si="76"/>
        <v>0</v>
      </c>
      <c r="BT79" s="1007">
        <f t="shared" si="77"/>
        <v>0</v>
      </c>
      <c r="BU79" s="1007"/>
      <c r="BV79" s="1007">
        <f t="shared" si="78"/>
        <v>0</v>
      </c>
      <c r="BW79" s="1007"/>
      <c r="BX79" s="1007">
        <f t="shared" si="79"/>
        <v>0</v>
      </c>
      <c r="BY79" s="1007">
        <f t="shared" si="79"/>
        <v>0</v>
      </c>
      <c r="BZ79" s="1007"/>
      <c r="CA79" s="1007">
        <f>AH79-BE79</f>
        <v>0</v>
      </c>
      <c r="CB79" s="1007">
        <f t="shared" si="80"/>
        <v>0</v>
      </c>
      <c r="CC79" s="1007">
        <f t="shared" si="80"/>
        <v>0</v>
      </c>
      <c r="CD79" s="1007">
        <f t="shared" si="80"/>
        <v>0</v>
      </c>
      <c r="CE79" s="1007">
        <f t="shared" si="80"/>
        <v>0</v>
      </c>
      <c r="CF79" s="1007">
        <f t="shared" si="80"/>
        <v>0</v>
      </c>
      <c r="CG79" s="1007">
        <f>AN79-BK79</f>
        <v>0</v>
      </c>
      <c r="CH79" s="1007">
        <f t="shared" si="80"/>
        <v>0</v>
      </c>
      <c r="CI79" s="1007">
        <f t="shared" si="80"/>
        <v>0</v>
      </c>
      <c r="CJ79" s="1007"/>
      <c r="CK79" s="1007"/>
      <c r="CL79" s="1007">
        <f t="shared" si="81"/>
        <v>9166401</v>
      </c>
      <c r="CM79" s="1010">
        <f t="shared" si="82"/>
        <v>5.4382055117598325E-2</v>
      </c>
      <c r="CN79" s="1007">
        <f t="shared" si="83"/>
        <v>770398</v>
      </c>
      <c r="CO79" s="1007"/>
      <c r="CP79" s="1007"/>
      <c r="CQ79" s="1007"/>
      <c r="CR79" s="1007"/>
      <c r="CS79" s="1007"/>
      <c r="CT79" s="1007"/>
      <c r="CU79" s="1007"/>
      <c r="CV79" s="1007"/>
      <c r="CW79" s="1007"/>
      <c r="CX79" s="1007"/>
      <c r="CY79" s="1007"/>
      <c r="CZ79" s="1007"/>
      <c r="DA79" s="1007"/>
      <c r="DB79" s="1007"/>
      <c r="DC79" s="1007"/>
      <c r="DD79" s="1007"/>
      <c r="DE79" s="1007"/>
      <c r="DF79" s="1007"/>
      <c r="DG79" s="1007"/>
      <c r="DH79" s="1007">
        <f>+'[15]FEBRERO 2015'!$H$1086</f>
        <v>770398</v>
      </c>
      <c r="DI79" s="1010">
        <f t="shared" si="84"/>
        <v>0.9456179448824017</v>
      </c>
      <c r="DJ79" s="1007">
        <f t="shared" si="85"/>
        <v>13396003</v>
      </c>
      <c r="DK79" s="1007"/>
      <c r="DL79" s="1007"/>
      <c r="DM79" s="1007"/>
      <c r="DN79" s="1007">
        <f t="shared" si="86"/>
        <v>0</v>
      </c>
      <c r="DO79" s="1007"/>
      <c r="DP79" s="1007">
        <f t="shared" si="87"/>
        <v>0</v>
      </c>
      <c r="DQ79" s="1007">
        <f t="shared" si="87"/>
        <v>0</v>
      </c>
      <c r="DR79" s="1007"/>
      <c r="DS79" s="1007">
        <f t="shared" si="88"/>
        <v>0</v>
      </c>
      <c r="DT79" s="1007">
        <f t="shared" si="88"/>
        <v>0</v>
      </c>
      <c r="DU79" s="1007"/>
      <c r="DV79" s="1007">
        <f t="shared" si="89"/>
        <v>0</v>
      </c>
      <c r="DW79" s="1007">
        <f t="shared" si="89"/>
        <v>0</v>
      </c>
      <c r="DX79" s="1007">
        <f t="shared" si="89"/>
        <v>0</v>
      </c>
      <c r="DY79" s="1007">
        <f t="shared" si="90"/>
        <v>0</v>
      </c>
      <c r="DZ79" s="1007">
        <f t="shared" si="90"/>
        <v>0</v>
      </c>
      <c r="EA79" s="1007">
        <f t="shared" si="90"/>
        <v>0</v>
      </c>
      <c r="EB79" s="1007">
        <f t="shared" si="90"/>
        <v>0</v>
      </c>
      <c r="EC79" s="1007"/>
      <c r="ED79" s="1007">
        <f t="shared" si="91"/>
        <v>13396003</v>
      </c>
    </row>
    <row r="80" spans="1:134" ht="37.5" customHeight="1" x14ac:dyDescent="0.25">
      <c r="A80" s="1578"/>
      <c r="B80" s="1018"/>
      <c r="C80" s="1092" t="s">
        <v>4417</v>
      </c>
      <c r="D80" s="1018" t="s">
        <v>4355</v>
      </c>
      <c r="E80" s="1019">
        <v>520</v>
      </c>
      <c r="F80" s="1094" t="s">
        <v>4670</v>
      </c>
      <c r="G80" s="1429"/>
      <c r="H80" s="1060">
        <f t="shared" si="70"/>
        <v>4550000</v>
      </c>
      <c r="I80" s="1060">
        <f t="shared" si="71"/>
        <v>0</v>
      </c>
      <c r="J80" s="1094" t="s">
        <v>4866</v>
      </c>
      <c r="K80" s="1097" t="s">
        <v>4872</v>
      </c>
      <c r="L80" s="1097" t="s">
        <v>4879</v>
      </c>
      <c r="M80" s="1097">
        <v>0</v>
      </c>
      <c r="N80" s="1097">
        <v>0</v>
      </c>
      <c r="O80" s="1097">
        <v>0</v>
      </c>
      <c r="P80" s="1097">
        <v>46</v>
      </c>
      <c r="Q80" s="1097">
        <v>50</v>
      </c>
      <c r="R80" s="1097">
        <v>23</v>
      </c>
      <c r="S80" s="1094"/>
      <c r="T80" s="1094"/>
      <c r="U80" s="1094"/>
      <c r="V80" s="1094"/>
      <c r="W80" s="1094"/>
      <c r="X80" s="1094"/>
      <c r="Y80" s="1007">
        <f t="shared" si="72"/>
        <v>4550000</v>
      </c>
      <c r="Z80" s="944"/>
      <c r="AA80" s="944"/>
      <c r="AB80" s="944"/>
      <c r="AC80" s="944"/>
      <c r="AD80" s="944"/>
      <c r="AE80" s="944"/>
      <c r="AF80" s="1007"/>
      <c r="AG80" s="1007"/>
      <c r="AH80" s="1007"/>
      <c r="AI80" s="1007"/>
      <c r="AJ80" s="1007"/>
      <c r="AK80" s="1007"/>
      <c r="AL80" s="1007"/>
      <c r="AM80" s="1007"/>
      <c r="AN80" s="1007"/>
      <c r="AO80" s="1007"/>
      <c r="AP80" s="1007"/>
      <c r="AQ80" s="1007"/>
      <c r="AR80" s="1007"/>
      <c r="AS80" s="1007">
        <f>5000000+5000000-5450000</f>
        <v>4550000</v>
      </c>
      <c r="AU80" s="1010">
        <f t="shared" si="73"/>
        <v>1</v>
      </c>
      <c r="AV80" s="1007">
        <f t="shared" si="74"/>
        <v>4550000</v>
      </c>
      <c r="AW80" s="1007"/>
      <c r="AX80" s="1007"/>
      <c r="AY80" s="1007"/>
      <c r="AZ80" s="1007"/>
      <c r="BA80" s="1007"/>
      <c r="BB80" s="1007"/>
      <c r="BC80" s="1007"/>
      <c r="BD80" s="1007"/>
      <c r="BE80" s="1007"/>
      <c r="BF80" s="1007"/>
      <c r="BG80" s="1007"/>
      <c r="BH80" s="1007"/>
      <c r="BI80" s="1007"/>
      <c r="BJ80" s="1007"/>
      <c r="BK80" s="1007"/>
      <c r="BL80" s="1007"/>
      <c r="BM80" s="1007"/>
      <c r="BN80" s="1007"/>
      <c r="BO80" s="1007"/>
      <c r="BP80" s="1007">
        <f>+'[7]AGOSTO 2015'!$AD$2654</f>
        <v>4550000</v>
      </c>
      <c r="BQ80" s="1010">
        <f t="shared" si="25"/>
        <v>0</v>
      </c>
      <c r="BR80" s="1007">
        <f t="shared" si="75"/>
        <v>0</v>
      </c>
      <c r="BS80" s="1007">
        <f t="shared" si="76"/>
        <v>0</v>
      </c>
      <c r="BT80" s="1007">
        <f t="shared" si="77"/>
        <v>0</v>
      </c>
      <c r="BU80" s="1007"/>
      <c r="BV80" s="1007">
        <f t="shared" si="78"/>
        <v>0</v>
      </c>
      <c r="BW80" s="1007"/>
      <c r="BX80" s="1007">
        <f t="shared" si="79"/>
        <v>0</v>
      </c>
      <c r="BY80" s="1007">
        <f t="shared" si="79"/>
        <v>0</v>
      </c>
      <c r="BZ80" s="1007"/>
      <c r="CA80" s="1007">
        <f>AH80-BE80</f>
        <v>0</v>
      </c>
      <c r="CB80" s="1007">
        <f t="shared" si="80"/>
        <v>0</v>
      </c>
      <c r="CC80" s="1007"/>
      <c r="CD80" s="1007">
        <f t="shared" si="80"/>
        <v>0</v>
      </c>
      <c r="CE80" s="1007">
        <f t="shared" si="80"/>
        <v>0</v>
      </c>
      <c r="CF80" s="1007">
        <f t="shared" si="80"/>
        <v>0</v>
      </c>
      <c r="CG80" s="1007">
        <f>AN80-BK80</f>
        <v>0</v>
      </c>
      <c r="CH80" s="1007">
        <f t="shared" si="80"/>
        <v>0</v>
      </c>
      <c r="CI80" s="1007">
        <f t="shared" si="80"/>
        <v>0</v>
      </c>
      <c r="CJ80" s="1007"/>
      <c r="CK80" s="1007"/>
      <c r="CL80" s="1007">
        <f t="shared" si="81"/>
        <v>0</v>
      </c>
      <c r="CM80" s="1010">
        <f t="shared" si="82"/>
        <v>1</v>
      </c>
      <c r="CN80" s="1007">
        <f t="shared" si="83"/>
        <v>4550000</v>
      </c>
      <c r="CO80" s="1007"/>
      <c r="CP80" s="1007"/>
      <c r="CQ80" s="1007"/>
      <c r="CR80" s="1007"/>
      <c r="CS80" s="1007"/>
      <c r="CT80" s="1007"/>
      <c r="CU80" s="1007"/>
      <c r="CV80" s="1007"/>
      <c r="CW80" s="1007"/>
      <c r="CX80" s="1007"/>
      <c r="CY80" s="1007"/>
      <c r="CZ80" s="1007"/>
      <c r="DA80" s="1007"/>
      <c r="DB80" s="1007"/>
      <c r="DC80" s="1007"/>
      <c r="DD80" s="1007"/>
      <c r="DE80" s="1007"/>
      <c r="DF80" s="1007"/>
      <c r="DG80" s="1007"/>
      <c r="DH80" s="1007">
        <f>+'[13]JUNIO 2015'!$H$2022</f>
        <v>4550000</v>
      </c>
      <c r="DI80" s="1010">
        <f t="shared" si="84"/>
        <v>0</v>
      </c>
      <c r="DJ80" s="1007">
        <f t="shared" si="85"/>
        <v>0</v>
      </c>
      <c r="DK80" s="1007"/>
      <c r="DL80" s="1007"/>
      <c r="DM80" s="1007"/>
      <c r="DN80" s="1007">
        <f t="shared" si="86"/>
        <v>0</v>
      </c>
      <c r="DO80" s="1007"/>
      <c r="DP80" s="1007">
        <f t="shared" si="87"/>
        <v>0</v>
      </c>
      <c r="DQ80" s="1007">
        <f t="shared" si="87"/>
        <v>0</v>
      </c>
      <c r="DR80" s="1007"/>
      <c r="DS80" s="1007">
        <f t="shared" si="88"/>
        <v>0</v>
      </c>
      <c r="DT80" s="1007">
        <f t="shared" si="88"/>
        <v>0</v>
      </c>
      <c r="DU80" s="1007"/>
      <c r="DV80" s="1007">
        <f t="shared" si="89"/>
        <v>0</v>
      </c>
      <c r="DW80" s="1007">
        <f t="shared" si="89"/>
        <v>0</v>
      </c>
      <c r="DX80" s="1007">
        <f t="shared" si="89"/>
        <v>0</v>
      </c>
      <c r="DY80" s="1007">
        <f t="shared" si="90"/>
        <v>0</v>
      </c>
      <c r="DZ80" s="1007">
        <f t="shared" si="90"/>
        <v>0</v>
      </c>
      <c r="EA80" s="1007">
        <f t="shared" si="90"/>
        <v>0</v>
      </c>
      <c r="EB80" s="1007">
        <f t="shared" si="90"/>
        <v>0</v>
      </c>
      <c r="EC80" s="1007"/>
      <c r="ED80" s="1007">
        <f t="shared" si="91"/>
        <v>0</v>
      </c>
    </row>
    <row r="81" spans="1:134" ht="33" customHeight="1" x14ac:dyDescent="0.25">
      <c r="A81" s="1578"/>
      <c r="B81" s="1018"/>
      <c r="C81" s="1092" t="s">
        <v>4418</v>
      </c>
      <c r="D81" s="1018" t="s">
        <v>4353</v>
      </c>
      <c r="E81" s="1019">
        <v>520</v>
      </c>
      <c r="F81" s="1094" t="s">
        <v>3350</v>
      </c>
      <c r="G81" s="1429"/>
      <c r="H81" s="1060">
        <f t="shared" si="70"/>
        <v>241855029</v>
      </c>
      <c r="I81" s="1060">
        <f t="shared" si="71"/>
        <v>108144971</v>
      </c>
      <c r="J81" s="1283" t="s">
        <v>4867</v>
      </c>
      <c r="K81" s="1198" t="s">
        <v>4873</v>
      </c>
      <c r="L81" s="1257" t="s">
        <v>4800</v>
      </c>
      <c r="M81" s="1097">
        <v>16</v>
      </c>
      <c r="N81" s="1097">
        <v>67</v>
      </c>
      <c r="O81" s="1097">
        <v>11</v>
      </c>
      <c r="P81" s="1097">
        <v>42</v>
      </c>
      <c r="Q81" s="1097">
        <v>67</v>
      </c>
      <c r="R81" s="1097">
        <v>28</v>
      </c>
      <c r="S81" s="1094"/>
      <c r="T81" s="1094"/>
      <c r="U81" s="1094"/>
      <c r="V81" s="1094"/>
      <c r="W81" s="1094"/>
      <c r="X81" s="1094"/>
      <c r="Y81" s="1007">
        <f t="shared" si="72"/>
        <v>350000000</v>
      </c>
      <c r="Z81" s="944"/>
      <c r="AA81" s="944"/>
      <c r="AB81" s="944"/>
      <c r="AC81" s="944"/>
      <c r="AD81" s="944"/>
      <c r="AE81" s="944"/>
      <c r="AF81" s="1007">
        <f>400000000-30000000-20000000</f>
        <v>350000000</v>
      </c>
      <c r="AG81" s="1007"/>
      <c r="AH81" s="1007"/>
      <c r="AI81" s="1007"/>
      <c r="AJ81" s="1007"/>
      <c r="AK81" s="1007"/>
      <c r="AL81" s="1007"/>
      <c r="AM81" s="1007"/>
      <c r="AN81" s="1007"/>
      <c r="AO81" s="1007"/>
      <c r="AP81" s="1007"/>
      <c r="AQ81" s="1007"/>
      <c r="AR81" s="1007"/>
      <c r="AS81" s="1007"/>
      <c r="AT81" s="203"/>
      <c r="AU81" s="1010">
        <f t="shared" si="73"/>
        <v>1</v>
      </c>
      <c r="AV81" s="1007">
        <f t="shared" si="74"/>
        <v>350000000</v>
      </c>
      <c r="AW81" s="1007"/>
      <c r="AX81" s="1007"/>
      <c r="AY81" s="1007"/>
      <c r="AZ81" s="1007"/>
      <c r="BA81" s="1007"/>
      <c r="BB81" s="1007"/>
      <c r="BC81" s="1007">
        <f>+'[11]MARZO 2015'!$O$1360-20000000</f>
        <v>350000000</v>
      </c>
      <c r="BD81" s="1007"/>
      <c r="BE81" s="1007"/>
      <c r="BF81" s="1007"/>
      <c r="BG81" s="1007"/>
      <c r="BH81" s="1007"/>
      <c r="BI81" s="1007"/>
      <c r="BJ81" s="1007"/>
      <c r="BK81" s="1007"/>
      <c r="BL81" s="1007"/>
      <c r="BM81" s="1007"/>
      <c r="BN81" s="1007"/>
      <c r="BO81" s="1007"/>
      <c r="BP81" s="1007"/>
      <c r="BQ81" s="1010">
        <f t="shared" si="25"/>
        <v>0</v>
      </c>
      <c r="BR81" s="1007">
        <f t="shared" si="75"/>
        <v>0</v>
      </c>
      <c r="BS81" s="1007">
        <f t="shared" si="76"/>
        <v>0</v>
      </c>
      <c r="BT81" s="1007">
        <f t="shared" si="77"/>
        <v>0</v>
      </c>
      <c r="BU81" s="1007"/>
      <c r="BV81" s="1007">
        <f t="shared" si="78"/>
        <v>0</v>
      </c>
      <c r="BW81" s="1007"/>
      <c r="BX81" s="1007">
        <f t="shared" si="79"/>
        <v>0</v>
      </c>
      <c r="BY81" s="1007">
        <f t="shared" si="79"/>
        <v>0</v>
      </c>
      <c r="BZ81" s="1007"/>
      <c r="CA81" s="1007">
        <f t="shared" ref="CA81:CB103" si="92">+AH81-BE81</f>
        <v>0</v>
      </c>
      <c r="CB81" s="1007">
        <f t="shared" si="80"/>
        <v>0</v>
      </c>
      <c r="CC81" s="1007">
        <f>+AJ81-BG81</f>
        <v>0</v>
      </c>
      <c r="CD81" s="1007">
        <f t="shared" si="80"/>
        <v>0</v>
      </c>
      <c r="CE81" s="1007">
        <f t="shared" si="80"/>
        <v>0</v>
      </c>
      <c r="CF81" s="1007">
        <f t="shared" si="80"/>
        <v>0</v>
      </c>
      <c r="CG81" s="1007">
        <f t="shared" si="80"/>
        <v>0</v>
      </c>
      <c r="CH81" s="1007">
        <f t="shared" si="80"/>
        <v>0</v>
      </c>
      <c r="CI81" s="1007">
        <f t="shared" si="80"/>
        <v>0</v>
      </c>
      <c r="CJ81" s="1007">
        <f>+AQ81-BN81</f>
        <v>0</v>
      </c>
      <c r="CK81" s="1007"/>
      <c r="CL81" s="1007">
        <f t="shared" si="81"/>
        <v>0</v>
      </c>
      <c r="CM81" s="1010">
        <f t="shared" si="82"/>
        <v>0.69101436857142862</v>
      </c>
      <c r="CN81" s="1007">
        <f t="shared" si="83"/>
        <v>241855029</v>
      </c>
      <c r="CO81" s="1007"/>
      <c r="CP81" s="1007"/>
      <c r="CQ81" s="1007"/>
      <c r="CR81" s="1007"/>
      <c r="CS81" s="1007"/>
      <c r="CT81" s="1007"/>
      <c r="CU81" s="1007">
        <f>+'[8]SEPTIEMBRE 2015'!$H$3212</f>
        <v>241855029</v>
      </c>
      <c r="CV81" s="1007"/>
      <c r="CW81" s="1007"/>
      <c r="CX81" s="1007"/>
      <c r="CY81" s="1007"/>
      <c r="CZ81" s="1007"/>
      <c r="DA81" s="1007"/>
      <c r="DB81" s="1007"/>
      <c r="DC81" s="1007"/>
      <c r="DD81" s="1007"/>
      <c r="DE81" s="1007"/>
      <c r="DF81" s="1007"/>
      <c r="DG81" s="1007"/>
      <c r="DH81" s="1007"/>
      <c r="DI81" s="1010">
        <f t="shared" si="84"/>
        <v>0.30898563142857138</v>
      </c>
      <c r="DJ81" s="1007">
        <f t="shared" si="85"/>
        <v>108144971</v>
      </c>
      <c r="DK81" s="1007"/>
      <c r="DL81" s="1007"/>
      <c r="DM81" s="1007"/>
      <c r="DN81" s="1007">
        <f t="shared" si="86"/>
        <v>0</v>
      </c>
      <c r="DO81" s="1007"/>
      <c r="DP81" s="1007">
        <f t="shared" si="87"/>
        <v>0</v>
      </c>
      <c r="DQ81" s="1007">
        <f t="shared" si="87"/>
        <v>108144971</v>
      </c>
      <c r="DR81" s="1007"/>
      <c r="DS81" s="1007">
        <f t="shared" si="88"/>
        <v>0</v>
      </c>
      <c r="DT81" s="1007">
        <f t="shared" si="88"/>
        <v>0</v>
      </c>
      <c r="DU81" s="1007"/>
      <c r="DV81" s="1007">
        <f t="shared" si="89"/>
        <v>0</v>
      </c>
      <c r="DW81" s="1007">
        <f t="shared" si="89"/>
        <v>0</v>
      </c>
      <c r="DX81" s="1007">
        <f t="shared" si="89"/>
        <v>0</v>
      </c>
      <c r="DY81" s="1007">
        <f t="shared" si="90"/>
        <v>0</v>
      </c>
      <c r="DZ81" s="1007">
        <f t="shared" si="90"/>
        <v>0</v>
      </c>
      <c r="EA81" s="1007">
        <f t="shared" si="90"/>
        <v>0</v>
      </c>
      <c r="EB81" s="1007">
        <f t="shared" si="90"/>
        <v>0</v>
      </c>
      <c r="EC81" s="1007"/>
      <c r="ED81" s="1007">
        <f t="shared" si="91"/>
        <v>0</v>
      </c>
    </row>
    <row r="82" spans="1:134" ht="49.5" customHeight="1" x14ac:dyDescent="0.25">
      <c r="A82" s="1578"/>
      <c r="B82" s="1018"/>
      <c r="C82" s="1092" t="s">
        <v>4419</v>
      </c>
      <c r="D82" s="1018" t="s">
        <v>4354</v>
      </c>
      <c r="E82" s="1019">
        <v>520</v>
      </c>
      <c r="F82" s="1094" t="s">
        <v>4670</v>
      </c>
      <c r="G82" s="1429"/>
      <c r="H82" s="1060">
        <f t="shared" si="70"/>
        <v>4697418</v>
      </c>
      <c r="I82" s="1060">
        <f t="shared" si="71"/>
        <v>5702083</v>
      </c>
      <c r="J82" s="1283"/>
      <c r="K82" s="1198"/>
      <c r="L82" s="1258"/>
      <c r="M82" s="1097">
        <v>6</v>
      </c>
      <c r="N82" s="1097">
        <v>5</v>
      </c>
      <c r="O82" s="1097">
        <v>0</v>
      </c>
      <c r="P82" s="1097">
        <v>61</v>
      </c>
      <c r="Q82" s="1097">
        <v>35</v>
      </c>
      <c r="R82" s="1097">
        <v>21</v>
      </c>
      <c r="S82" s="1094"/>
      <c r="T82" s="1094"/>
      <c r="U82" s="1094"/>
      <c r="V82" s="1094"/>
      <c r="W82" s="1094"/>
      <c r="X82" s="1094"/>
      <c r="Y82" s="1007">
        <f t="shared" si="72"/>
        <v>10399501</v>
      </c>
      <c r="Z82" s="944"/>
      <c r="AA82" s="944"/>
      <c r="AB82" s="944"/>
      <c r="AC82" s="944"/>
      <c r="AD82" s="944"/>
      <c r="AE82" s="944"/>
      <c r="AF82" s="1007"/>
      <c r="AG82" s="1007"/>
      <c r="AH82" s="1007"/>
      <c r="AI82" s="1007"/>
      <c r="AJ82" s="1007"/>
      <c r="AK82" s="1007"/>
      <c r="AL82" s="1007"/>
      <c r="AM82" s="1007"/>
      <c r="AN82" s="1007"/>
      <c r="AO82" s="1007"/>
      <c r="AP82" s="1007"/>
      <c r="AQ82" s="1007"/>
      <c r="AR82" s="1007"/>
      <c r="AS82" s="1007">
        <f>4000000+2500000+3899501</f>
        <v>10399501</v>
      </c>
      <c r="AT82" s="203"/>
      <c r="AU82" s="1010">
        <f t="shared" si="73"/>
        <v>1</v>
      </c>
      <c r="AV82" s="1007">
        <f t="shared" si="74"/>
        <v>10399501</v>
      </c>
      <c r="AW82" s="1007"/>
      <c r="AX82" s="1007"/>
      <c r="AY82" s="1007"/>
      <c r="AZ82" s="1007"/>
      <c r="BA82" s="1007"/>
      <c r="BB82" s="1007"/>
      <c r="BC82" s="1007"/>
      <c r="BD82" s="1007"/>
      <c r="BE82" s="1007"/>
      <c r="BF82" s="1007"/>
      <c r="BG82" s="1007"/>
      <c r="BH82" s="1007"/>
      <c r="BI82" s="1007"/>
      <c r="BJ82" s="1007"/>
      <c r="BK82" s="1007"/>
      <c r="BL82" s="1007"/>
      <c r="BM82" s="1007"/>
      <c r="BN82" s="1007"/>
      <c r="BO82" s="1007"/>
      <c r="BP82" s="1007">
        <f>+'[8]SEPTIEMBRE 2015'!$AD$3327</f>
        <v>10399501</v>
      </c>
      <c r="BQ82" s="1010">
        <f t="shared" si="25"/>
        <v>0</v>
      </c>
      <c r="BR82" s="1007">
        <f t="shared" si="75"/>
        <v>0</v>
      </c>
      <c r="BS82" s="1007">
        <f t="shared" si="76"/>
        <v>0</v>
      </c>
      <c r="BT82" s="1007">
        <f t="shared" si="77"/>
        <v>0</v>
      </c>
      <c r="BU82" s="1007"/>
      <c r="BV82" s="1007">
        <f t="shared" si="78"/>
        <v>0</v>
      </c>
      <c r="BW82" s="1007"/>
      <c r="BX82" s="1007">
        <f t="shared" si="79"/>
        <v>0</v>
      </c>
      <c r="BY82" s="1007">
        <f t="shared" si="79"/>
        <v>0</v>
      </c>
      <c r="BZ82" s="1007"/>
      <c r="CA82" s="1007">
        <f t="shared" si="92"/>
        <v>0</v>
      </c>
      <c r="CB82" s="1007">
        <f t="shared" si="80"/>
        <v>0</v>
      </c>
      <c r="CC82" s="1007">
        <f>+AJ82-BG82</f>
        <v>0</v>
      </c>
      <c r="CD82" s="1007">
        <f t="shared" si="80"/>
        <v>0</v>
      </c>
      <c r="CE82" s="1007">
        <f t="shared" si="80"/>
        <v>0</v>
      </c>
      <c r="CF82" s="1007">
        <f t="shared" si="80"/>
        <v>0</v>
      </c>
      <c r="CG82" s="1007">
        <f t="shared" si="80"/>
        <v>0</v>
      </c>
      <c r="CH82" s="1007">
        <f t="shared" si="80"/>
        <v>0</v>
      </c>
      <c r="CI82" s="1007">
        <f t="shared" si="80"/>
        <v>0</v>
      </c>
      <c r="CJ82" s="1007"/>
      <c r="CK82" s="1007"/>
      <c r="CL82" s="1007">
        <f t="shared" si="81"/>
        <v>0</v>
      </c>
      <c r="CM82" s="1010">
        <f t="shared" si="82"/>
        <v>0.45169648043689786</v>
      </c>
      <c r="CN82" s="1007">
        <f t="shared" si="83"/>
        <v>4697418</v>
      </c>
      <c r="CO82" s="1007"/>
      <c r="CP82" s="1007"/>
      <c r="CQ82" s="1007"/>
      <c r="CR82" s="1007"/>
      <c r="CS82" s="1007"/>
      <c r="CT82" s="1007"/>
      <c r="CU82" s="1007"/>
      <c r="CV82" s="1007"/>
      <c r="CW82" s="1007"/>
      <c r="CX82" s="1007"/>
      <c r="CY82" s="1007"/>
      <c r="CZ82" s="1007"/>
      <c r="DA82" s="1007"/>
      <c r="DB82" s="1007"/>
      <c r="DC82" s="1007"/>
      <c r="DD82" s="1007"/>
      <c r="DE82" s="1007"/>
      <c r="DF82" s="1007"/>
      <c r="DG82" s="1007"/>
      <c r="DH82" s="1007">
        <f>+'[7]AGOSTO 2015'!$H$2737</f>
        <v>4697418</v>
      </c>
      <c r="DI82" s="1010">
        <f t="shared" si="84"/>
        <v>0.54830351956310208</v>
      </c>
      <c r="DJ82" s="1007">
        <f t="shared" si="85"/>
        <v>5702083</v>
      </c>
      <c r="DK82" s="1007"/>
      <c r="DL82" s="1007"/>
      <c r="DM82" s="1007"/>
      <c r="DN82" s="1007">
        <f t="shared" si="86"/>
        <v>0</v>
      </c>
      <c r="DO82" s="1007"/>
      <c r="DP82" s="1007">
        <f t="shared" si="87"/>
        <v>0</v>
      </c>
      <c r="DQ82" s="1007">
        <f t="shared" si="87"/>
        <v>0</v>
      </c>
      <c r="DR82" s="1007"/>
      <c r="DS82" s="1007">
        <f t="shared" si="88"/>
        <v>0</v>
      </c>
      <c r="DT82" s="1007">
        <f t="shared" si="88"/>
        <v>0</v>
      </c>
      <c r="DU82" s="1007"/>
      <c r="DV82" s="1007">
        <f t="shared" si="89"/>
        <v>0</v>
      </c>
      <c r="DW82" s="1007">
        <f t="shared" si="89"/>
        <v>0</v>
      </c>
      <c r="DX82" s="1007">
        <f t="shared" si="89"/>
        <v>0</v>
      </c>
      <c r="DY82" s="1007">
        <f t="shared" si="90"/>
        <v>0</v>
      </c>
      <c r="DZ82" s="1007">
        <f t="shared" si="90"/>
        <v>0</v>
      </c>
      <c r="EA82" s="1007">
        <f t="shared" si="90"/>
        <v>0</v>
      </c>
      <c r="EB82" s="1007">
        <f t="shared" si="90"/>
        <v>0</v>
      </c>
      <c r="EC82" s="1007"/>
      <c r="ED82" s="1007">
        <f t="shared" si="91"/>
        <v>5702083</v>
      </c>
    </row>
    <row r="83" spans="1:134" ht="36" customHeight="1" x14ac:dyDescent="0.25">
      <c r="A83" s="1578"/>
      <c r="B83" s="1026"/>
      <c r="C83" s="1092" t="s">
        <v>4420</v>
      </c>
      <c r="D83" s="1018" t="s">
        <v>4616</v>
      </c>
      <c r="E83" s="1112">
        <v>520</v>
      </c>
      <c r="F83" s="1094" t="s">
        <v>3350</v>
      </c>
      <c r="G83" s="1429"/>
      <c r="H83" s="1060">
        <f t="shared" si="70"/>
        <v>43517759</v>
      </c>
      <c r="I83" s="1060">
        <f t="shared" si="71"/>
        <v>56482241</v>
      </c>
      <c r="J83" s="1283" t="s">
        <v>4848</v>
      </c>
      <c r="K83" s="1198" t="s">
        <v>4874</v>
      </c>
      <c r="L83" s="1257" t="s">
        <v>4880</v>
      </c>
      <c r="M83" s="1097">
        <v>7</v>
      </c>
      <c r="N83" s="1097">
        <v>31</v>
      </c>
      <c r="O83" s="1097">
        <v>2</v>
      </c>
      <c r="P83" s="1097">
        <v>22</v>
      </c>
      <c r="Q83" s="1097">
        <v>31</v>
      </c>
      <c r="R83" s="1097">
        <v>7</v>
      </c>
      <c r="S83" s="1094"/>
      <c r="T83" s="1094"/>
      <c r="U83" s="1094"/>
      <c r="V83" s="1094"/>
      <c r="W83" s="1094"/>
      <c r="X83" s="1094"/>
      <c r="Y83" s="1007">
        <f t="shared" si="72"/>
        <v>100000000</v>
      </c>
      <c r="Z83" s="991"/>
      <c r="AA83" s="1016">
        <f>100000000-100000000</f>
        <v>0</v>
      </c>
      <c r="AB83" s="1016"/>
      <c r="AC83" s="991"/>
      <c r="AD83" s="991"/>
      <c r="AE83" s="991"/>
      <c r="AF83" s="1007">
        <v>100000000</v>
      </c>
      <c r="AG83" s="1007"/>
      <c r="AH83" s="1007"/>
      <c r="AI83" s="1007"/>
      <c r="AJ83" s="1007"/>
      <c r="AK83" s="1007"/>
      <c r="AL83" s="1007"/>
      <c r="AM83" s="1007"/>
      <c r="AN83" s="1007"/>
      <c r="AO83" s="1007"/>
      <c r="AP83" s="1007"/>
      <c r="AQ83" s="1007"/>
      <c r="AR83" s="1007"/>
      <c r="AS83" s="1007"/>
      <c r="AT83" s="203"/>
      <c r="AU83" s="1010">
        <f t="shared" si="73"/>
        <v>1</v>
      </c>
      <c r="AV83" s="1007">
        <f t="shared" si="74"/>
        <v>100000000</v>
      </c>
      <c r="AW83" s="1007"/>
      <c r="AX83" s="1007"/>
      <c r="AY83" s="1007"/>
      <c r="AZ83" s="1007"/>
      <c r="BA83" s="1007"/>
      <c r="BB83" s="1007"/>
      <c r="BC83" s="1007">
        <f>+'[12]FEBRERO 2015'!$O$1182</f>
        <v>100000000</v>
      </c>
      <c r="BD83" s="1007"/>
      <c r="BE83" s="1007"/>
      <c r="BF83" s="1007"/>
      <c r="BG83" s="1007"/>
      <c r="BH83" s="1007"/>
      <c r="BI83" s="1007"/>
      <c r="BJ83" s="1007"/>
      <c r="BK83" s="1007"/>
      <c r="BL83" s="1007"/>
      <c r="BM83" s="1007"/>
      <c r="BN83" s="1007"/>
      <c r="BO83" s="1007"/>
      <c r="BP83" s="1007"/>
      <c r="BQ83" s="1010">
        <f t="shared" si="25"/>
        <v>0</v>
      </c>
      <c r="BR83" s="1007">
        <f t="shared" si="75"/>
        <v>0</v>
      </c>
      <c r="BS83" s="1007">
        <f t="shared" si="76"/>
        <v>0</v>
      </c>
      <c r="BT83" s="1007">
        <f t="shared" si="77"/>
        <v>0</v>
      </c>
      <c r="BU83" s="1007"/>
      <c r="BV83" s="1007">
        <f t="shared" si="78"/>
        <v>0</v>
      </c>
      <c r="BW83" s="1007"/>
      <c r="BX83" s="1007">
        <f t="shared" si="79"/>
        <v>0</v>
      </c>
      <c r="BY83" s="1007">
        <f t="shared" si="79"/>
        <v>0</v>
      </c>
      <c r="BZ83" s="1007"/>
      <c r="CA83" s="1007">
        <f t="shared" si="92"/>
        <v>0</v>
      </c>
      <c r="CB83" s="1007">
        <f t="shared" si="80"/>
        <v>0</v>
      </c>
      <c r="CC83" s="1007">
        <f>+AJ83-BG83</f>
        <v>0</v>
      </c>
      <c r="CD83" s="1007">
        <f t="shared" si="80"/>
        <v>0</v>
      </c>
      <c r="CE83" s="1007">
        <f t="shared" si="80"/>
        <v>0</v>
      </c>
      <c r="CF83" s="1007">
        <f t="shared" si="80"/>
        <v>0</v>
      </c>
      <c r="CG83" s="1007">
        <f t="shared" si="80"/>
        <v>0</v>
      </c>
      <c r="CH83" s="1007">
        <f t="shared" si="80"/>
        <v>0</v>
      </c>
      <c r="CI83" s="1007">
        <f t="shared" si="80"/>
        <v>0</v>
      </c>
      <c r="CJ83" s="1007"/>
      <c r="CK83" s="1007"/>
      <c r="CL83" s="1007">
        <f t="shared" si="81"/>
        <v>0</v>
      </c>
      <c r="CM83" s="1010">
        <f t="shared" si="82"/>
        <v>0.43517759</v>
      </c>
      <c r="CN83" s="1007">
        <f t="shared" si="83"/>
        <v>43517759</v>
      </c>
      <c r="CO83" s="1007"/>
      <c r="CP83" s="1007"/>
      <c r="CQ83" s="1007"/>
      <c r="CR83" s="1007"/>
      <c r="CS83" s="1007"/>
      <c r="CT83" s="1007"/>
      <c r="CU83" s="1007">
        <f>+'[8]SEPTIEMBRE 2015'!$H$3344</f>
        <v>43517759</v>
      </c>
      <c r="CV83" s="1007"/>
      <c r="CW83" s="1007"/>
      <c r="CX83" s="1007"/>
      <c r="CY83" s="1007"/>
      <c r="CZ83" s="1007"/>
      <c r="DA83" s="1007"/>
      <c r="DB83" s="1007"/>
      <c r="DC83" s="1007"/>
      <c r="DD83" s="1007"/>
      <c r="DE83" s="1007"/>
      <c r="DF83" s="1007"/>
      <c r="DG83" s="1007"/>
      <c r="DH83" s="1007"/>
      <c r="DI83" s="1010">
        <f t="shared" si="84"/>
        <v>0.56482241</v>
      </c>
      <c r="DJ83" s="1007">
        <f t="shared" si="85"/>
        <v>56482241</v>
      </c>
      <c r="DK83" s="1007"/>
      <c r="DL83" s="1007">
        <f>AA83-CP83</f>
        <v>0</v>
      </c>
      <c r="DM83" s="1007">
        <f>AB83-CQ83</f>
        <v>0</v>
      </c>
      <c r="DN83" s="1007">
        <f t="shared" si="86"/>
        <v>0</v>
      </c>
      <c r="DO83" s="1007"/>
      <c r="DP83" s="1007">
        <f t="shared" si="87"/>
        <v>0</v>
      </c>
      <c r="DQ83" s="1007">
        <f t="shared" si="87"/>
        <v>56482241</v>
      </c>
      <c r="DR83" s="1007"/>
      <c r="DS83" s="1007">
        <f t="shared" si="88"/>
        <v>0</v>
      </c>
      <c r="DT83" s="1007">
        <f t="shared" si="88"/>
        <v>0</v>
      </c>
      <c r="DU83" s="1007"/>
      <c r="DV83" s="1007">
        <f t="shared" si="89"/>
        <v>0</v>
      </c>
      <c r="DW83" s="1007">
        <f t="shared" si="89"/>
        <v>0</v>
      </c>
      <c r="DX83" s="1007">
        <f t="shared" si="89"/>
        <v>0</v>
      </c>
      <c r="DY83" s="1007">
        <f t="shared" si="90"/>
        <v>0</v>
      </c>
      <c r="DZ83" s="1007">
        <f t="shared" si="90"/>
        <v>0</v>
      </c>
      <c r="EA83" s="1007">
        <f t="shared" si="90"/>
        <v>0</v>
      </c>
      <c r="EB83" s="1007">
        <f t="shared" si="90"/>
        <v>0</v>
      </c>
      <c r="EC83" s="1007"/>
      <c r="ED83" s="1007">
        <f t="shared" si="91"/>
        <v>0</v>
      </c>
    </row>
    <row r="84" spans="1:134" ht="33" customHeight="1" x14ac:dyDescent="0.25">
      <c r="A84" s="1578"/>
      <c r="B84" s="1018"/>
      <c r="C84" s="1092" t="s">
        <v>4421</v>
      </c>
      <c r="D84" s="1018" t="s">
        <v>4617</v>
      </c>
      <c r="E84" s="1019">
        <v>520</v>
      </c>
      <c r="F84" s="1094" t="s">
        <v>3350</v>
      </c>
      <c r="G84" s="1429"/>
      <c r="H84" s="1060">
        <f t="shared" si="70"/>
        <v>82284884</v>
      </c>
      <c r="I84" s="1060">
        <f t="shared" si="71"/>
        <v>47715116</v>
      </c>
      <c r="J84" s="1283"/>
      <c r="K84" s="1198"/>
      <c r="L84" s="1258"/>
      <c r="M84" s="1097">
        <v>7</v>
      </c>
      <c r="N84" s="1097">
        <v>11</v>
      </c>
      <c r="O84" s="1097">
        <v>1</v>
      </c>
      <c r="P84" s="1097">
        <v>38</v>
      </c>
      <c r="Q84" s="1097">
        <v>116</v>
      </c>
      <c r="R84" s="1097">
        <v>44</v>
      </c>
      <c r="S84" s="1094"/>
      <c r="T84" s="1094"/>
      <c r="U84" s="1094"/>
      <c r="V84" s="1094"/>
      <c r="W84" s="1094"/>
      <c r="X84" s="1094"/>
      <c r="Y84" s="1007">
        <f t="shared" si="72"/>
        <v>130000000</v>
      </c>
      <c r="Z84" s="944"/>
      <c r="AA84" s="1016">
        <f>200000000-200000000</f>
        <v>0</v>
      </c>
      <c r="AB84" s="1016"/>
      <c r="AC84" s="944"/>
      <c r="AD84" s="944"/>
      <c r="AE84" s="944"/>
      <c r="AF84" s="1007">
        <f>200000000-60000000-10000000</f>
        <v>130000000</v>
      </c>
      <c r="AG84" s="1007"/>
      <c r="AH84" s="1007"/>
      <c r="AI84" s="1007"/>
      <c r="AJ84" s="1007"/>
      <c r="AK84" s="1007"/>
      <c r="AL84" s="1007"/>
      <c r="AM84" s="1007"/>
      <c r="AN84" s="1007"/>
      <c r="AO84" s="1007"/>
      <c r="AP84" s="1007"/>
      <c r="AQ84" s="1007"/>
      <c r="AR84" s="1007"/>
      <c r="AS84" s="1007"/>
      <c r="AT84" s="203"/>
      <c r="AU84" s="1010">
        <f t="shared" si="73"/>
        <v>1</v>
      </c>
      <c r="AV84" s="1007">
        <f t="shared" si="74"/>
        <v>130000000</v>
      </c>
      <c r="AW84" s="1007"/>
      <c r="AX84" s="1007"/>
      <c r="AY84" s="1007"/>
      <c r="AZ84" s="1007"/>
      <c r="BA84" s="1007"/>
      <c r="BB84" s="1007"/>
      <c r="BC84" s="1007">
        <f>+'[9]ABRIL 2015'!$O$1649-10000000</f>
        <v>130000000</v>
      </c>
      <c r="BD84" s="1007"/>
      <c r="BE84" s="1007"/>
      <c r="BF84" s="1007"/>
      <c r="BG84" s="1007"/>
      <c r="BH84" s="1007"/>
      <c r="BI84" s="1007"/>
      <c r="BJ84" s="1007"/>
      <c r="BK84" s="1007"/>
      <c r="BL84" s="1007"/>
      <c r="BM84" s="1007"/>
      <c r="BN84" s="1007"/>
      <c r="BO84" s="1007"/>
      <c r="BP84" s="1007"/>
      <c r="BQ84" s="1010">
        <f t="shared" si="25"/>
        <v>0</v>
      </c>
      <c r="BR84" s="1007">
        <f t="shared" si="75"/>
        <v>0</v>
      </c>
      <c r="BS84" s="1007">
        <f t="shared" si="76"/>
        <v>0</v>
      </c>
      <c r="BT84" s="1007">
        <f t="shared" si="77"/>
        <v>0</v>
      </c>
      <c r="BU84" s="1007"/>
      <c r="BV84" s="1007">
        <f t="shared" si="78"/>
        <v>0</v>
      </c>
      <c r="BW84" s="1007"/>
      <c r="BX84" s="1007">
        <f t="shared" si="79"/>
        <v>0</v>
      </c>
      <c r="BY84" s="1007">
        <f t="shared" si="79"/>
        <v>0</v>
      </c>
      <c r="BZ84" s="1007"/>
      <c r="CA84" s="1007">
        <f t="shared" si="92"/>
        <v>0</v>
      </c>
      <c r="CB84" s="1007">
        <f t="shared" si="92"/>
        <v>0</v>
      </c>
      <c r="CC84" s="1007">
        <f>+AJ84-BG84</f>
        <v>0</v>
      </c>
      <c r="CD84" s="1007">
        <f t="shared" ref="CD84:CI103" si="93">+AK84-BH84</f>
        <v>0</v>
      </c>
      <c r="CE84" s="1007">
        <f t="shared" si="93"/>
        <v>0</v>
      </c>
      <c r="CF84" s="1007">
        <f t="shared" si="93"/>
        <v>0</v>
      </c>
      <c r="CG84" s="1007">
        <f t="shared" si="93"/>
        <v>0</v>
      </c>
      <c r="CH84" s="1007">
        <f t="shared" si="93"/>
        <v>0</v>
      </c>
      <c r="CI84" s="1007">
        <f t="shared" si="93"/>
        <v>0</v>
      </c>
      <c r="CJ84" s="1007"/>
      <c r="CK84" s="1007"/>
      <c r="CL84" s="1007">
        <f t="shared" si="81"/>
        <v>0</v>
      </c>
      <c r="CM84" s="1010">
        <f t="shared" si="82"/>
        <v>0.63296064615384617</v>
      </c>
      <c r="CN84" s="1007">
        <f t="shared" si="83"/>
        <v>82284884</v>
      </c>
      <c r="CO84" s="1007"/>
      <c r="CP84" s="1007"/>
      <c r="CQ84" s="1007"/>
      <c r="CR84" s="1007"/>
      <c r="CS84" s="1007"/>
      <c r="CT84" s="1007"/>
      <c r="CU84" s="1007">
        <f>+'[8]SEPTIEMBRE 2015'!$H$3406</f>
        <v>82284884</v>
      </c>
      <c r="CV84" s="1007"/>
      <c r="CW84" s="1007"/>
      <c r="CX84" s="1007"/>
      <c r="CY84" s="1007"/>
      <c r="CZ84" s="1007"/>
      <c r="DA84" s="1007"/>
      <c r="DB84" s="1007"/>
      <c r="DC84" s="1007"/>
      <c r="DD84" s="1007"/>
      <c r="DE84" s="1007"/>
      <c r="DF84" s="1007"/>
      <c r="DG84" s="1007"/>
      <c r="DH84" s="1007"/>
      <c r="DI84" s="1010">
        <f t="shared" si="84"/>
        <v>0.36703935384615383</v>
      </c>
      <c r="DJ84" s="1007">
        <f t="shared" si="85"/>
        <v>47715116</v>
      </c>
      <c r="DK84" s="1007"/>
      <c r="DL84" s="1007">
        <f>AA84-CP84</f>
        <v>0</v>
      </c>
      <c r="DM84" s="1007">
        <f>AB84-CQ84</f>
        <v>0</v>
      </c>
      <c r="DN84" s="1007">
        <f t="shared" si="86"/>
        <v>0</v>
      </c>
      <c r="DO84" s="1007"/>
      <c r="DP84" s="1007">
        <f t="shared" si="87"/>
        <v>0</v>
      </c>
      <c r="DQ84" s="1007">
        <f t="shared" si="87"/>
        <v>47715116</v>
      </c>
      <c r="DR84" s="1007"/>
      <c r="DS84" s="1007">
        <f t="shared" si="88"/>
        <v>0</v>
      </c>
      <c r="DT84" s="1007">
        <f t="shared" si="88"/>
        <v>0</v>
      </c>
      <c r="DU84" s="1007"/>
      <c r="DV84" s="1007">
        <f t="shared" si="89"/>
        <v>0</v>
      </c>
      <c r="DW84" s="1007">
        <f t="shared" si="89"/>
        <v>0</v>
      </c>
      <c r="DX84" s="1007">
        <f t="shared" si="89"/>
        <v>0</v>
      </c>
      <c r="DY84" s="1007">
        <f t="shared" si="90"/>
        <v>0</v>
      </c>
      <c r="DZ84" s="1007">
        <f t="shared" si="90"/>
        <v>0</v>
      </c>
      <c r="EA84" s="1007">
        <f t="shared" si="90"/>
        <v>0</v>
      </c>
      <c r="EB84" s="1007">
        <f t="shared" si="90"/>
        <v>0</v>
      </c>
      <c r="EC84" s="1007"/>
      <c r="ED84" s="1007">
        <f t="shared" si="91"/>
        <v>0</v>
      </c>
    </row>
    <row r="85" spans="1:134" ht="57.75" customHeight="1" x14ac:dyDescent="0.25">
      <c r="A85" s="1578"/>
      <c r="B85" s="1026"/>
      <c r="C85" s="1092" t="s">
        <v>4422</v>
      </c>
      <c r="D85" s="1018" t="s">
        <v>4356</v>
      </c>
      <c r="E85" s="1112">
        <v>520</v>
      </c>
      <c r="F85" s="1094" t="s">
        <v>4674</v>
      </c>
      <c r="G85" s="1429"/>
      <c r="H85" s="1060">
        <f t="shared" si="70"/>
        <v>417668313</v>
      </c>
      <c r="I85" s="1060">
        <f t="shared" si="71"/>
        <v>29325520</v>
      </c>
      <c r="J85" s="1428" t="s">
        <v>4868</v>
      </c>
      <c r="K85" s="1257" t="s">
        <v>4875</v>
      </c>
      <c r="L85" s="1257" t="s">
        <v>4881</v>
      </c>
      <c r="M85" s="1097">
        <v>78</v>
      </c>
      <c r="N85" s="1097">
        <v>45</v>
      </c>
      <c r="O85" s="1097">
        <v>35</v>
      </c>
      <c r="P85" s="1097">
        <v>50</v>
      </c>
      <c r="Q85" s="1097">
        <v>60</v>
      </c>
      <c r="R85" s="1097">
        <v>30</v>
      </c>
      <c r="S85" s="1094"/>
      <c r="T85" s="1094"/>
      <c r="U85" s="1094"/>
      <c r="V85" s="1094"/>
      <c r="W85" s="1094"/>
      <c r="X85" s="1094"/>
      <c r="Y85" s="1007">
        <f t="shared" si="72"/>
        <v>446993833</v>
      </c>
      <c r="Z85" s="991"/>
      <c r="AA85" s="991"/>
      <c r="AB85" s="991"/>
      <c r="AC85" s="991"/>
      <c r="AD85" s="991"/>
      <c r="AE85" s="991"/>
      <c r="AF85" s="1007"/>
      <c r="AG85" s="1007"/>
      <c r="AH85" s="1007"/>
      <c r="AI85" s="1007"/>
      <c r="AJ85" s="1007"/>
      <c r="AK85" s="1007"/>
      <c r="AL85" s="1007"/>
      <c r="AM85" s="1007"/>
      <c r="AN85" s="1007"/>
      <c r="AO85" s="1007"/>
      <c r="AP85" s="1007"/>
      <c r="AQ85" s="1007"/>
      <c r="AR85" s="1007"/>
      <c r="AS85" s="1007">
        <f>111000000+41000000+32000000+9000000+19000000+17271328+15000000+191272505+6000000+5450000</f>
        <v>446993833</v>
      </c>
      <c r="AT85" s="203"/>
      <c r="AU85" s="1010">
        <f t="shared" si="73"/>
        <v>1</v>
      </c>
      <c r="AV85" s="1007">
        <f t="shared" si="74"/>
        <v>446993833</v>
      </c>
      <c r="AW85" s="1007"/>
      <c r="AX85" s="1007"/>
      <c r="AY85" s="1007"/>
      <c r="AZ85" s="1007"/>
      <c r="BA85" s="1007"/>
      <c r="BB85" s="1007"/>
      <c r="BC85" s="1007"/>
      <c r="BD85" s="1007"/>
      <c r="BE85" s="1007"/>
      <c r="BF85" s="1007"/>
      <c r="BG85" s="1007"/>
      <c r="BH85" s="1007"/>
      <c r="BI85" s="1007"/>
      <c r="BJ85" s="1007"/>
      <c r="BK85" s="1007"/>
      <c r="BL85" s="1007"/>
      <c r="BM85" s="1007"/>
      <c r="BN85" s="1007"/>
      <c r="BO85" s="1007"/>
      <c r="BP85" s="1007">
        <f>+'[8]SEPTIEMBRE 2015'!$AD$3491</f>
        <v>446993833</v>
      </c>
      <c r="BQ85" s="1010">
        <f t="shared" si="25"/>
        <v>0</v>
      </c>
      <c r="BR85" s="1007">
        <f t="shared" si="75"/>
        <v>0</v>
      </c>
      <c r="BS85" s="1007">
        <f t="shared" si="76"/>
        <v>0</v>
      </c>
      <c r="BT85" s="1007">
        <f t="shared" si="77"/>
        <v>0</v>
      </c>
      <c r="BU85" s="1007"/>
      <c r="BV85" s="1007">
        <f t="shared" si="78"/>
        <v>0</v>
      </c>
      <c r="BW85" s="1007"/>
      <c r="BX85" s="1007">
        <f t="shared" si="79"/>
        <v>0</v>
      </c>
      <c r="BY85" s="1007">
        <f t="shared" si="79"/>
        <v>0</v>
      </c>
      <c r="BZ85" s="1007"/>
      <c r="CA85" s="1007">
        <f t="shared" si="92"/>
        <v>0</v>
      </c>
      <c r="CB85" s="1007">
        <f t="shared" si="92"/>
        <v>0</v>
      </c>
      <c r="CC85" s="1007"/>
      <c r="CD85" s="1007">
        <f t="shared" si="93"/>
        <v>0</v>
      </c>
      <c r="CE85" s="1007">
        <f t="shared" si="93"/>
        <v>0</v>
      </c>
      <c r="CF85" s="1007">
        <f t="shared" si="93"/>
        <v>0</v>
      </c>
      <c r="CG85" s="1007">
        <f t="shared" si="93"/>
        <v>0</v>
      </c>
      <c r="CH85" s="1007">
        <f t="shared" si="93"/>
        <v>0</v>
      </c>
      <c r="CI85" s="1007">
        <f t="shared" si="93"/>
        <v>0</v>
      </c>
      <c r="CJ85" s="1007"/>
      <c r="CK85" s="1007"/>
      <c r="CL85" s="1007">
        <f t="shared" si="81"/>
        <v>0</v>
      </c>
      <c r="CM85" s="1010">
        <f t="shared" si="82"/>
        <v>0.93439390471411721</v>
      </c>
      <c r="CN85" s="1007">
        <f t="shared" si="83"/>
        <v>417668313</v>
      </c>
      <c r="CO85" s="1007"/>
      <c r="CP85" s="1007"/>
      <c r="CQ85" s="1007"/>
      <c r="CR85" s="1007"/>
      <c r="CS85" s="1007"/>
      <c r="CT85" s="1007"/>
      <c r="CU85" s="1007"/>
      <c r="CV85" s="1007"/>
      <c r="CW85" s="1007"/>
      <c r="CX85" s="1007"/>
      <c r="CY85" s="1007"/>
      <c r="CZ85" s="1007"/>
      <c r="DA85" s="1007"/>
      <c r="DB85" s="1007"/>
      <c r="DC85" s="1007"/>
      <c r="DD85" s="1007"/>
      <c r="DE85" s="1007"/>
      <c r="DF85" s="1007"/>
      <c r="DG85" s="1007"/>
      <c r="DH85" s="1007">
        <f>+'[8]SEPTIEMBRE 2015'!$H$3489</f>
        <v>417668313</v>
      </c>
      <c r="DI85" s="1010">
        <f t="shared" si="84"/>
        <v>6.5606095285882793E-2</v>
      </c>
      <c r="DJ85" s="1007">
        <f t="shared" si="85"/>
        <v>29325520</v>
      </c>
      <c r="DK85" s="1007"/>
      <c r="DL85" s="1007"/>
      <c r="DM85" s="1007"/>
      <c r="DN85" s="1007">
        <f t="shared" si="86"/>
        <v>0</v>
      </c>
      <c r="DO85" s="1007"/>
      <c r="DP85" s="1007">
        <f t="shared" si="87"/>
        <v>0</v>
      </c>
      <c r="DQ85" s="1007">
        <f t="shared" si="87"/>
        <v>0</v>
      </c>
      <c r="DR85" s="1007"/>
      <c r="DS85" s="1007">
        <f t="shared" si="88"/>
        <v>0</v>
      </c>
      <c r="DT85" s="1007">
        <f t="shared" si="88"/>
        <v>0</v>
      </c>
      <c r="DU85" s="1007"/>
      <c r="DV85" s="1007">
        <f t="shared" si="89"/>
        <v>0</v>
      </c>
      <c r="DW85" s="1007">
        <f t="shared" si="89"/>
        <v>0</v>
      </c>
      <c r="DX85" s="1007">
        <f t="shared" si="89"/>
        <v>0</v>
      </c>
      <c r="DY85" s="1007">
        <f t="shared" si="90"/>
        <v>0</v>
      </c>
      <c r="DZ85" s="1007">
        <f t="shared" si="90"/>
        <v>0</v>
      </c>
      <c r="EA85" s="1007">
        <f t="shared" si="90"/>
        <v>0</v>
      </c>
      <c r="EB85" s="1007">
        <f t="shared" si="90"/>
        <v>0</v>
      </c>
      <c r="EC85" s="1007"/>
      <c r="ED85" s="1007">
        <f t="shared" si="91"/>
        <v>29325520</v>
      </c>
    </row>
    <row r="86" spans="1:134" ht="46.5" customHeight="1" x14ac:dyDescent="0.25">
      <c r="A86" s="1578"/>
      <c r="B86" s="1018"/>
      <c r="C86" s="1092" t="s">
        <v>4423</v>
      </c>
      <c r="D86" s="1018" t="s">
        <v>4357</v>
      </c>
      <c r="E86" s="1019">
        <v>520</v>
      </c>
      <c r="F86" s="1094" t="s">
        <v>4737</v>
      </c>
      <c r="G86" s="1429"/>
      <c r="H86" s="1060">
        <f t="shared" si="70"/>
        <v>3547686</v>
      </c>
      <c r="I86" s="1060">
        <f t="shared" si="71"/>
        <v>21008011</v>
      </c>
      <c r="J86" s="1430"/>
      <c r="K86" s="1258"/>
      <c r="L86" s="1258"/>
      <c r="M86" s="1097">
        <v>0</v>
      </c>
      <c r="N86" s="1097">
        <v>0</v>
      </c>
      <c r="O86" s="1097">
        <v>0</v>
      </c>
      <c r="P86" s="1097">
        <v>6</v>
      </c>
      <c r="Q86" s="1097">
        <v>7</v>
      </c>
      <c r="R86" s="1097">
        <v>0</v>
      </c>
      <c r="S86" s="1094"/>
      <c r="T86" s="1094"/>
      <c r="U86" s="1094"/>
      <c r="V86" s="1094"/>
      <c r="W86" s="1094"/>
      <c r="X86" s="1094"/>
      <c r="Y86" s="1007">
        <f t="shared" si="72"/>
        <v>24555697</v>
      </c>
      <c r="Z86" s="944"/>
      <c r="AA86" s="944"/>
      <c r="AB86" s="944"/>
      <c r="AC86" s="944"/>
      <c r="AD86" s="944"/>
      <c r="AE86" s="944"/>
      <c r="AF86" s="1007"/>
      <c r="AG86" s="1007"/>
      <c r="AH86" s="1007"/>
      <c r="AI86" s="1007"/>
      <c r="AJ86" s="1007"/>
      <c r="AK86" s="1007"/>
      <c r="AL86" s="1007"/>
      <c r="AM86" s="1007"/>
      <c r="AN86" s="1007"/>
      <c r="AO86" s="1007"/>
      <c r="AP86" s="1007"/>
      <c r="AQ86" s="1007"/>
      <c r="AR86" s="1007"/>
      <c r="AS86" s="1007">
        <f>3000000+5000000+15055697+1500000</f>
        <v>24555697</v>
      </c>
      <c r="AT86" s="203"/>
      <c r="AU86" s="1010">
        <f t="shared" si="73"/>
        <v>0.3306320321512356</v>
      </c>
      <c r="AV86" s="1007">
        <f t="shared" si="74"/>
        <v>8118900</v>
      </c>
      <c r="AW86" s="1007"/>
      <c r="AX86" s="1007"/>
      <c r="AY86" s="1007"/>
      <c r="AZ86" s="1007"/>
      <c r="BA86" s="1007"/>
      <c r="BB86" s="1007"/>
      <c r="BC86" s="1007"/>
      <c r="BD86" s="1007"/>
      <c r="BE86" s="1007"/>
      <c r="BF86" s="1007"/>
      <c r="BG86" s="1007"/>
      <c r="BH86" s="1007"/>
      <c r="BI86" s="1007"/>
      <c r="BJ86" s="1007"/>
      <c r="BK86" s="1007"/>
      <c r="BL86" s="1007"/>
      <c r="BM86" s="1007"/>
      <c r="BN86" s="1007"/>
      <c r="BO86" s="1007"/>
      <c r="BP86" s="1007">
        <f>+'[8]SEPTIEMBRE 2015'!$AD$3573</f>
        <v>8118900</v>
      </c>
      <c r="BQ86" s="1010">
        <f t="shared" si="25"/>
        <v>0.6693679678487644</v>
      </c>
      <c r="BR86" s="1007">
        <f t="shared" si="75"/>
        <v>16436797</v>
      </c>
      <c r="BS86" s="1007">
        <f t="shared" si="76"/>
        <v>0</v>
      </c>
      <c r="BT86" s="1007">
        <f t="shared" si="77"/>
        <v>0</v>
      </c>
      <c r="BU86" s="1007"/>
      <c r="BV86" s="1007">
        <f t="shared" si="78"/>
        <v>0</v>
      </c>
      <c r="BW86" s="1007"/>
      <c r="BX86" s="1007">
        <f t="shared" si="79"/>
        <v>0</v>
      </c>
      <c r="BY86" s="1007">
        <f t="shared" si="79"/>
        <v>0</v>
      </c>
      <c r="BZ86" s="1007"/>
      <c r="CA86" s="1007">
        <f t="shared" si="92"/>
        <v>0</v>
      </c>
      <c r="CB86" s="1007">
        <f t="shared" si="92"/>
        <v>0</v>
      </c>
      <c r="CC86" s="1007"/>
      <c r="CD86" s="1007">
        <f t="shared" si="93"/>
        <v>0</v>
      </c>
      <c r="CE86" s="1007">
        <f t="shared" si="93"/>
        <v>0</v>
      </c>
      <c r="CF86" s="1007">
        <f t="shared" si="93"/>
        <v>0</v>
      </c>
      <c r="CG86" s="1007">
        <f t="shared" si="93"/>
        <v>0</v>
      </c>
      <c r="CH86" s="1007">
        <f t="shared" si="93"/>
        <v>0</v>
      </c>
      <c r="CI86" s="1007">
        <f t="shared" si="93"/>
        <v>0</v>
      </c>
      <c r="CJ86" s="1007"/>
      <c r="CK86" s="1007"/>
      <c r="CL86" s="1007">
        <f t="shared" si="81"/>
        <v>16436797</v>
      </c>
      <c r="CM86" s="1010">
        <f t="shared" si="82"/>
        <v>0.14447506824994624</v>
      </c>
      <c r="CN86" s="1007">
        <f t="shared" si="83"/>
        <v>3547686</v>
      </c>
      <c r="CO86" s="1007"/>
      <c r="CP86" s="1007"/>
      <c r="CQ86" s="1007"/>
      <c r="CR86" s="1007"/>
      <c r="CS86" s="1007"/>
      <c r="CT86" s="1007"/>
      <c r="CU86" s="1007"/>
      <c r="CV86" s="1007"/>
      <c r="CW86" s="1007"/>
      <c r="CX86" s="1007"/>
      <c r="CY86" s="1007"/>
      <c r="CZ86" s="1007"/>
      <c r="DA86" s="1007"/>
      <c r="DB86" s="1007"/>
      <c r="DC86" s="1007"/>
      <c r="DD86" s="1007"/>
      <c r="DE86" s="1007"/>
      <c r="DF86" s="1007"/>
      <c r="DG86" s="1007"/>
      <c r="DH86" s="1007">
        <f>+'[7]AGOSTO 2015'!$H$2909</f>
        <v>3547686</v>
      </c>
      <c r="DI86" s="1010">
        <f t="shared" si="84"/>
        <v>0.85552493175005373</v>
      </c>
      <c r="DJ86" s="1007">
        <f t="shared" si="85"/>
        <v>21008011</v>
      </c>
      <c r="DK86" s="1007"/>
      <c r="DL86" s="1007"/>
      <c r="DM86" s="1007"/>
      <c r="DN86" s="1007">
        <f t="shared" si="86"/>
        <v>0</v>
      </c>
      <c r="DO86" s="1007"/>
      <c r="DP86" s="1007">
        <f t="shared" si="87"/>
        <v>0</v>
      </c>
      <c r="DQ86" s="1007">
        <f t="shared" si="87"/>
        <v>0</v>
      </c>
      <c r="DR86" s="1007"/>
      <c r="DS86" s="1007">
        <f t="shared" si="88"/>
        <v>0</v>
      </c>
      <c r="DT86" s="1007">
        <f t="shared" si="88"/>
        <v>0</v>
      </c>
      <c r="DU86" s="1007"/>
      <c r="DV86" s="1007">
        <f t="shared" si="89"/>
        <v>0</v>
      </c>
      <c r="DW86" s="1007">
        <f t="shared" si="89"/>
        <v>0</v>
      </c>
      <c r="DX86" s="1007">
        <f t="shared" si="89"/>
        <v>0</v>
      </c>
      <c r="DY86" s="1007">
        <f t="shared" si="90"/>
        <v>0</v>
      </c>
      <c r="DZ86" s="1007">
        <f t="shared" si="90"/>
        <v>0</v>
      </c>
      <c r="EA86" s="1007">
        <f t="shared" si="90"/>
        <v>0</v>
      </c>
      <c r="EB86" s="1007">
        <f t="shared" si="90"/>
        <v>0</v>
      </c>
      <c r="EC86" s="1007"/>
      <c r="ED86" s="1007">
        <f t="shared" si="91"/>
        <v>21008011</v>
      </c>
    </row>
    <row r="87" spans="1:134" ht="36" customHeight="1" x14ac:dyDescent="0.25">
      <c r="A87" s="1578"/>
      <c r="B87" s="1018"/>
      <c r="C87" s="1092" t="s">
        <v>4424</v>
      </c>
      <c r="D87" s="1018" t="s">
        <v>4358</v>
      </c>
      <c r="E87" s="1019">
        <v>520</v>
      </c>
      <c r="F87" s="1094" t="s">
        <v>3350</v>
      </c>
      <c r="G87" s="1429"/>
      <c r="H87" s="1060">
        <f t="shared" si="70"/>
        <v>144717838</v>
      </c>
      <c r="I87" s="1060">
        <f t="shared" si="71"/>
        <v>466146597</v>
      </c>
      <c r="J87" s="1428" t="s">
        <v>4869</v>
      </c>
      <c r="K87" s="1257" t="s">
        <v>4876</v>
      </c>
      <c r="L87" s="1257" t="s">
        <v>4882</v>
      </c>
      <c r="M87" s="1097">
        <v>0</v>
      </c>
      <c r="N87" s="1097">
        <v>8</v>
      </c>
      <c r="O87" s="1097">
        <v>0</v>
      </c>
      <c r="P87" s="1097">
        <v>0</v>
      </c>
      <c r="Q87" s="1097">
        <v>0</v>
      </c>
      <c r="R87" s="1097">
        <v>0</v>
      </c>
      <c r="S87" s="1094"/>
      <c r="T87" s="1094"/>
      <c r="U87" s="1094"/>
      <c r="V87" s="1094"/>
      <c r="W87" s="1094"/>
      <c r="X87" s="1094"/>
      <c r="Y87" s="1007">
        <f t="shared" si="72"/>
        <v>610864435</v>
      </c>
      <c r="Z87" s="944"/>
      <c r="AA87" s="944"/>
      <c r="AB87" s="944"/>
      <c r="AC87" s="944"/>
      <c r="AD87" s="944"/>
      <c r="AE87" s="944"/>
      <c r="AF87" s="1007"/>
      <c r="AG87" s="1007"/>
      <c r="AH87" s="1007"/>
      <c r="AI87" s="1007"/>
      <c r="AJ87" s="1007"/>
      <c r="AK87" s="1007"/>
      <c r="AL87" s="1007">
        <f>450000000+160864435</f>
        <v>610864435</v>
      </c>
      <c r="AM87" s="1007"/>
      <c r="AN87" s="1007"/>
      <c r="AO87" s="1007"/>
      <c r="AP87" s="1007"/>
      <c r="AQ87" s="1007"/>
      <c r="AR87" s="1007"/>
      <c r="AS87" s="1007"/>
      <c r="AT87" s="203"/>
      <c r="AU87" s="1010">
        <f t="shared" si="73"/>
        <v>0.39234765075167621</v>
      </c>
      <c r="AV87" s="1007">
        <f t="shared" si="74"/>
        <v>239671226</v>
      </c>
      <c r="AW87" s="1007"/>
      <c r="AX87" s="1007"/>
      <c r="AY87" s="1007"/>
      <c r="AZ87" s="1007"/>
      <c r="BA87" s="1007"/>
      <c r="BB87" s="1007"/>
      <c r="BC87" s="1007"/>
      <c r="BD87" s="1007"/>
      <c r="BE87" s="1007"/>
      <c r="BF87" s="1007"/>
      <c r="BG87" s="1007"/>
      <c r="BH87" s="1007"/>
      <c r="BI87" s="1007">
        <f>+'[8]SEPTIEMBRE 2015'!$V$3585</f>
        <v>239671226</v>
      </c>
      <c r="BJ87" s="1007"/>
      <c r="BK87" s="1007"/>
      <c r="BL87" s="1007"/>
      <c r="BM87" s="1007"/>
      <c r="BN87" s="1007"/>
      <c r="BO87" s="1007"/>
      <c r="BP87" s="1007"/>
      <c r="BQ87" s="1010">
        <f t="shared" si="25"/>
        <v>0.60765234924832379</v>
      </c>
      <c r="BR87" s="1007">
        <f t="shared" si="75"/>
        <v>371193209</v>
      </c>
      <c r="BS87" s="1007">
        <f t="shared" si="76"/>
        <v>0</v>
      </c>
      <c r="BT87" s="1007">
        <f t="shared" si="77"/>
        <v>0</v>
      </c>
      <c r="BU87" s="1007"/>
      <c r="BV87" s="1007">
        <f t="shared" si="78"/>
        <v>0</v>
      </c>
      <c r="BW87" s="1007"/>
      <c r="BX87" s="1007">
        <f t="shared" si="79"/>
        <v>0</v>
      </c>
      <c r="BY87" s="1007">
        <f t="shared" si="79"/>
        <v>0</v>
      </c>
      <c r="BZ87" s="1007"/>
      <c r="CA87" s="1007">
        <f t="shared" si="92"/>
        <v>0</v>
      </c>
      <c r="CB87" s="1007">
        <f t="shared" si="92"/>
        <v>0</v>
      </c>
      <c r="CC87" s="1007"/>
      <c r="CD87" s="1007">
        <f t="shared" si="93"/>
        <v>0</v>
      </c>
      <c r="CE87" s="1007">
        <f t="shared" si="93"/>
        <v>371193209</v>
      </c>
      <c r="CF87" s="1007">
        <f t="shared" si="93"/>
        <v>0</v>
      </c>
      <c r="CG87" s="1007">
        <f t="shared" si="93"/>
        <v>0</v>
      </c>
      <c r="CH87" s="1007">
        <f t="shared" si="93"/>
        <v>0</v>
      </c>
      <c r="CI87" s="1007">
        <f t="shared" si="93"/>
        <v>0</v>
      </c>
      <c r="CJ87" s="1007"/>
      <c r="CK87" s="1007"/>
      <c r="CL87" s="1007">
        <f t="shared" si="81"/>
        <v>0</v>
      </c>
      <c r="CM87" s="1010">
        <f t="shared" si="82"/>
        <v>0.23690663543049451</v>
      </c>
      <c r="CN87" s="1007">
        <f t="shared" si="83"/>
        <v>144717838</v>
      </c>
      <c r="CO87" s="1007"/>
      <c r="CP87" s="1007"/>
      <c r="CQ87" s="1007"/>
      <c r="CR87" s="1007"/>
      <c r="CS87" s="1007"/>
      <c r="CT87" s="1007"/>
      <c r="CU87" s="1007"/>
      <c r="CV87" s="1007"/>
      <c r="CW87" s="1007"/>
      <c r="CX87" s="1007"/>
      <c r="CY87" s="1007"/>
      <c r="CZ87" s="1007"/>
      <c r="DA87" s="1007">
        <f>+'[8]SEPTIEMBRE 2015'!$H$3583</f>
        <v>144717838</v>
      </c>
      <c r="DB87" s="1007"/>
      <c r="DC87" s="1007"/>
      <c r="DD87" s="1007"/>
      <c r="DE87" s="1007"/>
      <c r="DF87" s="1007"/>
      <c r="DG87" s="1007"/>
      <c r="DH87" s="1007"/>
      <c r="DI87" s="1010">
        <f t="shared" si="84"/>
        <v>0.76309336456950549</v>
      </c>
      <c r="DJ87" s="1007">
        <f t="shared" si="85"/>
        <v>466146597</v>
      </c>
      <c r="DK87" s="1007"/>
      <c r="DL87" s="1007"/>
      <c r="DM87" s="1007"/>
      <c r="DN87" s="1007">
        <f t="shared" si="86"/>
        <v>0</v>
      </c>
      <c r="DO87" s="1007"/>
      <c r="DP87" s="1007">
        <f t="shared" si="87"/>
        <v>0</v>
      </c>
      <c r="DQ87" s="1007">
        <f t="shared" si="87"/>
        <v>0</v>
      </c>
      <c r="DR87" s="1007"/>
      <c r="DS87" s="1007">
        <f t="shared" si="88"/>
        <v>0</v>
      </c>
      <c r="DT87" s="1007">
        <f t="shared" si="88"/>
        <v>0</v>
      </c>
      <c r="DU87" s="1007"/>
      <c r="DV87" s="1007">
        <f t="shared" si="89"/>
        <v>0</v>
      </c>
      <c r="DW87" s="1007">
        <f t="shared" si="89"/>
        <v>466146597</v>
      </c>
      <c r="DX87" s="1007">
        <f t="shared" si="89"/>
        <v>0</v>
      </c>
      <c r="DY87" s="1007">
        <f t="shared" si="90"/>
        <v>0</v>
      </c>
      <c r="DZ87" s="1007">
        <f t="shared" si="90"/>
        <v>0</v>
      </c>
      <c r="EA87" s="1007">
        <f t="shared" si="90"/>
        <v>0</v>
      </c>
      <c r="EB87" s="1007">
        <f t="shared" si="90"/>
        <v>0</v>
      </c>
      <c r="EC87" s="1007"/>
      <c r="ED87" s="1007">
        <f t="shared" si="91"/>
        <v>0</v>
      </c>
    </row>
    <row r="88" spans="1:134" ht="33" customHeight="1" x14ac:dyDescent="0.25">
      <c r="A88" s="1578"/>
      <c r="B88" s="1018"/>
      <c r="C88" s="1092" t="s">
        <v>4425</v>
      </c>
      <c r="D88" s="1018" t="s">
        <v>4618</v>
      </c>
      <c r="E88" s="1019">
        <v>520</v>
      </c>
      <c r="F88" s="1094" t="s">
        <v>3350</v>
      </c>
      <c r="G88" s="1430"/>
      <c r="H88" s="1060">
        <f t="shared" si="70"/>
        <v>0</v>
      </c>
      <c r="I88" s="1060">
        <f t="shared" si="71"/>
        <v>23014856</v>
      </c>
      <c r="J88" s="1430"/>
      <c r="K88" s="1258"/>
      <c r="L88" s="1258"/>
      <c r="M88" s="1097">
        <v>0</v>
      </c>
      <c r="N88" s="1097">
        <v>0</v>
      </c>
      <c r="O88" s="1097">
        <v>0</v>
      </c>
      <c r="P88" s="1097">
        <v>0</v>
      </c>
      <c r="Q88" s="1097">
        <v>40</v>
      </c>
      <c r="R88" s="1097">
        <v>0</v>
      </c>
      <c r="S88" s="1094"/>
      <c r="T88" s="1094"/>
      <c r="U88" s="1094"/>
      <c r="V88" s="1094"/>
      <c r="W88" s="1094"/>
      <c r="X88" s="1094"/>
      <c r="Y88" s="1007">
        <f t="shared" si="72"/>
        <v>23014856</v>
      </c>
      <c r="Z88" s="944"/>
      <c r="AA88" s="1016">
        <f>23014856-23014856</f>
        <v>0</v>
      </c>
      <c r="AB88" s="1016"/>
      <c r="AC88" s="944"/>
      <c r="AD88" s="944"/>
      <c r="AE88" s="944"/>
      <c r="AF88" s="1007">
        <v>23014856</v>
      </c>
      <c r="AG88" s="1007"/>
      <c r="AH88" s="1007"/>
      <c r="AI88" s="1007"/>
      <c r="AJ88" s="1007"/>
      <c r="AK88" s="1007"/>
      <c r="AL88" s="1007"/>
      <c r="AM88" s="1007"/>
      <c r="AN88" s="1007"/>
      <c r="AO88" s="1007"/>
      <c r="AP88" s="1007"/>
      <c r="AQ88" s="1007"/>
      <c r="AR88" s="1007"/>
      <c r="AS88" s="1007"/>
      <c r="AT88" s="203"/>
      <c r="AU88" s="1010">
        <f t="shared" si="73"/>
        <v>1</v>
      </c>
      <c r="AV88" s="1007">
        <f t="shared" si="74"/>
        <v>23014856</v>
      </c>
      <c r="AW88" s="1007"/>
      <c r="AX88" s="1007"/>
      <c r="AY88" s="1007"/>
      <c r="AZ88" s="1007"/>
      <c r="BA88" s="1007"/>
      <c r="BB88" s="1007"/>
      <c r="BC88" s="1007">
        <f>+'[12]FEBRERO 2015'!$O$1235</f>
        <v>23014856</v>
      </c>
      <c r="BD88" s="1007"/>
      <c r="BE88" s="1007"/>
      <c r="BF88" s="1007"/>
      <c r="BG88" s="1007"/>
      <c r="BH88" s="1007"/>
      <c r="BI88" s="1007"/>
      <c r="BJ88" s="1007"/>
      <c r="BK88" s="1007"/>
      <c r="BL88" s="1007"/>
      <c r="BM88" s="1007"/>
      <c r="BN88" s="1007"/>
      <c r="BO88" s="1007"/>
      <c r="BP88" s="1007"/>
      <c r="BQ88" s="1010">
        <f t="shared" ref="BQ88:BQ104" si="94">1-AU88</f>
        <v>0</v>
      </c>
      <c r="BR88" s="1007">
        <f t="shared" si="75"/>
        <v>0</v>
      </c>
      <c r="BS88" s="1007">
        <f t="shared" si="76"/>
        <v>0</v>
      </c>
      <c r="BT88" s="1007">
        <f t="shared" si="77"/>
        <v>0</v>
      </c>
      <c r="BU88" s="1007"/>
      <c r="BV88" s="1007">
        <f t="shared" si="78"/>
        <v>0</v>
      </c>
      <c r="BW88" s="1007"/>
      <c r="BX88" s="1007">
        <f t="shared" si="79"/>
        <v>0</v>
      </c>
      <c r="BY88" s="1007">
        <f t="shared" si="79"/>
        <v>0</v>
      </c>
      <c r="BZ88" s="1007"/>
      <c r="CA88" s="1007">
        <f t="shared" si="92"/>
        <v>0</v>
      </c>
      <c r="CB88" s="1007">
        <f t="shared" si="92"/>
        <v>0</v>
      </c>
      <c r="CC88" s="1007"/>
      <c r="CD88" s="1007">
        <f t="shared" si="93"/>
        <v>0</v>
      </c>
      <c r="CE88" s="1007">
        <f t="shared" si="93"/>
        <v>0</v>
      </c>
      <c r="CF88" s="1007">
        <f t="shared" si="93"/>
        <v>0</v>
      </c>
      <c r="CG88" s="1007">
        <f t="shared" si="93"/>
        <v>0</v>
      </c>
      <c r="CH88" s="1007">
        <f t="shared" si="93"/>
        <v>0</v>
      </c>
      <c r="CI88" s="1007">
        <f t="shared" si="93"/>
        <v>0</v>
      </c>
      <c r="CJ88" s="1007"/>
      <c r="CK88" s="1007"/>
      <c r="CL88" s="1007">
        <f t="shared" si="81"/>
        <v>0</v>
      </c>
      <c r="CM88" s="1010">
        <f t="shared" si="82"/>
        <v>0</v>
      </c>
      <c r="CN88" s="1007">
        <f t="shared" si="83"/>
        <v>0</v>
      </c>
      <c r="CO88" s="1007"/>
      <c r="CP88" s="1007"/>
      <c r="CQ88" s="1007"/>
      <c r="CR88" s="1007"/>
      <c r="CS88" s="1007"/>
      <c r="CT88" s="1007"/>
      <c r="CU88" s="1007"/>
      <c r="CV88" s="1007"/>
      <c r="CW88" s="1007"/>
      <c r="CX88" s="1007"/>
      <c r="CY88" s="1007"/>
      <c r="CZ88" s="1007"/>
      <c r="DA88" s="1007"/>
      <c r="DB88" s="1007"/>
      <c r="DC88" s="1007"/>
      <c r="DD88" s="1007"/>
      <c r="DE88" s="1007"/>
      <c r="DF88" s="1007"/>
      <c r="DG88" s="1007"/>
      <c r="DH88" s="1007"/>
      <c r="DI88" s="1010">
        <f t="shared" si="84"/>
        <v>1</v>
      </c>
      <c r="DJ88" s="1007">
        <f t="shared" si="85"/>
        <v>23014856</v>
      </c>
      <c r="DK88" s="1007"/>
      <c r="DL88" s="1007">
        <f>AA88-CP88</f>
        <v>0</v>
      </c>
      <c r="DM88" s="1007">
        <f>AB88-CQ88</f>
        <v>0</v>
      </c>
      <c r="DN88" s="1007">
        <f t="shared" si="86"/>
        <v>0</v>
      </c>
      <c r="DO88" s="1007"/>
      <c r="DP88" s="1007">
        <f t="shared" si="87"/>
        <v>0</v>
      </c>
      <c r="DQ88" s="1007">
        <f t="shared" si="87"/>
        <v>23014856</v>
      </c>
      <c r="DR88" s="1007"/>
      <c r="DS88" s="1007">
        <f t="shared" si="88"/>
        <v>0</v>
      </c>
      <c r="DT88" s="1007">
        <f t="shared" si="88"/>
        <v>0</v>
      </c>
      <c r="DU88" s="1007"/>
      <c r="DV88" s="1007">
        <f t="shared" si="89"/>
        <v>0</v>
      </c>
      <c r="DW88" s="1007">
        <f t="shared" si="89"/>
        <v>0</v>
      </c>
      <c r="DX88" s="1007">
        <f t="shared" si="89"/>
        <v>0</v>
      </c>
      <c r="DY88" s="1007">
        <f t="shared" si="90"/>
        <v>0</v>
      </c>
      <c r="DZ88" s="1007">
        <f t="shared" si="90"/>
        <v>0</v>
      </c>
      <c r="EA88" s="1007">
        <f t="shared" si="90"/>
        <v>0</v>
      </c>
      <c r="EB88" s="1007">
        <f t="shared" si="90"/>
        <v>0</v>
      </c>
      <c r="EC88" s="1007"/>
      <c r="ED88" s="1007">
        <f t="shared" si="91"/>
        <v>0</v>
      </c>
    </row>
    <row r="89" spans="1:134" ht="77.25" customHeight="1" x14ac:dyDescent="0.25">
      <c r="A89" s="1578"/>
      <c r="B89" s="1018" t="s">
        <v>4359</v>
      </c>
      <c r="C89" s="1092" t="s">
        <v>4426</v>
      </c>
      <c r="D89" s="1018" t="s">
        <v>4725</v>
      </c>
      <c r="E89" s="1019">
        <v>520</v>
      </c>
      <c r="F89" s="1094" t="s">
        <v>4360</v>
      </c>
      <c r="G89" s="1428">
        <v>150000000</v>
      </c>
      <c r="H89" s="1060">
        <f t="shared" si="70"/>
        <v>0</v>
      </c>
      <c r="I89" s="1060">
        <f t="shared" si="71"/>
        <v>40000000</v>
      </c>
      <c r="J89" s="1428" t="s">
        <v>4771</v>
      </c>
      <c r="K89" s="1257" t="s">
        <v>4883</v>
      </c>
      <c r="L89" s="1257" t="s">
        <v>4884</v>
      </c>
      <c r="M89" s="1097">
        <v>0</v>
      </c>
      <c r="N89" s="1097">
        <v>0</v>
      </c>
      <c r="O89" s="1097">
        <v>0</v>
      </c>
      <c r="P89" s="1097">
        <v>0</v>
      </c>
      <c r="Q89" s="1097">
        <v>0</v>
      </c>
      <c r="R89" s="1097">
        <v>0</v>
      </c>
      <c r="S89" s="1094"/>
      <c r="T89" s="1094"/>
      <c r="U89" s="1094"/>
      <c r="V89" s="1094"/>
      <c r="W89" s="1094"/>
      <c r="X89" s="1094"/>
      <c r="Y89" s="1007">
        <f t="shared" si="72"/>
        <v>40000000</v>
      </c>
      <c r="Z89" s="944"/>
      <c r="AA89" s="944"/>
      <c r="AB89" s="944"/>
      <c r="AC89" s="1007">
        <f>10000000-10000000</f>
        <v>0</v>
      </c>
      <c r="AD89" s="1007"/>
      <c r="AE89" s="1007">
        <v>30000000</v>
      </c>
      <c r="AF89" s="1007"/>
      <c r="AG89" s="1007"/>
      <c r="AH89" s="1007"/>
      <c r="AI89" s="1007"/>
      <c r="AJ89" s="1007"/>
      <c r="AK89" s="1007"/>
      <c r="AL89" s="1007"/>
      <c r="AM89" s="1007"/>
      <c r="AN89" s="1007">
        <v>10000000</v>
      </c>
      <c r="AO89" s="1007"/>
      <c r="AP89" s="1007"/>
      <c r="AQ89" s="1007"/>
      <c r="AR89" s="1007"/>
      <c r="AS89" s="1007"/>
      <c r="AT89" s="203"/>
      <c r="AU89" s="1010">
        <f t="shared" si="73"/>
        <v>1</v>
      </c>
      <c r="AV89" s="1007">
        <f t="shared" si="74"/>
        <v>40000000</v>
      </c>
      <c r="AW89" s="1007"/>
      <c r="AX89" s="1007"/>
      <c r="AY89" s="1007"/>
      <c r="AZ89" s="1007"/>
      <c r="BA89" s="1007"/>
      <c r="BB89" s="1007">
        <f>+'[15]FEBRERO 2015'!$N$1172</f>
        <v>30000000</v>
      </c>
      <c r="BC89" s="1007"/>
      <c r="BD89" s="1007"/>
      <c r="BE89" s="1007"/>
      <c r="BF89" s="1007"/>
      <c r="BG89" s="1007"/>
      <c r="BH89" s="1007"/>
      <c r="BI89" s="1007"/>
      <c r="BJ89" s="1007"/>
      <c r="BK89" s="1007">
        <f>+'[12]FEBRERO 2015'!$W$1245</f>
        <v>10000000</v>
      </c>
      <c r="BL89" s="1007"/>
      <c r="BM89" s="1007"/>
      <c r="BN89" s="1007"/>
      <c r="BO89" s="1007"/>
      <c r="BP89" s="1007"/>
      <c r="BQ89" s="1010">
        <f t="shared" si="94"/>
        <v>0</v>
      </c>
      <c r="BR89" s="1007">
        <f t="shared" si="75"/>
        <v>0</v>
      </c>
      <c r="BS89" s="1007">
        <f t="shared" si="76"/>
        <v>0</v>
      </c>
      <c r="BT89" s="1007">
        <f t="shared" si="77"/>
        <v>0</v>
      </c>
      <c r="BU89" s="1007"/>
      <c r="BV89" s="1007">
        <f t="shared" si="78"/>
        <v>0</v>
      </c>
      <c r="BW89" s="1007"/>
      <c r="BX89" s="1007">
        <f t="shared" si="79"/>
        <v>0</v>
      </c>
      <c r="BY89" s="1007">
        <f t="shared" si="79"/>
        <v>0</v>
      </c>
      <c r="BZ89" s="1007"/>
      <c r="CA89" s="1007">
        <f t="shared" si="92"/>
        <v>0</v>
      </c>
      <c r="CB89" s="1007">
        <f t="shared" si="92"/>
        <v>0</v>
      </c>
      <c r="CC89" s="1007"/>
      <c r="CD89" s="1007">
        <f t="shared" si="93"/>
        <v>0</v>
      </c>
      <c r="CE89" s="1007">
        <f t="shared" si="93"/>
        <v>0</v>
      </c>
      <c r="CF89" s="1007">
        <f t="shared" si="93"/>
        <v>0</v>
      </c>
      <c r="CG89" s="1007">
        <f t="shared" si="93"/>
        <v>0</v>
      </c>
      <c r="CH89" s="1007">
        <f t="shared" si="93"/>
        <v>0</v>
      </c>
      <c r="CI89" s="1007">
        <f t="shared" si="93"/>
        <v>0</v>
      </c>
      <c r="CJ89" s="1007"/>
      <c r="CK89" s="1007"/>
      <c r="CL89" s="1007">
        <f t="shared" si="81"/>
        <v>0</v>
      </c>
      <c r="CM89" s="1010">
        <f t="shared" si="82"/>
        <v>0</v>
      </c>
      <c r="CN89" s="1007">
        <f t="shared" si="83"/>
        <v>0</v>
      </c>
      <c r="CO89" s="1007"/>
      <c r="CP89" s="1007"/>
      <c r="CQ89" s="1007"/>
      <c r="CR89" s="1007"/>
      <c r="CS89" s="1007"/>
      <c r="CT89" s="1007"/>
      <c r="CU89" s="1007"/>
      <c r="CV89" s="1007"/>
      <c r="CW89" s="1007"/>
      <c r="CX89" s="1007"/>
      <c r="CY89" s="1007"/>
      <c r="CZ89" s="1007"/>
      <c r="DA89" s="1007"/>
      <c r="DB89" s="1007"/>
      <c r="DC89" s="1007"/>
      <c r="DD89" s="1007"/>
      <c r="DE89" s="1007"/>
      <c r="DF89" s="1007"/>
      <c r="DG89" s="1007"/>
      <c r="DH89" s="1007"/>
      <c r="DI89" s="1010">
        <f t="shared" si="84"/>
        <v>1</v>
      </c>
      <c r="DJ89" s="1007">
        <f t="shared" si="85"/>
        <v>40000000</v>
      </c>
      <c r="DK89" s="1007"/>
      <c r="DL89" s="1007"/>
      <c r="DM89" s="1007"/>
      <c r="DN89" s="1007">
        <f t="shared" si="86"/>
        <v>0</v>
      </c>
      <c r="DO89" s="1007"/>
      <c r="DP89" s="1007">
        <f t="shared" si="87"/>
        <v>30000000</v>
      </c>
      <c r="DQ89" s="1007">
        <f t="shared" si="87"/>
        <v>0</v>
      </c>
      <c r="DR89" s="1007"/>
      <c r="DS89" s="1007">
        <f t="shared" si="88"/>
        <v>0</v>
      </c>
      <c r="DT89" s="1007">
        <f t="shared" si="88"/>
        <v>0</v>
      </c>
      <c r="DU89" s="1007"/>
      <c r="DV89" s="1007">
        <f t="shared" si="89"/>
        <v>0</v>
      </c>
      <c r="DW89" s="1007">
        <f t="shared" si="89"/>
        <v>0</v>
      </c>
      <c r="DX89" s="1007">
        <f t="shared" si="89"/>
        <v>0</v>
      </c>
      <c r="DY89" s="1007">
        <f t="shared" si="90"/>
        <v>10000000</v>
      </c>
      <c r="DZ89" s="1007">
        <f t="shared" si="90"/>
        <v>0</v>
      </c>
      <c r="EA89" s="1007">
        <f t="shared" si="90"/>
        <v>0</v>
      </c>
      <c r="EB89" s="1007">
        <f t="shared" si="90"/>
        <v>0</v>
      </c>
      <c r="EC89" s="1007"/>
      <c r="ED89" s="1007">
        <f t="shared" si="91"/>
        <v>0</v>
      </c>
    </row>
    <row r="90" spans="1:134" ht="24" customHeight="1" x14ac:dyDescent="0.25">
      <c r="A90" s="1578"/>
      <c r="B90" s="1028"/>
      <c r="C90" s="1092" t="s">
        <v>4427</v>
      </c>
      <c r="D90" s="1018" t="s">
        <v>4619</v>
      </c>
      <c r="E90" s="1019">
        <v>520</v>
      </c>
      <c r="F90" s="1094" t="s">
        <v>3350</v>
      </c>
      <c r="G90" s="1429"/>
      <c r="H90" s="1060">
        <f t="shared" si="70"/>
        <v>48739200</v>
      </c>
      <c r="I90" s="1060">
        <f t="shared" si="71"/>
        <v>1260800</v>
      </c>
      <c r="J90" s="1429"/>
      <c r="K90" s="1562"/>
      <c r="L90" s="1562"/>
      <c r="M90" s="1097">
        <v>0</v>
      </c>
      <c r="N90" s="1097">
        <v>0</v>
      </c>
      <c r="O90" s="1097">
        <v>0</v>
      </c>
      <c r="P90" s="1097">
        <v>90</v>
      </c>
      <c r="Q90" s="1097">
        <v>80</v>
      </c>
      <c r="R90" s="1097">
        <v>72</v>
      </c>
      <c r="S90" s="1094"/>
      <c r="T90" s="1094"/>
      <c r="U90" s="1094"/>
      <c r="V90" s="1094"/>
      <c r="W90" s="1094"/>
      <c r="X90" s="1094"/>
      <c r="Y90" s="1007">
        <f t="shared" si="72"/>
        <v>50000000</v>
      </c>
      <c r="Z90" s="944"/>
      <c r="AA90" s="944"/>
      <c r="AB90" s="944"/>
      <c r="AC90" s="1007">
        <v>40000000</v>
      </c>
      <c r="AD90" s="1007"/>
      <c r="AE90" s="1007"/>
      <c r="AF90" s="1007"/>
      <c r="AG90" s="1007"/>
      <c r="AH90" s="1007"/>
      <c r="AI90" s="1007"/>
      <c r="AJ90" s="1007"/>
      <c r="AK90" s="1007"/>
      <c r="AL90" s="1007"/>
      <c r="AM90" s="1007"/>
      <c r="AN90" s="1007">
        <v>10000000</v>
      </c>
      <c r="AO90" s="1007"/>
      <c r="AP90" s="1007"/>
      <c r="AQ90" s="1007"/>
      <c r="AR90" s="1007"/>
      <c r="AS90" s="1007"/>
      <c r="AT90" s="203"/>
      <c r="AU90" s="1010">
        <f t="shared" si="73"/>
        <v>1</v>
      </c>
      <c r="AV90" s="1007">
        <f t="shared" si="74"/>
        <v>50000000</v>
      </c>
      <c r="AW90" s="1007"/>
      <c r="AX90" s="1007"/>
      <c r="AY90" s="1007"/>
      <c r="AZ90" s="1007">
        <f>+'[9]ABRIL 2015'!$L$1730</f>
        <v>40000000</v>
      </c>
      <c r="BA90" s="1007"/>
      <c r="BB90" s="1007"/>
      <c r="BC90" s="1007"/>
      <c r="BD90" s="1007"/>
      <c r="BE90" s="1007"/>
      <c r="BF90" s="1007"/>
      <c r="BG90" s="1007"/>
      <c r="BH90" s="1007"/>
      <c r="BI90" s="1007"/>
      <c r="BJ90" s="1007"/>
      <c r="BK90" s="1007">
        <f>+'[13]JUNIO 2015'!$X$2249</f>
        <v>10000000</v>
      </c>
      <c r="BL90" s="1007"/>
      <c r="BM90" s="1007"/>
      <c r="BN90" s="1007"/>
      <c r="BO90" s="1007"/>
      <c r="BP90" s="1007"/>
      <c r="BQ90" s="1010">
        <f t="shared" si="94"/>
        <v>0</v>
      </c>
      <c r="BR90" s="1007">
        <f t="shared" si="75"/>
        <v>0</v>
      </c>
      <c r="BS90" s="1007">
        <f t="shared" si="76"/>
        <v>0</v>
      </c>
      <c r="BT90" s="1007">
        <f t="shared" si="77"/>
        <v>0</v>
      </c>
      <c r="BU90" s="1007"/>
      <c r="BV90" s="1007">
        <f t="shared" si="78"/>
        <v>0</v>
      </c>
      <c r="BW90" s="1007"/>
      <c r="BX90" s="1007">
        <f t="shared" si="79"/>
        <v>0</v>
      </c>
      <c r="BY90" s="1007">
        <f t="shared" si="79"/>
        <v>0</v>
      </c>
      <c r="BZ90" s="1007"/>
      <c r="CA90" s="1007">
        <f t="shared" si="92"/>
        <v>0</v>
      </c>
      <c r="CB90" s="1007">
        <f t="shared" si="92"/>
        <v>0</v>
      </c>
      <c r="CC90" s="1007"/>
      <c r="CD90" s="1007">
        <f t="shared" si="93"/>
        <v>0</v>
      </c>
      <c r="CE90" s="1007">
        <f t="shared" si="93"/>
        <v>0</v>
      </c>
      <c r="CF90" s="1007">
        <f t="shared" si="93"/>
        <v>0</v>
      </c>
      <c r="CG90" s="1007">
        <f t="shared" si="93"/>
        <v>0</v>
      </c>
      <c r="CH90" s="1007">
        <f t="shared" si="93"/>
        <v>0</v>
      </c>
      <c r="CI90" s="1007">
        <f t="shared" si="93"/>
        <v>0</v>
      </c>
      <c r="CJ90" s="1007"/>
      <c r="CK90" s="1007"/>
      <c r="CL90" s="1007">
        <f t="shared" si="81"/>
        <v>0</v>
      </c>
      <c r="CM90" s="1010">
        <f t="shared" si="82"/>
        <v>0.97478399999999998</v>
      </c>
      <c r="CN90" s="1007">
        <f t="shared" si="83"/>
        <v>48739200</v>
      </c>
      <c r="CO90" s="1007"/>
      <c r="CP90" s="1007"/>
      <c r="CQ90" s="1007"/>
      <c r="CR90" s="1007">
        <f>+'[13]JUNIO 2015'!$H$2252</f>
        <v>40000000</v>
      </c>
      <c r="CS90" s="1007"/>
      <c r="CT90" s="1007"/>
      <c r="CU90" s="1007"/>
      <c r="CV90" s="1007"/>
      <c r="CW90" s="1007"/>
      <c r="CX90" s="1007"/>
      <c r="CY90" s="1007"/>
      <c r="CZ90" s="1007"/>
      <c r="DA90" s="1007"/>
      <c r="DB90" s="1007"/>
      <c r="DC90" s="1007">
        <f>+'[10]JULIO 2015'!$H$2631</f>
        <v>8739200</v>
      </c>
      <c r="DD90" s="1007"/>
      <c r="DE90" s="1007"/>
      <c r="DF90" s="1007"/>
      <c r="DG90" s="1007"/>
      <c r="DH90" s="1007"/>
      <c r="DI90" s="1010">
        <f t="shared" si="84"/>
        <v>2.5216000000000016E-2</v>
      </c>
      <c r="DJ90" s="1007">
        <f t="shared" si="85"/>
        <v>1260800</v>
      </c>
      <c r="DK90" s="1007"/>
      <c r="DL90" s="1007"/>
      <c r="DM90" s="1007"/>
      <c r="DN90" s="1007">
        <f t="shared" si="86"/>
        <v>0</v>
      </c>
      <c r="DO90" s="1007"/>
      <c r="DP90" s="1007">
        <f t="shared" si="87"/>
        <v>0</v>
      </c>
      <c r="DQ90" s="1007">
        <f t="shared" si="87"/>
        <v>0</v>
      </c>
      <c r="DR90" s="1007"/>
      <c r="DS90" s="1007">
        <f t="shared" si="88"/>
        <v>0</v>
      </c>
      <c r="DT90" s="1007">
        <f t="shared" si="88"/>
        <v>0</v>
      </c>
      <c r="DU90" s="1007"/>
      <c r="DV90" s="1007">
        <f t="shared" si="89"/>
        <v>0</v>
      </c>
      <c r="DW90" s="1007">
        <f t="shared" si="89"/>
        <v>0</v>
      </c>
      <c r="DX90" s="1007">
        <f t="shared" si="89"/>
        <v>0</v>
      </c>
      <c r="DY90" s="1007">
        <f t="shared" si="90"/>
        <v>1260800</v>
      </c>
      <c r="DZ90" s="1007">
        <f t="shared" si="90"/>
        <v>0</v>
      </c>
      <c r="EA90" s="1007">
        <f t="shared" si="90"/>
        <v>0</v>
      </c>
      <c r="EB90" s="1007">
        <f t="shared" si="90"/>
        <v>0</v>
      </c>
      <c r="EC90" s="1007"/>
      <c r="ED90" s="1007">
        <f t="shared" si="91"/>
        <v>0</v>
      </c>
    </row>
    <row r="91" spans="1:134" ht="31.5" customHeight="1" x14ac:dyDescent="0.25">
      <c r="A91" s="1578"/>
      <c r="B91" s="1028"/>
      <c r="C91" s="1092" t="s">
        <v>4428</v>
      </c>
      <c r="D91" s="1018" t="s">
        <v>4620</v>
      </c>
      <c r="E91" s="1019">
        <v>520</v>
      </c>
      <c r="F91" s="1094" t="s">
        <v>3350</v>
      </c>
      <c r="G91" s="1429"/>
      <c r="H91" s="1060">
        <f t="shared" si="70"/>
        <v>20000000</v>
      </c>
      <c r="I91" s="1060">
        <f t="shared" si="71"/>
        <v>0</v>
      </c>
      <c r="J91" s="1429"/>
      <c r="K91" s="1562"/>
      <c r="L91" s="1562"/>
      <c r="M91" s="1097">
        <v>100</v>
      </c>
      <c r="N91" s="1097">
        <v>100</v>
      </c>
      <c r="O91" s="1097">
        <v>100</v>
      </c>
      <c r="P91" s="1097">
        <v>100</v>
      </c>
      <c r="Q91" s="1097">
        <v>100</v>
      </c>
      <c r="R91" s="1097">
        <v>100</v>
      </c>
      <c r="S91" s="1094"/>
      <c r="T91" s="1094"/>
      <c r="U91" s="1094"/>
      <c r="V91" s="1094"/>
      <c r="W91" s="1094"/>
      <c r="X91" s="1094"/>
      <c r="Y91" s="1007">
        <f t="shared" si="72"/>
        <v>20000000</v>
      </c>
      <c r="Z91" s="944"/>
      <c r="AA91" s="944"/>
      <c r="AB91" s="944"/>
      <c r="AC91" s="1007"/>
      <c r="AD91" s="1007"/>
      <c r="AE91" s="1007"/>
      <c r="AF91" s="1007">
        <f>30000000-10000000</f>
        <v>20000000</v>
      </c>
      <c r="AG91" s="1007"/>
      <c r="AH91" s="1007"/>
      <c r="AI91" s="1007"/>
      <c r="AJ91" s="1007"/>
      <c r="AK91" s="1007"/>
      <c r="AL91" s="1007"/>
      <c r="AM91" s="1007"/>
      <c r="AN91" s="1007"/>
      <c r="AO91" s="1007"/>
      <c r="AP91" s="1007"/>
      <c r="AQ91" s="1007"/>
      <c r="AR91" s="1007"/>
      <c r="AS91" s="1007"/>
      <c r="AT91" s="203"/>
      <c r="AU91" s="1010">
        <f t="shared" si="73"/>
        <v>1</v>
      </c>
      <c r="AV91" s="1007">
        <f t="shared" si="74"/>
        <v>20000000</v>
      </c>
      <c r="AW91" s="1007"/>
      <c r="AX91" s="1007"/>
      <c r="AY91" s="1007"/>
      <c r="AZ91" s="1007"/>
      <c r="BA91" s="1007"/>
      <c r="BB91" s="1007"/>
      <c r="BC91" s="1007">
        <f>+'[11]MARZO 2015'!$O$1462</f>
        <v>20000000</v>
      </c>
      <c r="BD91" s="1007"/>
      <c r="BE91" s="1007"/>
      <c r="BF91" s="1007"/>
      <c r="BG91" s="1007"/>
      <c r="BH91" s="1007"/>
      <c r="BI91" s="1007"/>
      <c r="BJ91" s="1007"/>
      <c r="BK91" s="1007"/>
      <c r="BL91" s="1007"/>
      <c r="BM91" s="1007"/>
      <c r="BN91" s="1007"/>
      <c r="BO91" s="1007"/>
      <c r="BP91" s="1007"/>
      <c r="BQ91" s="1010">
        <f t="shared" si="94"/>
        <v>0</v>
      </c>
      <c r="BR91" s="1007">
        <f t="shared" si="75"/>
        <v>0</v>
      </c>
      <c r="BS91" s="1007">
        <f t="shared" si="76"/>
        <v>0</v>
      </c>
      <c r="BT91" s="1007">
        <f t="shared" si="77"/>
        <v>0</v>
      </c>
      <c r="BU91" s="1007"/>
      <c r="BV91" s="1007">
        <f t="shared" si="78"/>
        <v>0</v>
      </c>
      <c r="BW91" s="1007"/>
      <c r="BX91" s="1007">
        <f t="shared" si="79"/>
        <v>0</v>
      </c>
      <c r="BY91" s="1007">
        <f t="shared" si="79"/>
        <v>0</v>
      </c>
      <c r="BZ91" s="1007"/>
      <c r="CA91" s="1007">
        <f t="shared" si="92"/>
        <v>0</v>
      </c>
      <c r="CB91" s="1007">
        <f t="shared" si="92"/>
        <v>0</v>
      </c>
      <c r="CC91" s="1007"/>
      <c r="CD91" s="1007">
        <f t="shared" si="93"/>
        <v>0</v>
      </c>
      <c r="CE91" s="1007">
        <f t="shared" si="93"/>
        <v>0</v>
      </c>
      <c r="CF91" s="1007">
        <f t="shared" si="93"/>
        <v>0</v>
      </c>
      <c r="CG91" s="1007">
        <f t="shared" si="93"/>
        <v>0</v>
      </c>
      <c r="CH91" s="1007">
        <f t="shared" si="93"/>
        <v>0</v>
      </c>
      <c r="CI91" s="1007">
        <f t="shared" si="93"/>
        <v>0</v>
      </c>
      <c r="CJ91" s="1007"/>
      <c r="CK91" s="1007"/>
      <c r="CL91" s="1007">
        <f t="shared" si="81"/>
        <v>0</v>
      </c>
      <c r="CM91" s="1010">
        <f t="shared" si="82"/>
        <v>1</v>
      </c>
      <c r="CN91" s="1007">
        <f t="shared" si="83"/>
        <v>20000000</v>
      </c>
      <c r="CO91" s="1007"/>
      <c r="CP91" s="1007"/>
      <c r="CQ91" s="1007"/>
      <c r="CR91" s="1007"/>
      <c r="CS91" s="1007"/>
      <c r="CT91" s="1007"/>
      <c r="CU91" s="1007">
        <f>+'[11]MARZO 2015'!$O$1463</f>
        <v>20000000</v>
      </c>
      <c r="CV91" s="1007"/>
      <c r="CW91" s="1007"/>
      <c r="CX91" s="1007"/>
      <c r="CY91" s="1007"/>
      <c r="CZ91" s="1007"/>
      <c r="DA91" s="1007"/>
      <c r="DB91" s="1007"/>
      <c r="DC91" s="1007"/>
      <c r="DD91" s="1007"/>
      <c r="DE91" s="1007"/>
      <c r="DF91" s="1007"/>
      <c r="DG91" s="1007"/>
      <c r="DH91" s="1007"/>
      <c r="DI91" s="1010">
        <f t="shared" si="84"/>
        <v>0</v>
      </c>
      <c r="DJ91" s="1007">
        <f t="shared" si="85"/>
        <v>0</v>
      </c>
      <c r="DK91" s="1007"/>
      <c r="DL91" s="1007"/>
      <c r="DM91" s="1007"/>
      <c r="DN91" s="1007">
        <f t="shared" si="86"/>
        <v>0</v>
      </c>
      <c r="DO91" s="1007"/>
      <c r="DP91" s="1007">
        <f t="shared" si="87"/>
        <v>0</v>
      </c>
      <c r="DQ91" s="1007">
        <f t="shared" si="87"/>
        <v>0</v>
      </c>
      <c r="DR91" s="1007"/>
      <c r="DS91" s="1007">
        <f t="shared" si="88"/>
        <v>0</v>
      </c>
      <c r="DT91" s="1007">
        <f t="shared" si="88"/>
        <v>0</v>
      </c>
      <c r="DU91" s="1007"/>
      <c r="DV91" s="1007">
        <f t="shared" si="89"/>
        <v>0</v>
      </c>
      <c r="DW91" s="1007">
        <f t="shared" si="89"/>
        <v>0</v>
      </c>
      <c r="DX91" s="1007">
        <f t="shared" si="89"/>
        <v>0</v>
      </c>
      <c r="DY91" s="1007">
        <f t="shared" si="90"/>
        <v>0</v>
      </c>
      <c r="DZ91" s="1007">
        <f t="shared" si="90"/>
        <v>0</v>
      </c>
      <c r="EA91" s="1007">
        <f t="shared" si="90"/>
        <v>0</v>
      </c>
      <c r="EB91" s="1007">
        <f t="shared" si="90"/>
        <v>0</v>
      </c>
      <c r="EC91" s="1007"/>
      <c r="ED91" s="1007">
        <f t="shared" si="91"/>
        <v>0</v>
      </c>
    </row>
    <row r="92" spans="1:134" ht="30.75" customHeight="1" x14ac:dyDescent="0.25">
      <c r="A92" s="1578"/>
      <c r="B92" s="1028"/>
      <c r="C92" s="1092" t="s">
        <v>4429</v>
      </c>
      <c r="D92" s="1018" t="s">
        <v>4621</v>
      </c>
      <c r="E92" s="1019">
        <v>520</v>
      </c>
      <c r="F92" s="1094" t="s">
        <v>3350</v>
      </c>
      <c r="G92" s="1430"/>
      <c r="H92" s="1060">
        <f t="shared" si="70"/>
        <v>13269163</v>
      </c>
      <c r="I92" s="1060">
        <f t="shared" si="71"/>
        <v>26730837</v>
      </c>
      <c r="J92" s="1430"/>
      <c r="K92" s="1258"/>
      <c r="L92" s="1258"/>
      <c r="M92" s="1097">
        <v>0</v>
      </c>
      <c r="N92" s="1097">
        <v>0</v>
      </c>
      <c r="O92" s="1097">
        <v>0</v>
      </c>
      <c r="P92" s="1097">
        <v>22</v>
      </c>
      <c r="Q92" s="1097">
        <v>0</v>
      </c>
      <c r="R92" s="1097">
        <v>0</v>
      </c>
      <c r="S92" s="1094"/>
      <c r="T92" s="1094"/>
      <c r="U92" s="1094"/>
      <c r="V92" s="1094"/>
      <c r="W92" s="1094"/>
      <c r="X92" s="1094"/>
      <c r="Y92" s="1007">
        <f t="shared" si="72"/>
        <v>40000000</v>
      </c>
      <c r="Z92" s="944"/>
      <c r="AA92" s="944"/>
      <c r="AB92" s="944"/>
      <c r="AC92" s="1007">
        <v>10000000</v>
      </c>
      <c r="AD92" s="1007"/>
      <c r="AE92" s="1007">
        <v>30000000</v>
      </c>
      <c r="AF92" s="1007">
        <f>10000000-10000000</f>
        <v>0</v>
      </c>
      <c r="AG92" s="1007"/>
      <c r="AH92" s="1007"/>
      <c r="AI92" s="1007"/>
      <c r="AJ92" s="1007"/>
      <c r="AK92" s="1007"/>
      <c r="AL92" s="1007"/>
      <c r="AM92" s="1007"/>
      <c r="AN92" s="1007"/>
      <c r="AO92" s="1007"/>
      <c r="AP92" s="1007"/>
      <c r="AQ92" s="1007"/>
      <c r="AR92" s="1007"/>
      <c r="AS92" s="1007"/>
      <c r="AT92" s="203"/>
      <c r="AU92" s="1010">
        <f t="shared" si="73"/>
        <v>1</v>
      </c>
      <c r="AV92" s="1007">
        <f t="shared" si="74"/>
        <v>40000000</v>
      </c>
      <c r="AW92" s="1007"/>
      <c r="AX92" s="1007"/>
      <c r="AY92" s="1007"/>
      <c r="AZ92" s="1007">
        <f>+'[9]ABRIL 2015'!$L$1744</f>
        <v>10000000</v>
      </c>
      <c r="BA92" s="1007"/>
      <c r="BB92" s="1007">
        <f>+'[15]FEBRERO 2015'!$N$1187</f>
        <v>30000000</v>
      </c>
      <c r="BC92" s="1007"/>
      <c r="BD92" s="1007"/>
      <c r="BE92" s="1007"/>
      <c r="BF92" s="1007"/>
      <c r="BG92" s="1007"/>
      <c r="BH92" s="1007"/>
      <c r="BI92" s="1007"/>
      <c r="BJ92" s="1007"/>
      <c r="BK92" s="1007"/>
      <c r="BL92" s="1007"/>
      <c r="BM92" s="1007"/>
      <c r="BN92" s="1007"/>
      <c r="BO92" s="1007"/>
      <c r="BP92" s="1007"/>
      <c r="BQ92" s="1010">
        <f t="shared" si="94"/>
        <v>0</v>
      </c>
      <c r="BR92" s="1007">
        <f t="shared" si="75"/>
        <v>0</v>
      </c>
      <c r="BS92" s="1007">
        <f t="shared" si="76"/>
        <v>0</v>
      </c>
      <c r="BT92" s="1007">
        <f t="shared" si="77"/>
        <v>0</v>
      </c>
      <c r="BU92" s="1007"/>
      <c r="BV92" s="1007">
        <f t="shared" si="78"/>
        <v>0</v>
      </c>
      <c r="BW92" s="1007"/>
      <c r="BX92" s="1007">
        <f t="shared" si="79"/>
        <v>0</v>
      </c>
      <c r="BY92" s="1007">
        <f t="shared" si="79"/>
        <v>0</v>
      </c>
      <c r="BZ92" s="1007"/>
      <c r="CA92" s="1007">
        <f t="shared" si="92"/>
        <v>0</v>
      </c>
      <c r="CB92" s="1007">
        <f t="shared" si="92"/>
        <v>0</v>
      </c>
      <c r="CC92" s="1007"/>
      <c r="CD92" s="1007">
        <f t="shared" si="93"/>
        <v>0</v>
      </c>
      <c r="CE92" s="1007">
        <f t="shared" si="93"/>
        <v>0</v>
      </c>
      <c r="CF92" s="1007">
        <f t="shared" si="93"/>
        <v>0</v>
      </c>
      <c r="CG92" s="1007">
        <f t="shared" si="93"/>
        <v>0</v>
      </c>
      <c r="CH92" s="1007">
        <f t="shared" si="93"/>
        <v>0</v>
      </c>
      <c r="CI92" s="1007">
        <f t="shared" si="93"/>
        <v>0</v>
      </c>
      <c r="CJ92" s="1007"/>
      <c r="CK92" s="1007"/>
      <c r="CL92" s="1007">
        <f t="shared" si="81"/>
        <v>0</v>
      </c>
      <c r="CM92" s="1010">
        <f t="shared" si="82"/>
        <v>0.33172907499999998</v>
      </c>
      <c r="CN92" s="1007">
        <f t="shared" si="83"/>
        <v>13269163</v>
      </c>
      <c r="CO92" s="1007"/>
      <c r="CP92" s="1007"/>
      <c r="CQ92" s="1007"/>
      <c r="CR92" s="1007"/>
      <c r="CS92" s="1007"/>
      <c r="CT92" s="1007">
        <f>+'[8]SEPTIEMBRE 2015'!$H$3661</f>
        <v>13269163</v>
      </c>
      <c r="CU92" s="1007"/>
      <c r="CV92" s="1007"/>
      <c r="CW92" s="1007"/>
      <c r="CX92" s="1007"/>
      <c r="CY92" s="1007"/>
      <c r="CZ92" s="1007"/>
      <c r="DA92" s="1007"/>
      <c r="DB92" s="1007"/>
      <c r="DC92" s="1007"/>
      <c r="DD92" s="1007"/>
      <c r="DE92" s="1007"/>
      <c r="DF92" s="1007"/>
      <c r="DG92" s="1007"/>
      <c r="DH92" s="1007"/>
      <c r="DI92" s="1010">
        <f t="shared" si="84"/>
        <v>0.66827092500000007</v>
      </c>
      <c r="DJ92" s="1007">
        <f t="shared" si="85"/>
        <v>26730837</v>
      </c>
      <c r="DK92" s="1007"/>
      <c r="DL92" s="1007"/>
      <c r="DM92" s="1007"/>
      <c r="DN92" s="1007">
        <f t="shared" si="86"/>
        <v>10000000</v>
      </c>
      <c r="DO92" s="1007"/>
      <c r="DP92" s="1007">
        <f t="shared" si="87"/>
        <v>16730837</v>
      </c>
      <c r="DQ92" s="1007">
        <f t="shared" si="87"/>
        <v>0</v>
      </c>
      <c r="DR92" s="1007"/>
      <c r="DS92" s="1007">
        <f t="shared" si="88"/>
        <v>0</v>
      </c>
      <c r="DT92" s="1007">
        <f t="shared" si="88"/>
        <v>0</v>
      </c>
      <c r="DU92" s="1007"/>
      <c r="DV92" s="1007">
        <f t="shared" si="89"/>
        <v>0</v>
      </c>
      <c r="DW92" s="1007">
        <f t="shared" si="89"/>
        <v>0</v>
      </c>
      <c r="DX92" s="1007">
        <f t="shared" si="89"/>
        <v>0</v>
      </c>
      <c r="DY92" s="1007">
        <f t="shared" si="90"/>
        <v>0</v>
      </c>
      <c r="DZ92" s="1007">
        <f t="shared" si="90"/>
        <v>0</v>
      </c>
      <c r="EA92" s="1007">
        <f t="shared" si="90"/>
        <v>0</v>
      </c>
      <c r="EB92" s="1007">
        <f t="shared" si="90"/>
        <v>0</v>
      </c>
      <c r="EC92" s="1007"/>
      <c r="ED92" s="1007">
        <f t="shared" si="91"/>
        <v>0</v>
      </c>
    </row>
    <row r="93" spans="1:134" ht="61.5" customHeight="1" x14ac:dyDescent="0.25">
      <c r="A93" s="1578"/>
      <c r="B93" s="1018" t="s">
        <v>4361</v>
      </c>
      <c r="C93" s="1092" t="s">
        <v>4430</v>
      </c>
      <c r="D93" s="1018" t="s">
        <v>4622</v>
      </c>
      <c r="E93" s="1019">
        <v>520</v>
      </c>
      <c r="F93" s="1094" t="s">
        <v>3350</v>
      </c>
      <c r="G93" s="1428">
        <v>20000000</v>
      </c>
      <c r="H93" s="1060">
        <f t="shared" si="70"/>
        <v>7792400</v>
      </c>
      <c r="I93" s="1060">
        <f t="shared" si="71"/>
        <v>2207600</v>
      </c>
      <c r="J93" s="1094" t="s">
        <v>4885</v>
      </c>
      <c r="K93" s="1097" t="s">
        <v>4886</v>
      </c>
      <c r="L93" s="1097" t="s">
        <v>4826</v>
      </c>
      <c r="M93" s="1097">
        <v>0</v>
      </c>
      <c r="N93" s="1097">
        <v>0</v>
      </c>
      <c r="O93" s="1097">
        <v>0</v>
      </c>
      <c r="P93" s="1097">
        <v>0</v>
      </c>
      <c r="Q93" s="1097">
        <v>0</v>
      </c>
      <c r="R93" s="1097">
        <v>0</v>
      </c>
      <c r="S93" s="1094"/>
      <c r="T93" s="1094"/>
      <c r="U93" s="1094"/>
      <c r="V93" s="1094"/>
      <c r="W93" s="1094"/>
      <c r="X93" s="1094"/>
      <c r="Y93" s="1007">
        <f t="shared" si="72"/>
        <v>10000000</v>
      </c>
      <c r="Z93" s="944"/>
      <c r="AA93" s="944"/>
      <c r="AB93" s="944"/>
      <c r="AC93" s="1007"/>
      <c r="AD93" s="1007"/>
      <c r="AE93" s="1007">
        <v>10000000</v>
      </c>
      <c r="AF93" s="1007"/>
      <c r="AG93" s="1007"/>
      <c r="AH93" s="1007"/>
      <c r="AI93" s="1007"/>
      <c r="AJ93" s="1007"/>
      <c r="AK93" s="1007"/>
      <c r="AL93" s="1007"/>
      <c r="AM93" s="1007"/>
      <c r="AN93" s="1007"/>
      <c r="AO93" s="1007"/>
      <c r="AP93" s="1007"/>
      <c r="AQ93" s="1007"/>
      <c r="AR93" s="1007"/>
      <c r="AS93" s="1007"/>
      <c r="AT93" s="203"/>
      <c r="AU93" s="1010">
        <f t="shared" si="73"/>
        <v>1</v>
      </c>
      <c r="AV93" s="1007">
        <f t="shared" si="74"/>
        <v>10000000</v>
      </c>
      <c r="AW93" s="1007"/>
      <c r="AX93" s="1007"/>
      <c r="AY93" s="1007"/>
      <c r="AZ93" s="1007"/>
      <c r="BA93" s="1007"/>
      <c r="BB93" s="1007">
        <f>+'[15]FEBRERO 2015'!$G$1192</f>
        <v>10000000</v>
      </c>
      <c r="BC93" s="1007"/>
      <c r="BD93" s="1007"/>
      <c r="BE93" s="1007"/>
      <c r="BF93" s="1007"/>
      <c r="BG93" s="1007"/>
      <c r="BH93" s="1007"/>
      <c r="BI93" s="1007"/>
      <c r="BJ93" s="1007"/>
      <c r="BK93" s="1007"/>
      <c r="BL93" s="1007"/>
      <c r="BM93" s="1007"/>
      <c r="BN93" s="1007"/>
      <c r="BO93" s="1007"/>
      <c r="BP93" s="1007"/>
      <c r="BQ93" s="1010">
        <f t="shared" si="94"/>
        <v>0</v>
      </c>
      <c r="BR93" s="1007">
        <f t="shared" si="75"/>
        <v>0</v>
      </c>
      <c r="BS93" s="1007">
        <f t="shared" si="76"/>
        <v>0</v>
      </c>
      <c r="BT93" s="1007">
        <f t="shared" si="77"/>
        <v>0</v>
      </c>
      <c r="BU93" s="1007"/>
      <c r="BV93" s="1007">
        <f t="shared" si="78"/>
        <v>0</v>
      </c>
      <c r="BW93" s="1007"/>
      <c r="BX93" s="1007">
        <f t="shared" si="79"/>
        <v>0</v>
      </c>
      <c r="BY93" s="1007">
        <f t="shared" si="79"/>
        <v>0</v>
      </c>
      <c r="BZ93" s="1007"/>
      <c r="CA93" s="1007">
        <f t="shared" si="92"/>
        <v>0</v>
      </c>
      <c r="CB93" s="1007">
        <f t="shared" si="92"/>
        <v>0</v>
      </c>
      <c r="CC93" s="1007"/>
      <c r="CD93" s="1007">
        <f t="shared" si="93"/>
        <v>0</v>
      </c>
      <c r="CE93" s="1007">
        <f t="shared" si="93"/>
        <v>0</v>
      </c>
      <c r="CF93" s="1007">
        <f t="shared" si="93"/>
        <v>0</v>
      </c>
      <c r="CG93" s="1007">
        <f t="shared" si="93"/>
        <v>0</v>
      </c>
      <c r="CH93" s="1007">
        <f t="shared" si="93"/>
        <v>0</v>
      </c>
      <c r="CI93" s="1007">
        <f t="shared" si="93"/>
        <v>0</v>
      </c>
      <c r="CJ93" s="1007"/>
      <c r="CK93" s="1007"/>
      <c r="CL93" s="1007">
        <f t="shared" si="81"/>
        <v>0</v>
      </c>
      <c r="CM93" s="1010">
        <f t="shared" si="82"/>
        <v>0.77924000000000004</v>
      </c>
      <c r="CN93" s="1007">
        <f t="shared" si="83"/>
        <v>7792400</v>
      </c>
      <c r="CO93" s="1007"/>
      <c r="CP93" s="1007"/>
      <c r="CQ93" s="1007"/>
      <c r="CR93" s="1007"/>
      <c r="CS93" s="1007"/>
      <c r="CT93" s="1007">
        <f>+'[10]JULIO 2015'!$H$2656</f>
        <v>7792400</v>
      </c>
      <c r="CU93" s="1007"/>
      <c r="CV93" s="1007"/>
      <c r="CW93" s="1007"/>
      <c r="CX93" s="1007"/>
      <c r="CY93" s="1007"/>
      <c r="CZ93" s="1007"/>
      <c r="DA93" s="1007"/>
      <c r="DB93" s="1007"/>
      <c r="DC93" s="1007"/>
      <c r="DD93" s="1007"/>
      <c r="DE93" s="1007"/>
      <c r="DF93" s="1007"/>
      <c r="DG93" s="1007"/>
      <c r="DH93" s="1007"/>
      <c r="DI93" s="1010">
        <f t="shared" si="84"/>
        <v>0.22075999999999996</v>
      </c>
      <c r="DJ93" s="1007">
        <f t="shared" si="85"/>
        <v>2207600</v>
      </c>
      <c r="DK93" s="1007"/>
      <c r="DL93" s="1007"/>
      <c r="DM93" s="1007"/>
      <c r="DN93" s="1007">
        <f t="shared" si="86"/>
        <v>0</v>
      </c>
      <c r="DO93" s="1007"/>
      <c r="DP93" s="1007">
        <f t="shared" si="87"/>
        <v>2207600</v>
      </c>
      <c r="DQ93" s="1007">
        <f t="shared" si="87"/>
        <v>0</v>
      </c>
      <c r="DR93" s="1007"/>
      <c r="DS93" s="1007">
        <f t="shared" si="88"/>
        <v>0</v>
      </c>
      <c r="DT93" s="1007">
        <f t="shared" si="88"/>
        <v>0</v>
      </c>
      <c r="DU93" s="1007"/>
      <c r="DV93" s="1007">
        <f t="shared" si="89"/>
        <v>0</v>
      </c>
      <c r="DW93" s="1007">
        <f t="shared" si="89"/>
        <v>0</v>
      </c>
      <c r="DX93" s="1007">
        <f t="shared" si="89"/>
        <v>0</v>
      </c>
      <c r="DY93" s="1007">
        <f t="shared" si="90"/>
        <v>0</v>
      </c>
      <c r="DZ93" s="1007">
        <f t="shared" si="90"/>
        <v>0</v>
      </c>
      <c r="EA93" s="1007">
        <f t="shared" si="90"/>
        <v>0</v>
      </c>
      <c r="EB93" s="1007">
        <f t="shared" si="90"/>
        <v>0</v>
      </c>
      <c r="EC93" s="1007"/>
      <c r="ED93" s="1007">
        <f t="shared" si="91"/>
        <v>0</v>
      </c>
    </row>
    <row r="94" spans="1:134" ht="29.25" customHeight="1" x14ac:dyDescent="0.25">
      <c r="A94" s="1578"/>
      <c r="B94" s="1018"/>
      <c r="C94" s="1092" t="s">
        <v>4431</v>
      </c>
      <c r="D94" s="1018" t="s">
        <v>4623</v>
      </c>
      <c r="E94" s="1019">
        <v>520</v>
      </c>
      <c r="F94" s="1094" t="s">
        <v>3350</v>
      </c>
      <c r="G94" s="1430"/>
      <c r="H94" s="1060">
        <f t="shared" si="70"/>
        <v>0</v>
      </c>
      <c r="I94" s="1060">
        <f t="shared" si="71"/>
        <v>10000000</v>
      </c>
      <c r="J94" s="1094" t="s">
        <v>4885</v>
      </c>
      <c r="K94" s="1097" t="s">
        <v>4826</v>
      </c>
      <c r="L94" s="1097" t="s">
        <v>4826</v>
      </c>
      <c r="M94" s="1097">
        <v>0</v>
      </c>
      <c r="N94" s="1097">
        <v>0</v>
      </c>
      <c r="O94" s="1097">
        <v>0</v>
      </c>
      <c r="P94" s="1097">
        <v>0</v>
      </c>
      <c r="Q94" s="1097">
        <v>0</v>
      </c>
      <c r="R94" s="1097">
        <v>0</v>
      </c>
      <c r="S94" s="1094"/>
      <c r="T94" s="1094"/>
      <c r="U94" s="1094"/>
      <c r="V94" s="1094"/>
      <c r="W94" s="1094"/>
      <c r="X94" s="1094"/>
      <c r="Y94" s="1007">
        <f t="shared" si="72"/>
        <v>10000000</v>
      </c>
      <c r="Z94" s="944"/>
      <c r="AA94" s="944"/>
      <c r="AB94" s="944"/>
      <c r="AC94" s="944"/>
      <c r="AD94" s="944"/>
      <c r="AE94" s="1007">
        <v>10000000</v>
      </c>
      <c r="AF94" s="944"/>
      <c r="AG94" s="944"/>
      <c r="AH94" s="944"/>
      <c r="AI94" s="944"/>
      <c r="AJ94" s="944"/>
      <c r="AK94" s="149"/>
      <c r="AL94" s="944"/>
      <c r="AM94" s="944"/>
      <c r="AN94" s="944"/>
      <c r="AO94" s="944"/>
      <c r="AP94" s="944"/>
      <c r="AQ94" s="944"/>
      <c r="AR94" s="944"/>
      <c r="AS94" s="985"/>
      <c r="AT94" s="203"/>
      <c r="AU94" s="1010">
        <f t="shared" si="73"/>
        <v>1</v>
      </c>
      <c r="AV94" s="1007">
        <f t="shared" si="74"/>
        <v>10000000</v>
      </c>
      <c r="AW94" s="1007"/>
      <c r="AX94" s="1007"/>
      <c r="AY94" s="1007"/>
      <c r="AZ94" s="1007"/>
      <c r="BA94" s="1007"/>
      <c r="BB94" s="1007">
        <f>+'[15]FEBRERO 2015'!$N$1199</f>
        <v>10000000</v>
      </c>
      <c r="BC94" s="1007"/>
      <c r="BD94" s="1007"/>
      <c r="BE94" s="1007"/>
      <c r="BF94" s="1007"/>
      <c r="BG94" s="1007"/>
      <c r="BH94" s="1007"/>
      <c r="BI94" s="1007"/>
      <c r="BJ94" s="1007"/>
      <c r="BK94" s="1007"/>
      <c r="BL94" s="1007"/>
      <c r="BM94" s="1007"/>
      <c r="BN94" s="1007"/>
      <c r="BO94" s="1007"/>
      <c r="BP94" s="1007"/>
      <c r="BQ94" s="1010">
        <f t="shared" si="94"/>
        <v>0</v>
      </c>
      <c r="BR94" s="1007">
        <f t="shared" si="75"/>
        <v>0</v>
      </c>
      <c r="BS94" s="1007">
        <f t="shared" si="76"/>
        <v>0</v>
      </c>
      <c r="BT94" s="1007">
        <f t="shared" si="77"/>
        <v>0</v>
      </c>
      <c r="BU94" s="1007"/>
      <c r="BV94" s="1007">
        <f t="shared" si="78"/>
        <v>0</v>
      </c>
      <c r="BW94" s="1007"/>
      <c r="BX94" s="1007">
        <f t="shared" si="79"/>
        <v>0</v>
      </c>
      <c r="BY94" s="1007">
        <f t="shared" si="79"/>
        <v>0</v>
      </c>
      <c r="BZ94" s="1007"/>
      <c r="CA94" s="1007">
        <f t="shared" si="92"/>
        <v>0</v>
      </c>
      <c r="CB94" s="1007">
        <f t="shared" si="92"/>
        <v>0</v>
      </c>
      <c r="CC94" s="1007"/>
      <c r="CD94" s="1007">
        <f t="shared" si="93"/>
        <v>0</v>
      </c>
      <c r="CE94" s="1007">
        <f t="shared" si="93"/>
        <v>0</v>
      </c>
      <c r="CF94" s="1007">
        <f t="shared" si="93"/>
        <v>0</v>
      </c>
      <c r="CG94" s="1007">
        <f t="shared" si="93"/>
        <v>0</v>
      </c>
      <c r="CH94" s="1007">
        <f t="shared" si="93"/>
        <v>0</v>
      </c>
      <c r="CI94" s="1007">
        <f t="shared" si="93"/>
        <v>0</v>
      </c>
      <c r="CJ94" s="1007"/>
      <c r="CK94" s="1007"/>
      <c r="CL94" s="1007">
        <f t="shared" si="81"/>
        <v>0</v>
      </c>
      <c r="CM94" s="1010">
        <f t="shared" si="82"/>
        <v>0</v>
      </c>
      <c r="CN94" s="1007">
        <f t="shared" si="83"/>
        <v>0</v>
      </c>
      <c r="CO94" s="1007"/>
      <c r="CP94" s="1007"/>
      <c r="CQ94" s="1007"/>
      <c r="CR94" s="1007"/>
      <c r="CS94" s="1007"/>
      <c r="CT94" s="1007"/>
      <c r="CU94" s="1007"/>
      <c r="CV94" s="1007"/>
      <c r="CW94" s="1007"/>
      <c r="CX94" s="1007"/>
      <c r="CY94" s="1007"/>
      <c r="CZ94" s="1007"/>
      <c r="DA94" s="1007"/>
      <c r="DB94" s="1007"/>
      <c r="DC94" s="1007"/>
      <c r="DD94" s="1007"/>
      <c r="DE94" s="1007"/>
      <c r="DF94" s="1007"/>
      <c r="DG94" s="1007"/>
      <c r="DH94" s="1007"/>
      <c r="DI94" s="1010">
        <f t="shared" si="84"/>
        <v>1</v>
      </c>
      <c r="DJ94" s="1007">
        <f t="shared" si="85"/>
        <v>10000000</v>
      </c>
      <c r="DK94" s="1007"/>
      <c r="DL94" s="1007"/>
      <c r="DM94" s="1007"/>
      <c r="DN94" s="1007">
        <f t="shared" si="86"/>
        <v>0</v>
      </c>
      <c r="DO94" s="1007"/>
      <c r="DP94" s="1007">
        <f t="shared" si="87"/>
        <v>10000000</v>
      </c>
      <c r="DQ94" s="1007">
        <f t="shared" si="87"/>
        <v>0</v>
      </c>
      <c r="DR94" s="1007"/>
      <c r="DS94" s="1007">
        <f t="shared" si="88"/>
        <v>0</v>
      </c>
      <c r="DT94" s="1007">
        <f t="shared" si="88"/>
        <v>0</v>
      </c>
      <c r="DU94" s="1007"/>
      <c r="DV94" s="1007">
        <f t="shared" si="89"/>
        <v>0</v>
      </c>
      <c r="DW94" s="1007">
        <f t="shared" si="89"/>
        <v>0</v>
      </c>
      <c r="DX94" s="1007">
        <f t="shared" si="89"/>
        <v>0</v>
      </c>
      <c r="DY94" s="1007">
        <f t="shared" si="90"/>
        <v>0</v>
      </c>
      <c r="DZ94" s="1007">
        <f t="shared" si="90"/>
        <v>0</v>
      </c>
      <c r="EA94" s="1007">
        <f t="shared" si="90"/>
        <v>0</v>
      </c>
      <c r="EB94" s="1007">
        <f t="shared" si="90"/>
        <v>0</v>
      </c>
      <c r="EC94" s="1007"/>
      <c r="ED94" s="1007">
        <f t="shared" si="91"/>
        <v>0</v>
      </c>
    </row>
    <row r="95" spans="1:134" ht="43.5" customHeight="1" x14ac:dyDescent="0.25">
      <c r="A95" s="1578"/>
      <c r="B95" s="1018" t="s">
        <v>4362</v>
      </c>
      <c r="C95" s="1092" t="s">
        <v>4432</v>
      </c>
      <c r="D95" s="1018" t="s">
        <v>4624</v>
      </c>
      <c r="E95" s="1019">
        <v>520</v>
      </c>
      <c r="F95" s="1094" t="s">
        <v>3350</v>
      </c>
      <c r="G95" s="1428">
        <v>150000000</v>
      </c>
      <c r="H95" s="1060">
        <f t="shared" si="70"/>
        <v>1000000</v>
      </c>
      <c r="I95" s="1060">
        <f t="shared" si="71"/>
        <v>14000000</v>
      </c>
      <c r="J95" s="1094" t="s">
        <v>4887</v>
      </c>
      <c r="K95" s="1097" t="s">
        <v>4889</v>
      </c>
      <c r="L95" s="1097" t="s">
        <v>4892</v>
      </c>
      <c r="M95" s="1097">
        <v>0</v>
      </c>
      <c r="N95" s="1097">
        <v>0</v>
      </c>
      <c r="O95" s="1097">
        <v>0</v>
      </c>
      <c r="P95" s="1097">
        <v>0</v>
      </c>
      <c r="Q95" s="1097">
        <v>0</v>
      </c>
      <c r="R95" s="1097">
        <v>0</v>
      </c>
      <c r="S95" s="1094"/>
      <c r="T95" s="1094"/>
      <c r="U95" s="1094"/>
      <c r="V95" s="1094"/>
      <c r="W95" s="1094"/>
      <c r="X95" s="1094"/>
      <c r="Y95" s="1007">
        <f t="shared" si="72"/>
        <v>15000000</v>
      </c>
      <c r="Z95" s="944"/>
      <c r="AA95" s="944">
        <f>15000000-15000000</f>
        <v>0</v>
      </c>
      <c r="AB95" s="944"/>
      <c r="AC95" s="944"/>
      <c r="AD95" s="944"/>
      <c r="AE95" s="1016">
        <f>15000000</f>
        <v>15000000</v>
      </c>
      <c r="AF95" s="944"/>
      <c r="AG95" s="944"/>
      <c r="AH95" s="944"/>
      <c r="AI95" s="944"/>
      <c r="AJ95" s="944"/>
      <c r="AK95" s="149"/>
      <c r="AL95" s="944"/>
      <c r="AM95" s="944"/>
      <c r="AN95" s="944"/>
      <c r="AO95" s="944"/>
      <c r="AP95" s="944"/>
      <c r="AQ95" s="944"/>
      <c r="AR95" s="944"/>
      <c r="AS95" s="985"/>
      <c r="AT95" s="203"/>
      <c r="AU95" s="1010">
        <f t="shared" si="73"/>
        <v>1</v>
      </c>
      <c r="AV95" s="1007">
        <f t="shared" si="74"/>
        <v>15000000</v>
      </c>
      <c r="AW95" s="1007"/>
      <c r="AX95" s="1007"/>
      <c r="AY95" s="1007"/>
      <c r="AZ95" s="1007"/>
      <c r="BA95" s="1007"/>
      <c r="BB95" s="1007">
        <f>+'[12]FEBRERO 2015'!$N$1280</f>
        <v>15000000</v>
      </c>
      <c r="BC95" s="1007"/>
      <c r="BD95" s="1007"/>
      <c r="BE95" s="1007"/>
      <c r="BF95" s="1007"/>
      <c r="BG95" s="1007"/>
      <c r="BH95" s="1007"/>
      <c r="BI95" s="1007"/>
      <c r="BJ95" s="1007"/>
      <c r="BK95" s="1007"/>
      <c r="BL95" s="1007"/>
      <c r="BM95" s="1007"/>
      <c r="BN95" s="1007"/>
      <c r="BO95" s="1007"/>
      <c r="BP95" s="1007"/>
      <c r="BQ95" s="1010">
        <f t="shared" si="94"/>
        <v>0</v>
      </c>
      <c r="BR95" s="1007">
        <f t="shared" si="75"/>
        <v>0</v>
      </c>
      <c r="BS95" s="1007">
        <f t="shared" si="76"/>
        <v>0</v>
      </c>
      <c r="BT95" s="1007">
        <f t="shared" si="77"/>
        <v>0</v>
      </c>
      <c r="BU95" s="1007"/>
      <c r="BV95" s="1007">
        <f t="shared" si="78"/>
        <v>0</v>
      </c>
      <c r="BW95" s="1007"/>
      <c r="BX95" s="1007">
        <f t="shared" si="79"/>
        <v>0</v>
      </c>
      <c r="BY95" s="1007">
        <f t="shared" si="79"/>
        <v>0</v>
      </c>
      <c r="BZ95" s="1007"/>
      <c r="CA95" s="1007">
        <f t="shared" si="92"/>
        <v>0</v>
      </c>
      <c r="CB95" s="1007">
        <f t="shared" si="92"/>
        <v>0</v>
      </c>
      <c r="CC95" s="1007"/>
      <c r="CD95" s="1007">
        <f t="shared" si="93"/>
        <v>0</v>
      </c>
      <c r="CE95" s="1007">
        <f t="shared" si="93"/>
        <v>0</v>
      </c>
      <c r="CF95" s="1007">
        <f t="shared" si="93"/>
        <v>0</v>
      </c>
      <c r="CG95" s="1007">
        <f t="shared" si="93"/>
        <v>0</v>
      </c>
      <c r="CH95" s="1007">
        <f t="shared" si="93"/>
        <v>0</v>
      </c>
      <c r="CI95" s="1007">
        <f t="shared" si="93"/>
        <v>0</v>
      </c>
      <c r="CJ95" s="1007"/>
      <c r="CK95" s="1007"/>
      <c r="CL95" s="1007">
        <f t="shared" si="81"/>
        <v>0</v>
      </c>
      <c r="CM95" s="1010">
        <f t="shared" si="82"/>
        <v>6.6666666666666666E-2</v>
      </c>
      <c r="CN95" s="1007">
        <f t="shared" si="83"/>
        <v>1000000</v>
      </c>
      <c r="CO95" s="1007"/>
      <c r="CP95" s="1007"/>
      <c r="CQ95" s="1007"/>
      <c r="CR95" s="1007"/>
      <c r="CS95" s="1007"/>
      <c r="CT95" s="1007">
        <f>+'[8]SEPTIEMBRE 2015'!$H$3686</f>
        <v>1000000</v>
      </c>
      <c r="CU95" s="1007"/>
      <c r="CV95" s="1007"/>
      <c r="CW95" s="1007"/>
      <c r="CX95" s="1007"/>
      <c r="CY95" s="1007"/>
      <c r="CZ95" s="1007"/>
      <c r="DA95" s="1007"/>
      <c r="DB95" s="1007"/>
      <c r="DC95" s="1007"/>
      <c r="DD95" s="1007"/>
      <c r="DE95" s="1007"/>
      <c r="DF95" s="1007"/>
      <c r="DG95" s="1007"/>
      <c r="DH95" s="1007"/>
      <c r="DI95" s="1010">
        <f t="shared" si="84"/>
        <v>0.93333333333333335</v>
      </c>
      <c r="DJ95" s="1007">
        <f t="shared" si="85"/>
        <v>14000000</v>
      </c>
      <c r="DK95" s="1007"/>
      <c r="DL95" s="1007">
        <f>AA95-CP95</f>
        <v>0</v>
      </c>
      <c r="DM95" s="1007">
        <f>AB95-CQ95</f>
        <v>0</v>
      </c>
      <c r="DN95" s="1007">
        <f t="shared" si="86"/>
        <v>0</v>
      </c>
      <c r="DO95" s="1007"/>
      <c r="DP95" s="1007">
        <f t="shared" si="87"/>
        <v>14000000</v>
      </c>
      <c r="DQ95" s="1007">
        <f t="shared" si="87"/>
        <v>0</v>
      </c>
      <c r="DR95" s="1007"/>
      <c r="DS95" s="1007">
        <f t="shared" si="88"/>
        <v>0</v>
      </c>
      <c r="DT95" s="1007">
        <f t="shared" si="88"/>
        <v>0</v>
      </c>
      <c r="DU95" s="1007"/>
      <c r="DV95" s="1007">
        <f t="shared" si="89"/>
        <v>0</v>
      </c>
      <c r="DW95" s="1007">
        <f t="shared" si="89"/>
        <v>0</v>
      </c>
      <c r="DX95" s="1007">
        <f t="shared" si="89"/>
        <v>0</v>
      </c>
      <c r="DY95" s="1007">
        <f t="shared" si="90"/>
        <v>0</v>
      </c>
      <c r="DZ95" s="1007">
        <f t="shared" si="90"/>
        <v>0</v>
      </c>
      <c r="EA95" s="1007">
        <f t="shared" si="90"/>
        <v>0</v>
      </c>
      <c r="EB95" s="1007">
        <f t="shared" si="90"/>
        <v>0</v>
      </c>
      <c r="EC95" s="1007"/>
      <c r="ED95" s="1007">
        <f t="shared" si="91"/>
        <v>0</v>
      </c>
    </row>
    <row r="96" spans="1:134" ht="48" customHeight="1" x14ac:dyDescent="0.25">
      <c r="A96" s="1578"/>
      <c r="B96" s="1018"/>
      <c r="C96" s="1092" t="s">
        <v>4433</v>
      </c>
      <c r="D96" s="1018" t="s">
        <v>4625</v>
      </c>
      <c r="E96" s="1019">
        <v>520</v>
      </c>
      <c r="F96" s="1094" t="s">
        <v>3350</v>
      </c>
      <c r="G96" s="1429"/>
      <c r="H96" s="1060">
        <f t="shared" si="70"/>
        <v>21818596</v>
      </c>
      <c r="I96" s="1060">
        <f t="shared" si="71"/>
        <v>8181404</v>
      </c>
      <c r="J96" s="1094" t="s">
        <v>4888</v>
      </c>
      <c r="K96" s="1097" t="s">
        <v>4890</v>
      </c>
      <c r="L96" s="1097" t="s">
        <v>4893</v>
      </c>
      <c r="M96" s="1097">
        <v>0</v>
      </c>
      <c r="N96" s="1097">
        <v>0</v>
      </c>
      <c r="O96" s="1097">
        <v>0</v>
      </c>
      <c r="P96" s="1097">
        <v>45</v>
      </c>
      <c r="Q96" s="1097">
        <v>0</v>
      </c>
      <c r="R96" s="1097">
        <v>0</v>
      </c>
      <c r="S96" s="1094"/>
      <c r="T96" s="1094"/>
      <c r="U96" s="1094"/>
      <c r="V96" s="1094"/>
      <c r="W96" s="1094"/>
      <c r="X96" s="1094"/>
      <c r="Y96" s="1007">
        <f t="shared" si="72"/>
        <v>30000000</v>
      </c>
      <c r="Z96" s="944"/>
      <c r="AA96" s="944">
        <f>30000000-30000000</f>
        <v>0</v>
      </c>
      <c r="AB96" s="944"/>
      <c r="AC96" s="944"/>
      <c r="AD96" s="944"/>
      <c r="AE96" s="1016">
        <v>30000000</v>
      </c>
      <c r="AF96" s="944"/>
      <c r="AG96" s="944"/>
      <c r="AH96" s="944"/>
      <c r="AI96" s="944"/>
      <c r="AJ96" s="944"/>
      <c r="AK96" s="149"/>
      <c r="AL96" s="944"/>
      <c r="AM96" s="944"/>
      <c r="AN96" s="944"/>
      <c r="AO96" s="944"/>
      <c r="AP96" s="944"/>
      <c r="AQ96" s="944"/>
      <c r="AR96" s="944"/>
      <c r="AS96" s="985"/>
      <c r="AT96" s="203"/>
      <c r="AU96" s="1010">
        <f t="shared" si="73"/>
        <v>1</v>
      </c>
      <c r="AV96" s="1007">
        <f t="shared" si="74"/>
        <v>30000000</v>
      </c>
      <c r="AW96" s="1007"/>
      <c r="AX96" s="1007"/>
      <c r="AY96" s="1007"/>
      <c r="AZ96" s="1007"/>
      <c r="BA96" s="1007"/>
      <c r="BB96" s="1007">
        <f>+'[12]FEBRERO 2015'!$N$1285</f>
        <v>30000000</v>
      </c>
      <c r="BC96" s="1007"/>
      <c r="BD96" s="1007"/>
      <c r="BE96" s="1007"/>
      <c r="BF96" s="1007"/>
      <c r="BG96" s="1007"/>
      <c r="BH96" s="1007"/>
      <c r="BI96" s="1007"/>
      <c r="BJ96" s="1007"/>
      <c r="BK96" s="1007"/>
      <c r="BL96" s="1007"/>
      <c r="BM96" s="1007"/>
      <c r="BN96" s="1007"/>
      <c r="BO96" s="1007"/>
      <c r="BP96" s="1007"/>
      <c r="BQ96" s="1010">
        <f t="shared" si="94"/>
        <v>0</v>
      </c>
      <c r="BR96" s="1007">
        <f t="shared" si="75"/>
        <v>0</v>
      </c>
      <c r="BS96" s="1007">
        <f t="shared" si="76"/>
        <v>0</v>
      </c>
      <c r="BT96" s="1007">
        <f t="shared" si="77"/>
        <v>0</v>
      </c>
      <c r="BU96" s="1007"/>
      <c r="BV96" s="1007">
        <f t="shared" si="78"/>
        <v>0</v>
      </c>
      <c r="BW96" s="1007"/>
      <c r="BX96" s="1007">
        <f t="shared" si="79"/>
        <v>0</v>
      </c>
      <c r="BY96" s="1007">
        <f t="shared" si="79"/>
        <v>0</v>
      </c>
      <c r="BZ96" s="1007"/>
      <c r="CA96" s="1007">
        <f t="shared" si="92"/>
        <v>0</v>
      </c>
      <c r="CB96" s="1007">
        <f t="shared" si="92"/>
        <v>0</v>
      </c>
      <c r="CC96" s="1007"/>
      <c r="CD96" s="1007">
        <f t="shared" si="93"/>
        <v>0</v>
      </c>
      <c r="CE96" s="1007">
        <f t="shared" si="93"/>
        <v>0</v>
      </c>
      <c r="CF96" s="1007">
        <f t="shared" si="93"/>
        <v>0</v>
      </c>
      <c r="CG96" s="1007">
        <f t="shared" si="93"/>
        <v>0</v>
      </c>
      <c r="CH96" s="1007">
        <f t="shared" si="93"/>
        <v>0</v>
      </c>
      <c r="CI96" s="1007">
        <f t="shared" si="93"/>
        <v>0</v>
      </c>
      <c r="CJ96" s="1007"/>
      <c r="CK96" s="1007"/>
      <c r="CL96" s="1007">
        <f t="shared" si="81"/>
        <v>0</v>
      </c>
      <c r="CM96" s="1010">
        <f t="shared" si="82"/>
        <v>0.72728653333333337</v>
      </c>
      <c r="CN96" s="1007">
        <f t="shared" si="83"/>
        <v>21818596</v>
      </c>
      <c r="CO96" s="1007"/>
      <c r="CP96" s="1007"/>
      <c r="CQ96" s="1007"/>
      <c r="CR96" s="1007"/>
      <c r="CS96" s="1007"/>
      <c r="CT96" s="1007">
        <f>+'[8]SEPTIEMBRE 2015'!$H$3692</f>
        <v>21818596</v>
      </c>
      <c r="CU96" s="1007"/>
      <c r="CV96" s="1007"/>
      <c r="CW96" s="1007"/>
      <c r="CX96" s="1007"/>
      <c r="CY96" s="1007"/>
      <c r="CZ96" s="1007"/>
      <c r="DA96" s="1007"/>
      <c r="DB96" s="1007"/>
      <c r="DC96" s="1007"/>
      <c r="DD96" s="1007"/>
      <c r="DE96" s="1007"/>
      <c r="DF96" s="1007"/>
      <c r="DG96" s="1007"/>
      <c r="DH96" s="1007"/>
      <c r="DI96" s="1010">
        <f t="shared" si="84"/>
        <v>0.27271346666666663</v>
      </c>
      <c r="DJ96" s="1007">
        <f t="shared" si="85"/>
        <v>8181404</v>
      </c>
      <c r="DK96" s="1007"/>
      <c r="DL96" s="1007">
        <f>AA96-CP96</f>
        <v>0</v>
      </c>
      <c r="DM96" s="1007">
        <f>AB96-CQ96</f>
        <v>0</v>
      </c>
      <c r="DN96" s="1007">
        <f t="shared" si="86"/>
        <v>0</v>
      </c>
      <c r="DO96" s="1007"/>
      <c r="DP96" s="1007">
        <f t="shared" si="87"/>
        <v>8181404</v>
      </c>
      <c r="DQ96" s="1007">
        <f t="shared" si="87"/>
        <v>0</v>
      </c>
      <c r="DR96" s="1007"/>
      <c r="DS96" s="1007">
        <f t="shared" si="88"/>
        <v>0</v>
      </c>
      <c r="DT96" s="1007">
        <f t="shared" si="88"/>
        <v>0</v>
      </c>
      <c r="DU96" s="1007"/>
      <c r="DV96" s="1007">
        <f t="shared" si="89"/>
        <v>0</v>
      </c>
      <c r="DW96" s="1007">
        <f t="shared" si="89"/>
        <v>0</v>
      </c>
      <c r="DX96" s="1007">
        <f t="shared" si="89"/>
        <v>0</v>
      </c>
      <c r="DY96" s="1007">
        <f t="shared" si="90"/>
        <v>0</v>
      </c>
      <c r="DZ96" s="1007">
        <f t="shared" si="90"/>
        <v>0</v>
      </c>
      <c r="EA96" s="1007">
        <f t="shared" si="90"/>
        <v>0</v>
      </c>
      <c r="EB96" s="1007">
        <f t="shared" si="90"/>
        <v>0</v>
      </c>
      <c r="EC96" s="1007"/>
      <c r="ED96" s="1007">
        <f t="shared" si="91"/>
        <v>0</v>
      </c>
    </row>
    <row r="97" spans="1:134" ht="34.5" customHeight="1" x14ac:dyDescent="0.25">
      <c r="A97" s="1578"/>
      <c r="B97" s="1018"/>
      <c r="C97" s="1092" t="s">
        <v>4434</v>
      </c>
      <c r="D97" s="1018" t="s">
        <v>4626</v>
      </c>
      <c r="E97" s="1019">
        <v>520</v>
      </c>
      <c r="F97" s="1094" t="s">
        <v>3350</v>
      </c>
      <c r="G97" s="1429"/>
      <c r="H97" s="1060">
        <f t="shared" si="70"/>
        <v>0</v>
      </c>
      <c r="I97" s="1060">
        <f t="shared" si="71"/>
        <v>20000000</v>
      </c>
      <c r="J97" s="1428" t="s">
        <v>4885</v>
      </c>
      <c r="K97" s="1257" t="s">
        <v>4891</v>
      </c>
      <c r="L97" s="1257" t="s">
        <v>4894</v>
      </c>
      <c r="M97" s="1097">
        <v>0</v>
      </c>
      <c r="N97" s="1097">
        <v>0</v>
      </c>
      <c r="O97" s="1097">
        <v>0</v>
      </c>
      <c r="P97" s="1097">
        <v>0</v>
      </c>
      <c r="Q97" s="1097">
        <v>0</v>
      </c>
      <c r="R97" s="1097">
        <v>0</v>
      </c>
      <c r="S97" s="1094"/>
      <c r="T97" s="1094"/>
      <c r="U97" s="1094"/>
      <c r="V97" s="1094"/>
      <c r="W97" s="1094"/>
      <c r="X97" s="1094"/>
      <c r="Y97" s="1007">
        <f t="shared" si="72"/>
        <v>20000000</v>
      </c>
      <c r="Z97" s="944"/>
      <c r="AA97" s="944"/>
      <c r="AB97" s="944"/>
      <c r="AC97" s="944"/>
      <c r="AD97" s="944"/>
      <c r="AE97" s="1007">
        <f>50000000-30000000</f>
        <v>20000000</v>
      </c>
      <c r="AF97" s="944"/>
      <c r="AG97" s="944"/>
      <c r="AH97" s="944"/>
      <c r="AI97" s="944"/>
      <c r="AJ97" s="944"/>
      <c r="AK97" s="149"/>
      <c r="AL97" s="944"/>
      <c r="AM97" s="944"/>
      <c r="AN97" s="944"/>
      <c r="AO97" s="944"/>
      <c r="AP97" s="944"/>
      <c r="AQ97" s="944"/>
      <c r="AR97" s="944"/>
      <c r="AS97" s="985"/>
      <c r="AT97" s="203"/>
      <c r="AU97" s="1010">
        <f t="shared" si="73"/>
        <v>1</v>
      </c>
      <c r="AV97" s="1007">
        <f t="shared" si="74"/>
        <v>20000000</v>
      </c>
      <c r="AW97" s="1007"/>
      <c r="AX97" s="1007"/>
      <c r="AY97" s="1007"/>
      <c r="AZ97" s="1007"/>
      <c r="BA97" s="1007"/>
      <c r="BB97" s="1007">
        <f>+'[15]FEBRERO 2015'!$N$1216-30000000</f>
        <v>20000000</v>
      </c>
      <c r="BC97" s="1007"/>
      <c r="BD97" s="1007"/>
      <c r="BE97" s="1007"/>
      <c r="BF97" s="1007"/>
      <c r="BG97" s="1007"/>
      <c r="BH97" s="1007"/>
      <c r="BI97" s="1007"/>
      <c r="BJ97" s="1007"/>
      <c r="BK97" s="1007"/>
      <c r="BL97" s="1007"/>
      <c r="BM97" s="1007"/>
      <c r="BN97" s="1007"/>
      <c r="BO97" s="1007"/>
      <c r="BP97" s="1007"/>
      <c r="BQ97" s="1010">
        <f t="shared" si="94"/>
        <v>0</v>
      </c>
      <c r="BR97" s="1007">
        <f t="shared" si="75"/>
        <v>0</v>
      </c>
      <c r="BS97" s="1007">
        <f t="shared" si="76"/>
        <v>0</v>
      </c>
      <c r="BT97" s="1007">
        <f t="shared" si="77"/>
        <v>0</v>
      </c>
      <c r="BU97" s="1007"/>
      <c r="BV97" s="1007">
        <f t="shared" si="78"/>
        <v>0</v>
      </c>
      <c r="BW97" s="1007"/>
      <c r="BX97" s="1007">
        <f t="shared" si="79"/>
        <v>0</v>
      </c>
      <c r="BY97" s="1007">
        <f t="shared" si="79"/>
        <v>0</v>
      </c>
      <c r="BZ97" s="1007"/>
      <c r="CA97" s="1007">
        <f t="shared" si="92"/>
        <v>0</v>
      </c>
      <c r="CB97" s="1007">
        <f t="shared" si="92"/>
        <v>0</v>
      </c>
      <c r="CC97" s="1007"/>
      <c r="CD97" s="1007">
        <f t="shared" si="93"/>
        <v>0</v>
      </c>
      <c r="CE97" s="1007">
        <f t="shared" si="93"/>
        <v>0</v>
      </c>
      <c r="CF97" s="1007">
        <f t="shared" si="93"/>
        <v>0</v>
      </c>
      <c r="CG97" s="1007">
        <f t="shared" si="93"/>
        <v>0</v>
      </c>
      <c r="CH97" s="1007">
        <f t="shared" si="93"/>
        <v>0</v>
      </c>
      <c r="CI97" s="1007">
        <f t="shared" si="93"/>
        <v>0</v>
      </c>
      <c r="CJ97" s="1007"/>
      <c r="CK97" s="1007"/>
      <c r="CL97" s="1007">
        <f t="shared" si="81"/>
        <v>0</v>
      </c>
      <c r="CM97" s="1010">
        <f t="shared" si="82"/>
        <v>0</v>
      </c>
      <c r="CN97" s="1007">
        <f t="shared" si="83"/>
        <v>0</v>
      </c>
      <c r="CO97" s="1007"/>
      <c r="CP97" s="1007"/>
      <c r="CQ97" s="1007"/>
      <c r="CR97" s="1007"/>
      <c r="CS97" s="1007"/>
      <c r="CT97" s="1007"/>
      <c r="CU97" s="1007"/>
      <c r="CV97" s="1007"/>
      <c r="CW97" s="1007"/>
      <c r="CX97" s="1007"/>
      <c r="CY97" s="1007"/>
      <c r="CZ97" s="1007"/>
      <c r="DA97" s="1007"/>
      <c r="DB97" s="1007"/>
      <c r="DC97" s="1007"/>
      <c r="DD97" s="1007"/>
      <c r="DE97" s="1007"/>
      <c r="DF97" s="1007"/>
      <c r="DG97" s="1007"/>
      <c r="DH97" s="1007"/>
      <c r="DI97" s="1010">
        <f t="shared" si="84"/>
        <v>1</v>
      </c>
      <c r="DJ97" s="1007">
        <f t="shared" si="85"/>
        <v>20000000</v>
      </c>
      <c r="DK97" s="1007"/>
      <c r="DL97" s="1007"/>
      <c r="DM97" s="1007"/>
      <c r="DN97" s="1007">
        <f t="shared" si="86"/>
        <v>0</v>
      </c>
      <c r="DO97" s="1007"/>
      <c r="DP97" s="1007">
        <f t="shared" si="87"/>
        <v>20000000</v>
      </c>
      <c r="DQ97" s="1007">
        <f t="shared" si="87"/>
        <v>0</v>
      </c>
      <c r="DR97" s="1007"/>
      <c r="DS97" s="1007">
        <f t="shared" si="88"/>
        <v>0</v>
      </c>
      <c r="DT97" s="1007">
        <f t="shared" si="88"/>
        <v>0</v>
      </c>
      <c r="DU97" s="1007"/>
      <c r="DV97" s="1007">
        <f t="shared" si="89"/>
        <v>0</v>
      </c>
      <c r="DW97" s="1007">
        <f t="shared" si="89"/>
        <v>0</v>
      </c>
      <c r="DX97" s="1007">
        <f t="shared" si="89"/>
        <v>0</v>
      </c>
      <c r="DY97" s="1007">
        <f t="shared" si="90"/>
        <v>0</v>
      </c>
      <c r="DZ97" s="1007">
        <f t="shared" si="90"/>
        <v>0</v>
      </c>
      <c r="EA97" s="1007">
        <f t="shared" si="90"/>
        <v>0</v>
      </c>
      <c r="EB97" s="1007">
        <f t="shared" si="90"/>
        <v>0</v>
      </c>
      <c r="EC97" s="1007"/>
      <c r="ED97" s="1007">
        <f t="shared" si="91"/>
        <v>0</v>
      </c>
    </row>
    <row r="98" spans="1:134" ht="33.75" customHeight="1" x14ac:dyDescent="0.25">
      <c r="A98" s="1578"/>
      <c r="B98" s="1018"/>
      <c r="C98" s="1092" t="s">
        <v>4435</v>
      </c>
      <c r="D98" s="1018" t="s">
        <v>4627</v>
      </c>
      <c r="E98" s="1019">
        <v>520</v>
      </c>
      <c r="F98" s="1094" t="s">
        <v>3350</v>
      </c>
      <c r="G98" s="1430"/>
      <c r="H98" s="1060">
        <f t="shared" si="70"/>
        <v>646074</v>
      </c>
      <c r="I98" s="1060">
        <f t="shared" si="71"/>
        <v>24353926</v>
      </c>
      <c r="J98" s="1430"/>
      <c r="K98" s="1258"/>
      <c r="L98" s="1258"/>
      <c r="M98" s="1097">
        <v>0</v>
      </c>
      <c r="N98" s="1097">
        <v>0</v>
      </c>
      <c r="O98" s="1097">
        <v>0</v>
      </c>
      <c r="P98" s="1097">
        <v>0</v>
      </c>
      <c r="Q98" s="1097">
        <v>0</v>
      </c>
      <c r="R98" s="1097">
        <v>0</v>
      </c>
      <c r="S98" s="1094"/>
      <c r="T98" s="1094"/>
      <c r="U98" s="1094"/>
      <c r="V98" s="1094"/>
      <c r="W98" s="1094"/>
      <c r="X98" s="1094"/>
      <c r="Y98" s="1007">
        <f t="shared" si="72"/>
        <v>25000000</v>
      </c>
      <c r="Z98" s="944"/>
      <c r="AA98" s="944">
        <f>10819123-10819123</f>
        <v>0</v>
      </c>
      <c r="AB98" s="944"/>
      <c r="AC98" s="944"/>
      <c r="AD98" s="944"/>
      <c r="AE98" s="1016">
        <f>44180877+10819123-30000000</f>
        <v>25000000</v>
      </c>
      <c r="AF98" s="944"/>
      <c r="AG98" s="944"/>
      <c r="AH98" s="944"/>
      <c r="AI98" s="944"/>
      <c r="AJ98" s="944"/>
      <c r="AK98" s="149"/>
      <c r="AL98" s="944"/>
      <c r="AM98" s="944"/>
      <c r="AN98" s="1007"/>
      <c r="AO98" s="1007"/>
      <c r="AP98" s="1007"/>
      <c r="AQ98" s="1007"/>
      <c r="AR98" s="1007"/>
      <c r="AS98" s="1007"/>
      <c r="AT98" s="203"/>
      <c r="AU98" s="1010">
        <f t="shared" si="73"/>
        <v>0.56723508</v>
      </c>
      <c r="AV98" s="1007">
        <f t="shared" si="74"/>
        <v>14180877</v>
      </c>
      <c r="AW98" s="1007"/>
      <c r="AX98" s="1007"/>
      <c r="AY98" s="1007"/>
      <c r="AZ98" s="1007"/>
      <c r="BA98" s="1007"/>
      <c r="BB98" s="1007">
        <f>+'[15]FEBRERO 2015'!$N$1221-30000000</f>
        <v>14180877</v>
      </c>
      <c r="BC98" s="1007"/>
      <c r="BD98" s="1007"/>
      <c r="BE98" s="1007"/>
      <c r="BF98" s="1007"/>
      <c r="BG98" s="1007"/>
      <c r="BH98" s="1007"/>
      <c r="BI98" s="1007"/>
      <c r="BJ98" s="1007"/>
      <c r="BK98" s="1007"/>
      <c r="BL98" s="1007"/>
      <c r="BM98" s="1007"/>
      <c r="BN98" s="1007"/>
      <c r="BO98" s="1007"/>
      <c r="BP98" s="1007"/>
      <c r="BQ98" s="1010">
        <f t="shared" si="94"/>
        <v>0.43276492</v>
      </c>
      <c r="BR98" s="1007">
        <f t="shared" si="75"/>
        <v>10819123</v>
      </c>
      <c r="BS98" s="1007">
        <f t="shared" si="76"/>
        <v>0</v>
      </c>
      <c r="BT98" s="1007">
        <f t="shared" si="77"/>
        <v>0</v>
      </c>
      <c r="BU98" s="1007"/>
      <c r="BV98" s="1007">
        <f t="shared" si="78"/>
        <v>0</v>
      </c>
      <c r="BW98" s="1007"/>
      <c r="BX98" s="1007">
        <f t="shared" si="79"/>
        <v>10819123</v>
      </c>
      <c r="BY98" s="1007">
        <f t="shared" si="79"/>
        <v>0</v>
      </c>
      <c r="BZ98" s="1007"/>
      <c r="CA98" s="1007">
        <f t="shared" si="92"/>
        <v>0</v>
      </c>
      <c r="CB98" s="1007">
        <f t="shared" si="92"/>
        <v>0</v>
      </c>
      <c r="CC98" s="1007"/>
      <c r="CD98" s="1007">
        <f t="shared" si="93"/>
        <v>0</v>
      </c>
      <c r="CE98" s="1007">
        <f t="shared" si="93"/>
        <v>0</v>
      </c>
      <c r="CF98" s="1007">
        <f t="shared" si="93"/>
        <v>0</v>
      </c>
      <c r="CG98" s="1007">
        <f t="shared" si="93"/>
        <v>0</v>
      </c>
      <c r="CH98" s="1007">
        <f t="shared" si="93"/>
        <v>0</v>
      </c>
      <c r="CI98" s="1007">
        <f t="shared" si="93"/>
        <v>0</v>
      </c>
      <c r="CJ98" s="1007"/>
      <c r="CK98" s="1007"/>
      <c r="CL98" s="1007">
        <f t="shared" si="81"/>
        <v>0</v>
      </c>
      <c r="CM98" s="1010">
        <f t="shared" si="82"/>
        <v>2.5842960000000002E-2</v>
      </c>
      <c r="CN98" s="1007">
        <f t="shared" si="83"/>
        <v>646074</v>
      </c>
      <c r="CO98" s="1007"/>
      <c r="CP98" s="1007"/>
      <c r="CQ98" s="1007"/>
      <c r="CR98" s="1007"/>
      <c r="CS98" s="1007"/>
      <c r="CT98" s="1007">
        <f>+'[7]AGOSTO 2015'!$H$3027</f>
        <v>646074</v>
      </c>
      <c r="CU98" s="1007"/>
      <c r="CV98" s="1007"/>
      <c r="CW98" s="1007"/>
      <c r="CX98" s="1007"/>
      <c r="CY98" s="1007"/>
      <c r="CZ98" s="1007"/>
      <c r="DA98" s="1007"/>
      <c r="DB98" s="1007"/>
      <c r="DC98" s="1007"/>
      <c r="DD98" s="1007"/>
      <c r="DE98" s="1007"/>
      <c r="DF98" s="1007"/>
      <c r="DG98" s="1007"/>
      <c r="DH98" s="1007"/>
      <c r="DI98" s="1010">
        <f t="shared" si="84"/>
        <v>0.97415704000000003</v>
      </c>
      <c r="DJ98" s="1007">
        <f t="shared" si="85"/>
        <v>24353926</v>
      </c>
      <c r="DK98" s="1007"/>
      <c r="DL98" s="1007">
        <f>AA98-CP98</f>
        <v>0</v>
      </c>
      <c r="DM98" s="1007">
        <f>AB98-CQ98</f>
        <v>0</v>
      </c>
      <c r="DN98" s="1007">
        <f t="shared" si="86"/>
        <v>0</v>
      </c>
      <c r="DO98" s="1007"/>
      <c r="DP98" s="1007">
        <f t="shared" si="87"/>
        <v>24353926</v>
      </c>
      <c r="DQ98" s="1007">
        <f t="shared" si="87"/>
        <v>0</v>
      </c>
      <c r="DR98" s="1007"/>
      <c r="DS98" s="1007">
        <f t="shared" si="88"/>
        <v>0</v>
      </c>
      <c r="DT98" s="1007">
        <f t="shared" si="88"/>
        <v>0</v>
      </c>
      <c r="DU98" s="1007"/>
      <c r="DV98" s="1007">
        <f t="shared" si="89"/>
        <v>0</v>
      </c>
      <c r="DW98" s="1007">
        <f t="shared" si="89"/>
        <v>0</v>
      </c>
      <c r="DX98" s="1007">
        <f t="shared" si="89"/>
        <v>0</v>
      </c>
      <c r="DY98" s="1007">
        <f t="shared" si="90"/>
        <v>0</v>
      </c>
      <c r="DZ98" s="1007">
        <f t="shared" si="90"/>
        <v>0</v>
      </c>
      <c r="EA98" s="1007">
        <f t="shared" si="90"/>
        <v>0</v>
      </c>
      <c r="EB98" s="1007">
        <f t="shared" si="90"/>
        <v>0</v>
      </c>
      <c r="EC98" s="1007"/>
      <c r="ED98" s="1007">
        <f t="shared" si="91"/>
        <v>0</v>
      </c>
    </row>
    <row r="99" spans="1:134" s="203" customFormat="1" ht="62.25" customHeight="1" x14ac:dyDescent="0.25">
      <c r="A99" s="1578"/>
      <c r="B99" s="1579" t="s">
        <v>4363</v>
      </c>
      <c r="C99" s="1581" t="s">
        <v>4436</v>
      </c>
      <c r="D99" s="1579" t="s">
        <v>4628</v>
      </c>
      <c r="E99" s="1579">
        <v>520</v>
      </c>
      <c r="F99" s="1428" t="s">
        <v>3350</v>
      </c>
      <c r="G99" s="1428">
        <v>10000000</v>
      </c>
      <c r="H99" s="1060">
        <f t="shared" si="70"/>
        <v>0</v>
      </c>
      <c r="I99" s="1060">
        <f t="shared" si="71"/>
        <v>0</v>
      </c>
      <c r="J99" s="1094" t="s">
        <v>4929</v>
      </c>
      <c r="K99" s="1097" t="s">
        <v>4931</v>
      </c>
      <c r="L99" s="1097" t="s">
        <v>4931</v>
      </c>
      <c r="M99" s="1074">
        <v>0</v>
      </c>
      <c r="N99" s="1074">
        <v>0</v>
      </c>
      <c r="O99" s="1074">
        <v>0</v>
      </c>
      <c r="P99" s="1074"/>
      <c r="Q99" s="1074"/>
      <c r="R99" s="1074"/>
      <c r="S99" s="1094"/>
      <c r="T99" s="1094"/>
      <c r="U99" s="1094"/>
      <c r="V99" s="1094"/>
      <c r="W99" s="1094"/>
      <c r="X99" s="1094"/>
      <c r="Y99" s="1066">
        <f t="shared" si="72"/>
        <v>0</v>
      </c>
      <c r="Z99" s="149"/>
      <c r="AA99" s="149"/>
      <c r="AB99" s="149"/>
      <c r="AC99" s="149"/>
      <c r="AD99" s="149"/>
      <c r="AE99" s="1066">
        <f>10000000-10000000</f>
        <v>0</v>
      </c>
      <c r="AF99" s="149"/>
      <c r="AG99" s="149"/>
      <c r="AH99" s="149"/>
      <c r="AI99" s="149"/>
      <c r="AJ99" s="149"/>
      <c r="AK99" s="149"/>
      <c r="AL99" s="149"/>
      <c r="AM99" s="149"/>
      <c r="AN99" s="1066">
        <f>10000000-10000000</f>
        <v>0</v>
      </c>
      <c r="AO99" s="1066"/>
      <c r="AP99" s="1066"/>
      <c r="AQ99" s="1066"/>
      <c r="AR99" s="1066"/>
      <c r="AS99" s="1066"/>
      <c r="AU99" s="1081" t="e">
        <f t="shared" si="73"/>
        <v>#DIV/0!</v>
      </c>
      <c r="AV99" s="1066">
        <f t="shared" si="74"/>
        <v>0</v>
      </c>
      <c r="AW99" s="1066"/>
      <c r="AX99" s="1066"/>
      <c r="AY99" s="1066"/>
      <c r="AZ99" s="1066"/>
      <c r="BA99" s="1066"/>
      <c r="BB99" s="1066">
        <f>+'[15]FEBRERO 2015'!$N$1228-10000000</f>
        <v>0</v>
      </c>
      <c r="BC99" s="1066"/>
      <c r="BD99" s="1066"/>
      <c r="BE99" s="1066"/>
      <c r="BF99" s="1066"/>
      <c r="BG99" s="1066"/>
      <c r="BH99" s="1066"/>
      <c r="BI99" s="1066"/>
      <c r="BJ99" s="1066"/>
      <c r="BK99" s="1066">
        <f>+'[12]FEBRERO 2015'!$W$1302-10000000</f>
        <v>0</v>
      </c>
      <c r="BL99" s="1066"/>
      <c r="BM99" s="1066"/>
      <c r="BN99" s="1066"/>
      <c r="BO99" s="1066"/>
      <c r="BP99" s="1066"/>
      <c r="BQ99" s="1081" t="e">
        <f t="shared" si="94"/>
        <v>#DIV/0!</v>
      </c>
      <c r="BR99" s="1066">
        <f t="shared" si="75"/>
        <v>0</v>
      </c>
      <c r="BS99" s="1066">
        <f t="shared" si="76"/>
        <v>0</v>
      </c>
      <c r="BT99" s="1066">
        <f t="shared" si="77"/>
        <v>0</v>
      </c>
      <c r="BU99" s="1066"/>
      <c r="BV99" s="1066">
        <f t="shared" si="78"/>
        <v>0</v>
      </c>
      <c r="BW99" s="1066"/>
      <c r="BX99" s="1066">
        <f t="shared" si="79"/>
        <v>0</v>
      </c>
      <c r="BY99" s="1066">
        <f t="shared" si="79"/>
        <v>0</v>
      </c>
      <c r="BZ99" s="1066"/>
      <c r="CA99" s="1066">
        <f t="shared" si="92"/>
        <v>0</v>
      </c>
      <c r="CB99" s="1066">
        <f t="shared" si="92"/>
        <v>0</v>
      </c>
      <c r="CC99" s="1066"/>
      <c r="CD99" s="1066">
        <f t="shared" si="93"/>
        <v>0</v>
      </c>
      <c r="CE99" s="1066">
        <f t="shared" si="93"/>
        <v>0</v>
      </c>
      <c r="CF99" s="1066">
        <f t="shared" si="93"/>
        <v>0</v>
      </c>
      <c r="CG99" s="1066">
        <f t="shared" si="93"/>
        <v>0</v>
      </c>
      <c r="CH99" s="1066">
        <f t="shared" si="93"/>
        <v>0</v>
      </c>
      <c r="CI99" s="1066">
        <f t="shared" si="93"/>
        <v>0</v>
      </c>
      <c r="CJ99" s="1066"/>
      <c r="CK99" s="1066"/>
      <c r="CL99" s="1066">
        <f t="shared" si="81"/>
        <v>0</v>
      </c>
      <c r="CM99" s="1081" t="e">
        <f t="shared" si="82"/>
        <v>#DIV/0!</v>
      </c>
      <c r="CN99" s="1066">
        <f t="shared" si="83"/>
        <v>0</v>
      </c>
      <c r="CO99" s="1066"/>
      <c r="CP99" s="1066"/>
      <c r="CQ99" s="1066"/>
      <c r="CR99" s="1066"/>
      <c r="CS99" s="1066"/>
      <c r="CT99" s="1066"/>
      <c r="CU99" s="1066"/>
      <c r="CV99" s="1066"/>
      <c r="CW99" s="1066"/>
      <c r="CX99" s="1066"/>
      <c r="CY99" s="1066"/>
      <c r="CZ99" s="1066"/>
      <c r="DA99" s="1066"/>
      <c r="DB99" s="1066"/>
      <c r="DC99" s="1066"/>
      <c r="DD99" s="1066"/>
      <c r="DE99" s="1066"/>
      <c r="DF99" s="1066"/>
      <c r="DG99" s="1066"/>
      <c r="DH99" s="1066"/>
      <c r="DI99" s="1081" t="e">
        <f t="shared" si="84"/>
        <v>#DIV/0!</v>
      </c>
      <c r="DJ99" s="1066">
        <f t="shared" si="85"/>
        <v>0</v>
      </c>
      <c r="DK99" s="1066"/>
      <c r="DL99" s="1066"/>
      <c r="DM99" s="1066"/>
      <c r="DN99" s="1066">
        <f t="shared" si="86"/>
        <v>0</v>
      </c>
      <c r="DO99" s="1066"/>
      <c r="DP99" s="1066">
        <f t="shared" si="87"/>
        <v>0</v>
      </c>
      <c r="DQ99" s="1066">
        <f t="shared" si="87"/>
        <v>0</v>
      </c>
      <c r="DR99" s="1066"/>
      <c r="DS99" s="1066">
        <f t="shared" si="88"/>
        <v>0</v>
      </c>
      <c r="DT99" s="1066">
        <f t="shared" si="88"/>
        <v>0</v>
      </c>
      <c r="DU99" s="1066"/>
      <c r="DV99" s="1066">
        <f t="shared" si="89"/>
        <v>0</v>
      </c>
      <c r="DW99" s="1066">
        <f t="shared" si="89"/>
        <v>0</v>
      </c>
      <c r="DX99" s="1066">
        <f t="shared" si="89"/>
        <v>0</v>
      </c>
      <c r="DY99" s="1066">
        <f t="shared" si="90"/>
        <v>0</v>
      </c>
      <c r="DZ99" s="1066">
        <f t="shared" si="90"/>
        <v>0</v>
      </c>
      <c r="EA99" s="1066">
        <f t="shared" si="90"/>
        <v>0</v>
      </c>
      <c r="EB99" s="1066">
        <f t="shared" si="90"/>
        <v>0</v>
      </c>
      <c r="EC99" s="1066"/>
      <c r="ED99" s="1066">
        <f t="shared" si="91"/>
        <v>0</v>
      </c>
    </row>
    <row r="100" spans="1:134" s="203" customFormat="1" ht="25.5" hidden="1" customHeight="1" x14ac:dyDescent="0.25">
      <c r="A100" s="1578"/>
      <c r="B100" s="1580"/>
      <c r="C100" s="1582"/>
      <c r="D100" s="1580"/>
      <c r="E100" s="1580"/>
      <c r="F100" s="1430"/>
      <c r="G100" s="1430"/>
      <c r="H100" s="1060"/>
      <c r="I100" s="1060"/>
      <c r="J100" s="1094" t="s">
        <v>4930</v>
      </c>
      <c r="K100" s="1097" t="s">
        <v>4932</v>
      </c>
      <c r="L100" s="1097" t="s">
        <v>4932</v>
      </c>
      <c r="M100" s="1074">
        <v>0</v>
      </c>
      <c r="N100" s="1074">
        <v>0</v>
      </c>
      <c r="O100" s="1074">
        <v>0</v>
      </c>
      <c r="P100" s="1074"/>
      <c r="Q100" s="1074"/>
      <c r="R100" s="1074"/>
      <c r="S100" s="1094"/>
      <c r="T100" s="1094"/>
      <c r="U100" s="1094"/>
      <c r="V100" s="1094"/>
      <c r="W100" s="1094"/>
      <c r="X100" s="1094"/>
      <c r="Y100" s="1066"/>
      <c r="Z100" s="149"/>
      <c r="AA100" s="149"/>
      <c r="AB100" s="149"/>
      <c r="AC100" s="149"/>
      <c r="AD100" s="149"/>
      <c r="AE100" s="1083"/>
      <c r="AF100" s="149"/>
      <c r="AG100" s="149"/>
      <c r="AH100" s="149"/>
      <c r="AI100" s="149"/>
      <c r="AJ100" s="149"/>
      <c r="AK100" s="149"/>
      <c r="AL100" s="149"/>
      <c r="AM100" s="149"/>
      <c r="AN100" s="1066"/>
      <c r="AO100" s="1066"/>
      <c r="AP100" s="1066"/>
      <c r="AQ100" s="1066"/>
      <c r="AR100" s="1066"/>
      <c r="AS100" s="1066"/>
      <c r="AU100" s="1081"/>
      <c r="AV100" s="1066"/>
      <c r="AW100" s="1066"/>
      <c r="AX100" s="1066"/>
      <c r="AY100" s="1066"/>
      <c r="AZ100" s="1066"/>
      <c r="BA100" s="1066"/>
      <c r="BB100" s="1066"/>
      <c r="BC100" s="1066"/>
      <c r="BD100" s="1066"/>
      <c r="BE100" s="1066"/>
      <c r="BF100" s="1066"/>
      <c r="BG100" s="1066"/>
      <c r="BH100" s="1066"/>
      <c r="BI100" s="1066"/>
      <c r="BJ100" s="1066"/>
      <c r="BK100" s="1066"/>
      <c r="BL100" s="1066"/>
      <c r="BM100" s="1066"/>
      <c r="BN100" s="1066"/>
      <c r="BO100" s="1066"/>
      <c r="BP100" s="1066"/>
      <c r="BQ100" s="1081"/>
      <c r="BR100" s="1066"/>
      <c r="BS100" s="1066"/>
      <c r="BT100" s="1066"/>
      <c r="BU100" s="1066"/>
      <c r="BV100" s="1066"/>
      <c r="BW100" s="1066"/>
      <c r="BX100" s="1066"/>
      <c r="BY100" s="1066"/>
      <c r="BZ100" s="1066"/>
      <c r="CA100" s="1066"/>
      <c r="CB100" s="1066"/>
      <c r="CC100" s="1066"/>
      <c r="CD100" s="1066"/>
      <c r="CE100" s="1066"/>
      <c r="CF100" s="1066"/>
      <c r="CG100" s="1066"/>
      <c r="CH100" s="1066"/>
      <c r="CI100" s="1066"/>
      <c r="CJ100" s="1066"/>
      <c r="CK100" s="1066"/>
      <c r="CL100" s="1066"/>
      <c r="CM100" s="1081"/>
      <c r="CN100" s="1066"/>
      <c r="CO100" s="1066"/>
      <c r="CP100" s="1066"/>
      <c r="CQ100" s="1066"/>
      <c r="CR100" s="1066"/>
      <c r="CS100" s="1066"/>
      <c r="CT100" s="1066"/>
      <c r="CU100" s="1066"/>
      <c r="CV100" s="1066"/>
      <c r="CW100" s="1066"/>
      <c r="CX100" s="1066"/>
      <c r="CY100" s="1066"/>
      <c r="CZ100" s="1066"/>
      <c r="DA100" s="1066"/>
      <c r="DB100" s="1066"/>
      <c r="DC100" s="1066"/>
      <c r="DD100" s="1066"/>
      <c r="DE100" s="1066"/>
      <c r="DF100" s="1066"/>
      <c r="DG100" s="1066"/>
      <c r="DH100" s="1066"/>
      <c r="DI100" s="1081"/>
      <c r="DJ100" s="1066"/>
      <c r="DK100" s="1066"/>
      <c r="DL100" s="1066"/>
      <c r="DM100" s="1066"/>
      <c r="DN100" s="1066"/>
      <c r="DO100" s="1066"/>
      <c r="DP100" s="1066"/>
      <c r="DQ100" s="1066"/>
      <c r="DR100" s="1066"/>
      <c r="DS100" s="1066"/>
      <c r="DT100" s="1066"/>
      <c r="DU100" s="1066"/>
      <c r="DV100" s="1066"/>
      <c r="DW100" s="1066"/>
      <c r="DX100" s="1066"/>
      <c r="DY100" s="1066"/>
      <c r="DZ100" s="1066"/>
      <c r="EA100" s="1066"/>
      <c r="EB100" s="1066"/>
      <c r="EC100" s="1066"/>
      <c r="ED100" s="1066"/>
    </row>
    <row r="101" spans="1:134" ht="46.5" customHeight="1" x14ac:dyDescent="0.25">
      <c r="A101" s="1578"/>
      <c r="B101" s="1018" t="s">
        <v>4364</v>
      </c>
      <c r="C101" s="1092" t="s">
        <v>4437</v>
      </c>
      <c r="D101" s="1018" t="s">
        <v>4629</v>
      </c>
      <c r="E101" s="1019">
        <v>520</v>
      </c>
      <c r="F101" s="1094" t="s">
        <v>3350</v>
      </c>
      <c r="G101" s="1428">
        <v>361000000</v>
      </c>
      <c r="H101" s="1060">
        <f t="shared" si="70"/>
        <v>93970657</v>
      </c>
      <c r="I101" s="1060">
        <f>Y101-H101</f>
        <v>78180550</v>
      </c>
      <c r="J101" s="1101" t="s">
        <v>4895</v>
      </c>
      <c r="K101" s="1108" t="s">
        <v>4899</v>
      </c>
      <c r="L101" s="1108" t="s">
        <v>4901</v>
      </c>
      <c r="M101" s="1097">
        <v>24</v>
      </c>
      <c r="N101" s="1097">
        <v>0</v>
      </c>
      <c r="O101" s="1097">
        <v>0</v>
      </c>
      <c r="P101" s="1097">
        <v>54</v>
      </c>
      <c r="Q101" s="1097">
        <v>50</v>
      </c>
      <c r="R101" s="1097">
        <v>27</v>
      </c>
      <c r="S101" s="1094"/>
      <c r="T101" s="1094"/>
      <c r="U101" s="1094"/>
      <c r="V101" s="1094"/>
      <c r="W101" s="1094"/>
      <c r="X101" s="1094"/>
      <c r="Y101" s="1007">
        <f t="shared" si="72"/>
        <v>172151207</v>
      </c>
      <c r="Z101" s="944"/>
      <c r="AA101" s="944"/>
      <c r="AB101" s="944"/>
      <c r="AC101" s="1007">
        <f>80000000-72884540-7115460</f>
        <v>0</v>
      </c>
      <c r="AD101" s="1007">
        <v>72884540</v>
      </c>
      <c r="AE101" s="1016">
        <f>170000000-80733333</f>
        <v>89266667</v>
      </c>
      <c r="AF101" s="944"/>
      <c r="AG101" s="944"/>
      <c r="AH101" s="944"/>
      <c r="AI101" s="944"/>
      <c r="AJ101" s="944"/>
      <c r="AK101" s="149"/>
      <c r="AL101" s="944"/>
      <c r="AM101" s="944"/>
      <c r="AN101" s="1007">
        <v>10000000</v>
      </c>
      <c r="AO101" s="1007"/>
      <c r="AP101" s="1007"/>
      <c r="AQ101" s="1007"/>
      <c r="AR101" s="1007"/>
      <c r="AS101" s="1007"/>
      <c r="AT101" s="203"/>
      <c r="AU101" s="1010">
        <f t="shared" si="73"/>
        <v>0.57662486792787926</v>
      </c>
      <c r="AV101" s="1007">
        <f t="shared" si="74"/>
        <v>99266667</v>
      </c>
      <c r="AW101" s="1007"/>
      <c r="AX101" s="1007"/>
      <c r="AY101" s="1007"/>
      <c r="AZ101" s="1007"/>
      <c r="BA101" s="1007"/>
      <c r="BB101" s="1007">
        <f>+'[12]FEBRERO 2015'!$N$1309</f>
        <v>89266667</v>
      </c>
      <c r="BC101" s="1007"/>
      <c r="BD101" s="1007"/>
      <c r="BE101" s="1007"/>
      <c r="BF101" s="1007"/>
      <c r="BG101" s="1007"/>
      <c r="BH101" s="1007"/>
      <c r="BI101" s="1007"/>
      <c r="BJ101" s="1007"/>
      <c r="BK101" s="1007">
        <f>+'[12]FEBRERO 2015'!$W$1309</f>
        <v>10000000</v>
      </c>
      <c r="BL101" s="1007"/>
      <c r="BM101" s="1007"/>
      <c r="BN101" s="1007"/>
      <c r="BO101" s="1007"/>
      <c r="BP101" s="1007"/>
      <c r="BQ101" s="1010">
        <f t="shared" si="94"/>
        <v>0.42337513207212074</v>
      </c>
      <c r="BR101" s="1007">
        <f t="shared" si="75"/>
        <v>72884540</v>
      </c>
      <c r="BS101" s="1007">
        <f t="shared" si="76"/>
        <v>0</v>
      </c>
      <c r="BT101" s="1007">
        <f t="shared" si="77"/>
        <v>0</v>
      </c>
      <c r="BU101" s="1007"/>
      <c r="BV101" s="1007">
        <f t="shared" si="78"/>
        <v>0</v>
      </c>
      <c r="BW101" s="1007">
        <f>AD101-BA101</f>
        <v>72884540</v>
      </c>
      <c r="BX101" s="1007">
        <f t="shared" si="79"/>
        <v>0</v>
      </c>
      <c r="BY101" s="1007">
        <f t="shared" si="79"/>
        <v>0</v>
      </c>
      <c r="BZ101" s="1007"/>
      <c r="CA101" s="1007">
        <f t="shared" si="92"/>
        <v>0</v>
      </c>
      <c r="CB101" s="1007">
        <f t="shared" si="92"/>
        <v>0</v>
      </c>
      <c r="CC101" s="1007"/>
      <c r="CD101" s="1007">
        <f t="shared" si="93"/>
        <v>0</v>
      </c>
      <c r="CE101" s="1007">
        <f t="shared" si="93"/>
        <v>0</v>
      </c>
      <c r="CF101" s="1007">
        <f t="shared" si="93"/>
        <v>0</v>
      </c>
      <c r="CG101" s="1007">
        <f t="shared" si="93"/>
        <v>0</v>
      </c>
      <c r="CH101" s="1007">
        <f t="shared" si="93"/>
        <v>0</v>
      </c>
      <c r="CI101" s="1007">
        <f t="shared" si="93"/>
        <v>0</v>
      </c>
      <c r="CJ101" s="1007"/>
      <c r="CK101" s="1007"/>
      <c r="CL101" s="1007">
        <f t="shared" si="81"/>
        <v>0</v>
      </c>
      <c r="CM101" s="1010">
        <f t="shared" si="82"/>
        <v>0.54586115681431147</v>
      </c>
      <c r="CN101" s="1007">
        <f t="shared" si="83"/>
        <v>93970657</v>
      </c>
      <c r="CO101" s="1007"/>
      <c r="CP101" s="1007"/>
      <c r="CQ101" s="1007"/>
      <c r="CR101" s="1007"/>
      <c r="CS101" s="1007"/>
      <c r="CT101" s="1007">
        <f>+'[7]AGOSTO 2015'!$H$3044+'[7]AGOSTO 2015'!$H$3050</f>
        <v>83970657</v>
      </c>
      <c r="CU101" s="1007"/>
      <c r="CV101" s="1007"/>
      <c r="CW101" s="1007"/>
      <c r="CX101" s="1007"/>
      <c r="CY101" s="1007"/>
      <c r="CZ101" s="1007"/>
      <c r="DA101" s="1007"/>
      <c r="DB101" s="1007"/>
      <c r="DC101" s="1007">
        <f>+'[13]JUNIO 2015'!$H$2333</f>
        <v>10000000</v>
      </c>
      <c r="DD101" s="1007"/>
      <c r="DE101" s="1007"/>
      <c r="DF101" s="1007"/>
      <c r="DG101" s="1007"/>
      <c r="DH101" s="1007"/>
      <c r="DI101" s="1010">
        <f t="shared" si="84"/>
        <v>0.45413884318568853</v>
      </c>
      <c r="DJ101" s="1007">
        <f t="shared" si="85"/>
        <v>78180550</v>
      </c>
      <c r="DK101" s="1007"/>
      <c r="DL101" s="1007"/>
      <c r="DM101" s="1007"/>
      <c r="DN101" s="1007">
        <f t="shared" si="86"/>
        <v>0</v>
      </c>
      <c r="DO101" s="1007">
        <f>AD101-CS101</f>
        <v>72884540</v>
      </c>
      <c r="DP101" s="1007">
        <f t="shared" si="87"/>
        <v>5296010</v>
      </c>
      <c r="DQ101" s="1007">
        <f t="shared" si="87"/>
        <v>0</v>
      </c>
      <c r="DR101" s="1007"/>
      <c r="DS101" s="1007">
        <f t="shared" si="88"/>
        <v>0</v>
      </c>
      <c r="DT101" s="1007">
        <f t="shared" si="88"/>
        <v>0</v>
      </c>
      <c r="DU101" s="1007"/>
      <c r="DV101" s="1007">
        <f t="shared" si="89"/>
        <v>0</v>
      </c>
      <c r="DW101" s="1007">
        <f t="shared" si="89"/>
        <v>0</v>
      </c>
      <c r="DX101" s="1007">
        <f t="shared" si="89"/>
        <v>0</v>
      </c>
      <c r="DY101" s="1007">
        <f t="shared" si="90"/>
        <v>0</v>
      </c>
      <c r="DZ101" s="1007">
        <f t="shared" si="90"/>
        <v>0</v>
      </c>
      <c r="EA101" s="1007">
        <f t="shared" si="90"/>
        <v>0</v>
      </c>
      <c r="EB101" s="1007">
        <f t="shared" si="90"/>
        <v>0</v>
      </c>
      <c r="EC101" s="1007"/>
      <c r="ED101" s="1007">
        <f t="shared" si="91"/>
        <v>0</v>
      </c>
    </row>
    <row r="102" spans="1:134" ht="39" customHeight="1" x14ac:dyDescent="0.25">
      <c r="A102" s="1578"/>
      <c r="B102" s="1028"/>
      <c r="C102" s="1092" t="s">
        <v>4438</v>
      </c>
      <c r="D102" s="1018" t="s">
        <v>4706</v>
      </c>
      <c r="E102" s="1019">
        <v>520</v>
      </c>
      <c r="F102" s="1094" t="s">
        <v>3350</v>
      </c>
      <c r="G102" s="1429"/>
      <c r="H102" s="1060">
        <f t="shared" si="70"/>
        <v>110733333</v>
      </c>
      <c r="I102" s="1060">
        <f>Y102-H102</f>
        <v>0</v>
      </c>
      <c r="J102" s="1094" t="s">
        <v>4896</v>
      </c>
      <c r="K102" s="1097" t="s">
        <v>4898</v>
      </c>
      <c r="L102" s="1097" t="s">
        <v>4902</v>
      </c>
      <c r="M102" s="1097">
        <v>58</v>
      </c>
      <c r="N102" s="1097">
        <v>5</v>
      </c>
      <c r="O102" s="1097">
        <v>3</v>
      </c>
      <c r="P102" s="1097">
        <v>100</v>
      </c>
      <c r="Q102" s="1097">
        <v>40</v>
      </c>
      <c r="R102" s="1097">
        <v>40</v>
      </c>
      <c r="S102" s="1094"/>
      <c r="T102" s="1094"/>
      <c r="U102" s="1094"/>
      <c r="V102" s="1094"/>
      <c r="W102" s="1094"/>
      <c r="X102" s="1094"/>
      <c r="Y102" s="1007">
        <f t="shared" si="72"/>
        <v>110733333</v>
      </c>
      <c r="Z102" s="944"/>
      <c r="AA102" s="944"/>
      <c r="AB102" s="944"/>
      <c r="AC102" s="1007">
        <f>70000000-70000000</f>
        <v>0</v>
      </c>
      <c r="AD102" s="1007"/>
      <c r="AE102" s="1007">
        <f>30000000+80733333</f>
        <v>110733333</v>
      </c>
      <c r="AF102" s="944"/>
      <c r="AG102" s="944"/>
      <c r="AH102" s="944"/>
      <c r="AI102" s="944"/>
      <c r="AJ102" s="944"/>
      <c r="AK102" s="149"/>
      <c r="AL102" s="944"/>
      <c r="AM102" s="944"/>
      <c r="AN102" s="1007"/>
      <c r="AO102" s="1007"/>
      <c r="AP102" s="1007"/>
      <c r="AQ102" s="1007"/>
      <c r="AR102" s="1007"/>
      <c r="AS102" s="1007"/>
      <c r="AT102" s="203"/>
      <c r="AU102" s="1010">
        <f t="shared" si="73"/>
        <v>1</v>
      </c>
      <c r="AV102" s="1007">
        <f t="shared" si="74"/>
        <v>110733333</v>
      </c>
      <c r="AW102" s="1007"/>
      <c r="AX102" s="1007"/>
      <c r="AY102" s="1007"/>
      <c r="AZ102" s="1007">
        <f>+'[11]MARZO 2015'!$L$1529-70000000</f>
        <v>0</v>
      </c>
      <c r="BA102" s="1007"/>
      <c r="BB102" s="1007">
        <f>+'[11]MARZO 2015'!$N$1529</f>
        <v>110733333</v>
      </c>
      <c r="BC102" s="1007"/>
      <c r="BD102" s="1007"/>
      <c r="BE102" s="1007"/>
      <c r="BF102" s="1007"/>
      <c r="BG102" s="1007"/>
      <c r="BH102" s="1007"/>
      <c r="BI102" s="1007"/>
      <c r="BJ102" s="1007"/>
      <c r="BK102" s="1007"/>
      <c r="BL102" s="1007"/>
      <c r="BM102" s="1007"/>
      <c r="BN102" s="1007"/>
      <c r="BO102" s="1007"/>
      <c r="BP102" s="1007"/>
      <c r="BQ102" s="1010">
        <f t="shared" si="94"/>
        <v>0</v>
      </c>
      <c r="BR102" s="1007">
        <f t="shared" si="75"/>
        <v>0</v>
      </c>
      <c r="BS102" s="1007">
        <f t="shared" si="76"/>
        <v>0</v>
      </c>
      <c r="BT102" s="1007">
        <f t="shared" si="77"/>
        <v>0</v>
      </c>
      <c r="BU102" s="1007"/>
      <c r="BV102" s="1007">
        <f t="shared" si="78"/>
        <v>0</v>
      </c>
      <c r="BW102" s="1007"/>
      <c r="BX102" s="1007">
        <f t="shared" si="79"/>
        <v>0</v>
      </c>
      <c r="BY102" s="1007">
        <f t="shared" si="79"/>
        <v>0</v>
      </c>
      <c r="BZ102" s="1007"/>
      <c r="CA102" s="1007">
        <f t="shared" si="92"/>
        <v>0</v>
      </c>
      <c r="CB102" s="1007">
        <f t="shared" si="92"/>
        <v>0</v>
      </c>
      <c r="CC102" s="1007"/>
      <c r="CD102" s="1007">
        <f t="shared" si="93"/>
        <v>0</v>
      </c>
      <c r="CE102" s="1007">
        <f t="shared" si="93"/>
        <v>0</v>
      </c>
      <c r="CF102" s="1007">
        <f t="shared" si="93"/>
        <v>0</v>
      </c>
      <c r="CG102" s="1007">
        <f t="shared" si="93"/>
        <v>0</v>
      </c>
      <c r="CH102" s="1007">
        <f t="shared" si="93"/>
        <v>0</v>
      </c>
      <c r="CI102" s="1007">
        <f t="shared" si="93"/>
        <v>0</v>
      </c>
      <c r="CJ102" s="1007"/>
      <c r="CK102" s="1007"/>
      <c r="CL102" s="1007">
        <f t="shared" si="81"/>
        <v>0</v>
      </c>
      <c r="CM102" s="1010">
        <f t="shared" si="82"/>
        <v>1</v>
      </c>
      <c r="CN102" s="1007">
        <f t="shared" si="83"/>
        <v>110733333</v>
      </c>
      <c r="CO102" s="1007"/>
      <c r="CP102" s="1007"/>
      <c r="CQ102" s="1007"/>
      <c r="CR102" s="1007"/>
      <c r="CS102" s="1007"/>
      <c r="CT102" s="1007">
        <f>+'[10]JULIO 2015'!$H$2722</f>
        <v>110733333</v>
      </c>
      <c r="CU102" s="1007"/>
      <c r="CV102" s="1007"/>
      <c r="CW102" s="1007"/>
      <c r="CX102" s="1007"/>
      <c r="CY102" s="1007"/>
      <c r="CZ102" s="1007"/>
      <c r="DA102" s="1007"/>
      <c r="DB102" s="1007"/>
      <c r="DC102" s="1007"/>
      <c r="DD102" s="1007"/>
      <c r="DE102" s="1007"/>
      <c r="DF102" s="1007"/>
      <c r="DG102" s="1007"/>
      <c r="DH102" s="1007"/>
      <c r="DI102" s="1010">
        <f t="shared" si="84"/>
        <v>0</v>
      </c>
      <c r="DJ102" s="1007">
        <f t="shared" si="85"/>
        <v>0</v>
      </c>
      <c r="DK102" s="1007"/>
      <c r="DL102" s="1007"/>
      <c r="DM102" s="1007"/>
      <c r="DN102" s="1007">
        <f t="shared" si="86"/>
        <v>0</v>
      </c>
      <c r="DO102" s="1007"/>
      <c r="DP102" s="1007">
        <f t="shared" si="87"/>
        <v>0</v>
      </c>
      <c r="DQ102" s="1007">
        <f t="shared" si="87"/>
        <v>0</v>
      </c>
      <c r="DR102" s="1007"/>
      <c r="DS102" s="1007">
        <f t="shared" si="88"/>
        <v>0</v>
      </c>
      <c r="DT102" s="1007">
        <f t="shared" si="88"/>
        <v>0</v>
      </c>
      <c r="DU102" s="1007"/>
      <c r="DV102" s="1007">
        <f t="shared" si="89"/>
        <v>0</v>
      </c>
      <c r="DW102" s="1007">
        <f t="shared" si="89"/>
        <v>0</v>
      </c>
      <c r="DX102" s="1007">
        <f t="shared" si="89"/>
        <v>0</v>
      </c>
      <c r="DY102" s="1007">
        <f t="shared" si="90"/>
        <v>0</v>
      </c>
      <c r="DZ102" s="1007">
        <f t="shared" si="90"/>
        <v>0</v>
      </c>
      <c r="EA102" s="1007">
        <f t="shared" si="90"/>
        <v>0</v>
      </c>
      <c r="EB102" s="1007">
        <f t="shared" si="90"/>
        <v>0</v>
      </c>
      <c r="EC102" s="1007"/>
      <c r="ED102" s="1007">
        <f t="shared" si="91"/>
        <v>0</v>
      </c>
    </row>
    <row r="103" spans="1:134" ht="45.75" customHeight="1" x14ac:dyDescent="0.25">
      <c r="A103" s="1578"/>
      <c r="B103" s="1028"/>
      <c r="C103" s="1092" t="s">
        <v>4439</v>
      </c>
      <c r="D103" s="1018" t="s">
        <v>4630</v>
      </c>
      <c r="E103" s="1019">
        <v>520</v>
      </c>
      <c r="F103" s="1094" t="s">
        <v>4933</v>
      </c>
      <c r="G103" s="1430"/>
      <c r="H103" s="1060">
        <f t="shared" si="70"/>
        <v>14400000</v>
      </c>
      <c r="I103" s="1060">
        <f>Y103-H103</f>
        <v>23013108</v>
      </c>
      <c r="J103" s="1094" t="s">
        <v>4897</v>
      </c>
      <c r="K103" s="1097" t="s">
        <v>4900</v>
      </c>
      <c r="L103" s="1097" t="s">
        <v>4903</v>
      </c>
      <c r="M103" s="1097">
        <v>0</v>
      </c>
      <c r="N103" s="1097">
        <v>0</v>
      </c>
      <c r="O103" s="1097">
        <v>0</v>
      </c>
      <c r="P103" s="1097">
        <v>22</v>
      </c>
      <c r="Q103" s="1097">
        <v>0</v>
      </c>
      <c r="R103" s="1097">
        <v>0</v>
      </c>
      <c r="S103" s="1094"/>
      <c r="T103" s="1094"/>
      <c r="U103" s="1094"/>
      <c r="V103" s="1094"/>
      <c r="W103" s="1094"/>
      <c r="X103" s="1094"/>
      <c r="Y103" s="1007">
        <f t="shared" si="72"/>
        <v>37413108</v>
      </c>
      <c r="Z103" s="944"/>
      <c r="AA103" s="944"/>
      <c r="AB103" s="944"/>
      <c r="AC103" s="944"/>
      <c r="AD103" s="944"/>
      <c r="AE103" s="944"/>
      <c r="AF103" s="944"/>
      <c r="AG103" s="944"/>
      <c r="AH103" s="944"/>
      <c r="AI103" s="944"/>
      <c r="AJ103" s="944"/>
      <c r="AK103" s="149"/>
      <c r="AL103" s="944"/>
      <c r="AM103" s="944"/>
      <c r="AN103" s="1007"/>
      <c r="AO103" s="1007"/>
      <c r="AP103" s="1007"/>
      <c r="AQ103" s="1007"/>
      <c r="AR103" s="1007"/>
      <c r="AS103" s="1007">
        <f>3000000+8000000+20123209+4455882+1834017</f>
        <v>37413108</v>
      </c>
      <c r="AT103" s="203"/>
      <c r="AU103" s="1010">
        <f t="shared" si="73"/>
        <v>0.73715049281658185</v>
      </c>
      <c r="AV103" s="1007">
        <f t="shared" si="74"/>
        <v>27579091</v>
      </c>
      <c r="AW103" s="1007"/>
      <c r="AX103" s="1007"/>
      <c r="AY103" s="1007"/>
      <c r="AZ103" s="1007"/>
      <c r="BA103" s="1007"/>
      <c r="BB103" s="1007"/>
      <c r="BC103" s="1007"/>
      <c r="BD103" s="1007"/>
      <c r="BE103" s="1007"/>
      <c r="BF103" s="1007"/>
      <c r="BG103" s="1007"/>
      <c r="BH103" s="1007"/>
      <c r="BI103" s="1007"/>
      <c r="BJ103" s="1007"/>
      <c r="BK103" s="1007"/>
      <c r="BL103" s="1007"/>
      <c r="BM103" s="1007"/>
      <c r="BN103" s="1007"/>
      <c r="BO103" s="1007"/>
      <c r="BP103" s="1007">
        <f>+'[10]JULIO 2015'!$AD$2743</f>
        <v>27579091</v>
      </c>
      <c r="BQ103" s="1010">
        <f t="shared" si="94"/>
        <v>0.26284950718341815</v>
      </c>
      <c r="BR103" s="1007">
        <f t="shared" si="75"/>
        <v>9834017</v>
      </c>
      <c r="BS103" s="1007">
        <f t="shared" si="76"/>
        <v>0</v>
      </c>
      <c r="BT103" s="1007">
        <f t="shared" si="77"/>
        <v>0</v>
      </c>
      <c r="BU103" s="1007"/>
      <c r="BV103" s="1007">
        <f t="shared" si="78"/>
        <v>0</v>
      </c>
      <c r="BW103" s="1007"/>
      <c r="BX103" s="1007">
        <f t="shared" si="79"/>
        <v>0</v>
      </c>
      <c r="BY103" s="1007">
        <f t="shared" si="79"/>
        <v>0</v>
      </c>
      <c r="BZ103" s="1007"/>
      <c r="CA103" s="1007">
        <f t="shared" si="92"/>
        <v>0</v>
      </c>
      <c r="CB103" s="1007">
        <f t="shared" si="92"/>
        <v>0</v>
      </c>
      <c r="CC103" s="1007"/>
      <c r="CD103" s="1007">
        <f t="shared" si="93"/>
        <v>0</v>
      </c>
      <c r="CE103" s="1007">
        <f t="shared" si="93"/>
        <v>0</v>
      </c>
      <c r="CF103" s="1007">
        <f t="shared" si="93"/>
        <v>0</v>
      </c>
      <c r="CG103" s="1007">
        <f t="shared" si="93"/>
        <v>0</v>
      </c>
      <c r="CH103" s="1007">
        <f t="shared" si="93"/>
        <v>0</v>
      </c>
      <c r="CI103" s="1007">
        <f t="shared" si="93"/>
        <v>0</v>
      </c>
      <c r="CJ103" s="1007"/>
      <c r="CK103" s="1007"/>
      <c r="CL103" s="1007">
        <f t="shared" si="81"/>
        <v>9834017</v>
      </c>
      <c r="CM103" s="1010">
        <f t="shared" si="82"/>
        <v>0.38489184058164855</v>
      </c>
      <c r="CN103" s="1007">
        <f t="shared" si="83"/>
        <v>14400000</v>
      </c>
      <c r="CO103" s="1007"/>
      <c r="CP103" s="1007"/>
      <c r="CQ103" s="1007"/>
      <c r="CR103" s="1007"/>
      <c r="CS103" s="1007"/>
      <c r="CT103" s="1007"/>
      <c r="CU103" s="1007"/>
      <c r="CV103" s="1007"/>
      <c r="CW103" s="1007"/>
      <c r="CX103" s="1007"/>
      <c r="CY103" s="1007"/>
      <c r="CZ103" s="1007"/>
      <c r="DA103" s="1007"/>
      <c r="DB103" s="1007"/>
      <c r="DC103" s="1007"/>
      <c r="DD103" s="1007"/>
      <c r="DE103" s="1007"/>
      <c r="DF103" s="1007"/>
      <c r="DG103" s="1007"/>
      <c r="DH103" s="1007">
        <f>+'[8]SEPTIEMBRE 2015'!$H$3762</f>
        <v>14400000</v>
      </c>
      <c r="DI103" s="1010">
        <f t="shared" si="84"/>
        <v>0.6151081594183514</v>
      </c>
      <c r="DJ103" s="1007">
        <f t="shared" si="85"/>
        <v>23013108</v>
      </c>
      <c r="DK103" s="1007"/>
      <c r="DL103" s="1007"/>
      <c r="DM103" s="1007"/>
      <c r="DN103" s="1007">
        <f t="shared" si="86"/>
        <v>0</v>
      </c>
      <c r="DO103" s="1007"/>
      <c r="DP103" s="1007">
        <f t="shared" si="87"/>
        <v>0</v>
      </c>
      <c r="DQ103" s="1007">
        <f t="shared" si="87"/>
        <v>0</v>
      </c>
      <c r="DR103" s="1007"/>
      <c r="DS103" s="1007">
        <f t="shared" si="88"/>
        <v>0</v>
      </c>
      <c r="DT103" s="1007">
        <f t="shared" si="88"/>
        <v>0</v>
      </c>
      <c r="DU103" s="1007"/>
      <c r="DV103" s="1007">
        <f t="shared" si="89"/>
        <v>0</v>
      </c>
      <c r="DW103" s="1007">
        <f t="shared" si="89"/>
        <v>0</v>
      </c>
      <c r="DX103" s="1007">
        <f t="shared" si="89"/>
        <v>0</v>
      </c>
      <c r="DY103" s="1007">
        <f t="shared" si="90"/>
        <v>0</v>
      </c>
      <c r="DZ103" s="1007">
        <f t="shared" si="90"/>
        <v>0</v>
      </c>
      <c r="EA103" s="1007">
        <f t="shared" si="90"/>
        <v>0</v>
      </c>
      <c r="EB103" s="1007">
        <f t="shared" si="90"/>
        <v>0</v>
      </c>
      <c r="EC103" s="1007"/>
      <c r="ED103" s="1007">
        <f t="shared" si="91"/>
        <v>23013108</v>
      </c>
    </row>
    <row r="104" spans="1:134" s="948" customFormat="1" ht="21" customHeight="1" thickBot="1" x14ac:dyDescent="0.3">
      <c r="A104" s="1001"/>
      <c r="B104" s="1583" t="s">
        <v>4365</v>
      </c>
      <c r="C104" s="1584"/>
      <c r="D104" s="1584"/>
      <c r="E104" s="1584"/>
      <c r="F104" s="1585"/>
      <c r="G104" s="1008">
        <f>SUM(G68:G103)</f>
        <v>2832000000</v>
      </c>
      <c r="H104" s="1008">
        <f>SUM(H68:H103)</f>
        <v>1853898673</v>
      </c>
      <c r="I104" s="1008">
        <f>SUM(I68:I103)</f>
        <v>1135342598</v>
      </c>
      <c r="J104" s="1105"/>
      <c r="K104" s="1104"/>
      <c r="L104" s="1104"/>
      <c r="M104" s="1104"/>
      <c r="N104" s="1104"/>
      <c r="O104" s="1104"/>
      <c r="P104" s="1104"/>
      <c r="Q104" s="1104"/>
      <c r="R104" s="1104"/>
      <c r="S104" s="1105"/>
      <c r="T104" s="1105"/>
      <c r="U104" s="1105"/>
      <c r="V104" s="1105"/>
      <c r="W104" s="1105"/>
      <c r="X104" s="1105"/>
      <c r="Y104" s="1008">
        <f t="shared" ref="Y104:AS104" si="95">SUM(Y68:Y103)</f>
        <v>2989241271</v>
      </c>
      <c r="Z104" s="1008">
        <f t="shared" si="95"/>
        <v>0</v>
      </c>
      <c r="AA104" s="1008">
        <f t="shared" si="95"/>
        <v>0</v>
      </c>
      <c r="AB104" s="1008">
        <f t="shared" si="95"/>
        <v>0</v>
      </c>
      <c r="AC104" s="1008">
        <f t="shared" si="95"/>
        <v>50000000</v>
      </c>
      <c r="AD104" s="1008">
        <f t="shared" si="95"/>
        <v>72884540</v>
      </c>
      <c r="AE104" s="1008">
        <f t="shared" si="95"/>
        <v>660000000</v>
      </c>
      <c r="AF104" s="1008">
        <f t="shared" si="95"/>
        <v>923014856</v>
      </c>
      <c r="AG104" s="1008">
        <f t="shared" si="95"/>
        <v>0</v>
      </c>
      <c r="AH104" s="1008">
        <f t="shared" si="95"/>
        <v>0</v>
      </c>
      <c r="AI104" s="1008">
        <f t="shared" si="95"/>
        <v>0</v>
      </c>
      <c r="AJ104" s="1008">
        <f t="shared" si="95"/>
        <v>0</v>
      </c>
      <c r="AK104" s="1008">
        <f t="shared" si="95"/>
        <v>0</v>
      </c>
      <c r="AL104" s="1008">
        <f t="shared" si="95"/>
        <v>610864435</v>
      </c>
      <c r="AM104" s="1008">
        <f t="shared" si="95"/>
        <v>0</v>
      </c>
      <c r="AN104" s="1008">
        <f t="shared" si="95"/>
        <v>75000000</v>
      </c>
      <c r="AO104" s="1008">
        <f t="shared" si="95"/>
        <v>0</v>
      </c>
      <c r="AP104" s="1008">
        <f t="shared" si="95"/>
        <v>0</v>
      </c>
      <c r="AQ104" s="1008">
        <f t="shared" si="95"/>
        <v>0</v>
      </c>
      <c r="AR104" s="1008">
        <f t="shared" si="95"/>
        <v>0</v>
      </c>
      <c r="AS104" s="1008">
        <f t="shared" si="95"/>
        <v>597477440</v>
      </c>
      <c r="AU104" s="1011">
        <f t="shared" si="73"/>
        <v>0.81551392577437753</v>
      </c>
      <c r="AV104" s="1008">
        <f>SUM(AV68:AV103)</f>
        <v>2437767884</v>
      </c>
      <c r="AW104" s="1008">
        <f>SUM(AW68:AW103)</f>
        <v>0</v>
      </c>
      <c r="AX104" s="1008">
        <f>SUM(AX68:AX103)</f>
        <v>0</v>
      </c>
      <c r="AY104" s="1008"/>
      <c r="AZ104" s="1008">
        <f>SUM(AZ68:AZ103)</f>
        <v>50000000</v>
      </c>
      <c r="BA104" s="1008"/>
      <c r="BB104" s="1008">
        <f t="shared" ref="BB104:BP104" si="96">SUM(BB68:BB103)</f>
        <v>649180877</v>
      </c>
      <c r="BC104" s="1008">
        <f t="shared" si="96"/>
        <v>898014856</v>
      </c>
      <c r="BD104" s="1008">
        <f t="shared" si="96"/>
        <v>0</v>
      </c>
      <c r="BE104" s="1008">
        <f t="shared" si="96"/>
        <v>0</v>
      </c>
      <c r="BF104" s="1008">
        <f t="shared" si="96"/>
        <v>0</v>
      </c>
      <c r="BG104" s="1008">
        <f t="shared" si="96"/>
        <v>0</v>
      </c>
      <c r="BH104" s="1008">
        <f t="shared" si="96"/>
        <v>0</v>
      </c>
      <c r="BI104" s="1008">
        <f t="shared" si="96"/>
        <v>239671226</v>
      </c>
      <c r="BJ104" s="1008">
        <f t="shared" si="96"/>
        <v>0</v>
      </c>
      <c r="BK104" s="1008">
        <f t="shared" si="96"/>
        <v>56860700</v>
      </c>
      <c r="BL104" s="1008">
        <f t="shared" si="96"/>
        <v>0</v>
      </c>
      <c r="BM104" s="1008">
        <f t="shared" si="96"/>
        <v>0</v>
      </c>
      <c r="BN104" s="1008">
        <f t="shared" si="96"/>
        <v>0</v>
      </c>
      <c r="BO104" s="1008">
        <f t="shared" si="96"/>
        <v>0</v>
      </c>
      <c r="BP104" s="1008">
        <f t="shared" si="96"/>
        <v>544040225</v>
      </c>
      <c r="BQ104" s="1011">
        <f t="shared" si="94"/>
        <v>0.18448607422562247</v>
      </c>
      <c r="BR104" s="1008">
        <f t="shared" ref="BR104:CL104" si="97">SUM(BR68:BR103)</f>
        <v>551473387</v>
      </c>
      <c r="BS104" s="1008">
        <f t="shared" si="97"/>
        <v>0</v>
      </c>
      <c r="BT104" s="1008">
        <f t="shared" si="97"/>
        <v>0</v>
      </c>
      <c r="BU104" s="1008">
        <f t="shared" si="97"/>
        <v>0</v>
      </c>
      <c r="BV104" s="1008">
        <f t="shared" si="97"/>
        <v>0</v>
      </c>
      <c r="BW104" s="1008">
        <f t="shared" si="97"/>
        <v>72884540</v>
      </c>
      <c r="BX104" s="1008">
        <f t="shared" si="97"/>
        <v>10819123</v>
      </c>
      <c r="BY104" s="1008">
        <f t="shared" si="97"/>
        <v>25000000</v>
      </c>
      <c r="BZ104" s="1008">
        <f t="shared" si="97"/>
        <v>0</v>
      </c>
      <c r="CA104" s="1008">
        <f t="shared" si="97"/>
        <v>0</v>
      </c>
      <c r="CB104" s="1008">
        <f t="shared" si="97"/>
        <v>0</v>
      </c>
      <c r="CC104" s="1008">
        <f t="shared" si="97"/>
        <v>0</v>
      </c>
      <c r="CD104" s="1008">
        <f t="shared" si="97"/>
        <v>0</v>
      </c>
      <c r="CE104" s="1008">
        <f t="shared" si="97"/>
        <v>371193209</v>
      </c>
      <c r="CF104" s="1008">
        <f t="shared" si="97"/>
        <v>0</v>
      </c>
      <c r="CG104" s="1008">
        <f t="shared" si="97"/>
        <v>18139300</v>
      </c>
      <c r="CH104" s="1008">
        <f t="shared" si="97"/>
        <v>0</v>
      </c>
      <c r="CI104" s="1008">
        <f t="shared" si="97"/>
        <v>0</v>
      </c>
      <c r="CJ104" s="1008">
        <f t="shared" si="97"/>
        <v>0</v>
      </c>
      <c r="CK104" s="1008">
        <f t="shared" si="97"/>
        <v>0</v>
      </c>
      <c r="CL104" s="1008">
        <f t="shared" si="97"/>
        <v>53437215</v>
      </c>
      <c r="CM104" s="1011">
        <f t="shared" si="82"/>
        <v>0.62019037773414976</v>
      </c>
      <c r="CN104" s="1008">
        <f>SUM(CN68:CN103)</f>
        <v>1853898673</v>
      </c>
      <c r="CO104" s="1008">
        <f>SUM(CO68:CO103)</f>
        <v>0</v>
      </c>
      <c r="CP104" s="1008">
        <f>SUM(CP68:CP103)</f>
        <v>0</v>
      </c>
      <c r="CQ104" s="1008"/>
      <c r="CR104" s="1008">
        <f>SUM(CR68:CR103)</f>
        <v>40000000</v>
      </c>
      <c r="CS104" s="1008"/>
      <c r="CT104" s="1008">
        <f>SUM(CT68:CT103)</f>
        <v>492270188</v>
      </c>
      <c r="CU104" s="1008">
        <f>SUM(CU68:CU103)</f>
        <v>654040542</v>
      </c>
      <c r="CV104" s="1008"/>
      <c r="CW104" s="1008">
        <f t="shared" ref="CW104:DH104" si="98">SUM(CW68:CW103)</f>
        <v>0</v>
      </c>
      <c r="CX104" s="1008">
        <f t="shared" si="98"/>
        <v>0</v>
      </c>
      <c r="CY104" s="1008">
        <f t="shared" si="98"/>
        <v>0</v>
      </c>
      <c r="CZ104" s="1008">
        <f t="shared" si="98"/>
        <v>0</v>
      </c>
      <c r="DA104" s="1008">
        <f t="shared" si="98"/>
        <v>144717838</v>
      </c>
      <c r="DB104" s="1008">
        <f t="shared" si="98"/>
        <v>0</v>
      </c>
      <c r="DC104" s="1008">
        <f t="shared" si="98"/>
        <v>43207264</v>
      </c>
      <c r="DD104" s="1008">
        <f t="shared" si="98"/>
        <v>0</v>
      </c>
      <c r="DE104" s="1008">
        <f t="shared" si="98"/>
        <v>0</v>
      </c>
      <c r="DF104" s="1008">
        <f t="shared" si="98"/>
        <v>0</v>
      </c>
      <c r="DG104" s="1008">
        <f t="shared" si="98"/>
        <v>0</v>
      </c>
      <c r="DH104" s="1008">
        <f t="shared" si="98"/>
        <v>479662841</v>
      </c>
      <c r="DI104" s="1011">
        <f t="shared" si="84"/>
        <v>0.37980962226585024</v>
      </c>
      <c r="DJ104" s="1008">
        <f>SUM(DJ68:DJ103)</f>
        <v>1135342598</v>
      </c>
      <c r="DK104" s="1008">
        <f>SUM(DK68:DK103)</f>
        <v>0</v>
      </c>
      <c r="DL104" s="1008">
        <f>SUM(DL68:DL103)</f>
        <v>0</v>
      </c>
      <c r="DM104" s="1008"/>
      <c r="DN104" s="1008">
        <f t="shared" ref="DN104:ED104" si="99">SUM(DN68:DN103)</f>
        <v>10000000</v>
      </c>
      <c r="DO104" s="1008">
        <f t="shared" si="99"/>
        <v>72884540</v>
      </c>
      <c r="DP104" s="1008">
        <f t="shared" si="99"/>
        <v>167729812</v>
      </c>
      <c r="DQ104" s="1008">
        <f t="shared" si="99"/>
        <v>268974314</v>
      </c>
      <c r="DR104" s="1008">
        <f t="shared" si="99"/>
        <v>0</v>
      </c>
      <c r="DS104" s="1008">
        <f t="shared" si="99"/>
        <v>0</v>
      </c>
      <c r="DT104" s="1008">
        <f t="shared" si="99"/>
        <v>0</v>
      </c>
      <c r="DU104" s="1008">
        <f t="shared" si="99"/>
        <v>0</v>
      </c>
      <c r="DV104" s="1008">
        <f t="shared" si="99"/>
        <v>0</v>
      </c>
      <c r="DW104" s="1008">
        <f t="shared" si="99"/>
        <v>466146597</v>
      </c>
      <c r="DX104" s="1008">
        <f t="shared" si="99"/>
        <v>0</v>
      </c>
      <c r="DY104" s="1008">
        <f t="shared" si="99"/>
        <v>31792736</v>
      </c>
      <c r="DZ104" s="1008">
        <f t="shared" si="99"/>
        <v>0</v>
      </c>
      <c r="EA104" s="1008">
        <f t="shared" si="99"/>
        <v>0</v>
      </c>
      <c r="EB104" s="1008">
        <f t="shared" si="99"/>
        <v>0</v>
      </c>
      <c r="EC104" s="1008">
        <f t="shared" si="99"/>
        <v>0</v>
      </c>
      <c r="ED104" s="1036">
        <f t="shared" si="99"/>
        <v>117814599</v>
      </c>
    </row>
    <row r="105" spans="1:134" ht="6" customHeight="1" thickTop="1" x14ac:dyDescent="0.25">
      <c r="B105" s="1029"/>
      <c r="C105" s="1030"/>
      <c r="D105" s="1031"/>
      <c r="E105" s="997"/>
      <c r="F105" s="1032"/>
      <c r="G105" s="1032"/>
      <c r="H105" s="1032"/>
      <c r="I105" s="1032"/>
      <c r="J105" s="1032"/>
      <c r="K105" s="1075"/>
      <c r="L105" s="1075"/>
      <c r="M105" s="1075"/>
      <c r="N105" s="1075"/>
      <c r="O105" s="1075"/>
      <c r="P105" s="1075"/>
      <c r="Q105" s="1075"/>
      <c r="R105" s="1075"/>
      <c r="S105" s="1032"/>
      <c r="T105" s="1032"/>
      <c r="U105" s="1032"/>
      <c r="V105" s="1032"/>
      <c r="W105" s="1032"/>
      <c r="X105" s="1032"/>
      <c r="Y105" s="998"/>
      <c r="Z105" s="998"/>
      <c r="AA105" s="998"/>
      <c r="AB105" s="998"/>
      <c r="AC105" s="998"/>
      <c r="AD105" s="998"/>
      <c r="AE105" s="883"/>
      <c r="AF105" s="883"/>
      <c r="AG105" s="883"/>
      <c r="AH105" s="883"/>
      <c r="AI105" s="883"/>
      <c r="AJ105" s="883"/>
      <c r="AK105" s="883"/>
      <c r="AL105" s="883"/>
      <c r="AM105" s="883"/>
      <c r="AN105" s="883"/>
      <c r="AO105" s="883"/>
      <c r="AP105" s="883"/>
      <c r="AQ105" s="883"/>
      <c r="AR105" s="883"/>
      <c r="AS105" s="883"/>
      <c r="AT105" s="962"/>
      <c r="AU105" s="999"/>
      <c r="AV105" s="150"/>
      <c r="AW105" s="150"/>
      <c r="AX105" s="150"/>
      <c r="AY105" s="150"/>
      <c r="AZ105" s="150"/>
      <c r="BA105" s="150"/>
      <c r="BB105" s="225"/>
      <c r="BC105" s="225"/>
      <c r="BD105" s="225"/>
      <c r="BE105" s="225"/>
      <c r="BF105" s="225"/>
      <c r="BG105" s="225"/>
      <c r="BH105" s="225"/>
      <c r="BI105" s="225"/>
      <c r="BJ105" s="225"/>
      <c r="BK105" s="225"/>
      <c r="BL105" s="225"/>
      <c r="BM105" s="225"/>
      <c r="BN105" s="225"/>
      <c r="BO105" s="225"/>
      <c r="BP105" s="225"/>
      <c r="BQ105" s="1005"/>
      <c r="BR105" s="150"/>
      <c r="BS105" s="150"/>
      <c r="BT105" s="150"/>
      <c r="BU105" s="150"/>
      <c r="BV105" s="150"/>
      <c r="BW105" s="150"/>
      <c r="BX105" s="227"/>
      <c r="BY105" s="227"/>
      <c r="BZ105" s="227"/>
      <c r="CA105" s="227"/>
      <c r="CB105" s="227"/>
      <c r="CC105" s="227"/>
      <c r="CD105" s="227"/>
      <c r="CE105" s="227"/>
      <c r="CF105" s="227"/>
      <c r="CG105" s="227"/>
      <c r="CH105" s="227"/>
      <c r="CI105" s="227"/>
      <c r="CJ105" s="227"/>
      <c r="CK105" s="227"/>
      <c r="CL105" s="227"/>
      <c r="CM105" s="1005"/>
      <c r="CN105" s="150"/>
      <c r="CO105" s="150"/>
      <c r="CP105" s="150"/>
      <c r="CQ105" s="150"/>
      <c r="CR105" s="150"/>
      <c r="CS105" s="150"/>
      <c r="CT105" s="225"/>
      <c r="CU105" s="225"/>
      <c r="CV105" s="225"/>
      <c r="CW105" s="225"/>
      <c r="CX105" s="225"/>
      <c r="CY105" s="225"/>
      <c r="CZ105" s="225"/>
      <c r="DA105" s="225"/>
      <c r="DB105" s="225"/>
      <c r="DC105" s="225"/>
      <c r="DD105" s="225"/>
      <c r="DE105" s="225"/>
      <c r="DF105" s="225"/>
      <c r="DG105" s="225"/>
      <c r="DH105" s="225"/>
      <c r="DI105" s="1005"/>
      <c r="DJ105" s="150"/>
      <c r="DK105" s="150"/>
      <c r="DL105" s="150"/>
      <c r="DM105" s="150"/>
      <c r="DN105" s="150"/>
      <c r="DO105" s="150"/>
      <c r="DP105" s="227"/>
      <c r="DQ105" s="227"/>
      <c r="DR105" s="227"/>
      <c r="DS105" s="227"/>
      <c r="DT105" s="227"/>
      <c r="DU105" s="227"/>
      <c r="DV105" s="227"/>
      <c r="DW105" s="227"/>
      <c r="DX105" s="227"/>
      <c r="DY105" s="227"/>
      <c r="DZ105" s="227"/>
      <c r="EA105" s="227"/>
      <c r="EB105" s="227"/>
      <c r="EC105" s="227"/>
      <c r="ED105" s="227"/>
    </row>
    <row r="106" spans="1:134" s="948" customFormat="1" ht="27.75" customHeight="1" x14ac:dyDescent="0.25">
      <c r="A106" s="1586" t="s">
        <v>3307</v>
      </c>
      <c r="B106" s="1018" t="s">
        <v>4366</v>
      </c>
      <c r="C106" s="1092" t="s">
        <v>4440</v>
      </c>
      <c r="D106" s="1018" t="s">
        <v>4631</v>
      </c>
      <c r="E106" s="1019">
        <v>301</v>
      </c>
      <c r="F106" s="1094" t="s">
        <v>4661</v>
      </c>
      <c r="G106" s="1428">
        <v>325000000</v>
      </c>
      <c r="H106" s="1060">
        <f t="shared" ref="H106:H128" si="100">+CN106</f>
        <v>35078248</v>
      </c>
      <c r="I106" s="1060">
        <f t="shared" ref="I106:I115" si="101">Y106-H106</f>
        <v>40921752</v>
      </c>
      <c r="J106" s="1094" t="s">
        <v>4904</v>
      </c>
      <c r="K106" s="1097" t="s">
        <v>4909</v>
      </c>
      <c r="L106" s="1097" t="s">
        <v>4916</v>
      </c>
      <c r="M106" s="1097">
        <v>13</v>
      </c>
      <c r="N106" s="1097">
        <v>37</v>
      </c>
      <c r="O106" s="1097">
        <v>5</v>
      </c>
      <c r="P106" s="1097">
        <v>30</v>
      </c>
      <c r="Q106" s="1097">
        <v>71</v>
      </c>
      <c r="R106" s="1097">
        <v>21</v>
      </c>
      <c r="S106" s="1094"/>
      <c r="T106" s="1094"/>
      <c r="U106" s="1094"/>
      <c r="V106" s="1094"/>
      <c r="W106" s="1094"/>
      <c r="X106" s="1094"/>
      <c r="Y106" s="1007">
        <f t="shared" ref="Y106:Y128" si="102">SUM(Z106:AS106)</f>
        <v>76000000</v>
      </c>
      <c r="Z106" s="1007"/>
      <c r="AA106" s="1007">
        <f>6985144-6985144</f>
        <v>0</v>
      </c>
      <c r="AB106" s="1007"/>
      <c r="AC106" s="1007"/>
      <c r="AD106" s="1007"/>
      <c r="AE106" s="1007"/>
      <c r="AF106" s="1007"/>
      <c r="AG106" s="1007"/>
      <c r="AH106" s="1007"/>
      <c r="AI106" s="1007"/>
      <c r="AJ106" s="1007"/>
      <c r="AK106" s="1007"/>
      <c r="AL106" s="1007"/>
      <c r="AM106" s="1007"/>
      <c r="AN106" s="1007"/>
      <c r="AO106" s="1007">
        <v>6985144</v>
      </c>
      <c r="AP106" s="1007">
        <v>69014856</v>
      </c>
      <c r="AQ106" s="1007"/>
      <c r="AR106" s="1007"/>
      <c r="AS106" s="1007"/>
      <c r="AU106" s="1010">
        <f t="shared" ref="AU106:AU175" si="103">+AV106/Y106</f>
        <v>0.90809021052631578</v>
      </c>
      <c r="AV106" s="1007">
        <f t="shared" ref="AV106:AV128" si="104">SUM(AW106:BP106)</f>
        <v>69014856</v>
      </c>
      <c r="AW106" s="1007"/>
      <c r="AX106" s="1007"/>
      <c r="AY106" s="1007"/>
      <c r="AZ106" s="1007"/>
      <c r="BA106" s="1007"/>
      <c r="BB106" s="1007"/>
      <c r="BC106" s="1007"/>
      <c r="BD106" s="1007"/>
      <c r="BE106" s="1007"/>
      <c r="BF106" s="1007"/>
      <c r="BG106" s="1007"/>
      <c r="BH106" s="1007"/>
      <c r="BI106" s="1007"/>
      <c r="BJ106" s="1007"/>
      <c r="BK106" s="1007"/>
      <c r="BL106" s="1007"/>
      <c r="BM106" s="1007">
        <f>+'[16]ENERO 2015'!$W$295</f>
        <v>69014856</v>
      </c>
      <c r="BN106" s="1007"/>
      <c r="BO106" s="1007"/>
      <c r="BP106" s="1007"/>
      <c r="BQ106" s="1010">
        <f t="shared" ref="BQ106:BQ175" si="105">1-AU106</f>
        <v>9.1909789473684222E-2</v>
      </c>
      <c r="BR106" s="1007">
        <f t="shared" ref="BR106:BR128" si="106">SUM(BS106:CL106)</f>
        <v>6985144</v>
      </c>
      <c r="BS106" s="1007">
        <f t="shared" ref="BS106:BS113" si="107">+Z106-AW106</f>
        <v>0</v>
      </c>
      <c r="BT106" s="1007">
        <f t="shared" ref="BT106:BT113" si="108">AA106-AX106</f>
        <v>0</v>
      </c>
      <c r="BU106" s="1007"/>
      <c r="BV106" s="1007">
        <f t="shared" ref="BV106:BV113" si="109">AC106-AZ106</f>
        <v>0</v>
      </c>
      <c r="BW106" s="1007"/>
      <c r="BX106" s="1007">
        <f t="shared" ref="BX106:BY111" si="110">+AE106-BB106</f>
        <v>0</v>
      </c>
      <c r="BY106" s="1007">
        <f t="shared" si="110"/>
        <v>0</v>
      </c>
      <c r="BZ106" s="1007"/>
      <c r="CA106" s="1007"/>
      <c r="CB106" s="1007"/>
      <c r="CC106" s="1007"/>
      <c r="CD106" s="1007">
        <f t="shared" ref="CD106:CI128" si="111">+AK106-BH106</f>
        <v>0</v>
      </c>
      <c r="CE106" s="1007">
        <f t="shared" si="111"/>
        <v>0</v>
      </c>
      <c r="CF106" s="1007">
        <f t="shared" si="111"/>
        <v>0</v>
      </c>
      <c r="CG106" s="1007">
        <f t="shared" si="111"/>
        <v>0</v>
      </c>
      <c r="CH106" s="1007">
        <f t="shared" si="111"/>
        <v>6985144</v>
      </c>
      <c r="CI106" s="1007">
        <f t="shared" si="111"/>
        <v>0</v>
      </c>
      <c r="CJ106" s="1007"/>
      <c r="CK106" s="1007"/>
      <c r="CL106" s="1007">
        <f t="shared" ref="CL106:CL113" si="112">+AS106-BP106</f>
        <v>0</v>
      </c>
      <c r="CM106" s="1010">
        <f t="shared" ref="CM106:CM176" si="113">+CN106/Y106</f>
        <v>0.46155589473684211</v>
      </c>
      <c r="CN106" s="1007">
        <f t="shared" ref="CN106:CN128" si="114">SUM(CO106:DH106)</f>
        <v>35078248</v>
      </c>
      <c r="CO106" s="1007"/>
      <c r="CP106" s="1007"/>
      <c r="CQ106" s="1007"/>
      <c r="CR106" s="1007"/>
      <c r="CS106" s="1007"/>
      <c r="CT106" s="1007"/>
      <c r="CU106" s="1007"/>
      <c r="CV106" s="1007"/>
      <c r="CW106" s="1007"/>
      <c r="CX106" s="1007"/>
      <c r="CY106" s="1007"/>
      <c r="CZ106" s="1007"/>
      <c r="DA106" s="1007"/>
      <c r="DB106" s="1007"/>
      <c r="DC106" s="1007"/>
      <c r="DD106" s="1007"/>
      <c r="DE106" s="1007">
        <f>+'[8]SEPTIEMBRE 2015'!$H$959</f>
        <v>35078248</v>
      </c>
      <c r="DF106" s="1007"/>
      <c r="DG106" s="1007"/>
      <c r="DH106" s="1007"/>
      <c r="DI106" s="1010">
        <f t="shared" ref="DI106:DI175" si="115">1-CM106</f>
        <v>0.53844410526315789</v>
      </c>
      <c r="DJ106" s="1007">
        <f t="shared" ref="DJ106:DJ128" si="116">SUM(DK106:ED106)</f>
        <v>40921752</v>
      </c>
      <c r="DK106" s="1007">
        <f>Z106-CO106</f>
        <v>0</v>
      </c>
      <c r="DL106" s="1007">
        <f>AA106-CP106</f>
        <v>0</v>
      </c>
      <c r="DM106" s="1007">
        <f>AB106-CQ106</f>
        <v>0</v>
      </c>
      <c r="DN106" s="1007">
        <f>AC106-CR106</f>
        <v>0</v>
      </c>
      <c r="DO106" s="1007"/>
      <c r="DP106" s="1007">
        <f t="shared" ref="DP106:DQ111" si="117">AE106-CT106</f>
        <v>0</v>
      </c>
      <c r="DQ106" s="1007">
        <f t="shared" si="117"/>
        <v>0</v>
      </c>
      <c r="DR106" s="1007"/>
      <c r="DS106" s="1007">
        <f t="shared" ref="DS106:DT111" si="118">+AH106-CW106</f>
        <v>0</v>
      </c>
      <c r="DT106" s="1007">
        <f t="shared" si="118"/>
        <v>0</v>
      </c>
      <c r="DU106" s="1007"/>
      <c r="DV106" s="1007">
        <f t="shared" ref="DV106:DX111" si="119">AK106-CZ106</f>
        <v>0</v>
      </c>
      <c r="DW106" s="1007">
        <f t="shared" si="119"/>
        <v>0</v>
      </c>
      <c r="DX106" s="1007">
        <f t="shared" si="119"/>
        <v>0</v>
      </c>
      <c r="DY106" s="1007">
        <f t="shared" ref="DY106:EB111" si="120">+AN106-DC106</f>
        <v>0</v>
      </c>
      <c r="DZ106" s="1007">
        <f t="shared" si="120"/>
        <v>6985144</v>
      </c>
      <c r="EA106" s="1007">
        <f t="shared" si="120"/>
        <v>33936608</v>
      </c>
      <c r="EB106" s="1007">
        <f t="shared" si="120"/>
        <v>0</v>
      </c>
      <c r="EC106" s="1007"/>
      <c r="ED106" s="1007">
        <f t="shared" ref="ED106:ED113" si="121">+AS106-DH106</f>
        <v>0</v>
      </c>
    </row>
    <row r="107" spans="1:134" s="948" customFormat="1" ht="33.75" customHeight="1" x14ac:dyDescent="0.25">
      <c r="A107" s="1586"/>
      <c r="B107" s="1018"/>
      <c r="C107" s="1092" t="s">
        <v>4461</v>
      </c>
      <c r="D107" s="1018" t="s">
        <v>4632</v>
      </c>
      <c r="E107" s="1019">
        <v>301</v>
      </c>
      <c r="F107" s="1094" t="s">
        <v>4661</v>
      </c>
      <c r="G107" s="1429"/>
      <c r="H107" s="1060">
        <f t="shared" si="100"/>
        <v>52739455</v>
      </c>
      <c r="I107" s="1060">
        <f t="shared" si="101"/>
        <v>2260545</v>
      </c>
      <c r="J107" s="1428" t="s">
        <v>4905</v>
      </c>
      <c r="K107" s="1257" t="s">
        <v>4910</v>
      </c>
      <c r="L107" s="1257" t="s">
        <v>4917</v>
      </c>
      <c r="M107" s="1097">
        <v>24</v>
      </c>
      <c r="N107" s="1097">
        <v>34</v>
      </c>
      <c r="O107" s="1097">
        <v>8</v>
      </c>
      <c r="P107" s="1097">
        <v>36</v>
      </c>
      <c r="Q107" s="1097">
        <v>70</v>
      </c>
      <c r="R107" s="1097">
        <v>25</v>
      </c>
      <c r="S107" s="1094"/>
      <c r="T107" s="1094"/>
      <c r="U107" s="1094"/>
      <c r="V107" s="1094"/>
      <c r="W107" s="1094"/>
      <c r="X107" s="1094"/>
      <c r="Y107" s="1007">
        <f t="shared" si="102"/>
        <v>55000000</v>
      </c>
      <c r="Z107" s="1007"/>
      <c r="AA107" s="1007"/>
      <c r="AB107" s="1007"/>
      <c r="AC107" s="1007"/>
      <c r="AD107" s="1007"/>
      <c r="AE107" s="1007"/>
      <c r="AF107" s="1007"/>
      <c r="AG107" s="1007"/>
      <c r="AH107" s="1007"/>
      <c r="AI107" s="1007"/>
      <c r="AJ107" s="1007"/>
      <c r="AK107" s="1007"/>
      <c r="AL107" s="1007"/>
      <c r="AM107" s="1007"/>
      <c r="AN107" s="1007"/>
      <c r="AO107" s="1007"/>
      <c r="AP107" s="1007">
        <v>55000000</v>
      </c>
      <c r="AQ107" s="1007"/>
      <c r="AR107" s="1007"/>
      <c r="AS107" s="1007"/>
      <c r="AU107" s="1010">
        <f t="shared" si="103"/>
        <v>1</v>
      </c>
      <c r="AV107" s="1007">
        <f t="shared" si="104"/>
        <v>55000000</v>
      </c>
      <c r="AW107" s="1007"/>
      <c r="AX107" s="1007"/>
      <c r="AY107" s="1007"/>
      <c r="AZ107" s="1007"/>
      <c r="BA107" s="1007"/>
      <c r="BB107" s="1007"/>
      <c r="BC107" s="1007"/>
      <c r="BD107" s="1007"/>
      <c r="BE107" s="1007"/>
      <c r="BF107" s="1007"/>
      <c r="BG107" s="1007"/>
      <c r="BH107" s="1007"/>
      <c r="BI107" s="1007"/>
      <c r="BJ107" s="1007"/>
      <c r="BK107" s="1007"/>
      <c r="BL107" s="1007"/>
      <c r="BM107" s="1007">
        <f>+'[16]ENERO 2015'!$W$301</f>
        <v>55000000</v>
      </c>
      <c r="BN107" s="1007"/>
      <c r="BO107" s="1007"/>
      <c r="BP107" s="1007"/>
      <c r="BQ107" s="1010">
        <f t="shared" si="105"/>
        <v>0</v>
      </c>
      <c r="BR107" s="1007">
        <f t="shared" si="106"/>
        <v>0</v>
      </c>
      <c r="BS107" s="1007">
        <f t="shared" si="107"/>
        <v>0</v>
      </c>
      <c r="BT107" s="1007">
        <f t="shared" si="108"/>
        <v>0</v>
      </c>
      <c r="BU107" s="1007"/>
      <c r="BV107" s="1007">
        <f t="shared" si="109"/>
        <v>0</v>
      </c>
      <c r="BW107" s="1007"/>
      <c r="BX107" s="1007">
        <f t="shared" si="110"/>
        <v>0</v>
      </c>
      <c r="BY107" s="1007">
        <f t="shared" si="110"/>
        <v>0</v>
      </c>
      <c r="BZ107" s="1007"/>
      <c r="CA107" s="1007"/>
      <c r="CB107" s="1007"/>
      <c r="CC107" s="1007"/>
      <c r="CD107" s="1007">
        <f t="shared" si="111"/>
        <v>0</v>
      </c>
      <c r="CE107" s="1007">
        <f t="shared" si="111"/>
        <v>0</v>
      </c>
      <c r="CF107" s="1007">
        <f t="shared" si="111"/>
        <v>0</v>
      </c>
      <c r="CG107" s="1007">
        <f t="shared" si="111"/>
        <v>0</v>
      </c>
      <c r="CH107" s="1007">
        <f t="shared" si="111"/>
        <v>0</v>
      </c>
      <c r="CI107" s="1007">
        <f t="shared" si="111"/>
        <v>0</v>
      </c>
      <c r="CJ107" s="1007"/>
      <c r="CK107" s="1007"/>
      <c r="CL107" s="1007">
        <f t="shared" si="112"/>
        <v>0</v>
      </c>
      <c r="CM107" s="1010">
        <f t="shared" si="113"/>
        <v>0.95889918181818179</v>
      </c>
      <c r="CN107" s="1007">
        <f t="shared" si="114"/>
        <v>52739455</v>
      </c>
      <c r="CO107" s="1007"/>
      <c r="CP107" s="1007"/>
      <c r="CQ107" s="1007"/>
      <c r="CR107" s="1007"/>
      <c r="CS107" s="1007"/>
      <c r="CT107" s="1007"/>
      <c r="CU107" s="1007"/>
      <c r="CV107" s="1007"/>
      <c r="CW107" s="1007"/>
      <c r="CX107" s="1007"/>
      <c r="CY107" s="1007"/>
      <c r="CZ107" s="1007"/>
      <c r="DA107" s="1007"/>
      <c r="DB107" s="1007"/>
      <c r="DC107" s="1007"/>
      <c r="DD107" s="1007"/>
      <c r="DE107" s="1007">
        <f>+'[8]SEPTIEMBRE 2015'!$H$978</f>
        <v>52739455</v>
      </c>
      <c r="DF107" s="1007"/>
      <c r="DG107" s="1007"/>
      <c r="DH107" s="1007"/>
      <c r="DI107" s="1010">
        <f t="shared" si="115"/>
        <v>4.1100818181818211E-2</v>
      </c>
      <c r="DJ107" s="1007">
        <f t="shared" si="116"/>
        <v>2260545</v>
      </c>
      <c r="DK107" s="1007">
        <f t="shared" ref="DK107:DK113" si="122">Z107-CO107</f>
        <v>0</v>
      </c>
      <c r="DL107" s="1007"/>
      <c r="DM107" s="1007"/>
      <c r="DN107" s="1007">
        <f>AC107-CR107</f>
        <v>0</v>
      </c>
      <c r="DO107" s="1007"/>
      <c r="DP107" s="1007">
        <f t="shared" si="117"/>
        <v>0</v>
      </c>
      <c r="DQ107" s="1007">
        <f t="shared" si="117"/>
        <v>0</v>
      </c>
      <c r="DR107" s="1007"/>
      <c r="DS107" s="1007">
        <f t="shared" si="118"/>
        <v>0</v>
      </c>
      <c r="DT107" s="1007">
        <f t="shared" si="118"/>
        <v>0</v>
      </c>
      <c r="DU107" s="1007"/>
      <c r="DV107" s="1007">
        <f t="shared" si="119"/>
        <v>0</v>
      </c>
      <c r="DW107" s="1007">
        <f t="shared" si="119"/>
        <v>0</v>
      </c>
      <c r="DX107" s="1007">
        <f t="shared" si="119"/>
        <v>0</v>
      </c>
      <c r="DY107" s="1007">
        <f t="shared" si="120"/>
        <v>0</v>
      </c>
      <c r="DZ107" s="1007">
        <f t="shared" si="120"/>
        <v>0</v>
      </c>
      <c r="EA107" s="1007">
        <f t="shared" si="120"/>
        <v>2260545</v>
      </c>
      <c r="EB107" s="1007">
        <f t="shared" si="120"/>
        <v>0</v>
      </c>
      <c r="EC107" s="1007"/>
      <c r="ED107" s="1007">
        <f t="shared" si="121"/>
        <v>0</v>
      </c>
    </row>
    <row r="108" spans="1:134" s="948" customFormat="1" ht="35.25" customHeight="1" x14ac:dyDescent="0.25">
      <c r="A108" s="1586"/>
      <c r="B108" s="1018"/>
      <c r="C108" s="1092" t="s">
        <v>4462</v>
      </c>
      <c r="D108" s="1018" t="s">
        <v>4633</v>
      </c>
      <c r="E108" s="1019">
        <v>301</v>
      </c>
      <c r="F108" s="1094" t="s">
        <v>4661</v>
      </c>
      <c r="G108" s="1429"/>
      <c r="H108" s="1060">
        <f t="shared" si="100"/>
        <v>57332905</v>
      </c>
      <c r="I108" s="1060">
        <f t="shared" si="101"/>
        <v>2667095</v>
      </c>
      <c r="J108" s="1430"/>
      <c r="K108" s="1258"/>
      <c r="L108" s="1258"/>
      <c r="M108" s="1097">
        <v>44</v>
      </c>
      <c r="N108" s="1097">
        <v>23</v>
      </c>
      <c r="O108" s="1097">
        <v>10</v>
      </c>
      <c r="P108" s="1097">
        <v>44</v>
      </c>
      <c r="Q108" s="1097">
        <v>52</v>
      </c>
      <c r="R108" s="1097">
        <v>23</v>
      </c>
      <c r="S108" s="1094"/>
      <c r="T108" s="1094"/>
      <c r="U108" s="1094"/>
      <c r="V108" s="1094"/>
      <c r="W108" s="1094"/>
      <c r="X108" s="1094"/>
      <c r="Y108" s="1007">
        <f t="shared" si="102"/>
        <v>60000000</v>
      </c>
      <c r="Z108" s="1007"/>
      <c r="AA108" s="1007"/>
      <c r="AB108" s="1007"/>
      <c r="AC108" s="1007"/>
      <c r="AD108" s="1007"/>
      <c r="AE108" s="1007"/>
      <c r="AF108" s="1007"/>
      <c r="AG108" s="1007"/>
      <c r="AH108" s="1007"/>
      <c r="AI108" s="1007"/>
      <c r="AJ108" s="1007"/>
      <c r="AK108" s="1007"/>
      <c r="AL108" s="1007"/>
      <c r="AM108" s="1007"/>
      <c r="AN108" s="1007"/>
      <c r="AO108" s="1007"/>
      <c r="AP108" s="1007">
        <v>60000000</v>
      </c>
      <c r="AQ108" s="1007"/>
      <c r="AR108" s="1007"/>
      <c r="AS108" s="1007"/>
      <c r="AU108" s="1010">
        <f t="shared" si="103"/>
        <v>1</v>
      </c>
      <c r="AV108" s="1007">
        <f t="shared" si="104"/>
        <v>60000000</v>
      </c>
      <c r="AW108" s="1007"/>
      <c r="AX108" s="1007"/>
      <c r="AY108" s="1007"/>
      <c r="AZ108" s="1007"/>
      <c r="BA108" s="1007"/>
      <c r="BB108" s="1007"/>
      <c r="BC108" s="1007"/>
      <c r="BD108" s="1007"/>
      <c r="BE108" s="1007"/>
      <c r="BF108" s="1007"/>
      <c r="BG108" s="1007"/>
      <c r="BH108" s="1007"/>
      <c r="BI108" s="1007"/>
      <c r="BJ108" s="1007"/>
      <c r="BK108" s="1007"/>
      <c r="BL108" s="1007"/>
      <c r="BM108" s="1007">
        <f>+'[16]ENERO 2015'!$G$305</f>
        <v>60000000</v>
      </c>
      <c r="BN108" s="1007"/>
      <c r="BO108" s="1007"/>
      <c r="BP108" s="1007"/>
      <c r="BQ108" s="1010">
        <f t="shared" si="105"/>
        <v>0</v>
      </c>
      <c r="BR108" s="1007">
        <f t="shared" si="106"/>
        <v>0</v>
      </c>
      <c r="BS108" s="1007">
        <f t="shared" si="107"/>
        <v>0</v>
      </c>
      <c r="BT108" s="1007">
        <f t="shared" si="108"/>
        <v>0</v>
      </c>
      <c r="BU108" s="1007"/>
      <c r="BV108" s="1007">
        <f t="shared" si="109"/>
        <v>0</v>
      </c>
      <c r="BW108" s="1007"/>
      <c r="BX108" s="1007">
        <f t="shared" si="110"/>
        <v>0</v>
      </c>
      <c r="BY108" s="1007">
        <f t="shared" si="110"/>
        <v>0</v>
      </c>
      <c r="BZ108" s="1007"/>
      <c r="CA108" s="1007"/>
      <c r="CB108" s="1007"/>
      <c r="CC108" s="1007"/>
      <c r="CD108" s="1007">
        <f t="shared" si="111"/>
        <v>0</v>
      </c>
      <c r="CE108" s="1007">
        <f t="shared" si="111"/>
        <v>0</v>
      </c>
      <c r="CF108" s="1007">
        <f t="shared" si="111"/>
        <v>0</v>
      </c>
      <c r="CG108" s="1007">
        <f t="shared" si="111"/>
        <v>0</v>
      </c>
      <c r="CH108" s="1007">
        <f t="shared" si="111"/>
        <v>0</v>
      </c>
      <c r="CI108" s="1007">
        <f t="shared" si="111"/>
        <v>0</v>
      </c>
      <c r="CJ108" s="1007"/>
      <c r="CK108" s="1007"/>
      <c r="CL108" s="1007">
        <f t="shared" si="112"/>
        <v>0</v>
      </c>
      <c r="CM108" s="1010">
        <f t="shared" si="113"/>
        <v>0.95554841666666668</v>
      </c>
      <c r="CN108" s="1007">
        <f t="shared" si="114"/>
        <v>57332905</v>
      </c>
      <c r="CO108" s="1007"/>
      <c r="CP108" s="1007"/>
      <c r="CQ108" s="1007"/>
      <c r="CR108" s="1007"/>
      <c r="CS108" s="1007"/>
      <c r="CT108" s="1007"/>
      <c r="CU108" s="1007"/>
      <c r="CV108" s="1007"/>
      <c r="CW108" s="1007"/>
      <c r="CX108" s="1007"/>
      <c r="CY108" s="1007"/>
      <c r="CZ108" s="1007"/>
      <c r="DA108" s="1007"/>
      <c r="DB108" s="1007"/>
      <c r="DC108" s="1007"/>
      <c r="DD108" s="1007"/>
      <c r="DE108" s="1007">
        <f>+'[8]SEPTIEMBRE 2015'!$H$992</f>
        <v>57332905</v>
      </c>
      <c r="DF108" s="1007"/>
      <c r="DG108" s="1007"/>
      <c r="DH108" s="1007"/>
      <c r="DI108" s="1010">
        <f t="shared" si="115"/>
        <v>4.4451583333333322E-2</v>
      </c>
      <c r="DJ108" s="1007">
        <f t="shared" si="116"/>
        <v>2667095</v>
      </c>
      <c r="DK108" s="1007">
        <f t="shared" si="122"/>
        <v>0</v>
      </c>
      <c r="DL108" s="1007"/>
      <c r="DM108" s="1007"/>
      <c r="DN108" s="1007">
        <f>AC108-CR108</f>
        <v>0</v>
      </c>
      <c r="DO108" s="1007"/>
      <c r="DP108" s="1007">
        <f t="shared" si="117"/>
        <v>0</v>
      </c>
      <c r="DQ108" s="1007">
        <f t="shared" si="117"/>
        <v>0</v>
      </c>
      <c r="DR108" s="1007"/>
      <c r="DS108" s="1007">
        <f t="shared" si="118"/>
        <v>0</v>
      </c>
      <c r="DT108" s="1007">
        <f t="shared" si="118"/>
        <v>0</v>
      </c>
      <c r="DU108" s="1007"/>
      <c r="DV108" s="1007">
        <f t="shared" si="119"/>
        <v>0</v>
      </c>
      <c r="DW108" s="1007">
        <f t="shared" si="119"/>
        <v>0</v>
      </c>
      <c r="DX108" s="1007">
        <f t="shared" si="119"/>
        <v>0</v>
      </c>
      <c r="DY108" s="1007">
        <f t="shared" si="120"/>
        <v>0</v>
      </c>
      <c r="DZ108" s="1007">
        <f t="shared" si="120"/>
        <v>0</v>
      </c>
      <c r="EA108" s="1007">
        <f t="shared" si="120"/>
        <v>2667095</v>
      </c>
      <c r="EB108" s="1007">
        <f t="shared" si="120"/>
        <v>0</v>
      </c>
      <c r="EC108" s="1007"/>
      <c r="ED108" s="1007">
        <f t="shared" si="121"/>
        <v>0</v>
      </c>
    </row>
    <row r="109" spans="1:134" ht="44.25" customHeight="1" x14ac:dyDescent="0.25">
      <c r="A109" s="1586"/>
      <c r="B109" s="1018"/>
      <c r="C109" s="1092" t="s">
        <v>4463</v>
      </c>
      <c r="D109" s="1018" t="s">
        <v>4441</v>
      </c>
      <c r="E109" s="1019">
        <v>301</v>
      </c>
      <c r="F109" s="1094" t="s">
        <v>4738</v>
      </c>
      <c r="G109" s="1429"/>
      <c r="H109" s="1060">
        <f t="shared" si="100"/>
        <v>21234417</v>
      </c>
      <c r="I109" s="1060">
        <f t="shared" si="101"/>
        <v>12765583</v>
      </c>
      <c r="J109" s="1094" t="s">
        <v>4906</v>
      </c>
      <c r="K109" s="1097" t="s">
        <v>4911</v>
      </c>
      <c r="L109" s="1097" t="s">
        <v>4918</v>
      </c>
      <c r="M109" s="1097">
        <v>0</v>
      </c>
      <c r="N109" s="1097">
        <v>0</v>
      </c>
      <c r="O109" s="1097">
        <v>0</v>
      </c>
      <c r="P109" s="1097">
        <v>41</v>
      </c>
      <c r="Q109" s="1097">
        <v>10</v>
      </c>
      <c r="R109" s="1097">
        <v>4</v>
      </c>
      <c r="S109" s="1094"/>
      <c r="T109" s="1094"/>
      <c r="U109" s="1094"/>
      <c r="V109" s="1094"/>
      <c r="W109" s="1094"/>
      <c r="X109" s="1094"/>
      <c r="Y109" s="1007">
        <f t="shared" si="102"/>
        <v>34000000</v>
      </c>
      <c r="Z109" s="1007"/>
      <c r="AA109" s="1007"/>
      <c r="AB109" s="1007"/>
      <c r="AC109" s="1007"/>
      <c r="AD109" s="1007"/>
      <c r="AE109" s="1007"/>
      <c r="AF109" s="1007"/>
      <c r="AG109" s="1007"/>
      <c r="AH109" s="1007"/>
      <c r="AI109" s="1007"/>
      <c r="AJ109" s="1007"/>
      <c r="AK109" s="1007"/>
      <c r="AL109" s="1007"/>
      <c r="AM109" s="1007"/>
      <c r="AN109" s="1007"/>
      <c r="AO109" s="1007"/>
      <c r="AP109" s="1007"/>
      <c r="AQ109" s="1007"/>
      <c r="AR109" s="1007"/>
      <c r="AS109" s="1007">
        <f>6000000+15000000+4000000+9000000</f>
        <v>34000000</v>
      </c>
      <c r="AU109" s="1010">
        <f t="shared" si="103"/>
        <v>0.8529411764705882</v>
      </c>
      <c r="AV109" s="1007">
        <f t="shared" si="104"/>
        <v>29000000</v>
      </c>
      <c r="AW109" s="1007"/>
      <c r="AX109" s="1007"/>
      <c r="AY109" s="1007"/>
      <c r="AZ109" s="1007"/>
      <c r="BA109" s="1007"/>
      <c r="BB109" s="1007"/>
      <c r="BC109" s="1007"/>
      <c r="BD109" s="1007"/>
      <c r="BE109" s="1007"/>
      <c r="BF109" s="1007"/>
      <c r="BG109" s="1007"/>
      <c r="BH109" s="1007"/>
      <c r="BI109" s="1007"/>
      <c r="BJ109" s="1007"/>
      <c r="BK109" s="1007"/>
      <c r="BL109" s="1007"/>
      <c r="BM109" s="1007"/>
      <c r="BN109" s="1007"/>
      <c r="BO109" s="1007"/>
      <c r="BP109" s="1007">
        <f>+'[10]JULIO 2015'!$AD$771</f>
        <v>29000000</v>
      </c>
      <c r="BQ109" s="1010">
        <f t="shared" si="105"/>
        <v>0.1470588235294118</v>
      </c>
      <c r="BR109" s="1007">
        <f t="shared" si="106"/>
        <v>5000000</v>
      </c>
      <c r="BS109" s="1007">
        <f t="shared" si="107"/>
        <v>0</v>
      </c>
      <c r="BT109" s="1007">
        <f t="shared" si="108"/>
        <v>0</v>
      </c>
      <c r="BU109" s="1007"/>
      <c r="BV109" s="1007">
        <f t="shared" si="109"/>
        <v>0</v>
      </c>
      <c r="BW109" s="1007"/>
      <c r="BX109" s="1007">
        <f t="shared" si="110"/>
        <v>0</v>
      </c>
      <c r="BY109" s="1007">
        <f t="shared" si="110"/>
        <v>0</v>
      </c>
      <c r="BZ109" s="1007"/>
      <c r="CA109" s="1007">
        <f t="shared" ref="CA109:CC111" si="123">+AH109-BE109</f>
        <v>0</v>
      </c>
      <c r="CB109" s="1007">
        <f t="shared" si="123"/>
        <v>0</v>
      </c>
      <c r="CC109" s="1007">
        <f t="shared" si="123"/>
        <v>0</v>
      </c>
      <c r="CD109" s="1007">
        <f t="shared" si="111"/>
        <v>0</v>
      </c>
      <c r="CE109" s="1007">
        <f t="shared" si="111"/>
        <v>0</v>
      </c>
      <c r="CF109" s="1007">
        <f t="shared" si="111"/>
        <v>0</v>
      </c>
      <c r="CG109" s="1007">
        <f t="shared" si="111"/>
        <v>0</v>
      </c>
      <c r="CH109" s="1007">
        <f t="shared" si="111"/>
        <v>0</v>
      </c>
      <c r="CI109" s="1007">
        <f t="shared" si="111"/>
        <v>0</v>
      </c>
      <c r="CJ109" s="1007"/>
      <c r="CK109" s="1007"/>
      <c r="CL109" s="1007">
        <f t="shared" si="112"/>
        <v>5000000</v>
      </c>
      <c r="CM109" s="1010">
        <f t="shared" si="113"/>
        <v>0.62454167647058823</v>
      </c>
      <c r="CN109" s="1007">
        <f t="shared" si="114"/>
        <v>21234417</v>
      </c>
      <c r="CO109" s="1007"/>
      <c r="CP109" s="1007"/>
      <c r="CQ109" s="1007"/>
      <c r="CR109" s="1007"/>
      <c r="CS109" s="1007"/>
      <c r="CT109" s="1007"/>
      <c r="CU109" s="1007"/>
      <c r="CV109" s="1007"/>
      <c r="CW109" s="1007"/>
      <c r="CX109" s="1007"/>
      <c r="CY109" s="1007"/>
      <c r="CZ109" s="1007"/>
      <c r="DA109" s="1007"/>
      <c r="DB109" s="1007"/>
      <c r="DC109" s="1007"/>
      <c r="DD109" s="1007"/>
      <c r="DE109" s="1007"/>
      <c r="DF109" s="1007"/>
      <c r="DG109" s="1007"/>
      <c r="DH109" s="1007">
        <f>+'[8]SEPTIEMBRE 2015'!$H$1006</f>
        <v>21234417</v>
      </c>
      <c r="DI109" s="1010">
        <f t="shared" si="115"/>
        <v>0.37545832352941177</v>
      </c>
      <c r="DJ109" s="1007">
        <f t="shared" si="116"/>
        <v>12765583</v>
      </c>
      <c r="DK109" s="1007">
        <f t="shared" si="122"/>
        <v>0</v>
      </c>
      <c r="DL109" s="1007"/>
      <c r="DM109" s="1007"/>
      <c r="DN109" s="1007">
        <f>AC109-CR109</f>
        <v>0</v>
      </c>
      <c r="DO109" s="1007"/>
      <c r="DP109" s="1007">
        <f t="shared" si="117"/>
        <v>0</v>
      </c>
      <c r="DQ109" s="1007">
        <f t="shared" si="117"/>
        <v>0</v>
      </c>
      <c r="DR109" s="1007"/>
      <c r="DS109" s="1007">
        <f t="shared" si="118"/>
        <v>0</v>
      </c>
      <c r="DT109" s="1007">
        <f t="shared" si="118"/>
        <v>0</v>
      </c>
      <c r="DU109" s="1007"/>
      <c r="DV109" s="1007">
        <f t="shared" si="119"/>
        <v>0</v>
      </c>
      <c r="DW109" s="1007">
        <f t="shared" si="119"/>
        <v>0</v>
      </c>
      <c r="DX109" s="1007">
        <f t="shared" si="119"/>
        <v>0</v>
      </c>
      <c r="DY109" s="1007">
        <f t="shared" si="120"/>
        <v>0</v>
      </c>
      <c r="DZ109" s="1007">
        <f t="shared" si="120"/>
        <v>0</v>
      </c>
      <c r="EA109" s="1007">
        <f t="shared" si="120"/>
        <v>0</v>
      </c>
      <c r="EB109" s="1007">
        <f t="shared" si="120"/>
        <v>0</v>
      </c>
      <c r="EC109" s="1007"/>
      <c r="ED109" s="1007">
        <f t="shared" si="121"/>
        <v>12765583</v>
      </c>
    </row>
    <row r="110" spans="1:134" ht="58.5" customHeight="1" x14ac:dyDescent="0.25">
      <c r="A110" s="1586"/>
      <c r="B110" s="1018"/>
      <c r="C110" s="1092" t="s">
        <v>4464</v>
      </c>
      <c r="D110" s="1018" t="s">
        <v>4458</v>
      </c>
      <c r="E110" s="1019">
        <v>301</v>
      </c>
      <c r="F110" s="1094" t="s">
        <v>4661</v>
      </c>
      <c r="G110" s="1429"/>
      <c r="H110" s="1060">
        <f t="shared" si="100"/>
        <v>0</v>
      </c>
      <c r="I110" s="1060">
        <f t="shared" si="101"/>
        <v>24000000</v>
      </c>
      <c r="J110" s="1094" t="s">
        <v>4907</v>
      </c>
      <c r="K110" s="1097" t="s">
        <v>4912</v>
      </c>
      <c r="L110" s="1097" t="s">
        <v>4919</v>
      </c>
      <c r="M110" s="1097">
        <v>0</v>
      </c>
      <c r="N110" s="1097">
        <v>0</v>
      </c>
      <c r="O110" s="1097">
        <v>0</v>
      </c>
      <c r="P110" s="1097">
        <v>0</v>
      </c>
      <c r="Q110" s="1097">
        <v>0</v>
      </c>
      <c r="R110" s="1097">
        <v>0</v>
      </c>
      <c r="S110" s="1094"/>
      <c r="T110" s="1094"/>
      <c r="U110" s="1094"/>
      <c r="V110" s="1094"/>
      <c r="W110" s="1094"/>
      <c r="X110" s="1094"/>
      <c r="Y110" s="1007">
        <f t="shared" si="102"/>
        <v>24000000</v>
      </c>
      <c r="Z110" s="1007"/>
      <c r="AA110" s="1007"/>
      <c r="AB110" s="1007"/>
      <c r="AC110" s="1007"/>
      <c r="AD110" s="1007"/>
      <c r="AE110" s="1007"/>
      <c r="AF110" s="1007"/>
      <c r="AG110" s="1007"/>
      <c r="AH110" s="1007"/>
      <c r="AI110" s="1007"/>
      <c r="AJ110" s="1007"/>
      <c r="AK110" s="1007"/>
      <c r="AL110" s="1007"/>
      <c r="AM110" s="1007"/>
      <c r="AN110" s="1007"/>
      <c r="AO110" s="1007"/>
      <c r="AP110" s="1007">
        <v>24000000</v>
      </c>
      <c r="AQ110" s="1007"/>
      <c r="AR110" s="1007"/>
      <c r="AS110" s="1007"/>
      <c r="AU110" s="1010">
        <f t="shared" si="103"/>
        <v>0</v>
      </c>
      <c r="AV110" s="1007">
        <f t="shared" si="104"/>
        <v>0</v>
      </c>
      <c r="AW110" s="1007"/>
      <c r="AX110" s="1007"/>
      <c r="AY110" s="1007"/>
      <c r="AZ110" s="1007"/>
      <c r="BA110" s="1007"/>
      <c r="BB110" s="1007"/>
      <c r="BC110" s="1007"/>
      <c r="BD110" s="1007"/>
      <c r="BE110" s="1007"/>
      <c r="BF110" s="1007"/>
      <c r="BG110" s="1007"/>
      <c r="BH110" s="1007"/>
      <c r="BI110" s="1007"/>
      <c r="BJ110" s="1007"/>
      <c r="BK110" s="1007"/>
      <c r="BL110" s="1007"/>
      <c r="BM110" s="1007"/>
      <c r="BN110" s="1007"/>
      <c r="BO110" s="1007"/>
      <c r="BP110" s="1007"/>
      <c r="BQ110" s="1010">
        <f t="shared" si="105"/>
        <v>1</v>
      </c>
      <c r="BR110" s="1007">
        <f t="shared" si="106"/>
        <v>24000000</v>
      </c>
      <c r="BS110" s="1007">
        <f t="shared" si="107"/>
        <v>0</v>
      </c>
      <c r="BT110" s="1007">
        <f t="shared" si="108"/>
        <v>0</v>
      </c>
      <c r="BU110" s="1007"/>
      <c r="BV110" s="1007">
        <f t="shared" si="109"/>
        <v>0</v>
      </c>
      <c r="BW110" s="1007"/>
      <c r="BX110" s="1007">
        <f t="shared" si="110"/>
        <v>0</v>
      </c>
      <c r="BY110" s="1007">
        <f t="shared" si="110"/>
        <v>0</v>
      </c>
      <c r="BZ110" s="1007"/>
      <c r="CA110" s="1007">
        <f t="shared" si="123"/>
        <v>0</v>
      </c>
      <c r="CB110" s="1007">
        <f t="shared" si="123"/>
        <v>0</v>
      </c>
      <c r="CC110" s="1007">
        <f t="shared" si="123"/>
        <v>0</v>
      </c>
      <c r="CD110" s="1007">
        <f t="shared" si="111"/>
        <v>0</v>
      </c>
      <c r="CE110" s="1007">
        <f t="shared" si="111"/>
        <v>0</v>
      </c>
      <c r="CF110" s="1007">
        <f t="shared" si="111"/>
        <v>0</v>
      </c>
      <c r="CG110" s="1007">
        <f t="shared" si="111"/>
        <v>0</v>
      </c>
      <c r="CH110" s="1007">
        <f t="shared" si="111"/>
        <v>0</v>
      </c>
      <c r="CI110" s="1007">
        <f t="shared" si="111"/>
        <v>24000000</v>
      </c>
      <c r="CJ110" s="1007"/>
      <c r="CK110" s="1007"/>
      <c r="CL110" s="1007">
        <f t="shared" si="112"/>
        <v>0</v>
      </c>
      <c r="CM110" s="1010">
        <f t="shared" si="113"/>
        <v>0</v>
      </c>
      <c r="CN110" s="1007">
        <f t="shared" si="114"/>
        <v>0</v>
      </c>
      <c r="CO110" s="1007"/>
      <c r="CP110" s="1007"/>
      <c r="CQ110" s="1007"/>
      <c r="CR110" s="1007"/>
      <c r="CS110" s="1007"/>
      <c r="CT110" s="1007"/>
      <c r="CU110" s="1007"/>
      <c r="CV110" s="1007"/>
      <c r="CW110" s="1007"/>
      <c r="CX110" s="1007"/>
      <c r="CY110" s="1007"/>
      <c r="CZ110" s="1007"/>
      <c r="DA110" s="1007"/>
      <c r="DB110" s="1007"/>
      <c r="DC110" s="1007"/>
      <c r="DD110" s="1007"/>
      <c r="DE110" s="1007"/>
      <c r="DF110" s="1007"/>
      <c r="DG110" s="1007"/>
      <c r="DH110" s="1007"/>
      <c r="DI110" s="1010">
        <f t="shared" si="115"/>
        <v>1</v>
      </c>
      <c r="DJ110" s="1007">
        <f t="shared" si="116"/>
        <v>24000000</v>
      </c>
      <c r="DK110" s="1007">
        <f t="shared" si="122"/>
        <v>0</v>
      </c>
      <c r="DL110" s="1007"/>
      <c r="DM110" s="1007"/>
      <c r="DN110" s="1007">
        <f>AC110-CR110</f>
        <v>0</v>
      </c>
      <c r="DO110" s="1007"/>
      <c r="DP110" s="1007">
        <f t="shared" si="117"/>
        <v>0</v>
      </c>
      <c r="DQ110" s="1007">
        <f t="shared" si="117"/>
        <v>0</v>
      </c>
      <c r="DR110" s="1007"/>
      <c r="DS110" s="1007">
        <f t="shared" si="118"/>
        <v>0</v>
      </c>
      <c r="DT110" s="1007">
        <f t="shared" si="118"/>
        <v>0</v>
      </c>
      <c r="DU110" s="1007"/>
      <c r="DV110" s="1007">
        <f t="shared" si="119"/>
        <v>0</v>
      </c>
      <c r="DW110" s="1007">
        <f t="shared" si="119"/>
        <v>0</v>
      </c>
      <c r="DX110" s="1007">
        <f t="shared" si="119"/>
        <v>0</v>
      </c>
      <c r="DY110" s="1007">
        <f t="shared" si="120"/>
        <v>0</v>
      </c>
      <c r="DZ110" s="1007">
        <f t="shared" si="120"/>
        <v>0</v>
      </c>
      <c r="EA110" s="1007">
        <f t="shared" si="120"/>
        <v>24000000</v>
      </c>
      <c r="EB110" s="1007">
        <f t="shared" si="120"/>
        <v>0</v>
      </c>
      <c r="EC110" s="1007"/>
      <c r="ED110" s="1007">
        <f t="shared" si="121"/>
        <v>0</v>
      </c>
    </row>
    <row r="111" spans="1:134" ht="33" customHeight="1" x14ac:dyDescent="0.25">
      <c r="A111" s="1586"/>
      <c r="B111" s="1018"/>
      <c r="C111" s="1092" t="s">
        <v>4465</v>
      </c>
      <c r="D111" s="1018" t="s">
        <v>4457</v>
      </c>
      <c r="E111" s="1019">
        <v>301</v>
      </c>
      <c r="F111" s="1094" t="s">
        <v>4661</v>
      </c>
      <c r="G111" s="1429"/>
      <c r="H111" s="1060">
        <f t="shared" si="100"/>
        <v>26928499</v>
      </c>
      <c r="I111" s="1060">
        <f t="shared" si="101"/>
        <v>58071501</v>
      </c>
      <c r="J111" s="1428" t="s">
        <v>4908</v>
      </c>
      <c r="K111" s="1257" t="s">
        <v>4913</v>
      </c>
      <c r="L111" s="1257" t="s">
        <v>4920</v>
      </c>
      <c r="M111" s="1097">
        <v>10</v>
      </c>
      <c r="N111" s="1097">
        <v>0</v>
      </c>
      <c r="O111" s="1097">
        <v>0</v>
      </c>
      <c r="P111" s="1097">
        <v>24</v>
      </c>
      <c r="Q111" s="1097">
        <v>12</v>
      </c>
      <c r="R111" s="1097">
        <v>3</v>
      </c>
      <c r="S111" s="1094"/>
      <c r="T111" s="1094"/>
      <c r="U111" s="1094"/>
      <c r="V111" s="1094"/>
      <c r="W111" s="1094"/>
      <c r="X111" s="1094"/>
      <c r="Y111" s="1007">
        <f t="shared" si="102"/>
        <v>85000000</v>
      </c>
      <c r="Z111" s="1007"/>
      <c r="AA111" s="1007"/>
      <c r="AB111" s="1007"/>
      <c r="AC111" s="1007"/>
      <c r="AD111" s="1007"/>
      <c r="AE111" s="1007"/>
      <c r="AF111" s="1007"/>
      <c r="AG111" s="1007"/>
      <c r="AH111" s="1007"/>
      <c r="AI111" s="1007"/>
      <c r="AJ111" s="1007"/>
      <c r="AK111" s="1007"/>
      <c r="AL111" s="1007"/>
      <c r="AM111" s="1007">
        <v>11406867</v>
      </c>
      <c r="AN111" s="1007"/>
      <c r="AO111" s="1007"/>
      <c r="AP111" s="1007">
        <v>73593133</v>
      </c>
      <c r="AQ111" s="1007"/>
      <c r="AR111" s="1007"/>
      <c r="AS111" s="1007"/>
      <c r="AU111" s="1010">
        <f t="shared" si="103"/>
        <v>1</v>
      </c>
      <c r="AV111" s="1007">
        <f t="shared" si="104"/>
        <v>85000000</v>
      </c>
      <c r="AW111" s="1007"/>
      <c r="AX111" s="1007"/>
      <c r="AY111" s="1007"/>
      <c r="AZ111" s="1007"/>
      <c r="BA111" s="1007"/>
      <c r="BB111" s="1007"/>
      <c r="BC111" s="1007"/>
      <c r="BD111" s="1007"/>
      <c r="BE111" s="1007"/>
      <c r="BF111" s="1007"/>
      <c r="BG111" s="1007"/>
      <c r="BH111" s="1007"/>
      <c r="BI111" s="1007"/>
      <c r="BJ111" s="1007">
        <f>+'[16]ENERO 2015'!$T$326</f>
        <v>11406867</v>
      </c>
      <c r="BK111" s="1007"/>
      <c r="BL111" s="1007"/>
      <c r="BM111" s="1007">
        <f>+'[16]ENERO 2015'!$W$326</f>
        <v>73593133</v>
      </c>
      <c r="BN111" s="1007"/>
      <c r="BO111" s="1007"/>
      <c r="BP111" s="1007"/>
      <c r="BQ111" s="1010">
        <f t="shared" si="105"/>
        <v>0</v>
      </c>
      <c r="BR111" s="1007">
        <f t="shared" si="106"/>
        <v>0</v>
      </c>
      <c r="BS111" s="1007">
        <f t="shared" si="107"/>
        <v>0</v>
      </c>
      <c r="BT111" s="1007">
        <f t="shared" si="108"/>
        <v>0</v>
      </c>
      <c r="BU111" s="1007"/>
      <c r="BV111" s="1007">
        <f t="shared" si="109"/>
        <v>0</v>
      </c>
      <c r="BW111" s="1007"/>
      <c r="BX111" s="1007">
        <f t="shared" si="110"/>
        <v>0</v>
      </c>
      <c r="BY111" s="1007">
        <f t="shared" si="110"/>
        <v>0</v>
      </c>
      <c r="BZ111" s="1007"/>
      <c r="CA111" s="1007">
        <f t="shared" si="123"/>
        <v>0</v>
      </c>
      <c r="CB111" s="1007">
        <f t="shared" si="123"/>
        <v>0</v>
      </c>
      <c r="CC111" s="1007">
        <f t="shared" si="123"/>
        <v>0</v>
      </c>
      <c r="CD111" s="1007">
        <f t="shared" si="111"/>
        <v>0</v>
      </c>
      <c r="CE111" s="1007">
        <f t="shared" si="111"/>
        <v>0</v>
      </c>
      <c r="CF111" s="1007">
        <f t="shared" si="111"/>
        <v>0</v>
      </c>
      <c r="CG111" s="1007">
        <f t="shared" si="111"/>
        <v>0</v>
      </c>
      <c r="CH111" s="1007">
        <f t="shared" si="111"/>
        <v>0</v>
      </c>
      <c r="CI111" s="1007">
        <f t="shared" si="111"/>
        <v>0</v>
      </c>
      <c r="CJ111" s="1007"/>
      <c r="CK111" s="1007"/>
      <c r="CL111" s="1007">
        <f t="shared" si="112"/>
        <v>0</v>
      </c>
      <c r="CM111" s="1010">
        <f t="shared" si="113"/>
        <v>0.31680587058823528</v>
      </c>
      <c r="CN111" s="1007">
        <f t="shared" si="114"/>
        <v>26928499</v>
      </c>
      <c r="CO111" s="1007"/>
      <c r="CP111" s="1007"/>
      <c r="CQ111" s="1007"/>
      <c r="CR111" s="1007"/>
      <c r="CS111" s="1007"/>
      <c r="CT111" s="1007"/>
      <c r="CU111" s="1007"/>
      <c r="CV111" s="1007"/>
      <c r="CW111" s="1007"/>
      <c r="CX111" s="1007"/>
      <c r="CY111" s="1007"/>
      <c r="CZ111" s="1007"/>
      <c r="DA111" s="1007"/>
      <c r="DB111" s="1007">
        <v>8728499</v>
      </c>
      <c r="DC111" s="1007"/>
      <c r="DD111" s="1007"/>
      <c r="DE111" s="1007">
        <f>+'[8]SEPTIEMBRE 2015'!$H$1045</f>
        <v>18200000</v>
      </c>
      <c r="DF111" s="1007"/>
      <c r="DG111" s="1007"/>
      <c r="DH111" s="1007"/>
      <c r="DI111" s="1010">
        <f t="shared" si="115"/>
        <v>0.68319412941176472</v>
      </c>
      <c r="DJ111" s="1007">
        <f t="shared" si="116"/>
        <v>58071501</v>
      </c>
      <c r="DK111" s="1007">
        <f t="shared" si="122"/>
        <v>0</v>
      </c>
      <c r="DL111" s="1007"/>
      <c r="DM111" s="1007"/>
      <c r="DN111" s="1007">
        <f>AC111-CR111</f>
        <v>0</v>
      </c>
      <c r="DO111" s="1007"/>
      <c r="DP111" s="1007">
        <f t="shared" si="117"/>
        <v>0</v>
      </c>
      <c r="DQ111" s="1007">
        <f t="shared" si="117"/>
        <v>0</v>
      </c>
      <c r="DR111" s="1007"/>
      <c r="DS111" s="1007">
        <f t="shared" si="118"/>
        <v>0</v>
      </c>
      <c r="DT111" s="1007">
        <f t="shared" si="118"/>
        <v>0</v>
      </c>
      <c r="DU111" s="1007"/>
      <c r="DV111" s="1007">
        <f t="shared" si="119"/>
        <v>0</v>
      </c>
      <c r="DW111" s="1007">
        <f t="shared" si="119"/>
        <v>0</v>
      </c>
      <c r="DX111" s="1007">
        <f t="shared" si="119"/>
        <v>2678368</v>
      </c>
      <c r="DY111" s="1007">
        <f t="shared" si="120"/>
        <v>0</v>
      </c>
      <c r="DZ111" s="1007">
        <f t="shared" si="120"/>
        <v>0</v>
      </c>
      <c r="EA111" s="1007">
        <f t="shared" si="120"/>
        <v>55393133</v>
      </c>
      <c r="EB111" s="1007">
        <f t="shared" si="120"/>
        <v>0</v>
      </c>
      <c r="EC111" s="1007"/>
      <c r="ED111" s="1007">
        <f t="shared" si="121"/>
        <v>0</v>
      </c>
    </row>
    <row r="112" spans="1:134" ht="26.25" customHeight="1" x14ac:dyDescent="0.25">
      <c r="A112" s="1586"/>
      <c r="B112" s="1018"/>
      <c r="C112" s="1092" t="s">
        <v>4675</v>
      </c>
      <c r="D112" s="1018" t="s">
        <v>4701</v>
      </c>
      <c r="E112" s="1019">
        <v>301</v>
      </c>
      <c r="F112" s="1094" t="s">
        <v>4688</v>
      </c>
      <c r="G112" s="1429"/>
      <c r="H112" s="1060">
        <f t="shared" si="100"/>
        <v>34427044</v>
      </c>
      <c r="I112" s="1060">
        <f t="shared" si="101"/>
        <v>45572956</v>
      </c>
      <c r="J112" s="1430"/>
      <c r="K112" s="1258"/>
      <c r="L112" s="1258"/>
      <c r="M112" s="1097">
        <v>5</v>
      </c>
      <c r="N112" s="1097">
        <v>18</v>
      </c>
      <c r="O112" s="1097">
        <v>1</v>
      </c>
      <c r="P112" s="1097">
        <v>23</v>
      </c>
      <c r="Q112" s="1097">
        <v>42</v>
      </c>
      <c r="R112" s="1097">
        <v>9</v>
      </c>
      <c r="S112" s="1094"/>
      <c r="T112" s="1094"/>
      <c r="U112" s="1094"/>
      <c r="V112" s="1094"/>
      <c r="W112" s="1094"/>
      <c r="X112" s="1094"/>
      <c r="Y112" s="1007">
        <f t="shared" si="102"/>
        <v>80000000</v>
      </c>
      <c r="Z112" s="1007">
        <v>80000000</v>
      </c>
      <c r="AA112" s="1007"/>
      <c r="AB112" s="1007"/>
      <c r="AC112" s="1007"/>
      <c r="AD112" s="1007"/>
      <c r="AE112" s="1007"/>
      <c r="AF112" s="1007"/>
      <c r="AG112" s="1007"/>
      <c r="AH112" s="1007"/>
      <c r="AI112" s="1007"/>
      <c r="AJ112" s="1007"/>
      <c r="AK112" s="1007"/>
      <c r="AL112" s="1007"/>
      <c r="AM112" s="1007"/>
      <c r="AN112" s="1007"/>
      <c r="AO112" s="1007"/>
      <c r="AP112" s="1007"/>
      <c r="AQ112" s="1007"/>
      <c r="AR112" s="1007"/>
      <c r="AS112" s="1007"/>
      <c r="AU112" s="1010">
        <f t="shared" si="103"/>
        <v>1</v>
      </c>
      <c r="AV112" s="1007">
        <f t="shared" si="104"/>
        <v>80000000</v>
      </c>
      <c r="AW112" s="1007">
        <f>+'[11]MARZO 2015'!$J$488</f>
        <v>80000000</v>
      </c>
      <c r="AX112" s="1007"/>
      <c r="AY112" s="1007"/>
      <c r="AZ112" s="1007"/>
      <c r="BA112" s="1007"/>
      <c r="BB112" s="1007"/>
      <c r="BC112" s="1007"/>
      <c r="BD112" s="1007"/>
      <c r="BE112" s="1007"/>
      <c r="BF112" s="1007"/>
      <c r="BG112" s="1007"/>
      <c r="BH112" s="1007"/>
      <c r="BI112" s="1007"/>
      <c r="BJ112" s="1007"/>
      <c r="BK112" s="1007"/>
      <c r="BL112" s="1007"/>
      <c r="BM112" s="1007"/>
      <c r="BN112" s="1007"/>
      <c r="BO112" s="1007"/>
      <c r="BP112" s="1007"/>
      <c r="BQ112" s="1010">
        <f t="shared" si="105"/>
        <v>0</v>
      </c>
      <c r="BR112" s="1007">
        <f t="shared" si="106"/>
        <v>0</v>
      </c>
      <c r="BS112" s="1007">
        <f t="shared" si="107"/>
        <v>0</v>
      </c>
      <c r="BT112" s="1007">
        <f t="shared" si="108"/>
        <v>0</v>
      </c>
      <c r="BU112" s="1007"/>
      <c r="BV112" s="1007">
        <f t="shared" si="109"/>
        <v>0</v>
      </c>
      <c r="BW112" s="1007"/>
      <c r="BX112" s="1007"/>
      <c r="BY112" s="1007"/>
      <c r="BZ112" s="1007"/>
      <c r="CA112" s="1007"/>
      <c r="CB112" s="1007"/>
      <c r="CC112" s="1007"/>
      <c r="CD112" s="1007"/>
      <c r="CE112" s="1007">
        <f t="shared" si="111"/>
        <v>0</v>
      </c>
      <c r="CF112" s="1007">
        <f t="shared" si="111"/>
        <v>0</v>
      </c>
      <c r="CG112" s="1007">
        <f t="shared" si="111"/>
        <v>0</v>
      </c>
      <c r="CH112" s="1007">
        <f t="shared" si="111"/>
        <v>0</v>
      </c>
      <c r="CI112" s="1007"/>
      <c r="CJ112" s="1007"/>
      <c r="CK112" s="1007"/>
      <c r="CL112" s="1007">
        <f t="shared" si="112"/>
        <v>0</v>
      </c>
      <c r="CM112" s="1010">
        <f t="shared" si="113"/>
        <v>0.43033805000000003</v>
      </c>
      <c r="CN112" s="1007">
        <f t="shared" si="114"/>
        <v>34427044</v>
      </c>
      <c r="CO112" s="1007">
        <f>+'[8]SEPTIEMBRE 2015'!$H$1051</f>
        <v>34427044</v>
      </c>
      <c r="CP112" s="1007"/>
      <c r="CQ112" s="1007"/>
      <c r="CR112" s="1007"/>
      <c r="CS112" s="1007"/>
      <c r="CT112" s="1007"/>
      <c r="CU112" s="1007"/>
      <c r="CV112" s="1007"/>
      <c r="CW112" s="1007"/>
      <c r="CX112" s="1007"/>
      <c r="CY112" s="1007"/>
      <c r="CZ112" s="1007"/>
      <c r="DA112" s="1007"/>
      <c r="DB112" s="1007"/>
      <c r="DC112" s="1007"/>
      <c r="DD112" s="1007"/>
      <c r="DE112" s="1007"/>
      <c r="DF112" s="1007"/>
      <c r="DG112" s="1007"/>
      <c r="DH112" s="1007"/>
      <c r="DI112" s="1010">
        <f t="shared" si="115"/>
        <v>0.56966194999999997</v>
      </c>
      <c r="DJ112" s="1007">
        <f t="shared" si="116"/>
        <v>45572956</v>
      </c>
      <c r="DK112" s="1007">
        <f t="shared" si="122"/>
        <v>45572956</v>
      </c>
      <c r="DL112" s="1007"/>
      <c r="DM112" s="1007"/>
      <c r="DN112" s="1007"/>
      <c r="DO112" s="1007"/>
      <c r="DP112" s="1007">
        <f>AE112-CT112</f>
        <v>0</v>
      </c>
      <c r="DQ112" s="1007"/>
      <c r="DR112" s="1007"/>
      <c r="DS112" s="1007"/>
      <c r="DT112" s="1007"/>
      <c r="DU112" s="1007"/>
      <c r="DV112" s="1007"/>
      <c r="DW112" s="1007"/>
      <c r="DX112" s="1007"/>
      <c r="DY112" s="1007">
        <f>+AN112-DC112</f>
        <v>0</v>
      </c>
      <c r="DZ112" s="1007"/>
      <c r="EA112" s="1007"/>
      <c r="EB112" s="1007"/>
      <c r="EC112" s="1007"/>
      <c r="ED112" s="1007">
        <f t="shared" si="121"/>
        <v>0</v>
      </c>
    </row>
    <row r="113" spans="1:134" ht="26.25" customHeight="1" x14ac:dyDescent="0.25">
      <c r="A113" s="1586"/>
      <c r="B113" s="1018"/>
      <c r="C113" s="1092" t="s">
        <v>4676</v>
      </c>
      <c r="D113" s="1018" t="s">
        <v>4702</v>
      </c>
      <c r="E113" s="1019">
        <v>301</v>
      </c>
      <c r="F113" s="1094" t="s">
        <v>4591</v>
      </c>
      <c r="G113" s="1429"/>
      <c r="H113" s="1060">
        <f t="shared" si="100"/>
        <v>100000000</v>
      </c>
      <c r="I113" s="1060">
        <f t="shared" si="101"/>
        <v>0</v>
      </c>
      <c r="J113" s="1428" t="s">
        <v>4914</v>
      </c>
      <c r="K113" s="1257" t="s">
        <v>4915</v>
      </c>
      <c r="L113" s="1257" t="s">
        <v>4921</v>
      </c>
      <c r="M113" s="1097">
        <v>0</v>
      </c>
      <c r="N113" s="1097">
        <v>0</v>
      </c>
      <c r="O113" s="1097">
        <v>0</v>
      </c>
      <c r="P113" s="1097">
        <v>100</v>
      </c>
      <c r="Q113" s="1097">
        <v>0</v>
      </c>
      <c r="R113" s="1097">
        <v>0</v>
      </c>
      <c r="S113" s="1094"/>
      <c r="T113" s="1094"/>
      <c r="U113" s="1094"/>
      <c r="V113" s="1094"/>
      <c r="W113" s="1094"/>
      <c r="X113" s="1094"/>
      <c r="Y113" s="1007">
        <f t="shared" si="102"/>
        <v>100000000</v>
      </c>
      <c r="Z113" s="1007"/>
      <c r="AA113" s="1007"/>
      <c r="AB113" s="1007"/>
      <c r="AC113" s="1007"/>
      <c r="AD113" s="1007"/>
      <c r="AE113" s="1007"/>
      <c r="AF113" s="1007"/>
      <c r="AG113" s="1007"/>
      <c r="AH113" s="1007"/>
      <c r="AI113" s="1007"/>
      <c r="AJ113" s="1007"/>
      <c r="AK113" s="1007"/>
      <c r="AL113" s="1007"/>
      <c r="AM113" s="1007"/>
      <c r="AN113" s="1007">
        <v>100000000</v>
      </c>
      <c r="AO113" s="1007"/>
      <c r="AP113" s="1007"/>
      <c r="AQ113" s="1007"/>
      <c r="AR113" s="1007"/>
      <c r="AS113" s="1007"/>
      <c r="AU113" s="1010">
        <f t="shared" si="103"/>
        <v>1</v>
      </c>
      <c r="AV113" s="1007">
        <f t="shared" si="104"/>
        <v>100000000</v>
      </c>
      <c r="AW113" s="1007"/>
      <c r="AX113" s="1007"/>
      <c r="AY113" s="1007"/>
      <c r="AZ113" s="1007"/>
      <c r="BA113" s="1007"/>
      <c r="BB113" s="1007"/>
      <c r="BC113" s="1007"/>
      <c r="BD113" s="1007"/>
      <c r="BE113" s="1007"/>
      <c r="BF113" s="1007"/>
      <c r="BG113" s="1007"/>
      <c r="BH113" s="1007"/>
      <c r="BI113" s="1007"/>
      <c r="BJ113" s="1007"/>
      <c r="BK113" s="1007">
        <f>+'[11]MARZO 2015'!$W$496</f>
        <v>100000000</v>
      </c>
      <c r="BL113" s="1007"/>
      <c r="BM113" s="1007"/>
      <c r="BN113" s="1007"/>
      <c r="BO113" s="1007"/>
      <c r="BP113" s="1007"/>
      <c r="BQ113" s="1010">
        <f t="shared" si="105"/>
        <v>0</v>
      </c>
      <c r="BR113" s="1007">
        <f t="shared" si="106"/>
        <v>0</v>
      </c>
      <c r="BS113" s="1007">
        <f t="shared" si="107"/>
        <v>0</v>
      </c>
      <c r="BT113" s="1007">
        <f t="shared" si="108"/>
        <v>0</v>
      </c>
      <c r="BU113" s="1007"/>
      <c r="BV113" s="1007">
        <f t="shared" si="109"/>
        <v>0</v>
      </c>
      <c r="BW113" s="1007"/>
      <c r="BX113" s="1007"/>
      <c r="BY113" s="1007"/>
      <c r="BZ113" s="1007"/>
      <c r="CA113" s="1007"/>
      <c r="CB113" s="1007"/>
      <c r="CC113" s="1007"/>
      <c r="CD113" s="1007"/>
      <c r="CE113" s="1007">
        <f t="shared" si="111"/>
        <v>0</v>
      </c>
      <c r="CF113" s="1007">
        <f t="shared" si="111"/>
        <v>0</v>
      </c>
      <c r="CG113" s="1007">
        <f t="shared" si="111"/>
        <v>0</v>
      </c>
      <c r="CH113" s="1007">
        <f t="shared" si="111"/>
        <v>0</v>
      </c>
      <c r="CI113" s="1007"/>
      <c r="CJ113" s="1007"/>
      <c r="CK113" s="1007"/>
      <c r="CL113" s="1007">
        <f t="shared" si="112"/>
        <v>0</v>
      </c>
      <c r="CM113" s="1010">
        <f t="shared" si="113"/>
        <v>1</v>
      </c>
      <c r="CN113" s="1007">
        <f t="shared" si="114"/>
        <v>100000000</v>
      </c>
      <c r="CO113" s="1007"/>
      <c r="CP113" s="1007"/>
      <c r="CQ113" s="1007"/>
      <c r="CR113" s="1007"/>
      <c r="CS113" s="1007"/>
      <c r="CT113" s="1007"/>
      <c r="CU113" s="1007"/>
      <c r="CV113" s="1007"/>
      <c r="CW113" s="1007"/>
      <c r="CX113" s="1007"/>
      <c r="CY113" s="1007"/>
      <c r="CZ113" s="1007"/>
      <c r="DA113" s="1007"/>
      <c r="DB113" s="1007"/>
      <c r="DC113" s="1007">
        <f>+'[9]ABRIL 2015'!$H$571</f>
        <v>100000000</v>
      </c>
      <c r="DD113" s="1007"/>
      <c r="DE113" s="1007"/>
      <c r="DF113" s="1007"/>
      <c r="DG113" s="1007"/>
      <c r="DH113" s="1007"/>
      <c r="DI113" s="1010">
        <f t="shared" si="115"/>
        <v>0</v>
      </c>
      <c r="DJ113" s="1007">
        <f t="shared" si="116"/>
        <v>0</v>
      </c>
      <c r="DK113" s="1007">
        <f t="shared" si="122"/>
        <v>0</v>
      </c>
      <c r="DL113" s="1007"/>
      <c r="DM113" s="1007"/>
      <c r="DN113" s="1007"/>
      <c r="DO113" s="1007"/>
      <c r="DP113" s="1007">
        <f>AE113-CT113</f>
        <v>0</v>
      </c>
      <c r="DQ113" s="1007"/>
      <c r="DR113" s="1007"/>
      <c r="DS113" s="1007"/>
      <c r="DT113" s="1007"/>
      <c r="DU113" s="1007"/>
      <c r="DV113" s="1007"/>
      <c r="DW113" s="1007"/>
      <c r="DX113" s="1007"/>
      <c r="DY113" s="1007">
        <f>+AN113-DC113</f>
        <v>0</v>
      </c>
      <c r="DZ113" s="1007"/>
      <c r="EA113" s="1007"/>
      <c r="EB113" s="1007"/>
      <c r="EC113" s="1007"/>
      <c r="ED113" s="1007">
        <f t="shared" si="121"/>
        <v>0</v>
      </c>
    </row>
    <row r="114" spans="1:134" s="203" customFormat="1" ht="33.75" customHeight="1" x14ac:dyDescent="0.25">
      <c r="A114" s="1586"/>
      <c r="B114" s="1018"/>
      <c r="C114" s="1080" t="s">
        <v>4715</v>
      </c>
      <c r="D114" s="1018" t="s">
        <v>4716</v>
      </c>
      <c r="E114" s="1019">
        <v>301</v>
      </c>
      <c r="F114" s="1094" t="s">
        <v>4661</v>
      </c>
      <c r="G114" s="1430"/>
      <c r="H114" s="1060">
        <f t="shared" si="100"/>
        <v>0</v>
      </c>
      <c r="I114" s="1060">
        <f t="shared" si="101"/>
        <v>30000000</v>
      </c>
      <c r="J114" s="1430"/>
      <c r="K114" s="1258"/>
      <c r="L114" s="1258"/>
      <c r="M114" s="1076"/>
      <c r="N114" s="1076"/>
      <c r="O114" s="1076"/>
      <c r="P114" s="1074"/>
      <c r="Q114" s="1074"/>
      <c r="R114" s="1074"/>
      <c r="S114" s="1094"/>
      <c r="T114" s="1094"/>
      <c r="U114" s="1094"/>
      <c r="V114" s="1094"/>
      <c r="W114" s="1094"/>
      <c r="X114" s="1094"/>
      <c r="Y114" s="1066">
        <f t="shared" si="102"/>
        <v>30000000</v>
      </c>
      <c r="Z114" s="1066"/>
      <c r="AA114" s="1066"/>
      <c r="AB114" s="1066"/>
      <c r="AC114" s="1066"/>
      <c r="AD114" s="1066"/>
      <c r="AE114" s="1066"/>
      <c r="AF114" s="1066"/>
      <c r="AG114" s="1066"/>
      <c r="AH114" s="1066"/>
      <c r="AI114" s="1066"/>
      <c r="AJ114" s="1066"/>
      <c r="AK114" s="1066"/>
      <c r="AL114" s="1066"/>
      <c r="AM114" s="1066"/>
      <c r="AN114" s="1066"/>
      <c r="AO114" s="1066">
        <v>30000000</v>
      </c>
      <c r="AP114" s="1066"/>
      <c r="AQ114" s="1066"/>
      <c r="AR114" s="1066"/>
      <c r="AS114" s="1066"/>
      <c r="AU114" s="1081">
        <f t="shared" si="103"/>
        <v>0</v>
      </c>
      <c r="AV114" s="1066">
        <f t="shared" si="104"/>
        <v>0</v>
      </c>
      <c r="AW114" s="1066"/>
      <c r="AX114" s="1066"/>
      <c r="AY114" s="1066"/>
      <c r="AZ114" s="1066"/>
      <c r="BA114" s="1066"/>
      <c r="BB114" s="1066"/>
      <c r="BC114" s="1066"/>
      <c r="BD114" s="1066"/>
      <c r="BE114" s="1066"/>
      <c r="BF114" s="1066"/>
      <c r="BG114" s="1066"/>
      <c r="BH114" s="1066"/>
      <c r="BI114" s="1066"/>
      <c r="BJ114" s="1066"/>
      <c r="BK114" s="1066"/>
      <c r="BL114" s="1066"/>
      <c r="BM114" s="1066"/>
      <c r="BN114" s="1066"/>
      <c r="BO114" s="1066"/>
      <c r="BP114" s="1066"/>
      <c r="BQ114" s="1081">
        <f t="shared" si="105"/>
        <v>1</v>
      </c>
      <c r="BR114" s="1066">
        <f t="shared" si="106"/>
        <v>30000000</v>
      </c>
      <c r="BS114" s="1066"/>
      <c r="BT114" s="1066"/>
      <c r="BU114" s="1066"/>
      <c r="BV114" s="1066"/>
      <c r="BW114" s="1066"/>
      <c r="BX114" s="1066"/>
      <c r="BY114" s="1066"/>
      <c r="BZ114" s="1066"/>
      <c r="CA114" s="1066"/>
      <c r="CB114" s="1066"/>
      <c r="CC114" s="1066"/>
      <c r="CD114" s="1066"/>
      <c r="CE114" s="1066"/>
      <c r="CF114" s="1066"/>
      <c r="CG114" s="1066"/>
      <c r="CH114" s="1066">
        <f t="shared" si="111"/>
        <v>30000000</v>
      </c>
      <c r="CI114" s="1066"/>
      <c r="CJ114" s="1066"/>
      <c r="CK114" s="1066"/>
      <c r="CL114" s="1066"/>
      <c r="CM114" s="1081">
        <f t="shared" si="113"/>
        <v>0</v>
      </c>
      <c r="CN114" s="1066">
        <f t="shared" si="114"/>
        <v>0</v>
      </c>
      <c r="CO114" s="1066"/>
      <c r="CP114" s="1066"/>
      <c r="CQ114" s="1066"/>
      <c r="CR114" s="1066"/>
      <c r="CS114" s="1066"/>
      <c r="CT114" s="1066"/>
      <c r="CU114" s="1066"/>
      <c r="CV114" s="1066"/>
      <c r="CW114" s="1066"/>
      <c r="CX114" s="1066"/>
      <c r="CY114" s="1066"/>
      <c r="CZ114" s="1066"/>
      <c r="DA114" s="1066"/>
      <c r="DB114" s="1066"/>
      <c r="DC114" s="1066"/>
      <c r="DD114" s="1066"/>
      <c r="DE114" s="1066"/>
      <c r="DF114" s="1066"/>
      <c r="DG114" s="1066"/>
      <c r="DH114" s="1066"/>
      <c r="DI114" s="1081">
        <f t="shared" si="115"/>
        <v>1</v>
      </c>
      <c r="DJ114" s="1066">
        <f t="shared" si="116"/>
        <v>30000000</v>
      </c>
      <c r="DK114" s="1066"/>
      <c r="DL114" s="1066"/>
      <c r="DM114" s="1066"/>
      <c r="DN114" s="1066"/>
      <c r="DO114" s="1066"/>
      <c r="DP114" s="1066"/>
      <c r="DQ114" s="1066"/>
      <c r="DR114" s="1066"/>
      <c r="DS114" s="1066"/>
      <c r="DT114" s="1066"/>
      <c r="DU114" s="1066"/>
      <c r="DV114" s="1066"/>
      <c r="DW114" s="1066"/>
      <c r="DX114" s="1066"/>
      <c r="DY114" s="1066"/>
      <c r="DZ114" s="1066">
        <f t="shared" ref="DZ114:EB128" si="124">+AO114-DD114</f>
        <v>30000000</v>
      </c>
      <c r="EA114" s="1066"/>
      <c r="EB114" s="1066"/>
      <c r="EC114" s="1066"/>
      <c r="ED114" s="1066"/>
    </row>
    <row r="115" spans="1:134" ht="49.5" customHeight="1" x14ac:dyDescent="0.25">
      <c r="A115" s="1586"/>
      <c r="B115" s="1027" t="s">
        <v>4442</v>
      </c>
      <c r="C115" s="347" t="s">
        <v>4634</v>
      </c>
      <c r="D115" s="1018" t="s">
        <v>4459</v>
      </c>
      <c r="E115" s="1579">
        <v>301</v>
      </c>
      <c r="F115" s="1428" t="s">
        <v>4739</v>
      </c>
      <c r="G115" s="1067">
        <v>304000000</v>
      </c>
      <c r="H115" s="1060">
        <f t="shared" si="100"/>
        <v>239317227</v>
      </c>
      <c r="I115" s="1060">
        <f t="shared" si="101"/>
        <v>72682773</v>
      </c>
      <c r="J115" s="1094" t="s">
        <v>4937</v>
      </c>
      <c r="K115" s="1097" t="s">
        <v>4940</v>
      </c>
      <c r="L115" s="1097" t="s">
        <v>4943</v>
      </c>
      <c r="M115" s="1257">
        <v>12</v>
      </c>
      <c r="N115" s="1097">
        <v>0</v>
      </c>
      <c r="O115" s="1097">
        <v>0</v>
      </c>
      <c r="P115" s="1257">
        <v>45</v>
      </c>
      <c r="Q115" s="1097">
        <v>57</v>
      </c>
      <c r="R115" s="1097">
        <v>26</v>
      </c>
      <c r="S115" s="1094"/>
      <c r="T115" s="1094"/>
      <c r="U115" s="1094"/>
      <c r="V115" s="1094"/>
      <c r="W115" s="1094"/>
      <c r="X115" s="1094"/>
      <c r="Y115" s="1007">
        <f t="shared" si="102"/>
        <v>312000000</v>
      </c>
      <c r="Z115" s="1007"/>
      <c r="AA115" s="1007"/>
      <c r="AB115" s="1007"/>
      <c r="AC115" s="1007"/>
      <c r="AD115" s="1007"/>
      <c r="AE115" s="1007"/>
      <c r="AF115" s="1007"/>
      <c r="AG115" s="1007"/>
      <c r="AH115" s="1007"/>
      <c r="AI115" s="1007"/>
      <c r="AJ115" s="1007"/>
      <c r="AK115" s="1007"/>
      <c r="AL115" s="1007"/>
      <c r="AM115" s="1007">
        <v>300000000</v>
      </c>
      <c r="AN115" s="1007"/>
      <c r="AO115" s="1007"/>
      <c r="AP115" s="1007"/>
      <c r="AQ115" s="1007"/>
      <c r="AR115" s="1007"/>
      <c r="AS115" s="1007">
        <f>4000000+8000000</f>
        <v>12000000</v>
      </c>
      <c r="AU115" s="1010">
        <f t="shared" si="103"/>
        <v>0.99425641025641021</v>
      </c>
      <c r="AV115" s="1007">
        <f t="shared" si="104"/>
        <v>310208000</v>
      </c>
      <c r="AW115" s="1007"/>
      <c r="AX115" s="1007"/>
      <c r="AY115" s="1007"/>
      <c r="AZ115" s="1007"/>
      <c r="BA115" s="1007"/>
      <c r="BB115" s="1007"/>
      <c r="BC115" s="1007"/>
      <c r="BD115" s="1007"/>
      <c r="BE115" s="1007"/>
      <c r="BF115" s="1007"/>
      <c r="BG115" s="1007"/>
      <c r="BH115" s="1007"/>
      <c r="BI115" s="1007"/>
      <c r="BJ115" s="1007">
        <f>+'[7]AGOSTO 2015'!$W$943</f>
        <v>298208000</v>
      </c>
      <c r="BK115" s="1007"/>
      <c r="BL115" s="1007"/>
      <c r="BM115" s="1007"/>
      <c r="BN115" s="1007"/>
      <c r="BO115" s="1007"/>
      <c r="BP115" s="1007">
        <f>+'[10]JULIO 2015'!$AD$839</f>
        <v>12000000</v>
      </c>
      <c r="BQ115" s="1010">
        <f t="shared" si="105"/>
        <v>5.7435897435897942E-3</v>
      </c>
      <c r="BR115" s="1007">
        <f t="shared" si="106"/>
        <v>1792000</v>
      </c>
      <c r="BS115" s="1007">
        <f t="shared" ref="BS115:BS128" si="125">+Z115-AW115</f>
        <v>0</v>
      </c>
      <c r="BT115" s="1007">
        <f t="shared" ref="BT115:BT128" si="126">AA115-AX115</f>
        <v>0</v>
      </c>
      <c r="BU115" s="1007"/>
      <c r="BV115" s="1007">
        <f t="shared" ref="BV115:BV128" si="127">AC115-AZ115</f>
        <v>0</v>
      </c>
      <c r="BW115" s="1007"/>
      <c r="BX115" s="1007">
        <f t="shared" ref="BX115:BY128" si="128">+AE115-BB115</f>
        <v>0</v>
      </c>
      <c r="BY115" s="1007">
        <f t="shared" si="128"/>
        <v>0</v>
      </c>
      <c r="BZ115" s="1007"/>
      <c r="CA115" s="1007">
        <f t="shared" ref="CA115:CG128" si="129">+AH115-BE115</f>
        <v>0</v>
      </c>
      <c r="CB115" s="1007">
        <f t="shared" si="129"/>
        <v>0</v>
      </c>
      <c r="CC115" s="1007">
        <f t="shared" si="129"/>
        <v>0</v>
      </c>
      <c r="CD115" s="1007">
        <f t="shared" si="129"/>
        <v>0</v>
      </c>
      <c r="CE115" s="1007">
        <f t="shared" si="129"/>
        <v>0</v>
      </c>
      <c r="CF115" s="1007">
        <f t="shared" si="129"/>
        <v>1792000</v>
      </c>
      <c r="CG115" s="1007">
        <f t="shared" si="129"/>
        <v>0</v>
      </c>
      <c r="CH115" s="1007">
        <f t="shared" si="111"/>
        <v>0</v>
      </c>
      <c r="CI115" s="1007">
        <f t="shared" si="111"/>
        <v>0</v>
      </c>
      <c r="CJ115" s="1007"/>
      <c r="CK115" s="1007"/>
      <c r="CL115" s="1007">
        <f t="shared" ref="CL115:CL128" si="130">+AS115-BP115</f>
        <v>0</v>
      </c>
      <c r="CM115" s="1010">
        <f t="shared" si="113"/>
        <v>0.76704239423076925</v>
      </c>
      <c r="CN115" s="1007">
        <f t="shared" si="114"/>
        <v>239317227</v>
      </c>
      <c r="CO115" s="1007"/>
      <c r="CP115" s="1007"/>
      <c r="CQ115" s="1007"/>
      <c r="CR115" s="1007"/>
      <c r="CS115" s="1007"/>
      <c r="CT115" s="1007"/>
      <c r="CU115" s="1007"/>
      <c r="CV115" s="1007"/>
      <c r="CW115" s="1007"/>
      <c r="CX115" s="1007"/>
      <c r="CY115" s="1007"/>
      <c r="CZ115" s="1007"/>
      <c r="DA115" s="1007"/>
      <c r="DB115" s="1007">
        <f>+'[8]SEPTIEMBRE 2015'!$H$1088-DH115</f>
        <v>238317227</v>
      </c>
      <c r="DC115" s="1007"/>
      <c r="DD115" s="1007"/>
      <c r="DE115" s="1007"/>
      <c r="DF115" s="1007"/>
      <c r="DG115" s="1007"/>
      <c r="DH115" s="1007">
        <f>+'[8]SEPTIEMBRE 2015'!$H$1144</f>
        <v>1000000</v>
      </c>
      <c r="DI115" s="1010">
        <f t="shared" si="115"/>
        <v>0.23295760576923075</v>
      </c>
      <c r="DJ115" s="1007">
        <f t="shared" si="116"/>
        <v>72682773</v>
      </c>
      <c r="DK115" s="1007">
        <f t="shared" ref="DK115:DK128" si="131">Z115-CO115</f>
        <v>0</v>
      </c>
      <c r="DL115" s="1007"/>
      <c r="DM115" s="1007"/>
      <c r="DN115" s="1007">
        <f t="shared" ref="DN115:DN128" si="132">AC115-CR115</f>
        <v>0</v>
      </c>
      <c r="DO115" s="1007"/>
      <c r="DP115" s="1007">
        <f t="shared" ref="DP115:DQ128" si="133">AE115-CT115</f>
        <v>0</v>
      </c>
      <c r="DQ115" s="1007">
        <f t="shared" si="133"/>
        <v>0</v>
      </c>
      <c r="DR115" s="1007"/>
      <c r="DS115" s="1007">
        <f t="shared" ref="DS115:DT128" si="134">+AH115-CW115</f>
        <v>0</v>
      </c>
      <c r="DT115" s="1007">
        <f t="shared" si="134"/>
        <v>0</v>
      </c>
      <c r="DU115" s="1007"/>
      <c r="DV115" s="1007">
        <f t="shared" ref="DV115:DX128" si="135">AK115-CZ115</f>
        <v>0</v>
      </c>
      <c r="DW115" s="1007">
        <f t="shared" si="135"/>
        <v>0</v>
      </c>
      <c r="DX115" s="1007">
        <f t="shared" si="135"/>
        <v>61682773</v>
      </c>
      <c r="DY115" s="1007">
        <f t="shared" ref="DY115:DY128" si="136">+AN115-DC115</f>
        <v>0</v>
      </c>
      <c r="DZ115" s="1007">
        <f t="shared" si="124"/>
        <v>0</v>
      </c>
      <c r="EA115" s="1007">
        <f t="shared" si="124"/>
        <v>0</v>
      </c>
      <c r="EB115" s="1007">
        <f t="shared" si="124"/>
        <v>0</v>
      </c>
      <c r="EC115" s="1007"/>
      <c r="ED115" s="1007">
        <f t="shared" ref="ED115:ED128" si="137">+AS115-DH115</f>
        <v>11000000</v>
      </c>
    </row>
    <row r="116" spans="1:134" s="203" customFormat="1" ht="27" hidden="1" customHeight="1" x14ac:dyDescent="0.25">
      <c r="A116" s="1586"/>
      <c r="B116" s="1084"/>
      <c r="C116" s="1085"/>
      <c r="D116" s="1018" t="s">
        <v>4934</v>
      </c>
      <c r="E116" s="1601"/>
      <c r="F116" s="1429"/>
      <c r="G116" s="1086"/>
      <c r="H116" s="1060"/>
      <c r="I116" s="1060"/>
      <c r="J116" s="1094" t="s">
        <v>4936</v>
      </c>
      <c r="K116" s="1097" t="s">
        <v>4939</v>
      </c>
      <c r="L116" s="1097" t="s">
        <v>4942</v>
      </c>
      <c r="M116" s="1562"/>
      <c r="N116" s="1097">
        <v>0</v>
      </c>
      <c r="O116" s="1097">
        <v>0</v>
      </c>
      <c r="P116" s="1562"/>
      <c r="Q116" s="1097">
        <v>68</v>
      </c>
      <c r="R116" s="1097">
        <v>0</v>
      </c>
      <c r="S116" s="1094"/>
      <c r="T116" s="1094"/>
      <c r="U116" s="1094"/>
      <c r="V116" s="1094"/>
      <c r="W116" s="1094"/>
      <c r="X116" s="1094"/>
      <c r="Y116" s="1066"/>
      <c r="Z116" s="1066"/>
      <c r="AA116" s="1066"/>
      <c r="AB116" s="1066"/>
      <c r="AC116" s="1066"/>
      <c r="AD116" s="1066"/>
      <c r="AE116" s="1066"/>
      <c r="AF116" s="1066"/>
      <c r="AG116" s="1066"/>
      <c r="AH116" s="1066"/>
      <c r="AI116" s="1066"/>
      <c r="AJ116" s="1066"/>
      <c r="AK116" s="1066"/>
      <c r="AL116" s="1066"/>
      <c r="AM116" s="1066"/>
      <c r="AN116" s="1066"/>
      <c r="AO116" s="1066"/>
      <c r="AP116" s="1066"/>
      <c r="AQ116" s="1066"/>
      <c r="AR116" s="1066"/>
      <c r="AS116" s="1066"/>
      <c r="AU116" s="1081"/>
      <c r="AV116" s="1066"/>
      <c r="AW116" s="1066"/>
      <c r="AX116" s="1066"/>
      <c r="AY116" s="1066"/>
      <c r="AZ116" s="1066"/>
      <c r="BA116" s="1066"/>
      <c r="BB116" s="1066"/>
      <c r="BC116" s="1066"/>
      <c r="BD116" s="1066"/>
      <c r="BE116" s="1066"/>
      <c r="BF116" s="1066"/>
      <c r="BG116" s="1066"/>
      <c r="BH116" s="1066"/>
      <c r="BI116" s="1066"/>
      <c r="BJ116" s="1066"/>
      <c r="BK116" s="1066"/>
      <c r="BL116" s="1066"/>
      <c r="BM116" s="1066"/>
      <c r="BN116" s="1066"/>
      <c r="BO116" s="1066"/>
      <c r="BP116" s="1066"/>
      <c r="BQ116" s="1081"/>
      <c r="BR116" s="1066"/>
      <c r="BS116" s="1066"/>
      <c r="BT116" s="1066"/>
      <c r="BU116" s="1066"/>
      <c r="BV116" s="1066"/>
      <c r="BW116" s="1066"/>
      <c r="BX116" s="1066"/>
      <c r="BY116" s="1066"/>
      <c r="BZ116" s="1066"/>
      <c r="CA116" s="1066"/>
      <c r="CB116" s="1066"/>
      <c r="CC116" s="1066"/>
      <c r="CD116" s="1066"/>
      <c r="CE116" s="1066"/>
      <c r="CF116" s="1066"/>
      <c r="CG116" s="1066"/>
      <c r="CH116" s="1066"/>
      <c r="CI116" s="1066"/>
      <c r="CJ116" s="1066"/>
      <c r="CK116" s="1066"/>
      <c r="CL116" s="1066"/>
      <c r="CM116" s="1081"/>
      <c r="CN116" s="1066"/>
      <c r="CO116" s="1066"/>
      <c r="CP116" s="1066"/>
      <c r="CQ116" s="1066"/>
      <c r="CR116" s="1066"/>
      <c r="CS116" s="1066"/>
      <c r="CT116" s="1066"/>
      <c r="CU116" s="1066"/>
      <c r="CV116" s="1066"/>
      <c r="CW116" s="1066"/>
      <c r="CX116" s="1066"/>
      <c r="CY116" s="1066"/>
      <c r="CZ116" s="1066"/>
      <c r="DA116" s="1066"/>
      <c r="DB116" s="1066"/>
      <c r="DC116" s="1066"/>
      <c r="DD116" s="1066"/>
      <c r="DE116" s="1066"/>
      <c r="DF116" s="1066"/>
      <c r="DG116" s="1066"/>
      <c r="DH116" s="1066"/>
      <c r="DI116" s="1081"/>
      <c r="DJ116" s="1066"/>
      <c r="DK116" s="1066"/>
      <c r="DL116" s="1066"/>
      <c r="DM116" s="1066"/>
      <c r="DN116" s="1066"/>
      <c r="DO116" s="1066"/>
      <c r="DP116" s="1066"/>
      <c r="DQ116" s="1066"/>
      <c r="DR116" s="1066"/>
      <c r="DS116" s="1066"/>
      <c r="DT116" s="1066"/>
      <c r="DU116" s="1066"/>
      <c r="DV116" s="1066"/>
      <c r="DW116" s="1066"/>
      <c r="DX116" s="1066"/>
      <c r="DY116" s="1066"/>
      <c r="DZ116" s="1066"/>
      <c r="EA116" s="1066"/>
      <c r="EB116" s="1066"/>
      <c r="EC116" s="1066"/>
      <c r="ED116" s="1066"/>
    </row>
    <row r="117" spans="1:134" s="203" customFormat="1" ht="27" hidden="1" customHeight="1" x14ac:dyDescent="0.25">
      <c r="A117" s="1586"/>
      <c r="B117" s="1026"/>
      <c r="C117" s="1087"/>
      <c r="D117" s="1018" t="s">
        <v>4935</v>
      </c>
      <c r="E117" s="1580"/>
      <c r="F117" s="1430"/>
      <c r="G117" s="1071"/>
      <c r="H117" s="1060"/>
      <c r="I117" s="1060"/>
      <c r="J117" s="1094" t="s">
        <v>4938</v>
      </c>
      <c r="K117" s="1097" t="s">
        <v>4941</v>
      </c>
      <c r="L117" s="1097" t="s">
        <v>4944</v>
      </c>
      <c r="M117" s="1258"/>
      <c r="N117" s="1097">
        <v>0</v>
      </c>
      <c r="O117" s="1097">
        <v>0</v>
      </c>
      <c r="P117" s="1258"/>
      <c r="Q117" s="1097">
        <v>23</v>
      </c>
      <c r="R117" s="1097">
        <v>0</v>
      </c>
      <c r="S117" s="1094"/>
      <c r="T117" s="1094"/>
      <c r="U117" s="1094"/>
      <c r="V117" s="1094"/>
      <c r="W117" s="1094"/>
      <c r="X117" s="1094"/>
      <c r="Y117" s="1066"/>
      <c r="Z117" s="1066"/>
      <c r="AA117" s="1066"/>
      <c r="AB117" s="1066"/>
      <c r="AC117" s="1066"/>
      <c r="AD117" s="1066"/>
      <c r="AE117" s="1066"/>
      <c r="AF117" s="1066"/>
      <c r="AG117" s="1066"/>
      <c r="AH117" s="1066"/>
      <c r="AI117" s="1066"/>
      <c r="AJ117" s="1066"/>
      <c r="AK117" s="1066"/>
      <c r="AL117" s="1066"/>
      <c r="AM117" s="1066"/>
      <c r="AN117" s="1066"/>
      <c r="AO117" s="1066"/>
      <c r="AP117" s="1066"/>
      <c r="AQ117" s="1066"/>
      <c r="AR117" s="1066"/>
      <c r="AS117" s="1066"/>
      <c r="AU117" s="1081"/>
      <c r="AV117" s="1066"/>
      <c r="AW117" s="1066"/>
      <c r="AX117" s="1066"/>
      <c r="AY117" s="1066"/>
      <c r="AZ117" s="1066"/>
      <c r="BA117" s="1066"/>
      <c r="BB117" s="1066"/>
      <c r="BC117" s="1066"/>
      <c r="BD117" s="1066"/>
      <c r="BE117" s="1066"/>
      <c r="BF117" s="1066"/>
      <c r="BG117" s="1066"/>
      <c r="BH117" s="1066"/>
      <c r="BI117" s="1066"/>
      <c r="BJ117" s="1066"/>
      <c r="BK117" s="1066"/>
      <c r="BL117" s="1066"/>
      <c r="BM117" s="1066"/>
      <c r="BN117" s="1066"/>
      <c r="BO117" s="1066"/>
      <c r="BP117" s="1066"/>
      <c r="BQ117" s="1081"/>
      <c r="BR117" s="1066"/>
      <c r="BS117" s="1066"/>
      <c r="BT117" s="1066"/>
      <c r="BU117" s="1066"/>
      <c r="BV117" s="1066"/>
      <c r="BW117" s="1066"/>
      <c r="BX117" s="1066"/>
      <c r="BY117" s="1066"/>
      <c r="BZ117" s="1066"/>
      <c r="CA117" s="1066"/>
      <c r="CB117" s="1066"/>
      <c r="CC117" s="1066"/>
      <c r="CD117" s="1066"/>
      <c r="CE117" s="1066"/>
      <c r="CF117" s="1066"/>
      <c r="CG117" s="1066"/>
      <c r="CH117" s="1066"/>
      <c r="CI117" s="1066"/>
      <c r="CJ117" s="1066"/>
      <c r="CK117" s="1066"/>
      <c r="CL117" s="1066"/>
      <c r="CM117" s="1081"/>
      <c r="CN117" s="1066"/>
      <c r="CO117" s="1066"/>
      <c r="CP117" s="1066"/>
      <c r="CQ117" s="1066"/>
      <c r="CR117" s="1066"/>
      <c r="CS117" s="1066"/>
      <c r="CT117" s="1066"/>
      <c r="CU117" s="1066"/>
      <c r="CV117" s="1066"/>
      <c r="CW117" s="1066"/>
      <c r="CX117" s="1066"/>
      <c r="CY117" s="1066"/>
      <c r="CZ117" s="1066"/>
      <c r="DA117" s="1066"/>
      <c r="DB117" s="1066"/>
      <c r="DC117" s="1066"/>
      <c r="DD117" s="1066"/>
      <c r="DE117" s="1066"/>
      <c r="DF117" s="1066"/>
      <c r="DG117" s="1066"/>
      <c r="DH117" s="1066"/>
      <c r="DI117" s="1081"/>
      <c r="DJ117" s="1066"/>
      <c r="DK117" s="1066"/>
      <c r="DL117" s="1066"/>
      <c r="DM117" s="1066"/>
      <c r="DN117" s="1066"/>
      <c r="DO117" s="1066"/>
      <c r="DP117" s="1066"/>
      <c r="DQ117" s="1066"/>
      <c r="DR117" s="1066"/>
      <c r="DS117" s="1066"/>
      <c r="DT117" s="1066"/>
      <c r="DU117" s="1066"/>
      <c r="DV117" s="1066"/>
      <c r="DW117" s="1066"/>
      <c r="DX117" s="1066"/>
      <c r="DY117" s="1066"/>
      <c r="DZ117" s="1066"/>
      <c r="EA117" s="1066"/>
      <c r="EB117" s="1066"/>
      <c r="EC117" s="1066"/>
      <c r="ED117" s="1066"/>
    </row>
    <row r="118" spans="1:134" ht="71.25" customHeight="1" x14ac:dyDescent="0.25">
      <c r="A118" s="1586"/>
      <c r="B118" s="1018" t="s">
        <v>4443</v>
      </c>
      <c r="C118" s="1092" t="s">
        <v>4635</v>
      </c>
      <c r="D118" s="1018" t="s">
        <v>4460</v>
      </c>
      <c r="E118" s="1019">
        <v>301</v>
      </c>
      <c r="F118" s="1094" t="s">
        <v>4740</v>
      </c>
      <c r="G118" s="1094">
        <v>306000000</v>
      </c>
      <c r="H118" s="1060">
        <f t="shared" si="100"/>
        <v>133851634</v>
      </c>
      <c r="I118" s="1060">
        <f>Y118-H118</f>
        <v>186148366</v>
      </c>
      <c r="J118" s="1094" t="s">
        <v>4950</v>
      </c>
      <c r="K118" s="1097" t="s">
        <v>4954</v>
      </c>
      <c r="L118" s="1097" t="s">
        <v>4958</v>
      </c>
      <c r="M118" s="1257">
        <v>13</v>
      </c>
      <c r="N118" s="1097">
        <v>21</v>
      </c>
      <c r="O118" s="1097">
        <v>3</v>
      </c>
      <c r="P118" s="1257">
        <v>32</v>
      </c>
      <c r="Q118" s="1097">
        <v>47</v>
      </c>
      <c r="R118" s="1097">
        <v>15</v>
      </c>
      <c r="S118" s="1094"/>
      <c r="T118" s="1094"/>
      <c r="U118" s="1094"/>
      <c r="V118" s="1094"/>
      <c r="W118" s="1094"/>
      <c r="X118" s="1094"/>
      <c r="Y118" s="1007">
        <f t="shared" si="102"/>
        <v>320000000</v>
      </c>
      <c r="Z118" s="1007"/>
      <c r="AA118" s="1007"/>
      <c r="AB118" s="1007"/>
      <c r="AC118" s="1007"/>
      <c r="AD118" s="1007"/>
      <c r="AE118" s="1007"/>
      <c r="AF118" s="1007"/>
      <c r="AG118" s="1007"/>
      <c r="AH118" s="1007"/>
      <c r="AI118" s="1007"/>
      <c r="AJ118" s="1007"/>
      <c r="AK118" s="1007"/>
      <c r="AL118" s="1007"/>
      <c r="AM118" s="1007">
        <v>300000000</v>
      </c>
      <c r="AN118" s="1007"/>
      <c r="AO118" s="1007"/>
      <c r="AP118" s="1007"/>
      <c r="AQ118" s="1007"/>
      <c r="AR118" s="1007"/>
      <c r="AS118" s="1007">
        <f>1000000+5000000+11000000+3000000</f>
        <v>20000000</v>
      </c>
      <c r="AU118" s="1010">
        <f t="shared" si="103"/>
        <v>0.93057593750000001</v>
      </c>
      <c r="AV118" s="1007">
        <f t="shared" si="104"/>
        <v>297784300</v>
      </c>
      <c r="AW118" s="1007"/>
      <c r="AX118" s="1007"/>
      <c r="AY118" s="1007"/>
      <c r="AZ118" s="1007"/>
      <c r="BA118" s="1007"/>
      <c r="BB118" s="1007"/>
      <c r="BC118" s="1007"/>
      <c r="BD118" s="1007"/>
      <c r="BE118" s="1007"/>
      <c r="BF118" s="1007"/>
      <c r="BG118" s="1007"/>
      <c r="BH118" s="1007"/>
      <c r="BI118" s="1007"/>
      <c r="BJ118" s="1007">
        <f>+'[13]JUNIO 2015'!$W$749</f>
        <v>282584300</v>
      </c>
      <c r="BK118" s="1007"/>
      <c r="BL118" s="1007"/>
      <c r="BM118" s="1007"/>
      <c r="BN118" s="1007"/>
      <c r="BO118" s="1007"/>
      <c r="BP118" s="1007">
        <f>+'[7]AGOSTO 2015'!$AD$997</f>
        <v>15200000</v>
      </c>
      <c r="BQ118" s="1010">
        <f t="shared" si="105"/>
        <v>6.9424062499999994E-2</v>
      </c>
      <c r="BR118" s="1007">
        <f t="shared" si="106"/>
        <v>22215700</v>
      </c>
      <c r="BS118" s="1007">
        <f t="shared" si="125"/>
        <v>0</v>
      </c>
      <c r="BT118" s="1007">
        <f t="shared" si="126"/>
        <v>0</v>
      </c>
      <c r="BU118" s="1007"/>
      <c r="BV118" s="1007">
        <f t="shared" si="127"/>
        <v>0</v>
      </c>
      <c r="BW118" s="1007"/>
      <c r="BX118" s="1007">
        <f t="shared" si="128"/>
        <v>0</v>
      </c>
      <c r="BY118" s="1007">
        <f t="shared" si="128"/>
        <v>0</v>
      </c>
      <c r="BZ118" s="1007"/>
      <c r="CA118" s="1007">
        <f t="shared" si="129"/>
        <v>0</v>
      </c>
      <c r="CB118" s="1007">
        <f t="shared" si="129"/>
        <v>0</v>
      </c>
      <c r="CC118" s="1007">
        <f t="shared" si="129"/>
        <v>0</v>
      </c>
      <c r="CD118" s="1007">
        <f t="shared" si="129"/>
        <v>0</v>
      </c>
      <c r="CE118" s="1007">
        <f t="shared" si="129"/>
        <v>0</v>
      </c>
      <c r="CF118" s="1007">
        <f t="shared" si="129"/>
        <v>17415700</v>
      </c>
      <c r="CG118" s="1007">
        <f t="shared" si="129"/>
        <v>0</v>
      </c>
      <c r="CH118" s="1007">
        <f t="shared" si="111"/>
        <v>0</v>
      </c>
      <c r="CI118" s="1007">
        <f t="shared" si="111"/>
        <v>0</v>
      </c>
      <c r="CJ118" s="1007"/>
      <c r="CK118" s="1007"/>
      <c r="CL118" s="1007">
        <f t="shared" si="130"/>
        <v>4800000</v>
      </c>
      <c r="CM118" s="1010">
        <f t="shared" si="113"/>
        <v>0.41828635624999999</v>
      </c>
      <c r="CN118" s="1007">
        <f t="shared" si="114"/>
        <v>133851634</v>
      </c>
      <c r="CO118" s="1007"/>
      <c r="CP118" s="1007"/>
      <c r="CQ118" s="1007"/>
      <c r="CR118" s="1007"/>
      <c r="CS118" s="1007"/>
      <c r="CT118" s="1007"/>
      <c r="CU118" s="1007"/>
      <c r="CV118" s="1007"/>
      <c r="CW118" s="1007"/>
      <c r="CX118" s="1007"/>
      <c r="CY118" s="1007"/>
      <c r="CZ118" s="1007"/>
      <c r="DA118" s="1007"/>
      <c r="DB118" s="1007">
        <f>+'[8]SEPTIEMBRE 2015'!$H$1149-DH118</f>
        <v>129526634</v>
      </c>
      <c r="DC118" s="1007"/>
      <c r="DD118" s="1007"/>
      <c r="DE118" s="1007"/>
      <c r="DF118" s="1007"/>
      <c r="DG118" s="1007"/>
      <c r="DH118" s="1007">
        <f>+'[8]SEPTIEMBRE 2015'!$H$1152+'[8]SEPTIEMBRE 2015'!$H$1179+'[8]SEPTIEMBRE 2015'!$H$1182+'[8]SEPTIEMBRE 2015'!$H$1187</f>
        <v>4325000</v>
      </c>
      <c r="DI118" s="1010">
        <f t="shared" si="115"/>
        <v>0.58171364375000001</v>
      </c>
      <c r="DJ118" s="1007">
        <f t="shared" si="116"/>
        <v>186148366</v>
      </c>
      <c r="DK118" s="1007">
        <f t="shared" si="131"/>
        <v>0</v>
      </c>
      <c r="DL118" s="1007"/>
      <c r="DM118" s="1007"/>
      <c r="DN118" s="1007">
        <f t="shared" si="132"/>
        <v>0</v>
      </c>
      <c r="DO118" s="1007"/>
      <c r="DP118" s="1007">
        <f t="shared" si="133"/>
        <v>0</v>
      </c>
      <c r="DQ118" s="1007">
        <f t="shared" si="133"/>
        <v>0</v>
      </c>
      <c r="DR118" s="1007"/>
      <c r="DS118" s="1007">
        <f t="shared" si="134"/>
        <v>0</v>
      </c>
      <c r="DT118" s="1007">
        <f t="shared" si="134"/>
        <v>0</v>
      </c>
      <c r="DU118" s="1007"/>
      <c r="DV118" s="1007">
        <f t="shared" si="135"/>
        <v>0</v>
      </c>
      <c r="DW118" s="1007">
        <f t="shared" si="135"/>
        <v>0</v>
      </c>
      <c r="DX118" s="1007">
        <f t="shared" si="135"/>
        <v>170473366</v>
      </c>
      <c r="DY118" s="1007">
        <f t="shared" si="136"/>
        <v>0</v>
      </c>
      <c r="DZ118" s="1007">
        <f t="shared" si="124"/>
        <v>0</v>
      </c>
      <c r="EA118" s="1007">
        <f t="shared" si="124"/>
        <v>0</v>
      </c>
      <c r="EB118" s="1007">
        <f t="shared" si="124"/>
        <v>0</v>
      </c>
      <c r="EC118" s="1007"/>
      <c r="ED118" s="1007">
        <f t="shared" si="137"/>
        <v>15675000</v>
      </c>
    </row>
    <row r="119" spans="1:134" s="203" customFormat="1" ht="27.75" hidden="1" customHeight="1" x14ac:dyDescent="0.25">
      <c r="A119" s="1586"/>
      <c r="B119" s="1018"/>
      <c r="C119" s="1080"/>
      <c r="D119" s="1018" t="s">
        <v>4945</v>
      </c>
      <c r="E119" s="1019"/>
      <c r="F119" s="1094"/>
      <c r="G119" s="1094"/>
      <c r="H119" s="1060"/>
      <c r="I119" s="1060"/>
      <c r="J119" s="1094" t="s">
        <v>4948</v>
      </c>
      <c r="K119" s="1097" t="s">
        <v>4952</v>
      </c>
      <c r="L119" s="1097" t="s">
        <v>4956</v>
      </c>
      <c r="M119" s="1562"/>
      <c r="N119" s="1097">
        <v>31</v>
      </c>
      <c r="O119" s="1097">
        <v>4</v>
      </c>
      <c r="P119" s="1562"/>
      <c r="Q119" s="1097">
        <v>31</v>
      </c>
      <c r="R119" s="1097">
        <v>0</v>
      </c>
      <c r="S119" s="1094"/>
      <c r="T119" s="1094"/>
      <c r="U119" s="1094"/>
      <c r="V119" s="1094"/>
      <c r="W119" s="1094"/>
      <c r="X119" s="1094"/>
      <c r="Y119" s="1066"/>
      <c r="Z119" s="1066"/>
      <c r="AA119" s="1066"/>
      <c r="AB119" s="1066"/>
      <c r="AC119" s="1066"/>
      <c r="AD119" s="1066"/>
      <c r="AE119" s="1066"/>
      <c r="AF119" s="1066"/>
      <c r="AG119" s="1066"/>
      <c r="AH119" s="1066"/>
      <c r="AI119" s="1066"/>
      <c r="AJ119" s="1066"/>
      <c r="AK119" s="1066"/>
      <c r="AL119" s="1066"/>
      <c r="AM119" s="1066"/>
      <c r="AN119" s="1066"/>
      <c r="AO119" s="1066"/>
      <c r="AP119" s="1066"/>
      <c r="AQ119" s="1066"/>
      <c r="AR119" s="1066"/>
      <c r="AS119" s="1066"/>
      <c r="AU119" s="1081"/>
      <c r="AV119" s="1066"/>
      <c r="AW119" s="1066"/>
      <c r="AX119" s="1066"/>
      <c r="AY119" s="1066"/>
      <c r="AZ119" s="1066"/>
      <c r="BA119" s="1066"/>
      <c r="BB119" s="1066"/>
      <c r="BC119" s="1066"/>
      <c r="BD119" s="1066"/>
      <c r="BE119" s="1066"/>
      <c r="BF119" s="1066"/>
      <c r="BG119" s="1066"/>
      <c r="BH119" s="1066"/>
      <c r="BI119" s="1066"/>
      <c r="BJ119" s="1066"/>
      <c r="BK119" s="1066"/>
      <c r="BL119" s="1066"/>
      <c r="BM119" s="1066"/>
      <c r="BN119" s="1066"/>
      <c r="BO119" s="1066"/>
      <c r="BP119" s="1066"/>
      <c r="BQ119" s="1081"/>
      <c r="BR119" s="1066"/>
      <c r="BS119" s="1066"/>
      <c r="BT119" s="1066"/>
      <c r="BU119" s="1066"/>
      <c r="BV119" s="1066"/>
      <c r="BW119" s="1066"/>
      <c r="BX119" s="1066"/>
      <c r="BY119" s="1066"/>
      <c r="BZ119" s="1066"/>
      <c r="CA119" s="1066"/>
      <c r="CB119" s="1066"/>
      <c r="CC119" s="1066"/>
      <c r="CD119" s="1066"/>
      <c r="CE119" s="1066"/>
      <c r="CF119" s="1066"/>
      <c r="CG119" s="1066"/>
      <c r="CH119" s="1066"/>
      <c r="CI119" s="1066"/>
      <c r="CJ119" s="1066"/>
      <c r="CK119" s="1066"/>
      <c r="CL119" s="1066"/>
      <c r="CM119" s="1081"/>
      <c r="CN119" s="1066"/>
      <c r="CO119" s="1066"/>
      <c r="CP119" s="1066"/>
      <c r="CQ119" s="1066"/>
      <c r="CR119" s="1066"/>
      <c r="CS119" s="1066"/>
      <c r="CT119" s="1066"/>
      <c r="CU119" s="1066"/>
      <c r="CV119" s="1066"/>
      <c r="CW119" s="1066"/>
      <c r="CX119" s="1066"/>
      <c r="CY119" s="1066"/>
      <c r="CZ119" s="1066"/>
      <c r="DA119" s="1066"/>
      <c r="DB119" s="1066"/>
      <c r="DC119" s="1066"/>
      <c r="DD119" s="1066"/>
      <c r="DE119" s="1066"/>
      <c r="DF119" s="1066"/>
      <c r="DG119" s="1066"/>
      <c r="DH119" s="1066"/>
      <c r="DI119" s="1081"/>
      <c r="DJ119" s="1066"/>
      <c r="DK119" s="1066"/>
      <c r="DL119" s="1066"/>
      <c r="DM119" s="1066"/>
      <c r="DN119" s="1066"/>
      <c r="DO119" s="1066"/>
      <c r="DP119" s="1066"/>
      <c r="DQ119" s="1066"/>
      <c r="DR119" s="1066"/>
      <c r="DS119" s="1066"/>
      <c r="DT119" s="1066"/>
      <c r="DU119" s="1066"/>
      <c r="DV119" s="1066"/>
      <c r="DW119" s="1066"/>
      <c r="DX119" s="1066"/>
      <c r="DY119" s="1066"/>
      <c r="DZ119" s="1066"/>
      <c r="EA119" s="1066"/>
      <c r="EB119" s="1066"/>
      <c r="EC119" s="1066"/>
      <c r="ED119" s="1066"/>
    </row>
    <row r="120" spans="1:134" s="203" customFormat="1" ht="21.75" hidden="1" customHeight="1" x14ac:dyDescent="0.25">
      <c r="A120" s="1586"/>
      <c r="B120" s="1018"/>
      <c r="C120" s="1080"/>
      <c r="D120" s="1018" t="s">
        <v>4946</v>
      </c>
      <c r="E120" s="1019"/>
      <c r="F120" s="1094"/>
      <c r="G120" s="1094"/>
      <c r="H120" s="1060"/>
      <c r="I120" s="1060"/>
      <c r="J120" s="1094" t="s">
        <v>4949</v>
      </c>
      <c r="K120" s="1097" t="s">
        <v>4953</v>
      </c>
      <c r="L120" s="1097" t="s">
        <v>4957</v>
      </c>
      <c r="M120" s="1562"/>
      <c r="N120" s="1097">
        <v>32</v>
      </c>
      <c r="O120" s="1097">
        <v>4</v>
      </c>
      <c r="P120" s="1562"/>
      <c r="Q120" s="1097">
        <v>66</v>
      </c>
      <c r="R120" s="1097">
        <v>0</v>
      </c>
      <c r="S120" s="1094"/>
      <c r="T120" s="1094"/>
      <c r="U120" s="1094"/>
      <c r="V120" s="1094"/>
      <c r="W120" s="1094"/>
      <c r="X120" s="1094"/>
      <c r="Y120" s="1066"/>
      <c r="Z120" s="1066"/>
      <c r="AA120" s="1066"/>
      <c r="AB120" s="1066"/>
      <c r="AC120" s="1066"/>
      <c r="AD120" s="1066"/>
      <c r="AE120" s="1066"/>
      <c r="AF120" s="1066"/>
      <c r="AG120" s="1066"/>
      <c r="AH120" s="1066"/>
      <c r="AI120" s="1066"/>
      <c r="AJ120" s="1066"/>
      <c r="AK120" s="1066"/>
      <c r="AL120" s="1066"/>
      <c r="AM120" s="1066"/>
      <c r="AN120" s="1066"/>
      <c r="AO120" s="1066"/>
      <c r="AP120" s="1066"/>
      <c r="AQ120" s="1066"/>
      <c r="AR120" s="1066"/>
      <c r="AS120" s="1066"/>
      <c r="AU120" s="1081"/>
      <c r="AV120" s="1066"/>
      <c r="AW120" s="1066"/>
      <c r="AX120" s="1066"/>
      <c r="AY120" s="1066"/>
      <c r="AZ120" s="1066"/>
      <c r="BA120" s="1066"/>
      <c r="BB120" s="1066"/>
      <c r="BC120" s="1066"/>
      <c r="BD120" s="1066"/>
      <c r="BE120" s="1066"/>
      <c r="BF120" s="1066"/>
      <c r="BG120" s="1066"/>
      <c r="BH120" s="1066"/>
      <c r="BI120" s="1066"/>
      <c r="BJ120" s="1066"/>
      <c r="BK120" s="1066"/>
      <c r="BL120" s="1066"/>
      <c r="BM120" s="1066"/>
      <c r="BN120" s="1066"/>
      <c r="BO120" s="1066"/>
      <c r="BP120" s="1066"/>
      <c r="BQ120" s="1081"/>
      <c r="BR120" s="1066"/>
      <c r="BS120" s="1066"/>
      <c r="BT120" s="1066"/>
      <c r="BU120" s="1066"/>
      <c r="BV120" s="1066"/>
      <c r="BW120" s="1066"/>
      <c r="BX120" s="1066"/>
      <c r="BY120" s="1066"/>
      <c r="BZ120" s="1066"/>
      <c r="CA120" s="1066"/>
      <c r="CB120" s="1066"/>
      <c r="CC120" s="1066"/>
      <c r="CD120" s="1066"/>
      <c r="CE120" s="1066"/>
      <c r="CF120" s="1066"/>
      <c r="CG120" s="1066"/>
      <c r="CH120" s="1066"/>
      <c r="CI120" s="1066"/>
      <c r="CJ120" s="1066"/>
      <c r="CK120" s="1066"/>
      <c r="CL120" s="1066"/>
      <c r="CM120" s="1081"/>
      <c r="CN120" s="1066"/>
      <c r="CO120" s="1066"/>
      <c r="CP120" s="1066"/>
      <c r="CQ120" s="1066"/>
      <c r="CR120" s="1066"/>
      <c r="CS120" s="1066"/>
      <c r="CT120" s="1066"/>
      <c r="CU120" s="1066"/>
      <c r="CV120" s="1066"/>
      <c r="CW120" s="1066"/>
      <c r="CX120" s="1066"/>
      <c r="CY120" s="1066"/>
      <c r="CZ120" s="1066"/>
      <c r="DA120" s="1066"/>
      <c r="DB120" s="1066"/>
      <c r="DC120" s="1066"/>
      <c r="DD120" s="1066"/>
      <c r="DE120" s="1066"/>
      <c r="DF120" s="1066"/>
      <c r="DG120" s="1066"/>
      <c r="DH120" s="1066"/>
      <c r="DI120" s="1081"/>
      <c r="DJ120" s="1066"/>
      <c r="DK120" s="1066"/>
      <c r="DL120" s="1066"/>
      <c r="DM120" s="1066"/>
      <c r="DN120" s="1066"/>
      <c r="DO120" s="1066"/>
      <c r="DP120" s="1066"/>
      <c r="DQ120" s="1066"/>
      <c r="DR120" s="1066"/>
      <c r="DS120" s="1066"/>
      <c r="DT120" s="1066"/>
      <c r="DU120" s="1066"/>
      <c r="DV120" s="1066"/>
      <c r="DW120" s="1066"/>
      <c r="DX120" s="1066"/>
      <c r="DY120" s="1066"/>
      <c r="DZ120" s="1066"/>
      <c r="EA120" s="1066"/>
      <c r="EB120" s="1066"/>
      <c r="EC120" s="1066"/>
      <c r="ED120" s="1066"/>
    </row>
    <row r="121" spans="1:134" s="203" customFormat="1" ht="27" hidden="1" customHeight="1" x14ac:dyDescent="0.25">
      <c r="A121" s="1586"/>
      <c r="B121" s="1018"/>
      <c r="C121" s="1080"/>
      <c r="D121" s="1018" t="s">
        <v>4947</v>
      </c>
      <c r="E121" s="1019"/>
      <c r="F121" s="1094"/>
      <c r="G121" s="1094"/>
      <c r="H121" s="1060"/>
      <c r="I121" s="1060"/>
      <c r="J121" s="1094" t="s">
        <v>4951</v>
      </c>
      <c r="K121" s="1097" t="s">
        <v>4955</v>
      </c>
      <c r="L121" s="1097" t="s">
        <v>4959</v>
      </c>
      <c r="M121" s="1258"/>
      <c r="N121" s="1097">
        <v>42</v>
      </c>
      <c r="O121" s="1097">
        <v>5</v>
      </c>
      <c r="P121" s="1258"/>
      <c r="Q121" s="1097">
        <v>87</v>
      </c>
      <c r="R121" s="1097">
        <v>0</v>
      </c>
      <c r="S121" s="1094"/>
      <c r="T121" s="1094"/>
      <c r="U121" s="1094"/>
      <c r="V121" s="1094"/>
      <c r="W121" s="1094"/>
      <c r="X121" s="1094"/>
      <c r="Y121" s="1066"/>
      <c r="Z121" s="1066"/>
      <c r="AA121" s="1066"/>
      <c r="AB121" s="1066"/>
      <c r="AC121" s="1066"/>
      <c r="AD121" s="1066"/>
      <c r="AE121" s="1066"/>
      <c r="AF121" s="1066"/>
      <c r="AG121" s="1066"/>
      <c r="AH121" s="1066"/>
      <c r="AI121" s="1066"/>
      <c r="AJ121" s="1066"/>
      <c r="AK121" s="1066"/>
      <c r="AL121" s="1066"/>
      <c r="AM121" s="1066"/>
      <c r="AN121" s="1066"/>
      <c r="AO121" s="1066"/>
      <c r="AP121" s="1066"/>
      <c r="AQ121" s="1066"/>
      <c r="AR121" s="1066"/>
      <c r="AS121" s="1066"/>
      <c r="AU121" s="1081"/>
      <c r="AV121" s="1066"/>
      <c r="AW121" s="1066"/>
      <c r="AX121" s="1066"/>
      <c r="AY121" s="1066"/>
      <c r="AZ121" s="1066"/>
      <c r="BA121" s="1066"/>
      <c r="BB121" s="1066"/>
      <c r="BC121" s="1066"/>
      <c r="BD121" s="1066"/>
      <c r="BE121" s="1066"/>
      <c r="BF121" s="1066"/>
      <c r="BG121" s="1066"/>
      <c r="BH121" s="1066"/>
      <c r="BI121" s="1066"/>
      <c r="BJ121" s="1066"/>
      <c r="BK121" s="1066"/>
      <c r="BL121" s="1066"/>
      <c r="BM121" s="1066"/>
      <c r="BN121" s="1066"/>
      <c r="BO121" s="1066"/>
      <c r="BP121" s="1066"/>
      <c r="BQ121" s="1081"/>
      <c r="BR121" s="1066"/>
      <c r="BS121" s="1066"/>
      <c r="BT121" s="1066"/>
      <c r="BU121" s="1066"/>
      <c r="BV121" s="1066"/>
      <c r="BW121" s="1066"/>
      <c r="BX121" s="1066"/>
      <c r="BY121" s="1066"/>
      <c r="BZ121" s="1066"/>
      <c r="CA121" s="1066"/>
      <c r="CB121" s="1066"/>
      <c r="CC121" s="1066"/>
      <c r="CD121" s="1066"/>
      <c r="CE121" s="1066"/>
      <c r="CF121" s="1066"/>
      <c r="CG121" s="1066"/>
      <c r="CH121" s="1066"/>
      <c r="CI121" s="1066"/>
      <c r="CJ121" s="1066"/>
      <c r="CK121" s="1066"/>
      <c r="CL121" s="1066"/>
      <c r="CM121" s="1081"/>
      <c r="CN121" s="1066"/>
      <c r="CO121" s="1066"/>
      <c r="CP121" s="1066"/>
      <c r="CQ121" s="1066"/>
      <c r="CR121" s="1066"/>
      <c r="CS121" s="1066"/>
      <c r="CT121" s="1066"/>
      <c r="CU121" s="1066"/>
      <c r="CV121" s="1066"/>
      <c r="CW121" s="1066"/>
      <c r="CX121" s="1066"/>
      <c r="CY121" s="1066"/>
      <c r="CZ121" s="1066"/>
      <c r="DA121" s="1066"/>
      <c r="DB121" s="1066"/>
      <c r="DC121" s="1066"/>
      <c r="DD121" s="1066"/>
      <c r="DE121" s="1066"/>
      <c r="DF121" s="1066"/>
      <c r="DG121" s="1066"/>
      <c r="DH121" s="1066"/>
      <c r="DI121" s="1081"/>
      <c r="DJ121" s="1066"/>
      <c r="DK121" s="1066"/>
      <c r="DL121" s="1066"/>
      <c r="DM121" s="1066"/>
      <c r="DN121" s="1066"/>
      <c r="DO121" s="1066"/>
      <c r="DP121" s="1066"/>
      <c r="DQ121" s="1066"/>
      <c r="DR121" s="1066"/>
      <c r="DS121" s="1066"/>
      <c r="DT121" s="1066"/>
      <c r="DU121" s="1066"/>
      <c r="DV121" s="1066"/>
      <c r="DW121" s="1066"/>
      <c r="DX121" s="1066"/>
      <c r="DY121" s="1066"/>
      <c r="DZ121" s="1066"/>
      <c r="EA121" s="1066"/>
      <c r="EB121" s="1066"/>
      <c r="EC121" s="1066"/>
      <c r="ED121" s="1066"/>
    </row>
    <row r="122" spans="1:134" ht="44.25" customHeight="1" x14ac:dyDescent="0.25">
      <c r="A122" s="1586"/>
      <c r="B122" s="1018" t="s">
        <v>4444</v>
      </c>
      <c r="C122" s="1092" t="s">
        <v>4636</v>
      </c>
      <c r="D122" s="1018" t="s">
        <v>4960</v>
      </c>
      <c r="E122" s="1019">
        <v>301</v>
      </c>
      <c r="F122" s="1094" t="s">
        <v>4741</v>
      </c>
      <c r="G122" s="1094">
        <v>67000000</v>
      </c>
      <c r="H122" s="1060">
        <f t="shared" si="100"/>
        <v>3045000</v>
      </c>
      <c r="I122" s="1060">
        <f>Y122-H122</f>
        <v>19955000</v>
      </c>
      <c r="J122" s="1094" t="s">
        <v>4962</v>
      </c>
      <c r="K122" s="1097" t="s">
        <v>4963</v>
      </c>
      <c r="L122" s="1097" t="s">
        <v>4965</v>
      </c>
      <c r="M122" s="1257">
        <v>0</v>
      </c>
      <c r="N122" s="1097">
        <v>0</v>
      </c>
      <c r="O122" s="1097">
        <v>0</v>
      </c>
      <c r="P122" s="1257">
        <v>15</v>
      </c>
      <c r="Q122" s="1097">
        <v>0</v>
      </c>
      <c r="R122" s="1097">
        <v>0</v>
      </c>
      <c r="S122" s="1094"/>
      <c r="T122" s="1094"/>
      <c r="U122" s="1094"/>
      <c r="V122" s="1094"/>
      <c r="W122" s="1094"/>
      <c r="X122" s="1094"/>
      <c r="Y122" s="1007">
        <f t="shared" si="102"/>
        <v>23000000</v>
      </c>
      <c r="Z122" s="1007"/>
      <c r="AA122" s="1007"/>
      <c r="AB122" s="1007"/>
      <c r="AC122" s="1007"/>
      <c r="AD122" s="1007"/>
      <c r="AE122" s="1007"/>
      <c r="AF122" s="1007"/>
      <c r="AG122" s="1007"/>
      <c r="AH122" s="1007"/>
      <c r="AI122" s="1007"/>
      <c r="AJ122" s="1007"/>
      <c r="AK122" s="1007"/>
      <c r="AL122" s="1007"/>
      <c r="AM122" s="1007">
        <f>67000000-52000000</f>
        <v>15000000</v>
      </c>
      <c r="AN122" s="1007"/>
      <c r="AO122" s="1007"/>
      <c r="AP122" s="1007"/>
      <c r="AQ122" s="1007"/>
      <c r="AR122" s="1007"/>
      <c r="AS122" s="1007">
        <f>5000000+3000000</f>
        <v>8000000</v>
      </c>
      <c r="AU122" s="1010">
        <f t="shared" si="103"/>
        <v>1</v>
      </c>
      <c r="AV122" s="1007">
        <f t="shared" si="104"/>
        <v>23000000</v>
      </c>
      <c r="AW122" s="1007"/>
      <c r="AX122" s="1007"/>
      <c r="AY122" s="1007"/>
      <c r="AZ122" s="1007"/>
      <c r="BA122" s="1007"/>
      <c r="BB122" s="1007"/>
      <c r="BC122" s="1007"/>
      <c r="BD122" s="1007"/>
      <c r="BE122" s="1007"/>
      <c r="BF122" s="1007"/>
      <c r="BG122" s="1007"/>
      <c r="BH122" s="1007"/>
      <c r="BI122" s="1007"/>
      <c r="BJ122" s="1007">
        <f>+'[11]MARZO 2015'!$V$535</f>
        <v>15000000</v>
      </c>
      <c r="BK122" s="1007"/>
      <c r="BL122" s="1007"/>
      <c r="BM122" s="1007"/>
      <c r="BN122" s="1007"/>
      <c r="BO122" s="1007"/>
      <c r="BP122" s="1007">
        <f>+'[8]SEPTIEMBRE 2015'!$AD$1193</f>
        <v>8000000</v>
      </c>
      <c r="BQ122" s="1010">
        <f t="shared" si="105"/>
        <v>0</v>
      </c>
      <c r="BR122" s="1007">
        <f t="shared" si="106"/>
        <v>0</v>
      </c>
      <c r="BS122" s="1007">
        <f t="shared" si="125"/>
        <v>0</v>
      </c>
      <c r="BT122" s="1007">
        <f t="shared" si="126"/>
        <v>0</v>
      </c>
      <c r="BU122" s="1007"/>
      <c r="BV122" s="1007">
        <f t="shared" si="127"/>
        <v>0</v>
      </c>
      <c r="BW122" s="1007"/>
      <c r="BX122" s="1007">
        <f t="shared" si="128"/>
        <v>0</v>
      </c>
      <c r="BY122" s="1007">
        <f t="shared" si="128"/>
        <v>0</v>
      </c>
      <c r="BZ122" s="1007"/>
      <c r="CA122" s="1007"/>
      <c r="CB122" s="1007"/>
      <c r="CC122" s="1007"/>
      <c r="CD122" s="1007">
        <f t="shared" si="129"/>
        <v>0</v>
      </c>
      <c r="CE122" s="1007">
        <f t="shared" si="129"/>
        <v>0</v>
      </c>
      <c r="CF122" s="1007">
        <f t="shared" si="129"/>
        <v>0</v>
      </c>
      <c r="CG122" s="1007">
        <f t="shared" si="129"/>
        <v>0</v>
      </c>
      <c r="CH122" s="1007">
        <f t="shared" si="111"/>
        <v>0</v>
      </c>
      <c r="CI122" s="1007">
        <f t="shared" si="111"/>
        <v>0</v>
      </c>
      <c r="CJ122" s="1007"/>
      <c r="CK122" s="1007"/>
      <c r="CL122" s="1007">
        <f t="shared" si="130"/>
        <v>0</v>
      </c>
      <c r="CM122" s="1010">
        <f t="shared" si="113"/>
        <v>0.13239130434782609</v>
      </c>
      <c r="CN122" s="1007">
        <f t="shared" si="114"/>
        <v>3045000</v>
      </c>
      <c r="CO122" s="1007"/>
      <c r="CP122" s="1007"/>
      <c r="CQ122" s="1007"/>
      <c r="CR122" s="1007"/>
      <c r="CS122" s="1007"/>
      <c r="CT122" s="1007"/>
      <c r="CU122" s="1007"/>
      <c r="CV122" s="1007"/>
      <c r="CW122" s="1007"/>
      <c r="CX122" s="1007"/>
      <c r="CY122" s="1007"/>
      <c r="CZ122" s="1007"/>
      <c r="DA122" s="1007"/>
      <c r="DB122" s="1007"/>
      <c r="DC122" s="1007"/>
      <c r="DD122" s="1007"/>
      <c r="DE122" s="1007"/>
      <c r="DF122" s="1007"/>
      <c r="DG122" s="1007"/>
      <c r="DH122" s="1007">
        <f>+'[13]JUNIO 2015'!$H$782</f>
        <v>3045000</v>
      </c>
      <c r="DI122" s="1010">
        <f t="shared" si="115"/>
        <v>0.86760869565217391</v>
      </c>
      <c r="DJ122" s="1007">
        <f t="shared" si="116"/>
        <v>19955000</v>
      </c>
      <c r="DK122" s="1007">
        <f t="shared" si="131"/>
        <v>0</v>
      </c>
      <c r="DL122" s="1007"/>
      <c r="DM122" s="1007"/>
      <c r="DN122" s="1007">
        <f t="shared" si="132"/>
        <v>0</v>
      </c>
      <c r="DO122" s="1007"/>
      <c r="DP122" s="1007">
        <f t="shared" si="133"/>
        <v>0</v>
      </c>
      <c r="DQ122" s="1007">
        <f t="shared" si="133"/>
        <v>0</v>
      </c>
      <c r="DR122" s="1007"/>
      <c r="DS122" s="1007">
        <f t="shared" si="134"/>
        <v>0</v>
      </c>
      <c r="DT122" s="1007">
        <f t="shared" si="134"/>
        <v>0</v>
      </c>
      <c r="DU122" s="1007"/>
      <c r="DV122" s="1007">
        <f t="shared" si="135"/>
        <v>0</v>
      </c>
      <c r="DW122" s="1007">
        <f t="shared" si="135"/>
        <v>0</v>
      </c>
      <c r="DX122" s="1007">
        <f t="shared" si="135"/>
        <v>15000000</v>
      </c>
      <c r="DY122" s="1007">
        <f t="shared" si="136"/>
        <v>0</v>
      </c>
      <c r="DZ122" s="1007">
        <f t="shared" si="124"/>
        <v>0</v>
      </c>
      <c r="EA122" s="1007">
        <f t="shared" si="124"/>
        <v>0</v>
      </c>
      <c r="EB122" s="1007">
        <f t="shared" si="124"/>
        <v>0</v>
      </c>
      <c r="EC122" s="1007"/>
      <c r="ED122" s="1007">
        <f t="shared" si="137"/>
        <v>4955000</v>
      </c>
    </row>
    <row r="123" spans="1:134" s="203" customFormat="1" ht="29.25" hidden="1" customHeight="1" x14ac:dyDescent="0.25">
      <c r="A123" s="1586"/>
      <c r="B123" s="1018"/>
      <c r="C123" s="1080"/>
      <c r="D123" s="1018" t="s">
        <v>4961</v>
      </c>
      <c r="E123" s="1019"/>
      <c r="F123" s="1094"/>
      <c r="G123" s="1099"/>
      <c r="H123" s="1060"/>
      <c r="I123" s="1060"/>
      <c r="J123" s="1094" t="s">
        <v>4778</v>
      </c>
      <c r="K123" s="1097" t="s">
        <v>4964</v>
      </c>
      <c r="L123" s="1097" t="s">
        <v>4778</v>
      </c>
      <c r="M123" s="1258"/>
      <c r="N123" s="1097">
        <v>0</v>
      </c>
      <c r="O123" s="1097">
        <v>0</v>
      </c>
      <c r="P123" s="1258"/>
      <c r="Q123" s="1097">
        <v>110</v>
      </c>
      <c r="R123" s="1097">
        <v>0</v>
      </c>
      <c r="S123" s="1094"/>
      <c r="T123" s="1094"/>
      <c r="U123" s="1094"/>
      <c r="V123" s="1094"/>
      <c r="W123" s="1094"/>
      <c r="X123" s="1094"/>
      <c r="Y123" s="1066"/>
      <c r="Z123" s="1066"/>
      <c r="AA123" s="1066"/>
      <c r="AB123" s="1066"/>
      <c r="AC123" s="1066"/>
      <c r="AD123" s="1066"/>
      <c r="AE123" s="1066"/>
      <c r="AF123" s="1066"/>
      <c r="AG123" s="1066"/>
      <c r="AH123" s="1066"/>
      <c r="AI123" s="1066"/>
      <c r="AJ123" s="1066"/>
      <c r="AK123" s="1066"/>
      <c r="AL123" s="1066"/>
      <c r="AM123" s="1066"/>
      <c r="AN123" s="1066"/>
      <c r="AO123" s="1066"/>
      <c r="AP123" s="1066"/>
      <c r="AQ123" s="1066"/>
      <c r="AR123" s="1066"/>
      <c r="AS123" s="1066"/>
      <c r="AU123" s="1081"/>
      <c r="AV123" s="1066"/>
      <c r="AW123" s="1066"/>
      <c r="AX123" s="1066"/>
      <c r="AY123" s="1066"/>
      <c r="AZ123" s="1066"/>
      <c r="BA123" s="1066"/>
      <c r="BB123" s="1066"/>
      <c r="BC123" s="1066"/>
      <c r="BD123" s="1066"/>
      <c r="BE123" s="1066"/>
      <c r="BF123" s="1066"/>
      <c r="BG123" s="1066"/>
      <c r="BH123" s="1066"/>
      <c r="BI123" s="1066"/>
      <c r="BJ123" s="1066"/>
      <c r="BK123" s="1066"/>
      <c r="BL123" s="1066"/>
      <c r="BM123" s="1066"/>
      <c r="BN123" s="1066"/>
      <c r="BO123" s="1066"/>
      <c r="BP123" s="1066"/>
      <c r="BQ123" s="1081"/>
      <c r="BR123" s="1066"/>
      <c r="BS123" s="1066"/>
      <c r="BT123" s="1066"/>
      <c r="BU123" s="1066"/>
      <c r="BV123" s="1066"/>
      <c r="BW123" s="1066"/>
      <c r="BX123" s="1066"/>
      <c r="BY123" s="1066"/>
      <c r="BZ123" s="1066"/>
      <c r="CA123" s="1066"/>
      <c r="CB123" s="1066"/>
      <c r="CC123" s="1066"/>
      <c r="CD123" s="1066"/>
      <c r="CE123" s="1066"/>
      <c r="CF123" s="1066"/>
      <c r="CG123" s="1066"/>
      <c r="CH123" s="1066"/>
      <c r="CI123" s="1066"/>
      <c r="CJ123" s="1066"/>
      <c r="CK123" s="1066"/>
      <c r="CL123" s="1066"/>
      <c r="CM123" s="1081"/>
      <c r="CN123" s="1066"/>
      <c r="CO123" s="1066"/>
      <c r="CP123" s="1066"/>
      <c r="CQ123" s="1066"/>
      <c r="CR123" s="1066"/>
      <c r="CS123" s="1066"/>
      <c r="CT123" s="1066"/>
      <c r="CU123" s="1066"/>
      <c r="CV123" s="1066"/>
      <c r="CW123" s="1066"/>
      <c r="CX123" s="1066"/>
      <c r="CY123" s="1066"/>
      <c r="CZ123" s="1066"/>
      <c r="DA123" s="1066"/>
      <c r="DB123" s="1066"/>
      <c r="DC123" s="1066"/>
      <c r="DD123" s="1066"/>
      <c r="DE123" s="1066"/>
      <c r="DF123" s="1066"/>
      <c r="DG123" s="1066"/>
      <c r="DH123" s="1066"/>
      <c r="DI123" s="1081"/>
      <c r="DJ123" s="1066"/>
      <c r="DK123" s="1066"/>
      <c r="DL123" s="1066"/>
      <c r="DM123" s="1066"/>
      <c r="DN123" s="1066"/>
      <c r="DO123" s="1066"/>
      <c r="DP123" s="1066"/>
      <c r="DQ123" s="1066"/>
      <c r="DR123" s="1066"/>
      <c r="DS123" s="1066"/>
      <c r="DT123" s="1066"/>
      <c r="DU123" s="1066"/>
      <c r="DV123" s="1066"/>
      <c r="DW123" s="1066"/>
      <c r="DX123" s="1066"/>
      <c r="DY123" s="1066"/>
      <c r="DZ123" s="1066"/>
      <c r="EA123" s="1066"/>
      <c r="EB123" s="1066"/>
      <c r="EC123" s="1066"/>
      <c r="ED123" s="1066"/>
    </row>
    <row r="124" spans="1:134" ht="60" customHeight="1" x14ac:dyDescent="0.25">
      <c r="A124" s="1586"/>
      <c r="B124" s="1018" t="s">
        <v>4445</v>
      </c>
      <c r="C124" s="1092" t="s">
        <v>4466</v>
      </c>
      <c r="D124" s="1018" t="s">
        <v>4637</v>
      </c>
      <c r="E124" s="1019">
        <v>301</v>
      </c>
      <c r="F124" s="1094" t="s">
        <v>4661</v>
      </c>
      <c r="G124" s="1428">
        <v>900000000</v>
      </c>
      <c r="H124" s="1060">
        <f t="shared" si="100"/>
        <v>1110351728</v>
      </c>
      <c r="I124" s="1060">
        <f>Y124-H124</f>
        <v>28085072</v>
      </c>
      <c r="J124" s="1094" t="s">
        <v>4967</v>
      </c>
      <c r="K124" s="1097" t="s">
        <v>4969</v>
      </c>
      <c r="L124" s="1097" t="s">
        <v>4971</v>
      </c>
      <c r="M124" s="1257">
        <v>33</v>
      </c>
      <c r="N124" s="1097">
        <v>8</v>
      </c>
      <c r="O124" s="1257">
        <v>3</v>
      </c>
      <c r="P124" s="1257">
        <v>99</v>
      </c>
      <c r="Q124" s="1097">
        <v>22</v>
      </c>
      <c r="R124" s="1097">
        <v>22</v>
      </c>
      <c r="S124" s="1094"/>
      <c r="T124" s="1094"/>
      <c r="U124" s="1094"/>
      <c r="V124" s="1094"/>
      <c r="W124" s="1094"/>
      <c r="X124" s="1094"/>
      <c r="Y124" s="1007">
        <f t="shared" si="102"/>
        <v>1138436800</v>
      </c>
      <c r="Z124" s="1007">
        <v>24079469</v>
      </c>
      <c r="AA124" s="1007"/>
      <c r="AB124" s="1007"/>
      <c r="AC124" s="1007"/>
      <c r="AD124" s="1007"/>
      <c r="AE124" s="1007"/>
      <c r="AF124" s="1007"/>
      <c r="AG124" s="1007"/>
      <c r="AH124" s="1007"/>
      <c r="AI124" s="1007"/>
      <c r="AJ124" s="1007"/>
      <c r="AK124" s="1007"/>
      <c r="AL124" s="1007"/>
      <c r="AM124" s="1007">
        <v>52000000</v>
      </c>
      <c r="AN124" s="1007">
        <v>109019196</v>
      </c>
      <c r="AO124" s="1007">
        <f>47588221+35749914</f>
        <v>83338135</v>
      </c>
      <c r="AP124" s="1007">
        <v>870000000</v>
      </c>
      <c r="AQ124" s="1007"/>
      <c r="AR124" s="1007"/>
      <c r="AS124" s="1007"/>
      <c r="AU124" s="1010">
        <f t="shared" si="103"/>
        <v>0.97933827156676589</v>
      </c>
      <c r="AV124" s="1007">
        <f t="shared" si="104"/>
        <v>1114914728</v>
      </c>
      <c r="AW124" s="1007">
        <f>+'[8]SEPTIEMBRE 2015'!$J$1202</f>
        <v>23245422</v>
      </c>
      <c r="AX124" s="1007"/>
      <c r="AY124" s="1007"/>
      <c r="AZ124" s="1007"/>
      <c r="BA124" s="1007"/>
      <c r="BB124" s="1007"/>
      <c r="BC124" s="1007"/>
      <c r="BD124" s="1007"/>
      <c r="BE124" s="1007"/>
      <c r="BF124" s="1007"/>
      <c r="BG124" s="1007"/>
      <c r="BH124" s="1007"/>
      <c r="BI124" s="1007"/>
      <c r="BJ124" s="1007">
        <f>+'[13]JUNIO 2015'!$W$788</f>
        <v>52000000</v>
      </c>
      <c r="BK124" s="1007">
        <f>+'[13]JUNIO 2015'!$X$788</f>
        <v>109019196</v>
      </c>
      <c r="BL124" s="1007">
        <f>+'[8]SEPTIEMBRE 2015'!$Y$1202</f>
        <v>60650110</v>
      </c>
      <c r="BM124" s="1007">
        <f>+'[13]JUNIO 2015'!$Z$788</f>
        <v>870000000</v>
      </c>
      <c r="BN124" s="1007"/>
      <c r="BO124" s="1007"/>
      <c r="BP124" s="1007"/>
      <c r="BQ124" s="1010">
        <f t="shared" si="105"/>
        <v>2.0661728433234106E-2</v>
      </c>
      <c r="BR124" s="1007">
        <f t="shared" si="106"/>
        <v>23522072</v>
      </c>
      <c r="BS124" s="1007">
        <f t="shared" si="125"/>
        <v>834047</v>
      </c>
      <c r="BT124" s="1007">
        <f t="shared" si="126"/>
        <v>0</v>
      </c>
      <c r="BU124" s="1007"/>
      <c r="BV124" s="1007">
        <f t="shared" si="127"/>
        <v>0</v>
      </c>
      <c r="BW124" s="1007"/>
      <c r="BX124" s="1007">
        <f t="shared" si="128"/>
        <v>0</v>
      </c>
      <c r="BY124" s="1007">
        <f t="shared" si="128"/>
        <v>0</v>
      </c>
      <c r="BZ124" s="1007"/>
      <c r="CA124" s="1007"/>
      <c r="CB124" s="1007"/>
      <c r="CC124" s="1007"/>
      <c r="CD124" s="1007">
        <f t="shared" si="129"/>
        <v>0</v>
      </c>
      <c r="CE124" s="1007">
        <f t="shared" si="129"/>
        <v>0</v>
      </c>
      <c r="CF124" s="1007">
        <f t="shared" si="129"/>
        <v>0</v>
      </c>
      <c r="CG124" s="1007">
        <f t="shared" si="129"/>
        <v>0</v>
      </c>
      <c r="CH124" s="1007">
        <f t="shared" si="111"/>
        <v>22688025</v>
      </c>
      <c r="CI124" s="1007">
        <f t="shared" si="111"/>
        <v>0</v>
      </c>
      <c r="CJ124" s="1007"/>
      <c r="CK124" s="1007"/>
      <c r="CL124" s="1007">
        <f t="shared" si="130"/>
        <v>0</v>
      </c>
      <c r="CM124" s="1010">
        <f t="shared" si="113"/>
        <v>0.97533014393069517</v>
      </c>
      <c r="CN124" s="1007">
        <f t="shared" si="114"/>
        <v>1110351728</v>
      </c>
      <c r="CO124" s="1007">
        <f>+'[8]SEPTIEMBRE 2015'!$H$1208+'[8]SEPTIEMBRE 2015'!$H$1222+'[8]SEPTIEMBRE 2015'!$H$1224</f>
        <v>23245422</v>
      </c>
      <c r="CP124" s="1007"/>
      <c r="CQ124" s="1007"/>
      <c r="CR124" s="1007"/>
      <c r="CS124" s="1007"/>
      <c r="CT124" s="1007"/>
      <c r="CU124" s="1007"/>
      <c r="CV124" s="1007"/>
      <c r="CW124" s="1007"/>
      <c r="CX124" s="1007"/>
      <c r="CY124" s="1007"/>
      <c r="CZ124" s="1007"/>
      <c r="DA124" s="1007"/>
      <c r="DB124" s="1007">
        <f>+'[8]SEPTIEMBRE 2015'!$H$1217+'[8]SEPTIEMBRE 2015'!$H$1220</f>
        <v>52000000</v>
      </c>
      <c r="DC124" s="1007">
        <f>+'[8]SEPTIEMBRE 2015'!$H$1210+'[8]SEPTIEMBRE 2015'!$X$1228</f>
        <v>109019196</v>
      </c>
      <c r="DD124" s="1007">
        <f>+'[8]SEPTIEMBRE 2015'!$H$1215+'[8]SEPTIEMBRE 2015'!$H$1219+'[8]SEPTIEMBRE 2015'!$H$1226+'[8]SEPTIEMBRE 2015'!$H$1228-'[8]SEPTIEMBRE 2015'!$X$1228</f>
        <v>56087110</v>
      </c>
      <c r="DE124" s="1007">
        <f>+'[9]ABRIL 2015'!$H$632</f>
        <v>870000000</v>
      </c>
      <c r="DF124" s="1007"/>
      <c r="DG124" s="1007"/>
      <c r="DH124" s="1007"/>
      <c r="DI124" s="1010">
        <f t="shared" si="115"/>
        <v>2.466985606930483E-2</v>
      </c>
      <c r="DJ124" s="1007">
        <f t="shared" si="116"/>
        <v>28085072</v>
      </c>
      <c r="DK124" s="1007">
        <f t="shared" si="131"/>
        <v>834047</v>
      </c>
      <c r="DL124" s="1007"/>
      <c r="DM124" s="1007"/>
      <c r="DN124" s="1007">
        <f t="shared" si="132"/>
        <v>0</v>
      </c>
      <c r="DO124" s="1007"/>
      <c r="DP124" s="1007">
        <f t="shared" si="133"/>
        <v>0</v>
      </c>
      <c r="DQ124" s="1007">
        <f t="shared" si="133"/>
        <v>0</v>
      </c>
      <c r="DR124" s="1007"/>
      <c r="DS124" s="1007">
        <f t="shared" si="134"/>
        <v>0</v>
      </c>
      <c r="DT124" s="1007">
        <f t="shared" si="134"/>
        <v>0</v>
      </c>
      <c r="DU124" s="1007"/>
      <c r="DV124" s="1007">
        <f t="shared" si="135"/>
        <v>0</v>
      </c>
      <c r="DW124" s="1007">
        <f t="shared" si="135"/>
        <v>0</v>
      </c>
      <c r="DX124" s="1007">
        <f t="shared" si="135"/>
        <v>0</v>
      </c>
      <c r="DY124" s="1007">
        <f t="shared" si="136"/>
        <v>0</v>
      </c>
      <c r="DZ124" s="1007">
        <f t="shared" si="124"/>
        <v>27251025</v>
      </c>
      <c r="EA124" s="1007">
        <f t="shared" si="124"/>
        <v>0</v>
      </c>
      <c r="EB124" s="1007">
        <f t="shared" si="124"/>
        <v>0</v>
      </c>
      <c r="EC124" s="1007"/>
      <c r="ED124" s="1007">
        <f t="shared" si="137"/>
        <v>0</v>
      </c>
    </row>
    <row r="125" spans="1:134" s="203" customFormat="1" ht="31.5" hidden="1" customHeight="1" x14ac:dyDescent="0.25">
      <c r="A125" s="1586"/>
      <c r="B125" s="1018"/>
      <c r="C125" s="1080"/>
      <c r="D125" s="1018" t="s">
        <v>4966</v>
      </c>
      <c r="E125" s="1019"/>
      <c r="F125" s="1094"/>
      <c r="G125" s="1429"/>
      <c r="H125" s="1060"/>
      <c r="I125" s="1060"/>
      <c r="J125" s="1094" t="s">
        <v>4968</v>
      </c>
      <c r="K125" s="1097" t="s">
        <v>4970</v>
      </c>
      <c r="L125" s="1097" t="s">
        <v>4972</v>
      </c>
      <c r="M125" s="1562"/>
      <c r="N125" s="1097">
        <v>9</v>
      </c>
      <c r="O125" s="1562"/>
      <c r="P125" s="1562"/>
      <c r="Q125" s="1097">
        <v>26</v>
      </c>
      <c r="R125" s="1097">
        <v>0</v>
      </c>
      <c r="S125" s="1094"/>
      <c r="T125" s="1094"/>
      <c r="U125" s="1094"/>
      <c r="V125" s="1094"/>
      <c r="W125" s="1094"/>
      <c r="X125" s="1094"/>
      <c r="Y125" s="1066"/>
      <c r="Z125" s="1066"/>
      <c r="AA125" s="1066"/>
      <c r="AB125" s="1066"/>
      <c r="AC125" s="1066"/>
      <c r="AD125" s="1066"/>
      <c r="AE125" s="1066"/>
      <c r="AF125" s="1066"/>
      <c r="AG125" s="1066"/>
      <c r="AH125" s="1066"/>
      <c r="AI125" s="1066"/>
      <c r="AJ125" s="1066"/>
      <c r="AK125" s="1066"/>
      <c r="AL125" s="1066"/>
      <c r="AM125" s="1066"/>
      <c r="AN125" s="1066"/>
      <c r="AO125" s="1066"/>
      <c r="AP125" s="1066"/>
      <c r="AQ125" s="1066"/>
      <c r="AR125" s="1066"/>
      <c r="AS125" s="1066"/>
      <c r="AU125" s="1081"/>
      <c r="AV125" s="1066"/>
      <c r="AW125" s="1066"/>
      <c r="AX125" s="1066"/>
      <c r="AY125" s="1066"/>
      <c r="AZ125" s="1066"/>
      <c r="BA125" s="1066"/>
      <c r="BB125" s="1066"/>
      <c r="BC125" s="1066"/>
      <c r="BD125" s="1066"/>
      <c r="BE125" s="1066"/>
      <c r="BF125" s="1066"/>
      <c r="BG125" s="1066"/>
      <c r="BH125" s="1066"/>
      <c r="BI125" s="1066"/>
      <c r="BJ125" s="1066"/>
      <c r="BK125" s="1066"/>
      <c r="BL125" s="1066"/>
      <c r="BM125" s="1066"/>
      <c r="BN125" s="1066"/>
      <c r="BO125" s="1066"/>
      <c r="BP125" s="1066"/>
      <c r="BQ125" s="1081"/>
      <c r="BR125" s="1066"/>
      <c r="BS125" s="1066"/>
      <c r="BT125" s="1066"/>
      <c r="BU125" s="1066"/>
      <c r="BV125" s="1066"/>
      <c r="BW125" s="1066"/>
      <c r="BX125" s="1066"/>
      <c r="BY125" s="1066"/>
      <c r="BZ125" s="1066"/>
      <c r="CA125" s="1066"/>
      <c r="CB125" s="1066"/>
      <c r="CC125" s="1066"/>
      <c r="CD125" s="1066"/>
      <c r="CE125" s="1066"/>
      <c r="CF125" s="1066"/>
      <c r="CG125" s="1066"/>
      <c r="CH125" s="1066"/>
      <c r="CI125" s="1066"/>
      <c r="CJ125" s="1066"/>
      <c r="CK125" s="1066"/>
      <c r="CL125" s="1066"/>
      <c r="CM125" s="1081"/>
      <c r="CN125" s="1066"/>
      <c r="CO125" s="1066"/>
      <c r="CP125" s="1066"/>
      <c r="CQ125" s="1066"/>
      <c r="CR125" s="1066"/>
      <c r="CS125" s="1066"/>
      <c r="CT125" s="1066"/>
      <c r="CU125" s="1066"/>
      <c r="CV125" s="1066"/>
      <c r="CW125" s="1066"/>
      <c r="CX125" s="1066"/>
      <c r="CY125" s="1066"/>
      <c r="CZ125" s="1066"/>
      <c r="DA125" s="1066"/>
      <c r="DB125" s="1066"/>
      <c r="DC125" s="1066"/>
      <c r="DD125" s="1066"/>
      <c r="DE125" s="1066"/>
      <c r="DF125" s="1066"/>
      <c r="DG125" s="1066"/>
      <c r="DH125" s="1066"/>
      <c r="DI125" s="1081"/>
      <c r="DJ125" s="1066"/>
      <c r="DK125" s="1066"/>
      <c r="DL125" s="1066"/>
      <c r="DM125" s="1066"/>
      <c r="DN125" s="1066"/>
      <c r="DO125" s="1066"/>
      <c r="DP125" s="1066"/>
      <c r="DQ125" s="1066"/>
      <c r="DR125" s="1066"/>
      <c r="DS125" s="1066"/>
      <c r="DT125" s="1066"/>
      <c r="DU125" s="1066"/>
      <c r="DV125" s="1066"/>
      <c r="DW125" s="1066"/>
      <c r="DX125" s="1066"/>
      <c r="DY125" s="1066"/>
      <c r="DZ125" s="1066"/>
      <c r="EA125" s="1066"/>
      <c r="EB125" s="1066"/>
      <c r="EC125" s="1066"/>
      <c r="ED125" s="1066"/>
    </row>
    <row r="126" spans="1:134" ht="38.25" customHeight="1" x14ac:dyDescent="0.25">
      <c r="A126" s="1586"/>
      <c r="B126" s="1018"/>
      <c r="C126" s="1092" t="s">
        <v>4467</v>
      </c>
      <c r="D126" s="1018" t="s">
        <v>4638</v>
      </c>
      <c r="E126" s="1019">
        <v>301</v>
      </c>
      <c r="F126" s="1094" t="s">
        <v>4661</v>
      </c>
      <c r="G126" s="1429"/>
      <c r="H126" s="1060">
        <f t="shared" si="100"/>
        <v>10435017</v>
      </c>
      <c r="I126" s="1060">
        <f>Y126-H126</f>
        <v>4564983</v>
      </c>
      <c r="J126" s="1094" t="s">
        <v>4973</v>
      </c>
      <c r="K126" s="1097" t="s">
        <v>4974</v>
      </c>
      <c r="L126" s="1097" t="s">
        <v>4975</v>
      </c>
      <c r="M126" s="1097">
        <v>3</v>
      </c>
      <c r="N126" s="1097">
        <v>90</v>
      </c>
      <c r="O126" s="1097">
        <v>2</v>
      </c>
      <c r="P126" s="1097">
        <v>5</v>
      </c>
      <c r="Q126" s="1097">
        <v>163</v>
      </c>
      <c r="R126" s="1097">
        <v>8</v>
      </c>
      <c r="S126" s="1094"/>
      <c r="T126" s="1094"/>
      <c r="U126" s="1094"/>
      <c r="V126" s="1094"/>
      <c r="W126" s="1094"/>
      <c r="X126" s="1094"/>
      <c r="Y126" s="1007">
        <f t="shared" si="102"/>
        <v>15000000</v>
      </c>
      <c r="Z126" s="1007"/>
      <c r="AA126" s="1007"/>
      <c r="AB126" s="1007"/>
      <c r="AC126" s="1007"/>
      <c r="AD126" s="1007"/>
      <c r="AE126" s="1007"/>
      <c r="AF126" s="1007"/>
      <c r="AG126" s="1007"/>
      <c r="AH126" s="1007"/>
      <c r="AI126" s="1007"/>
      <c r="AJ126" s="1007"/>
      <c r="AK126" s="1007"/>
      <c r="AL126" s="1007"/>
      <c r="AM126" s="1007"/>
      <c r="AN126" s="1007"/>
      <c r="AO126" s="1007"/>
      <c r="AP126" s="1007">
        <v>15000000</v>
      </c>
      <c r="AQ126" s="1007"/>
      <c r="AR126" s="1007"/>
      <c r="AS126" s="1007"/>
      <c r="AU126" s="1010">
        <f t="shared" si="103"/>
        <v>1</v>
      </c>
      <c r="AV126" s="1007">
        <f t="shared" si="104"/>
        <v>15000000</v>
      </c>
      <c r="AW126" s="1007"/>
      <c r="AX126" s="1007"/>
      <c r="AY126" s="1007"/>
      <c r="AZ126" s="1007"/>
      <c r="BA126" s="1007"/>
      <c r="BB126" s="1007"/>
      <c r="BC126" s="1007"/>
      <c r="BD126" s="1007"/>
      <c r="BE126" s="1007"/>
      <c r="BF126" s="1007"/>
      <c r="BG126" s="1007"/>
      <c r="BH126" s="1007"/>
      <c r="BI126" s="1007"/>
      <c r="BJ126" s="1007"/>
      <c r="BK126" s="1007"/>
      <c r="BL126" s="1007"/>
      <c r="BM126" s="1007">
        <f>+'[16]ENERO 2015'!$W$362</f>
        <v>15000000</v>
      </c>
      <c r="BN126" s="1007"/>
      <c r="BO126" s="1007"/>
      <c r="BP126" s="1007"/>
      <c r="BQ126" s="1010">
        <f t="shared" si="105"/>
        <v>0</v>
      </c>
      <c r="BR126" s="1007">
        <f t="shared" si="106"/>
        <v>0</v>
      </c>
      <c r="BS126" s="1007">
        <f t="shared" si="125"/>
        <v>0</v>
      </c>
      <c r="BT126" s="1007">
        <f t="shared" si="126"/>
        <v>0</v>
      </c>
      <c r="BU126" s="1007"/>
      <c r="BV126" s="1007">
        <f t="shared" si="127"/>
        <v>0</v>
      </c>
      <c r="BW126" s="1007"/>
      <c r="BX126" s="1007">
        <f t="shared" si="128"/>
        <v>0</v>
      </c>
      <c r="BY126" s="1007">
        <f t="shared" si="128"/>
        <v>0</v>
      </c>
      <c r="BZ126" s="1007"/>
      <c r="CA126" s="1007"/>
      <c r="CB126" s="1007"/>
      <c r="CC126" s="1007"/>
      <c r="CD126" s="1007">
        <f t="shared" si="129"/>
        <v>0</v>
      </c>
      <c r="CE126" s="1007">
        <f t="shared" si="129"/>
        <v>0</v>
      </c>
      <c r="CF126" s="1007">
        <f t="shared" si="129"/>
        <v>0</v>
      </c>
      <c r="CG126" s="1007">
        <f t="shared" si="129"/>
        <v>0</v>
      </c>
      <c r="CH126" s="1007">
        <f t="shared" si="111"/>
        <v>0</v>
      </c>
      <c r="CI126" s="1007">
        <f t="shared" si="111"/>
        <v>0</v>
      </c>
      <c r="CJ126" s="1007"/>
      <c r="CK126" s="1007"/>
      <c r="CL126" s="1007">
        <f t="shared" si="130"/>
        <v>0</v>
      </c>
      <c r="CM126" s="1010">
        <f t="shared" si="113"/>
        <v>0.69566779999999995</v>
      </c>
      <c r="CN126" s="1007">
        <f t="shared" si="114"/>
        <v>10435017</v>
      </c>
      <c r="CO126" s="1007"/>
      <c r="CP126" s="1007"/>
      <c r="CQ126" s="1007"/>
      <c r="CR126" s="1007"/>
      <c r="CS126" s="1007"/>
      <c r="CT126" s="1007"/>
      <c r="CU126" s="1007"/>
      <c r="CV126" s="1007"/>
      <c r="CW126" s="1007"/>
      <c r="CX126" s="1007"/>
      <c r="CY126" s="1007"/>
      <c r="CZ126" s="1007"/>
      <c r="DA126" s="1007"/>
      <c r="DB126" s="1007"/>
      <c r="DC126" s="1007"/>
      <c r="DD126" s="1007"/>
      <c r="DE126" s="1007">
        <f>+'[7]AGOSTO 2015'!$H$1074</f>
        <v>10435017</v>
      </c>
      <c r="DF126" s="1007"/>
      <c r="DG126" s="1007"/>
      <c r="DH126" s="1007"/>
      <c r="DI126" s="1010">
        <f t="shared" si="115"/>
        <v>0.30433220000000005</v>
      </c>
      <c r="DJ126" s="1007">
        <f t="shared" si="116"/>
        <v>4564983</v>
      </c>
      <c r="DK126" s="1007">
        <f t="shared" si="131"/>
        <v>0</v>
      </c>
      <c r="DL126" s="1007"/>
      <c r="DM126" s="1007"/>
      <c r="DN126" s="1007">
        <f t="shared" si="132"/>
        <v>0</v>
      </c>
      <c r="DO126" s="1007"/>
      <c r="DP126" s="1007">
        <f t="shared" si="133"/>
        <v>0</v>
      </c>
      <c r="DQ126" s="1007">
        <f t="shared" si="133"/>
        <v>0</v>
      </c>
      <c r="DR126" s="1007"/>
      <c r="DS126" s="1007">
        <f t="shared" si="134"/>
        <v>0</v>
      </c>
      <c r="DT126" s="1007">
        <f t="shared" si="134"/>
        <v>0</v>
      </c>
      <c r="DU126" s="1007"/>
      <c r="DV126" s="1007">
        <f t="shared" si="135"/>
        <v>0</v>
      </c>
      <c r="DW126" s="1007">
        <f t="shared" si="135"/>
        <v>0</v>
      </c>
      <c r="DX126" s="1007">
        <f t="shared" si="135"/>
        <v>0</v>
      </c>
      <c r="DY126" s="1007">
        <f t="shared" si="136"/>
        <v>0</v>
      </c>
      <c r="DZ126" s="1007">
        <f t="shared" si="124"/>
        <v>0</v>
      </c>
      <c r="EA126" s="1007">
        <f t="shared" si="124"/>
        <v>4564983</v>
      </c>
      <c r="EB126" s="1007">
        <f t="shared" si="124"/>
        <v>0</v>
      </c>
      <c r="EC126" s="1007"/>
      <c r="ED126" s="1007">
        <f t="shared" si="137"/>
        <v>0</v>
      </c>
    </row>
    <row r="127" spans="1:134" ht="36" customHeight="1" x14ac:dyDescent="0.25">
      <c r="A127" s="1586"/>
      <c r="B127" s="989"/>
      <c r="C127" s="1092" t="s">
        <v>4468</v>
      </c>
      <c r="D127" s="1018" t="s">
        <v>4639</v>
      </c>
      <c r="E127" s="996">
        <v>301</v>
      </c>
      <c r="F127" s="1094" t="s">
        <v>4661</v>
      </c>
      <c r="G127" s="1430"/>
      <c r="H127" s="1060">
        <f t="shared" si="100"/>
        <v>118560400</v>
      </c>
      <c r="I127" s="1060">
        <f>Y127-H127</f>
        <v>34239600</v>
      </c>
      <c r="J127" s="1094" t="s">
        <v>4922</v>
      </c>
      <c r="K127" s="1097" t="s">
        <v>4923</v>
      </c>
      <c r="L127" s="1097" t="s">
        <v>4924</v>
      </c>
      <c r="M127" s="1097">
        <v>2</v>
      </c>
      <c r="N127" s="1097">
        <v>0</v>
      </c>
      <c r="O127" s="1097">
        <v>0</v>
      </c>
      <c r="P127" s="1097">
        <v>39</v>
      </c>
      <c r="Q127" s="1097">
        <v>15</v>
      </c>
      <c r="R127" s="1097">
        <v>6</v>
      </c>
      <c r="S127" s="1094"/>
      <c r="T127" s="1094"/>
      <c r="U127" s="1094"/>
      <c r="V127" s="1094"/>
      <c r="W127" s="1094"/>
      <c r="X127" s="1094"/>
      <c r="Y127" s="1007">
        <f t="shared" si="102"/>
        <v>152800000</v>
      </c>
      <c r="Z127" s="1007"/>
      <c r="AA127" s="1007"/>
      <c r="AB127" s="1007"/>
      <c r="AC127" s="1007"/>
      <c r="AD127" s="1007"/>
      <c r="AE127" s="1007"/>
      <c r="AF127" s="1007"/>
      <c r="AG127" s="1007"/>
      <c r="AH127" s="1007"/>
      <c r="AI127" s="1007"/>
      <c r="AJ127" s="1007"/>
      <c r="AK127" s="1007"/>
      <c r="AL127" s="1007"/>
      <c r="AM127" s="1007"/>
      <c r="AN127" s="1007">
        <v>137800000</v>
      </c>
      <c r="AO127" s="1007"/>
      <c r="AP127" s="1007">
        <v>15000000</v>
      </c>
      <c r="AQ127" s="1007"/>
      <c r="AR127" s="1007"/>
      <c r="AS127" s="1007"/>
      <c r="AU127" s="1010">
        <f t="shared" si="103"/>
        <v>1</v>
      </c>
      <c r="AV127" s="1007">
        <f t="shared" si="104"/>
        <v>152800000</v>
      </c>
      <c r="AW127" s="1007"/>
      <c r="AX127" s="1007"/>
      <c r="AY127" s="1007"/>
      <c r="AZ127" s="1007"/>
      <c r="BA127" s="1007"/>
      <c r="BB127" s="1007"/>
      <c r="BC127" s="1007"/>
      <c r="BD127" s="1007"/>
      <c r="BE127" s="1007"/>
      <c r="BF127" s="1007"/>
      <c r="BG127" s="1007"/>
      <c r="BH127" s="1007"/>
      <c r="BI127" s="1007"/>
      <c r="BJ127" s="1007"/>
      <c r="BK127" s="1007">
        <f>+'[12]FEBRERO 2015'!$W$469</f>
        <v>137800000</v>
      </c>
      <c r="BL127" s="1007"/>
      <c r="BM127" s="1007">
        <f>+'[16]ENERO 2015'!$W$367</f>
        <v>15000000</v>
      </c>
      <c r="BN127" s="1007"/>
      <c r="BO127" s="1007"/>
      <c r="BP127" s="1007"/>
      <c r="BQ127" s="1010">
        <f t="shared" si="105"/>
        <v>0</v>
      </c>
      <c r="BR127" s="1007">
        <f t="shared" si="106"/>
        <v>0</v>
      </c>
      <c r="BS127" s="1007">
        <f t="shared" si="125"/>
        <v>0</v>
      </c>
      <c r="BT127" s="1007">
        <f t="shared" si="126"/>
        <v>0</v>
      </c>
      <c r="BU127" s="1007"/>
      <c r="BV127" s="1007">
        <f t="shared" si="127"/>
        <v>0</v>
      </c>
      <c r="BW127" s="1007"/>
      <c r="BX127" s="1007">
        <f t="shared" si="128"/>
        <v>0</v>
      </c>
      <c r="BY127" s="1007">
        <f t="shared" si="128"/>
        <v>0</v>
      </c>
      <c r="BZ127" s="1007"/>
      <c r="CA127" s="1007"/>
      <c r="CB127" s="1007"/>
      <c r="CC127" s="1007"/>
      <c r="CD127" s="1007">
        <f t="shared" si="129"/>
        <v>0</v>
      </c>
      <c r="CE127" s="1007">
        <f t="shared" si="129"/>
        <v>0</v>
      </c>
      <c r="CF127" s="1007">
        <f t="shared" si="129"/>
        <v>0</v>
      </c>
      <c r="CG127" s="1007">
        <f t="shared" si="129"/>
        <v>0</v>
      </c>
      <c r="CH127" s="1007">
        <f t="shared" si="111"/>
        <v>0</v>
      </c>
      <c r="CI127" s="1007">
        <f t="shared" si="111"/>
        <v>0</v>
      </c>
      <c r="CJ127" s="1007"/>
      <c r="CK127" s="1007"/>
      <c r="CL127" s="1007">
        <f t="shared" si="130"/>
        <v>0</v>
      </c>
      <c r="CM127" s="1010">
        <f t="shared" si="113"/>
        <v>0.77591884816753931</v>
      </c>
      <c r="CN127" s="1007">
        <f t="shared" si="114"/>
        <v>118560400</v>
      </c>
      <c r="CO127" s="1007"/>
      <c r="CP127" s="1007"/>
      <c r="CQ127" s="1007"/>
      <c r="CR127" s="1007"/>
      <c r="CS127" s="1007"/>
      <c r="CT127" s="1007"/>
      <c r="CU127" s="1007"/>
      <c r="CV127" s="1007"/>
      <c r="CW127" s="1007"/>
      <c r="CX127" s="1007"/>
      <c r="CY127" s="1007"/>
      <c r="CZ127" s="1007"/>
      <c r="DA127" s="1007"/>
      <c r="DB127" s="1007"/>
      <c r="DC127" s="1007">
        <f>+'[7]AGOSTO 2015'!$H$1093</f>
        <v>115983000</v>
      </c>
      <c r="DD127" s="1007"/>
      <c r="DE127" s="1007">
        <f>+'[14]MAYO 2015'!$H$689</f>
        <v>2577400</v>
      </c>
      <c r="DF127" s="1007"/>
      <c r="DG127" s="1007"/>
      <c r="DH127" s="1007"/>
      <c r="DI127" s="1010">
        <f t="shared" si="115"/>
        <v>0.22408115183246069</v>
      </c>
      <c r="DJ127" s="1007">
        <f t="shared" si="116"/>
        <v>34239600</v>
      </c>
      <c r="DK127" s="1007">
        <f t="shared" si="131"/>
        <v>0</v>
      </c>
      <c r="DL127" s="1007"/>
      <c r="DM127" s="1007"/>
      <c r="DN127" s="1007">
        <f t="shared" si="132"/>
        <v>0</v>
      </c>
      <c r="DO127" s="1007"/>
      <c r="DP127" s="1007">
        <f t="shared" si="133"/>
        <v>0</v>
      </c>
      <c r="DQ127" s="1007">
        <f t="shared" si="133"/>
        <v>0</v>
      </c>
      <c r="DR127" s="1007"/>
      <c r="DS127" s="1007">
        <f t="shared" si="134"/>
        <v>0</v>
      </c>
      <c r="DT127" s="1007">
        <f t="shared" si="134"/>
        <v>0</v>
      </c>
      <c r="DU127" s="1007"/>
      <c r="DV127" s="1007">
        <f t="shared" si="135"/>
        <v>0</v>
      </c>
      <c r="DW127" s="1007">
        <f t="shared" si="135"/>
        <v>0</v>
      </c>
      <c r="DX127" s="1007">
        <f t="shared" si="135"/>
        <v>0</v>
      </c>
      <c r="DY127" s="1007">
        <f t="shared" si="136"/>
        <v>21817000</v>
      </c>
      <c r="DZ127" s="1007">
        <f t="shared" si="124"/>
        <v>0</v>
      </c>
      <c r="EA127" s="1007">
        <f t="shared" si="124"/>
        <v>12422600</v>
      </c>
      <c r="EB127" s="1007">
        <f t="shared" si="124"/>
        <v>0</v>
      </c>
      <c r="EC127" s="1007"/>
      <c r="ED127" s="1007">
        <f t="shared" si="137"/>
        <v>0</v>
      </c>
    </row>
    <row r="128" spans="1:134" ht="47.25" customHeight="1" x14ac:dyDescent="0.25">
      <c r="A128" s="1586"/>
      <c r="B128" s="989" t="s">
        <v>4446</v>
      </c>
      <c r="C128" s="1092" t="s">
        <v>4690</v>
      </c>
      <c r="D128" s="1018" t="s">
        <v>4640</v>
      </c>
      <c r="E128" s="996">
        <v>301</v>
      </c>
      <c r="F128" s="1094" t="s">
        <v>4661</v>
      </c>
      <c r="G128" s="1094">
        <v>50000000</v>
      </c>
      <c r="H128" s="1060">
        <f t="shared" si="100"/>
        <v>42473434</v>
      </c>
      <c r="I128" s="1060">
        <f>Y128-H128</f>
        <v>7526566</v>
      </c>
      <c r="J128" s="1094" t="s">
        <v>4925</v>
      </c>
      <c r="K128" s="1097" t="s">
        <v>4926</v>
      </c>
      <c r="L128" s="1097" t="s">
        <v>4927</v>
      </c>
      <c r="M128" s="1097">
        <v>60</v>
      </c>
      <c r="N128" s="1097">
        <v>0</v>
      </c>
      <c r="O128" s="1097">
        <v>0</v>
      </c>
      <c r="P128" s="1097">
        <v>64</v>
      </c>
      <c r="Q128" s="1097">
        <v>36</v>
      </c>
      <c r="R128" s="1097">
        <v>23</v>
      </c>
      <c r="S128" s="1094"/>
      <c r="T128" s="1094"/>
      <c r="U128" s="1094"/>
      <c r="V128" s="1094"/>
      <c r="W128" s="1094"/>
      <c r="X128" s="1094"/>
      <c r="Y128" s="1007">
        <f t="shared" si="102"/>
        <v>50000000</v>
      </c>
      <c r="Z128" s="1007"/>
      <c r="AA128" s="1007"/>
      <c r="AB128" s="1007"/>
      <c r="AC128" s="1007"/>
      <c r="AD128" s="1007"/>
      <c r="AE128" s="1007"/>
      <c r="AF128" s="1007"/>
      <c r="AG128" s="1007"/>
      <c r="AH128" s="1007"/>
      <c r="AI128" s="1007"/>
      <c r="AJ128" s="1007"/>
      <c r="AK128" s="1007"/>
      <c r="AL128" s="1007"/>
      <c r="AM128" s="1007">
        <v>50000000</v>
      </c>
      <c r="AN128" s="1007"/>
      <c r="AO128" s="1007"/>
      <c r="AP128" s="1007"/>
      <c r="AQ128" s="1007"/>
      <c r="AR128" s="1007"/>
      <c r="AS128" s="1007"/>
      <c r="AU128" s="1010">
        <f t="shared" si="103"/>
        <v>1</v>
      </c>
      <c r="AV128" s="1007">
        <f t="shared" si="104"/>
        <v>50000000</v>
      </c>
      <c r="AW128" s="1007"/>
      <c r="AX128" s="1007"/>
      <c r="AY128" s="1007"/>
      <c r="AZ128" s="1007"/>
      <c r="BA128" s="1007"/>
      <c r="BB128" s="1007"/>
      <c r="BC128" s="1007"/>
      <c r="BD128" s="1007"/>
      <c r="BE128" s="1007"/>
      <c r="BF128" s="1007"/>
      <c r="BG128" s="1007"/>
      <c r="BH128" s="1007"/>
      <c r="BI128" s="1007"/>
      <c r="BJ128" s="1007">
        <f>+'[16]ENERO 2015'!$T$374</f>
        <v>50000000</v>
      </c>
      <c r="BK128" s="1007"/>
      <c r="BL128" s="1007"/>
      <c r="BM128" s="1007"/>
      <c r="BN128" s="1007"/>
      <c r="BO128" s="1007"/>
      <c r="BP128" s="1007"/>
      <c r="BQ128" s="1010">
        <f t="shared" si="105"/>
        <v>0</v>
      </c>
      <c r="BR128" s="1007">
        <f t="shared" si="106"/>
        <v>0</v>
      </c>
      <c r="BS128" s="1007">
        <f t="shared" si="125"/>
        <v>0</v>
      </c>
      <c r="BT128" s="1007">
        <f t="shared" si="126"/>
        <v>0</v>
      </c>
      <c r="BU128" s="1007"/>
      <c r="BV128" s="1007">
        <f t="shared" si="127"/>
        <v>0</v>
      </c>
      <c r="BW128" s="1007"/>
      <c r="BX128" s="1007">
        <f t="shared" si="128"/>
        <v>0</v>
      </c>
      <c r="BY128" s="1007">
        <f t="shared" si="128"/>
        <v>0</v>
      </c>
      <c r="BZ128" s="1007"/>
      <c r="CA128" s="1007"/>
      <c r="CB128" s="1007"/>
      <c r="CC128" s="1007"/>
      <c r="CD128" s="1007">
        <f t="shared" si="129"/>
        <v>0</v>
      </c>
      <c r="CE128" s="1007">
        <f t="shared" si="129"/>
        <v>0</v>
      </c>
      <c r="CF128" s="1007">
        <f t="shared" si="129"/>
        <v>0</v>
      </c>
      <c r="CG128" s="1007">
        <f t="shared" si="129"/>
        <v>0</v>
      </c>
      <c r="CH128" s="1007">
        <f t="shared" si="111"/>
        <v>0</v>
      </c>
      <c r="CI128" s="1007">
        <f t="shared" si="111"/>
        <v>0</v>
      </c>
      <c r="CJ128" s="1007"/>
      <c r="CK128" s="1007"/>
      <c r="CL128" s="1007">
        <f t="shared" si="130"/>
        <v>0</v>
      </c>
      <c r="CM128" s="1010">
        <f t="shared" si="113"/>
        <v>0.84946867999999998</v>
      </c>
      <c r="CN128" s="1007">
        <f t="shared" si="114"/>
        <v>42473434</v>
      </c>
      <c r="CO128" s="1007"/>
      <c r="CP128" s="1007"/>
      <c r="CQ128" s="1007"/>
      <c r="CR128" s="1007"/>
      <c r="CS128" s="1007"/>
      <c r="CT128" s="1007"/>
      <c r="CU128" s="1007"/>
      <c r="CV128" s="1007"/>
      <c r="CW128" s="1007"/>
      <c r="CX128" s="1007"/>
      <c r="CY128" s="1007"/>
      <c r="CZ128" s="1007"/>
      <c r="DA128" s="1007"/>
      <c r="DB128" s="1007">
        <f>+'[7]AGOSTO 2015'!$H$1135</f>
        <v>42473434</v>
      </c>
      <c r="DC128" s="1007"/>
      <c r="DD128" s="1007"/>
      <c r="DE128" s="1007"/>
      <c r="DF128" s="1007"/>
      <c r="DG128" s="1007"/>
      <c r="DH128" s="1007"/>
      <c r="DI128" s="1010">
        <f t="shared" si="115"/>
        <v>0.15053132000000002</v>
      </c>
      <c r="DJ128" s="1007">
        <f t="shared" si="116"/>
        <v>7526566</v>
      </c>
      <c r="DK128" s="1007">
        <f t="shared" si="131"/>
        <v>0</v>
      </c>
      <c r="DL128" s="1007"/>
      <c r="DM128" s="1007"/>
      <c r="DN128" s="1007">
        <f t="shared" si="132"/>
        <v>0</v>
      </c>
      <c r="DO128" s="1007"/>
      <c r="DP128" s="1007">
        <f t="shared" si="133"/>
        <v>0</v>
      </c>
      <c r="DQ128" s="1007">
        <f t="shared" si="133"/>
        <v>0</v>
      </c>
      <c r="DR128" s="1007"/>
      <c r="DS128" s="1007">
        <f t="shared" si="134"/>
        <v>0</v>
      </c>
      <c r="DT128" s="1007">
        <f t="shared" si="134"/>
        <v>0</v>
      </c>
      <c r="DU128" s="1007"/>
      <c r="DV128" s="1007">
        <f t="shared" si="135"/>
        <v>0</v>
      </c>
      <c r="DW128" s="1007">
        <f t="shared" si="135"/>
        <v>0</v>
      </c>
      <c r="DX128" s="1007">
        <f t="shared" si="135"/>
        <v>7526566</v>
      </c>
      <c r="DY128" s="1007">
        <f t="shared" si="136"/>
        <v>0</v>
      </c>
      <c r="DZ128" s="1007">
        <f t="shared" si="124"/>
        <v>0</v>
      </c>
      <c r="EA128" s="1007">
        <f t="shared" si="124"/>
        <v>0</v>
      </c>
      <c r="EB128" s="1007">
        <f t="shared" si="124"/>
        <v>0</v>
      </c>
      <c r="EC128" s="1007"/>
      <c r="ED128" s="1007">
        <f t="shared" si="137"/>
        <v>0</v>
      </c>
    </row>
    <row r="129" spans="1:136" s="948" customFormat="1" ht="24" customHeight="1" thickBot="1" x14ac:dyDescent="0.3">
      <c r="A129" s="1056"/>
      <c r="B129" s="1587" t="s">
        <v>4447</v>
      </c>
      <c r="C129" s="1588"/>
      <c r="D129" s="1588"/>
      <c r="E129" s="1588"/>
      <c r="F129" s="1589"/>
      <c r="G129" s="1008">
        <f>SUM(G106:G128)</f>
        <v>1952000000</v>
      </c>
      <c r="H129" s="1008">
        <f>SUM(H106:H128)</f>
        <v>1985775008</v>
      </c>
      <c r="I129" s="1008">
        <f>SUM(I106:I128)</f>
        <v>569461792</v>
      </c>
      <c r="J129" s="1104"/>
      <c r="K129" s="1104"/>
      <c r="L129" s="1104"/>
      <c r="M129" s="1104"/>
      <c r="N129" s="1104"/>
      <c r="O129" s="1104"/>
      <c r="P129" s="1104"/>
      <c r="Q129" s="1104"/>
      <c r="R129" s="1104"/>
      <c r="S129" s="1104"/>
      <c r="T129" s="1104"/>
      <c r="U129" s="1104"/>
      <c r="V129" s="1104"/>
      <c r="W129" s="1104"/>
      <c r="X129" s="1104"/>
      <c r="Y129" s="1008">
        <f t="shared" ref="Y129:AS129" si="138">SUM(Y106:Y128)</f>
        <v>2555236800</v>
      </c>
      <c r="Z129" s="1008">
        <f t="shared" si="138"/>
        <v>104079469</v>
      </c>
      <c r="AA129" s="1008">
        <f t="shared" si="138"/>
        <v>0</v>
      </c>
      <c r="AB129" s="1008">
        <f t="shared" si="138"/>
        <v>0</v>
      </c>
      <c r="AC129" s="1008">
        <f t="shared" si="138"/>
        <v>0</v>
      </c>
      <c r="AD129" s="1008">
        <f t="shared" si="138"/>
        <v>0</v>
      </c>
      <c r="AE129" s="1008">
        <f t="shared" si="138"/>
        <v>0</v>
      </c>
      <c r="AF129" s="1008">
        <f t="shared" si="138"/>
        <v>0</v>
      </c>
      <c r="AG129" s="1008">
        <f t="shared" si="138"/>
        <v>0</v>
      </c>
      <c r="AH129" s="1008">
        <f t="shared" si="138"/>
        <v>0</v>
      </c>
      <c r="AI129" s="1008">
        <f t="shared" si="138"/>
        <v>0</v>
      </c>
      <c r="AJ129" s="1008">
        <f t="shared" si="138"/>
        <v>0</v>
      </c>
      <c r="AK129" s="1008">
        <f t="shared" si="138"/>
        <v>0</v>
      </c>
      <c r="AL129" s="1008">
        <f t="shared" si="138"/>
        <v>0</v>
      </c>
      <c r="AM129" s="1008">
        <f t="shared" si="138"/>
        <v>728406867</v>
      </c>
      <c r="AN129" s="1008">
        <f t="shared" si="138"/>
        <v>346819196</v>
      </c>
      <c r="AO129" s="1008">
        <f t="shared" si="138"/>
        <v>120323279</v>
      </c>
      <c r="AP129" s="1008">
        <f t="shared" si="138"/>
        <v>1181607989</v>
      </c>
      <c r="AQ129" s="1008">
        <f t="shared" si="138"/>
        <v>0</v>
      </c>
      <c r="AR129" s="1008">
        <f t="shared" si="138"/>
        <v>0</v>
      </c>
      <c r="AS129" s="1008">
        <f t="shared" si="138"/>
        <v>74000000</v>
      </c>
      <c r="AU129" s="1011">
        <f t="shared" si="103"/>
        <v>0.95557557874870935</v>
      </c>
      <c r="AV129" s="1008">
        <f>SUM(AV106:AV128)</f>
        <v>2441721884</v>
      </c>
      <c r="AW129" s="1008">
        <f>SUM(AW106:AW128)</f>
        <v>103245422</v>
      </c>
      <c r="AX129" s="1008">
        <f>SUM(AX106:AX128)</f>
        <v>0</v>
      </c>
      <c r="AY129" s="1008"/>
      <c r="AZ129" s="1008">
        <f>SUM(AZ106:AZ128)</f>
        <v>0</v>
      </c>
      <c r="BA129" s="1008"/>
      <c r="BB129" s="1008">
        <f t="shared" ref="BB129:BP129" si="139">SUM(BB106:BB128)</f>
        <v>0</v>
      </c>
      <c r="BC129" s="1008">
        <f t="shared" si="139"/>
        <v>0</v>
      </c>
      <c r="BD129" s="1008">
        <f t="shared" si="139"/>
        <v>0</v>
      </c>
      <c r="BE129" s="1008">
        <f t="shared" si="139"/>
        <v>0</v>
      </c>
      <c r="BF129" s="1008">
        <f t="shared" si="139"/>
        <v>0</v>
      </c>
      <c r="BG129" s="1008">
        <f t="shared" si="139"/>
        <v>0</v>
      </c>
      <c r="BH129" s="1008">
        <f t="shared" si="139"/>
        <v>0</v>
      </c>
      <c r="BI129" s="1008">
        <f t="shared" si="139"/>
        <v>0</v>
      </c>
      <c r="BJ129" s="1008">
        <f t="shared" si="139"/>
        <v>709199167</v>
      </c>
      <c r="BK129" s="1008">
        <f t="shared" si="139"/>
        <v>346819196</v>
      </c>
      <c r="BL129" s="1008">
        <f t="shared" si="139"/>
        <v>60650110</v>
      </c>
      <c r="BM129" s="1008">
        <f t="shared" si="139"/>
        <v>1157607989</v>
      </c>
      <c r="BN129" s="1008">
        <f t="shared" si="139"/>
        <v>0</v>
      </c>
      <c r="BO129" s="1008">
        <f t="shared" si="139"/>
        <v>0</v>
      </c>
      <c r="BP129" s="1008">
        <f t="shared" si="139"/>
        <v>64200000</v>
      </c>
      <c r="BQ129" s="1011">
        <f t="shared" si="105"/>
        <v>4.4424421251290647E-2</v>
      </c>
      <c r="BR129" s="1008">
        <f>SUM(BR106:BR128)</f>
        <v>113514916</v>
      </c>
      <c r="BS129" s="1008">
        <f>SUM(BS106:BS128)</f>
        <v>834047</v>
      </c>
      <c r="BT129" s="1008">
        <f>SUM(BT106:BT128)</f>
        <v>0</v>
      </c>
      <c r="BU129" s="1008"/>
      <c r="BV129" s="1008">
        <f t="shared" ref="BV129:CL129" si="140">SUM(BV106:BV128)</f>
        <v>0</v>
      </c>
      <c r="BW129" s="1008">
        <f t="shared" si="140"/>
        <v>0</v>
      </c>
      <c r="BX129" s="1008">
        <f t="shared" si="140"/>
        <v>0</v>
      </c>
      <c r="BY129" s="1008">
        <f t="shared" si="140"/>
        <v>0</v>
      </c>
      <c r="BZ129" s="1008">
        <f t="shared" si="140"/>
        <v>0</v>
      </c>
      <c r="CA129" s="1008">
        <f t="shared" si="140"/>
        <v>0</v>
      </c>
      <c r="CB129" s="1008">
        <f t="shared" si="140"/>
        <v>0</v>
      </c>
      <c r="CC129" s="1008">
        <f t="shared" si="140"/>
        <v>0</v>
      </c>
      <c r="CD129" s="1008">
        <f t="shared" si="140"/>
        <v>0</v>
      </c>
      <c r="CE129" s="1008">
        <f t="shared" si="140"/>
        <v>0</v>
      </c>
      <c r="CF129" s="1008">
        <f t="shared" si="140"/>
        <v>19207700</v>
      </c>
      <c r="CG129" s="1008">
        <f t="shared" si="140"/>
        <v>0</v>
      </c>
      <c r="CH129" s="1008">
        <f t="shared" si="140"/>
        <v>59673169</v>
      </c>
      <c r="CI129" s="1008">
        <f t="shared" si="140"/>
        <v>24000000</v>
      </c>
      <c r="CJ129" s="1008">
        <f t="shared" si="140"/>
        <v>0</v>
      </c>
      <c r="CK129" s="1008">
        <f t="shared" si="140"/>
        <v>0</v>
      </c>
      <c r="CL129" s="1008">
        <f t="shared" si="140"/>
        <v>9800000</v>
      </c>
      <c r="CM129" s="1011">
        <f t="shared" si="113"/>
        <v>0.77713932736097102</v>
      </c>
      <c r="CN129" s="1008">
        <f>SUM(CN106:CN128)</f>
        <v>1985775008</v>
      </c>
      <c r="CO129" s="1008">
        <f>SUM(CO106:CO128)</f>
        <v>57672466</v>
      </c>
      <c r="CP129" s="1008">
        <f>SUM(CP106:CP128)</f>
        <v>0</v>
      </c>
      <c r="CQ129" s="1008"/>
      <c r="CR129" s="1008">
        <f>SUM(CR106:CR128)</f>
        <v>0</v>
      </c>
      <c r="CS129" s="1008"/>
      <c r="CT129" s="1008">
        <f>SUM(CT106:CT128)</f>
        <v>0</v>
      </c>
      <c r="CU129" s="1008">
        <f>SUM(CU106:CU128)</f>
        <v>0</v>
      </c>
      <c r="CV129" s="1008"/>
      <c r="CW129" s="1008">
        <f t="shared" ref="CW129:DH129" si="141">SUM(CW106:CW128)</f>
        <v>0</v>
      </c>
      <c r="CX129" s="1008">
        <f t="shared" si="141"/>
        <v>0</v>
      </c>
      <c r="CY129" s="1008">
        <f t="shared" si="141"/>
        <v>0</v>
      </c>
      <c r="CZ129" s="1008">
        <f t="shared" si="141"/>
        <v>0</v>
      </c>
      <c r="DA129" s="1008">
        <f t="shared" si="141"/>
        <v>0</v>
      </c>
      <c r="DB129" s="1008">
        <f t="shared" si="141"/>
        <v>471045794</v>
      </c>
      <c r="DC129" s="1008">
        <f t="shared" si="141"/>
        <v>325002196</v>
      </c>
      <c r="DD129" s="1008">
        <f t="shared" si="141"/>
        <v>56087110</v>
      </c>
      <c r="DE129" s="1008">
        <f t="shared" si="141"/>
        <v>1046363025</v>
      </c>
      <c r="DF129" s="1008">
        <f t="shared" si="141"/>
        <v>0</v>
      </c>
      <c r="DG129" s="1008">
        <f t="shared" si="141"/>
        <v>0</v>
      </c>
      <c r="DH129" s="1008">
        <f t="shared" si="141"/>
        <v>29604417</v>
      </c>
      <c r="DI129" s="1011">
        <f t="shared" si="115"/>
        <v>0.22286067263902898</v>
      </c>
      <c r="DJ129" s="1008">
        <f>SUM(DJ106:DJ128)</f>
        <v>569461792</v>
      </c>
      <c r="DK129" s="1008">
        <f>SUM(DK106:DK128)</f>
        <v>46407003</v>
      </c>
      <c r="DL129" s="1008">
        <f>SUM(DL106:DL128)</f>
        <v>0</v>
      </c>
      <c r="DM129" s="1008"/>
      <c r="DN129" s="1008">
        <f t="shared" ref="DN129:ED129" si="142">SUM(DN106:DN128)</f>
        <v>0</v>
      </c>
      <c r="DO129" s="1008">
        <f t="shared" si="142"/>
        <v>0</v>
      </c>
      <c r="DP129" s="1008">
        <f t="shared" si="142"/>
        <v>0</v>
      </c>
      <c r="DQ129" s="1008">
        <f t="shared" si="142"/>
        <v>0</v>
      </c>
      <c r="DR129" s="1008">
        <f t="shared" si="142"/>
        <v>0</v>
      </c>
      <c r="DS129" s="1008">
        <f t="shared" si="142"/>
        <v>0</v>
      </c>
      <c r="DT129" s="1008">
        <f t="shared" si="142"/>
        <v>0</v>
      </c>
      <c r="DU129" s="1008">
        <f t="shared" si="142"/>
        <v>0</v>
      </c>
      <c r="DV129" s="1008">
        <f t="shared" si="142"/>
        <v>0</v>
      </c>
      <c r="DW129" s="1008">
        <f t="shared" si="142"/>
        <v>0</v>
      </c>
      <c r="DX129" s="1008">
        <f t="shared" si="142"/>
        <v>257361073</v>
      </c>
      <c r="DY129" s="1008">
        <f t="shared" si="142"/>
        <v>21817000</v>
      </c>
      <c r="DZ129" s="1008">
        <f t="shared" si="142"/>
        <v>64236169</v>
      </c>
      <c r="EA129" s="1008">
        <f t="shared" si="142"/>
        <v>135244964</v>
      </c>
      <c r="EB129" s="1008">
        <f t="shared" si="142"/>
        <v>0</v>
      </c>
      <c r="EC129" s="1008">
        <f t="shared" si="142"/>
        <v>0</v>
      </c>
      <c r="ED129" s="1037">
        <f t="shared" si="142"/>
        <v>44395583</v>
      </c>
    </row>
    <row r="130" spans="1:136" ht="78" customHeight="1" thickTop="1" x14ac:dyDescent="0.25">
      <c r="A130" s="1590" t="s">
        <v>4757</v>
      </c>
      <c r="B130" s="990" t="s">
        <v>4448</v>
      </c>
      <c r="C130" s="1092" t="s">
        <v>4653</v>
      </c>
      <c r="D130" s="1018" t="s">
        <v>4644</v>
      </c>
      <c r="E130" s="994">
        <v>510</v>
      </c>
      <c r="F130" s="1094" t="s">
        <v>4548</v>
      </c>
      <c r="G130" s="1576">
        <v>10000000</v>
      </c>
      <c r="H130" s="1060">
        <f t="shared" ref="H130:H193" si="143">+CN130</f>
        <v>3000000</v>
      </c>
      <c r="I130" s="1060">
        <f t="shared" ref="I130:I193" si="144">Y130-H130</f>
        <v>0</v>
      </c>
      <c r="J130" s="1068">
        <v>0.3</v>
      </c>
      <c r="K130" s="1110">
        <v>1</v>
      </c>
      <c r="L130" s="1110">
        <v>0.37</v>
      </c>
      <c r="M130" s="1077">
        <v>100</v>
      </c>
      <c r="N130" s="1077">
        <v>30</v>
      </c>
      <c r="O130" s="1077">
        <v>30</v>
      </c>
      <c r="P130" s="1097">
        <v>100</v>
      </c>
      <c r="Q130" s="1097">
        <v>45</v>
      </c>
      <c r="R130" s="1097">
        <v>45</v>
      </c>
      <c r="S130" s="1094"/>
      <c r="T130" s="1094"/>
      <c r="U130" s="1094"/>
      <c r="V130" s="1094"/>
      <c r="W130" s="1094"/>
      <c r="X130" s="1094"/>
      <c r="Y130" s="1007">
        <f t="shared" ref="Y130:Y161" si="145">SUM(Z130:AS130)</f>
        <v>3000000</v>
      </c>
      <c r="Z130" s="1007"/>
      <c r="AA130" s="1007"/>
      <c r="AB130" s="1007"/>
      <c r="AC130" s="1007"/>
      <c r="AD130" s="1007"/>
      <c r="AE130" s="1007">
        <v>3000000</v>
      </c>
      <c r="AF130" s="1007"/>
      <c r="AG130" s="1007"/>
      <c r="AH130" s="1007"/>
      <c r="AI130" s="1007"/>
      <c r="AJ130" s="1007"/>
      <c r="AK130" s="1007"/>
      <c r="AL130" s="1007"/>
      <c r="AM130" s="1007"/>
      <c r="AN130" s="1007"/>
      <c r="AO130" s="1007"/>
      <c r="AP130" s="1007"/>
      <c r="AQ130" s="1007"/>
      <c r="AR130" s="1007"/>
      <c r="AS130" s="1007"/>
      <c r="AU130" s="1010">
        <f t="shared" si="103"/>
        <v>1</v>
      </c>
      <c r="AV130" s="1007">
        <f t="shared" ref="AV130:AV161" si="146">SUM(AW130:BP130)</f>
        <v>3000000</v>
      </c>
      <c r="AW130" s="1007"/>
      <c r="AX130" s="1007"/>
      <c r="AY130" s="1007"/>
      <c r="AZ130" s="1007"/>
      <c r="BA130" s="1007"/>
      <c r="BB130" s="1007">
        <f>+'[11]MARZO 2015'!$N$1116</f>
        <v>3000000</v>
      </c>
      <c r="BC130" s="1007"/>
      <c r="BD130" s="1007"/>
      <c r="BE130" s="1007"/>
      <c r="BF130" s="1007"/>
      <c r="BG130" s="1007"/>
      <c r="BH130" s="1007"/>
      <c r="BI130" s="1007"/>
      <c r="BJ130" s="1007"/>
      <c r="BK130" s="1007"/>
      <c r="BL130" s="1007"/>
      <c r="BM130" s="1007"/>
      <c r="BN130" s="1007"/>
      <c r="BO130" s="1007"/>
      <c r="BP130" s="1007"/>
      <c r="BQ130" s="1010">
        <f t="shared" si="105"/>
        <v>0</v>
      </c>
      <c r="BR130" s="1007">
        <f t="shared" ref="BR130:BR161" si="147">SUM(BS130:CL130)</f>
        <v>0</v>
      </c>
      <c r="BS130" s="1007">
        <f t="shared" ref="BS130:BS150" si="148">+Z130-AW130</f>
        <v>0</v>
      </c>
      <c r="BT130" s="1007">
        <f t="shared" ref="BT130:BT150" si="149">AA130-AX130</f>
        <v>0</v>
      </c>
      <c r="BU130" s="1007"/>
      <c r="BV130" s="1007">
        <f t="shared" ref="BV130:BW150" si="150">AC130-AZ130</f>
        <v>0</v>
      </c>
      <c r="BW130" s="1007">
        <f t="shared" si="150"/>
        <v>0</v>
      </c>
      <c r="BX130" s="1007">
        <f t="shared" ref="BX130:BY150" si="151">+AE130-BB130</f>
        <v>0</v>
      </c>
      <c r="BY130" s="1007">
        <f t="shared" si="151"/>
        <v>0</v>
      </c>
      <c r="BZ130" s="1007"/>
      <c r="CA130" s="1007">
        <f t="shared" ref="CA130:CI150" si="152">+AH130-BE130</f>
        <v>0</v>
      </c>
      <c r="CB130" s="1007">
        <f t="shared" si="152"/>
        <v>0</v>
      </c>
      <c r="CC130" s="1007">
        <f t="shared" si="152"/>
        <v>0</v>
      </c>
      <c r="CD130" s="1007">
        <f t="shared" si="152"/>
        <v>0</v>
      </c>
      <c r="CE130" s="1007">
        <f t="shared" si="152"/>
        <v>0</v>
      </c>
      <c r="CF130" s="1007">
        <f t="shared" si="152"/>
        <v>0</v>
      </c>
      <c r="CG130" s="1007">
        <f t="shared" si="152"/>
        <v>0</v>
      </c>
      <c r="CH130" s="1007">
        <f t="shared" si="152"/>
        <v>0</v>
      </c>
      <c r="CI130" s="1007">
        <f t="shared" si="152"/>
        <v>0</v>
      </c>
      <c r="CJ130" s="1007"/>
      <c r="CK130" s="1007"/>
      <c r="CL130" s="1007">
        <f t="shared" ref="CL130:CL150" si="153">+AS130-BP130</f>
        <v>0</v>
      </c>
      <c r="CM130" s="1010">
        <f t="shared" si="113"/>
        <v>1</v>
      </c>
      <c r="CN130" s="1007">
        <f t="shared" ref="CN130:CN161" si="154">SUM(CO130:DH130)</f>
        <v>3000000</v>
      </c>
      <c r="CO130" s="1007"/>
      <c r="CP130" s="1007"/>
      <c r="CQ130" s="1007"/>
      <c r="CR130" s="1007"/>
      <c r="CS130" s="1007"/>
      <c r="CT130" s="1007">
        <f>+'[11]MARZO 2015'!$H$1117</f>
        <v>3000000</v>
      </c>
      <c r="CU130" s="1007"/>
      <c r="CV130" s="1007"/>
      <c r="CW130" s="1007"/>
      <c r="CX130" s="1007"/>
      <c r="CY130" s="1007"/>
      <c r="CZ130" s="1007"/>
      <c r="DA130" s="1007"/>
      <c r="DB130" s="1007"/>
      <c r="DC130" s="1007"/>
      <c r="DD130" s="1007"/>
      <c r="DE130" s="1007"/>
      <c r="DF130" s="1007"/>
      <c r="DG130" s="1007"/>
      <c r="DH130" s="1007"/>
      <c r="DI130" s="1010">
        <f t="shared" si="115"/>
        <v>0</v>
      </c>
      <c r="DJ130" s="1007">
        <f t="shared" ref="DJ130:DJ161" si="155">SUM(DK130:ED130)</f>
        <v>0</v>
      </c>
      <c r="DK130" s="1007"/>
      <c r="DL130" s="1007"/>
      <c r="DM130" s="1007"/>
      <c r="DN130" s="1007">
        <f t="shared" ref="DN130:DQ150" si="156">AC130-CR130</f>
        <v>0</v>
      </c>
      <c r="DO130" s="1007">
        <f t="shared" si="156"/>
        <v>0</v>
      </c>
      <c r="DP130" s="1007">
        <f t="shared" si="156"/>
        <v>0</v>
      </c>
      <c r="DQ130" s="1007">
        <f t="shared" si="156"/>
        <v>0</v>
      </c>
      <c r="DR130" s="1007"/>
      <c r="DS130" s="1007">
        <f t="shared" ref="DS130:DT150" si="157">+AH130-CW130</f>
        <v>0</v>
      </c>
      <c r="DT130" s="1007">
        <f t="shared" si="157"/>
        <v>0</v>
      </c>
      <c r="DU130" s="1007"/>
      <c r="DV130" s="1007">
        <f t="shared" ref="DV130:DX150" si="158">AK130-CZ130</f>
        <v>0</v>
      </c>
      <c r="DW130" s="1007">
        <f t="shared" si="158"/>
        <v>0</v>
      </c>
      <c r="DX130" s="1007">
        <f t="shared" si="158"/>
        <v>0</v>
      </c>
      <c r="DY130" s="1007">
        <f t="shared" ref="DY130:EB150" si="159">+AN130-DC130</f>
        <v>0</v>
      </c>
      <c r="DZ130" s="1007">
        <f t="shared" si="159"/>
        <v>0</v>
      </c>
      <c r="EA130" s="1007">
        <f t="shared" si="159"/>
        <v>0</v>
      </c>
      <c r="EB130" s="1007">
        <f t="shared" si="159"/>
        <v>0</v>
      </c>
      <c r="EC130" s="1007"/>
      <c r="ED130" s="1007">
        <f t="shared" ref="ED130:ED150" si="160">+AS130-DH130</f>
        <v>0</v>
      </c>
    </row>
    <row r="131" spans="1:136" ht="81" customHeight="1" x14ac:dyDescent="0.25">
      <c r="A131" s="1590"/>
      <c r="B131" s="989"/>
      <c r="C131" s="1092" t="s">
        <v>4654</v>
      </c>
      <c r="D131" s="1018" t="s">
        <v>4652</v>
      </c>
      <c r="E131" s="994">
        <v>510</v>
      </c>
      <c r="F131" s="1094" t="s">
        <v>4548</v>
      </c>
      <c r="G131" s="1430"/>
      <c r="H131" s="1060">
        <f t="shared" si="143"/>
        <v>6828964</v>
      </c>
      <c r="I131" s="1060">
        <f t="shared" si="144"/>
        <v>171036</v>
      </c>
      <c r="J131" s="1094">
        <v>48124</v>
      </c>
      <c r="K131" s="1097">
        <v>73148</v>
      </c>
      <c r="L131" s="1097">
        <v>49086</v>
      </c>
      <c r="M131" s="1097">
        <v>98</v>
      </c>
      <c r="N131" s="1097">
        <v>30</v>
      </c>
      <c r="O131" s="1097">
        <v>29</v>
      </c>
      <c r="P131" s="1097">
        <v>98</v>
      </c>
      <c r="Q131" s="1097">
        <v>45</v>
      </c>
      <c r="R131" s="1097">
        <v>44</v>
      </c>
      <c r="S131" s="1094"/>
      <c r="T131" s="1094"/>
      <c r="U131" s="1094"/>
      <c r="V131" s="1094"/>
      <c r="W131" s="1094"/>
      <c r="X131" s="1094"/>
      <c r="Y131" s="1007">
        <f t="shared" si="145"/>
        <v>7000000</v>
      </c>
      <c r="Z131" s="1007"/>
      <c r="AA131" s="1007"/>
      <c r="AB131" s="1007"/>
      <c r="AC131" s="1007"/>
      <c r="AD131" s="1007"/>
      <c r="AE131" s="1007">
        <v>7000000</v>
      </c>
      <c r="AF131" s="1007"/>
      <c r="AG131" s="1007"/>
      <c r="AH131" s="1007"/>
      <c r="AI131" s="1007"/>
      <c r="AJ131" s="1007"/>
      <c r="AK131" s="1007"/>
      <c r="AL131" s="1007"/>
      <c r="AM131" s="1007"/>
      <c r="AN131" s="1007"/>
      <c r="AO131" s="1007"/>
      <c r="AP131" s="1007"/>
      <c r="AQ131" s="1007"/>
      <c r="AR131" s="1007"/>
      <c r="AS131" s="1007"/>
      <c r="AT131" s="984"/>
      <c r="AU131" s="1010">
        <f t="shared" si="103"/>
        <v>0.97557142857142853</v>
      </c>
      <c r="AV131" s="1007">
        <f t="shared" si="146"/>
        <v>6829000</v>
      </c>
      <c r="AW131" s="1007"/>
      <c r="AX131" s="1007"/>
      <c r="AY131" s="1007"/>
      <c r="AZ131" s="1007"/>
      <c r="BA131" s="1007"/>
      <c r="BB131" s="1007">
        <f>+'[11]MARZO 2015'!$N$1122</f>
        <v>6829000</v>
      </c>
      <c r="BC131" s="1007"/>
      <c r="BD131" s="1007"/>
      <c r="BE131" s="1007"/>
      <c r="BF131" s="1007"/>
      <c r="BG131" s="1007"/>
      <c r="BH131" s="1007"/>
      <c r="BI131" s="1007"/>
      <c r="BJ131" s="1007"/>
      <c r="BK131" s="1007"/>
      <c r="BL131" s="1007"/>
      <c r="BM131" s="1007"/>
      <c r="BN131" s="1007"/>
      <c r="BO131" s="1007"/>
      <c r="BP131" s="1007"/>
      <c r="BQ131" s="1010">
        <f t="shared" si="105"/>
        <v>2.4428571428571466E-2</v>
      </c>
      <c r="BR131" s="1007">
        <f t="shared" si="147"/>
        <v>171000</v>
      </c>
      <c r="BS131" s="1007">
        <f t="shared" si="148"/>
        <v>0</v>
      </c>
      <c r="BT131" s="1007">
        <f t="shared" si="149"/>
        <v>0</v>
      </c>
      <c r="BU131" s="1007"/>
      <c r="BV131" s="1007">
        <f t="shared" si="150"/>
        <v>0</v>
      </c>
      <c r="BW131" s="1007">
        <f t="shared" si="150"/>
        <v>0</v>
      </c>
      <c r="BX131" s="1007">
        <f t="shared" si="151"/>
        <v>171000</v>
      </c>
      <c r="BY131" s="1007">
        <f t="shared" si="151"/>
        <v>0</v>
      </c>
      <c r="BZ131" s="1007"/>
      <c r="CA131" s="1007">
        <f t="shared" si="152"/>
        <v>0</v>
      </c>
      <c r="CB131" s="1007">
        <f t="shared" si="152"/>
        <v>0</v>
      </c>
      <c r="CC131" s="1007">
        <f t="shared" si="152"/>
        <v>0</v>
      </c>
      <c r="CD131" s="1007">
        <f t="shared" si="152"/>
        <v>0</v>
      </c>
      <c r="CE131" s="1007">
        <f t="shared" si="152"/>
        <v>0</v>
      </c>
      <c r="CF131" s="1007">
        <f t="shared" si="152"/>
        <v>0</v>
      </c>
      <c r="CG131" s="1007">
        <f t="shared" si="152"/>
        <v>0</v>
      </c>
      <c r="CH131" s="1007">
        <f t="shared" si="152"/>
        <v>0</v>
      </c>
      <c r="CI131" s="1007">
        <f t="shared" si="152"/>
        <v>0</v>
      </c>
      <c r="CJ131" s="1007"/>
      <c r="CK131" s="1007"/>
      <c r="CL131" s="1007">
        <f t="shared" si="153"/>
        <v>0</v>
      </c>
      <c r="CM131" s="1010">
        <f t="shared" si="113"/>
        <v>0.97556628571428572</v>
      </c>
      <c r="CN131" s="1007">
        <f t="shared" si="154"/>
        <v>6828964</v>
      </c>
      <c r="CO131" s="1007"/>
      <c r="CP131" s="1007"/>
      <c r="CQ131" s="1007"/>
      <c r="CR131" s="1007"/>
      <c r="CS131" s="1007"/>
      <c r="CT131" s="1007">
        <f>+'[11]MARZO 2015'!$H$1120</f>
        <v>6828964</v>
      </c>
      <c r="CU131" s="1007"/>
      <c r="CV131" s="1007"/>
      <c r="CW131" s="1007"/>
      <c r="CX131" s="1007"/>
      <c r="CY131" s="1007"/>
      <c r="CZ131" s="1007"/>
      <c r="DA131" s="1007"/>
      <c r="DB131" s="1007"/>
      <c r="DC131" s="1007"/>
      <c r="DD131" s="1007"/>
      <c r="DE131" s="1007"/>
      <c r="DF131" s="1007"/>
      <c r="DG131" s="1007"/>
      <c r="DH131" s="1007"/>
      <c r="DI131" s="1010">
        <f t="shared" si="115"/>
        <v>2.4433714285714281E-2</v>
      </c>
      <c r="DJ131" s="1007">
        <f t="shared" si="155"/>
        <v>171036</v>
      </c>
      <c r="DK131" s="1007"/>
      <c r="DL131" s="1007"/>
      <c r="DM131" s="1007"/>
      <c r="DN131" s="1007">
        <f t="shared" si="156"/>
        <v>0</v>
      </c>
      <c r="DO131" s="1007">
        <f t="shared" si="156"/>
        <v>0</v>
      </c>
      <c r="DP131" s="1007">
        <f t="shared" si="156"/>
        <v>171036</v>
      </c>
      <c r="DQ131" s="1007">
        <f t="shared" si="156"/>
        <v>0</v>
      </c>
      <c r="DR131" s="1007"/>
      <c r="DS131" s="1007">
        <f t="shared" si="157"/>
        <v>0</v>
      </c>
      <c r="DT131" s="1007">
        <f t="shared" si="157"/>
        <v>0</v>
      </c>
      <c r="DU131" s="1007"/>
      <c r="DV131" s="1007">
        <f t="shared" si="158"/>
        <v>0</v>
      </c>
      <c r="DW131" s="1007">
        <f t="shared" si="158"/>
        <v>0</v>
      </c>
      <c r="DX131" s="1007">
        <f t="shared" si="158"/>
        <v>0</v>
      </c>
      <c r="DY131" s="1007">
        <f t="shared" si="159"/>
        <v>0</v>
      </c>
      <c r="DZ131" s="1007">
        <f t="shared" si="159"/>
        <v>0</v>
      </c>
      <c r="EA131" s="1007">
        <f t="shared" si="159"/>
        <v>0</v>
      </c>
      <c r="EB131" s="1007">
        <f t="shared" si="159"/>
        <v>0</v>
      </c>
      <c r="EC131" s="1007"/>
      <c r="ED131" s="1007">
        <f t="shared" si="160"/>
        <v>0</v>
      </c>
      <c r="EF131" s="1"/>
    </row>
    <row r="132" spans="1:136" ht="83.25" customHeight="1" x14ac:dyDescent="0.25">
      <c r="A132" s="1590"/>
      <c r="B132" s="989" t="s">
        <v>4449</v>
      </c>
      <c r="C132" s="852" t="s">
        <v>4485</v>
      </c>
      <c r="D132" s="1018" t="s">
        <v>4584</v>
      </c>
      <c r="E132" s="994">
        <v>111</v>
      </c>
      <c r="F132" s="1094" t="s">
        <v>4482</v>
      </c>
      <c r="G132" s="1428">
        <v>20073000000</v>
      </c>
      <c r="H132" s="1060">
        <f t="shared" si="143"/>
        <v>0</v>
      </c>
      <c r="I132" s="1060">
        <f t="shared" si="144"/>
        <v>600000000</v>
      </c>
      <c r="J132" s="1094">
        <v>32909</v>
      </c>
      <c r="K132" s="1097">
        <v>47093</v>
      </c>
      <c r="L132" s="1097">
        <v>34554</v>
      </c>
      <c r="M132" s="1097">
        <v>0</v>
      </c>
      <c r="N132" s="1097">
        <v>0</v>
      </c>
      <c r="O132" s="1097">
        <v>0</v>
      </c>
      <c r="P132" s="1097">
        <v>0</v>
      </c>
      <c r="Q132" s="1097">
        <v>0</v>
      </c>
      <c r="R132" s="1097">
        <v>0</v>
      </c>
      <c r="S132" s="1094"/>
      <c r="T132" s="1094"/>
      <c r="U132" s="1094"/>
      <c r="V132" s="1094"/>
      <c r="W132" s="1094"/>
      <c r="X132" s="1094"/>
      <c r="Y132" s="1007">
        <f t="shared" si="145"/>
        <v>600000000</v>
      </c>
      <c r="Z132" s="1007"/>
      <c r="AA132" s="1007"/>
      <c r="AB132" s="1007"/>
      <c r="AC132" s="1007">
        <f>1590000000+400000000-850705529-550000000</f>
        <v>589294471</v>
      </c>
      <c r="AD132" s="1007"/>
      <c r="AE132" s="1007">
        <f>5000000</f>
        <v>5000000</v>
      </c>
      <c r="AF132" s="1007"/>
      <c r="AG132" s="1007"/>
      <c r="AH132" s="1007"/>
      <c r="AI132" s="1007"/>
      <c r="AJ132" s="1007"/>
      <c r="AK132" s="1007"/>
      <c r="AL132" s="1007"/>
      <c r="AM132" s="1007"/>
      <c r="AN132" s="1007"/>
      <c r="AO132" s="1007">
        <f>55705529-50000000</f>
        <v>5705529</v>
      </c>
      <c r="AP132" s="1007"/>
      <c r="AQ132" s="1007"/>
      <c r="AR132" s="1007"/>
      <c r="AS132" s="1007"/>
      <c r="AT132" s="984"/>
      <c r="AU132" s="1010">
        <f t="shared" si="103"/>
        <v>0</v>
      </c>
      <c r="AV132" s="1007">
        <f t="shared" si="146"/>
        <v>0</v>
      </c>
      <c r="AW132" s="1007"/>
      <c r="AX132" s="1007"/>
      <c r="AY132" s="1007"/>
      <c r="AZ132" s="1007"/>
      <c r="BA132" s="1007"/>
      <c r="BB132" s="1007"/>
      <c r="BC132" s="1007"/>
      <c r="BD132" s="1007"/>
      <c r="BE132" s="1007"/>
      <c r="BF132" s="1007"/>
      <c r="BG132" s="1007"/>
      <c r="BH132" s="1007"/>
      <c r="BI132" s="1007"/>
      <c r="BJ132" s="1007"/>
      <c r="BK132" s="1007"/>
      <c r="BL132" s="1007"/>
      <c r="BM132" s="1007"/>
      <c r="BN132" s="1007"/>
      <c r="BO132" s="1007"/>
      <c r="BP132" s="1007"/>
      <c r="BQ132" s="1010">
        <f t="shared" si="105"/>
        <v>1</v>
      </c>
      <c r="BR132" s="1007">
        <f t="shared" si="147"/>
        <v>600000000</v>
      </c>
      <c r="BS132" s="1007">
        <f t="shared" si="148"/>
        <v>0</v>
      </c>
      <c r="BT132" s="1007">
        <f t="shared" si="149"/>
        <v>0</v>
      </c>
      <c r="BU132" s="1007"/>
      <c r="BV132" s="1007">
        <f t="shared" si="150"/>
        <v>589294471</v>
      </c>
      <c r="BW132" s="1007">
        <f t="shared" si="150"/>
        <v>0</v>
      </c>
      <c r="BX132" s="1007">
        <f t="shared" si="151"/>
        <v>5000000</v>
      </c>
      <c r="BY132" s="1007">
        <f t="shared" si="151"/>
        <v>0</v>
      </c>
      <c r="BZ132" s="1007"/>
      <c r="CA132" s="1007">
        <f t="shared" si="152"/>
        <v>0</v>
      </c>
      <c r="CB132" s="1007">
        <f t="shared" si="152"/>
        <v>0</v>
      </c>
      <c r="CC132" s="1007">
        <f t="shared" si="152"/>
        <v>0</v>
      </c>
      <c r="CD132" s="1007">
        <f t="shared" si="152"/>
        <v>0</v>
      </c>
      <c r="CE132" s="1007">
        <f t="shared" si="152"/>
        <v>0</v>
      </c>
      <c r="CF132" s="1007">
        <f t="shared" si="152"/>
        <v>0</v>
      </c>
      <c r="CG132" s="1007">
        <f t="shared" si="152"/>
        <v>0</v>
      </c>
      <c r="CH132" s="1007">
        <f t="shared" si="152"/>
        <v>5705529</v>
      </c>
      <c r="CI132" s="1007">
        <f t="shared" si="152"/>
        <v>0</v>
      </c>
      <c r="CJ132" s="1007"/>
      <c r="CK132" s="1007"/>
      <c r="CL132" s="1007">
        <f t="shared" si="153"/>
        <v>0</v>
      </c>
      <c r="CM132" s="1010">
        <f t="shared" si="113"/>
        <v>0</v>
      </c>
      <c r="CN132" s="1007">
        <f t="shared" si="154"/>
        <v>0</v>
      </c>
      <c r="CO132" s="1007"/>
      <c r="CP132" s="1007"/>
      <c r="CQ132" s="1007"/>
      <c r="CR132" s="1007"/>
      <c r="CS132" s="1007"/>
      <c r="CT132" s="1007"/>
      <c r="CU132" s="1007"/>
      <c r="CV132" s="1007"/>
      <c r="CW132" s="1007"/>
      <c r="CX132" s="1007"/>
      <c r="CY132" s="1007"/>
      <c r="CZ132" s="1007"/>
      <c r="DA132" s="1007"/>
      <c r="DB132" s="1007"/>
      <c r="DC132" s="1007"/>
      <c r="DD132" s="1007"/>
      <c r="DE132" s="1007"/>
      <c r="DF132" s="1007"/>
      <c r="DG132" s="1007"/>
      <c r="DH132" s="1007"/>
      <c r="DI132" s="1010">
        <f t="shared" si="115"/>
        <v>1</v>
      </c>
      <c r="DJ132" s="1007">
        <f t="shared" si="155"/>
        <v>600000000</v>
      </c>
      <c r="DK132" s="1007"/>
      <c r="DL132" s="1007"/>
      <c r="DM132" s="1007"/>
      <c r="DN132" s="1007">
        <f t="shared" si="156"/>
        <v>589294471</v>
      </c>
      <c r="DO132" s="1007">
        <f t="shared" si="156"/>
        <v>0</v>
      </c>
      <c r="DP132" s="1007">
        <f t="shared" si="156"/>
        <v>5000000</v>
      </c>
      <c r="DQ132" s="1007">
        <f t="shared" si="156"/>
        <v>0</v>
      </c>
      <c r="DR132" s="1007"/>
      <c r="DS132" s="1007">
        <f t="shared" si="157"/>
        <v>0</v>
      </c>
      <c r="DT132" s="1007">
        <f t="shared" si="157"/>
        <v>0</v>
      </c>
      <c r="DU132" s="1007"/>
      <c r="DV132" s="1007">
        <f t="shared" si="158"/>
        <v>0</v>
      </c>
      <c r="DW132" s="1007">
        <f t="shared" si="158"/>
        <v>0</v>
      </c>
      <c r="DX132" s="1007">
        <f t="shared" si="158"/>
        <v>0</v>
      </c>
      <c r="DY132" s="1007">
        <f t="shared" si="159"/>
        <v>0</v>
      </c>
      <c r="DZ132" s="1007">
        <f t="shared" si="159"/>
        <v>5705529</v>
      </c>
      <c r="EA132" s="1007">
        <f t="shared" si="159"/>
        <v>0</v>
      </c>
      <c r="EB132" s="1007">
        <f t="shared" si="159"/>
        <v>0</v>
      </c>
      <c r="EC132" s="1007"/>
      <c r="ED132" s="1007">
        <f t="shared" si="160"/>
        <v>0</v>
      </c>
    </row>
    <row r="133" spans="1:136" s="203" customFormat="1" ht="36" customHeight="1" x14ac:dyDescent="0.25">
      <c r="A133" s="1590"/>
      <c r="B133" s="989"/>
      <c r="C133" s="1080" t="s">
        <v>4486</v>
      </c>
      <c r="D133" s="1018" t="s">
        <v>4469</v>
      </c>
      <c r="E133" s="996">
        <v>111</v>
      </c>
      <c r="F133" s="1094" t="s">
        <v>4482</v>
      </c>
      <c r="G133" s="1429"/>
      <c r="H133" s="1060">
        <f t="shared" si="143"/>
        <v>0</v>
      </c>
      <c r="I133" s="1060">
        <f t="shared" si="144"/>
        <v>830000000</v>
      </c>
      <c r="J133" s="1094">
        <v>42349</v>
      </c>
      <c r="K133" s="1097">
        <v>50522</v>
      </c>
      <c r="L133" s="1097">
        <v>43238</v>
      </c>
      <c r="M133" s="1074">
        <v>0</v>
      </c>
      <c r="N133" s="1074">
        <v>0</v>
      </c>
      <c r="O133" s="1074">
        <v>0</v>
      </c>
      <c r="P133" s="1074"/>
      <c r="Q133" s="1074"/>
      <c r="R133" s="1074"/>
      <c r="S133" s="1094"/>
      <c r="T133" s="1094"/>
      <c r="U133" s="1094"/>
      <c r="V133" s="1094"/>
      <c r="W133" s="1094"/>
      <c r="X133" s="1094"/>
      <c r="Y133" s="1066">
        <f t="shared" si="145"/>
        <v>830000000</v>
      </c>
      <c r="Z133" s="1066"/>
      <c r="AA133" s="1066"/>
      <c r="AB133" s="1066"/>
      <c r="AC133" s="1066">
        <v>830000000</v>
      </c>
      <c r="AD133" s="1066"/>
      <c r="AE133" s="1066"/>
      <c r="AF133" s="1066"/>
      <c r="AG133" s="1066"/>
      <c r="AH133" s="1066"/>
      <c r="AI133" s="1066"/>
      <c r="AJ133" s="1066"/>
      <c r="AK133" s="1066"/>
      <c r="AL133" s="1066"/>
      <c r="AM133" s="1066"/>
      <c r="AN133" s="1066"/>
      <c r="AO133" s="1066"/>
      <c r="AP133" s="1066"/>
      <c r="AQ133" s="1066"/>
      <c r="AR133" s="1066"/>
      <c r="AS133" s="1066"/>
      <c r="AT133" s="1088"/>
      <c r="AU133" s="1081">
        <f t="shared" si="103"/>
        <v>0</v>
      </c>
      <c r="AV133" s="1066">
        <f t="shared" si="146"/>
        <v>0</v>
      </c>
      <c r="AW133" s="1066"/>
      <c r="AX133" s="1066"/>
      <c r="AY133" s="1066"/>
      <c r="AZ133" s="1066"/>
      <c r="BA133" s="1066"/>
      <c r="BB133" s="1066"/>
      <c r="BC133" s="1066"/>
      <c r="BD133" s="1066"/>
      <c r="BE133" s="1066"/>
      <c r="BF133" s="1066"/>
      <c r="BG133" s="1066"/>
      <c r="BH133" s="1066"/>
      <c r="BI133" s="1066"/>
      <c r="BJ133" s="1066"/>
      <c r="BK133" s="1066"/>
      <c r="BL133" s="1066"/>
      <c r="BM133" s="1066"/>
      <c r="BN133" s="1066"/>
      <c r="BO133" s="1066"/>
      <c r="BP133" s="1066"/>
      <c r="BQ133" s="1081">
        <f t="shared" si="105"/>
        <v>1</v>
      </c>
      <c r="BR133" s="1066">
        <f t="shared" si="147"/>
        <v>830000000</v>
      </c>
      <c r="BS133" s="1066">
        <f t="shared" si="148"/>
        <v>0</v>
      </c>
      <c r="BT133" s="1066">
        <f t="shared" si="149"/>
        <v>0</v>
      </c>
      <c r="BU133" s="1066"/>
      <c r="BV133" s="1066">
        <f t="shared" si="150"/>
        <v>830000000</v>
      </c>
      <c r="BW133" s="1066">
        <f t="shared" si="150"/>
        <v>0</v>
      </c>
      <c r="BX133" s="1066">
        <f t="shared" si="151"/>
        <v>0</v>
      </c>
      <c r="BY133" s="1066">
        <f t="shared" si="151"/>
        <v>0</v>
      </c>
      <c r="BZ133" s="1066"/>
      <c r="CA133" s="1066">
        <f t="shared" si="152"/>
        <v>0</v>
      </c>
      <c r="CB133" s="1066">
        <f t="shared" si="152"/>
        <v>0</v>
      </c>
      <c r="CC133" s="1066">
        <f t="shared" si="152"/>
        <v>0</v>
      </c>
      <c r="CD133" s="1066">
        <f t="shared" si="152"/>
        <v>0</v>
      </c>
      <c r="CE133" s="1066">
        <f t="shared" si="152"/>
        <v>0</v>
      </c>
      <c r="CF133" s="1066">
        <f t="shared" si="152"/>
        <v>0</v>
      </c>
      <c r="CG133" s="1066">
        <f t="shared" si="152"/>
        <v>0</v>
      </c>
      <c r="CH133" s="1066">
        <f t="shared" si="152"/>
        <v>0</v>
      </c>
      <c r="CI133" s="1066">
        <f t="shared" si="152"/>
        <v>0</v>
      </c>
      <c r="CJ133" s="1066"/>
      <c r="CK133" s="1066"/>
      <c r="CL133" s="1066">
        <f t="shared" si="153"/>
        <v>0</v>
      </c>
      <c r="CM133" s="1081">
        <f t="shared" si="113"/>
        <v>0</v>
      </c>
      <c r="CN133" s="1066">
        <f t="shared" si="154"/>
        <v>0</v>
      </c>
      <c r="CO133" s="1066"/>
      <c r="CP133" s="1066"/>
      <c r="CQ133" s="1066"/>
      <c r="CR133" s="1066"/>
      <c r="CS133" s="1066"/>
      <c r="CT133" s="1066"/>
      <c r="CU133" s="1066"/>
      <c r="CV133" s="1066"/>
      <c r="CW133" s="1066"/>
      <c r="CX133" s="1066"/>
      <c r="CY133" s="1066"/>
      <c r="CZ133" s="1066"/>
      <c r="DA133" s="1066"/>
      <c r="DB133" s="1066"/>
      <c r="DC133" s="1066"/>
      <c r="DD133" s="1066"/>
      <c r="DE133" s="1066"/>
      <c r="DF133" s="1066"/>
      <c r="DG133" s="1066"/>
      <c r="DH133" s="1066"/>
      <c r="DI133" s="1081">
        <f t="shared" si="115"/>
        <v>1</v>
      </c>
      <c r="DJ133" s="1066">
        <f t="shared" si="155"/>
        <v>830000000</v>
      </c>
      <c r="DK133" s="1066"/>
      <c r="DL133" s="1066"/>
      <c r="DM133" s="1066"/>
      <c r="DN133" s="1066">
        <f t="shared" si="156"/>
        <v>830000000</v>
      </c>
      <c r="DO133" s="1066">
        <f t="shared" si="156"/>
        <v>0</v>
      </c>
      <c r="DP133" s="1066">
        <f t="shared" si="156"/>
        <v>0</v>
      </c>
      <c r="DQ133" s="1066">
        <f t="shared" si="156"/>
        <v>0</v>
      </c>
      <c r="DR133" s="1066"/>
      <c r="DS133" s="1066">
        <f t="shared" si="157"/>
        <v>0</v>
      </c>
      <c r="DT133" s="1066">
        <f t="shared" si="157"/>
        <v>0</v>
      </c>
      <c r="DU133" s="1066"/>
      <c r="DV133" s="1066">
        <f t="shared" si="158"/>
        <v>0</v>
      </c>
      <c r="DW133" s="1066">
        <f t="shared" si="158"/>
        <v>0</v>
      </c>
      <c r="DX133" s="1066">
        <f t="shared" si="158"/>
        <v>0</v>
      </c>
      <c r="DY133" s="1066">
        <f t="shared" si="159"/>
        <v>0</v>
      </c>
      <c r="DZ133" s="1066">
        <f t="shared" si="159"/>
        <v>0</v>
      </c>
      <c r="EA133" s="1066">
        <f t="shared" si="159"/>
        <v>0</v>
      </c>
      <c r="EB133" s="1066">
        <f t="shared" si="159"/>
        <v>0</v>
      </c>
      <c r="EC133" s="1066"/>
      <c r="ED133" s="1066">
        <f t="shared" si="160"/>
        <v>0</v>
      </c>
    </row>
    <row r="134" spans="1:136" ht="37.5" customHeight="1" x14ac:dyDescent="0.25">
      <c r="A134" s="1590"/>
      <c r="B134" s="989"/>
      <c r="C134" s="852" t="s">
        <v>4487</v>
      </c>
      <c r="D134" s="1018" t="s">
        <v>4470</v>
      </c>
      <c r="E134" s="994">
        <v>111</v>
      </c>
      <c r="F134" s="1094" t="s">
        <v>4482</v>
      </c>
      <c r="G134" s="1429"/>
      <c r="H134" s="1060">
        <f t="shared" si="143"/>
        <v>349660736</v>
      </c>
      <c r="I134" s="1060">
        <f t="shared" si="144"/>
        <v>339264</v>
      </c>
      <c r="J134" s="1094">
        <v>28874</v>
      </c>
      <c r="K134" s="1097">
        <v>48220</v>
      </c>
      <c r="L134" s="1097">
        <v>31184</v>
      </c>
      <c r="M134" s="1097">
        <v>0</v>
      </c>
      <c r="N134" s="1097">
        <v>0</v>
      </c>
      <c r="O134" s="1097">
        <v>0</v>
      </c>
      <c r="P134" s="1097">
        <v>0</v>
      </c>
      <c r="Q134" s="1097"/>
      <c r="R134" s="1097">
        <v>0</v>
      </c>
      <c r="S134" s="1094"/>
      <c r="T134" s="1094"/>
      <c r="U134" s="1094"/>
      <c r="V134" s="1094"/>
      <c r="W134" s="1094"/>
      <c r="X134" s="1094"/>
      <c r="Y134" s="1007">
        <f t="shared" si="145"/>
        <v>350000000</v>
      </c>
      <c r="Z134" s="1007"/>
      <c r="AA134" s="1007"/>
      <c r="AB134" s="1007"/>
      <c r="AC134" s="1007">
        <f>212000000+103000000+12000000</f>
        <v>327000000</v>
      </c>
      <c r="AD134" s="1007"/>
      <c r="AE134" s="1007"/>
      <c r="AF134" s="1007"/>
      <c r="AG134" s="1007"/>
      <c r="AH134" s="1007"/>
      <c r="AI134" s="1007"/>
      <c r="AJ134" s="1007"/>
      <c r="AK134" s="1007"/>
      <c r="AL134" s="1007"/>
      <c r="AM134" s="1007"/>
      <c r="AN134" s="1007"/>
      <c r="AO134" s="1007">
        <v>23000000</v>
      </c>
      <c r="AP134" s="1007"/>
      <c r="AQ134" s="1007"/>
      <c r="AR134" s="1007"/>
      <c r="AS134" s="1007"/>
      <c r="AT134" s="984"/>
      <c r="AU134" s="1010">
        <f t="shared" si="103"/>
        <v>0.99903341142857138</v>
      </c>
      <c r="AV134" s="1007">
        <f t="shared" si="146"/>
        <v>349661694</v>
      </c>
      <c r="AW134" s="1007"/>
      <c r="AX134" s="1007"/>
      <c r="AY134" s="1007"/>
      <c r="AZ134" s="1007">
        <f>+'[8]SEPTIEMBRE 2015'!$M$28</f>
        <v>327000000</v>
      </c>
      <c r="BA134" s="1007"/>
      <c r="BB134" s="1007"/>
      <c r="BC134" s="1007"/>
      <c r="BD134" s="1007"/>
      <c r="BE134" s="1007"/>
      <c r="BF134" s="1007"/>
      <c r="BG134" s="1007"/>
      <c r="BH134" s="1007"/>
      <c r="BI134" s="1007"/>
      <c r="BJ134" s="1007"/>
      <c r="BK134" s="1007"/>
      <c r="BL134" s="1007">
        <f>+'[8]SEPTIEMBRE 2015'!$Y$28</f>
        <v>22661694</v>
      </c>
      <c r="BM134" s="1007"/>
      <c r="BN134" s="1007"/>
      <c r="BO134" s="1007"/>
      <c r="BP134" s="1007"/>
      <c r="BQ134" s="1010">
        <f t="shared" si="105"/>
        <v>9.6658857142861709E-4</v>
      </c>
      <c r="BR134" s="1007">
        <f t="shared" si="147"/>
        <v>338306</v>
      </c>
      <c r="BS134" s="1007">
        <f t="shared" si="148"/>
        <v>0</v>
      </c>
      <c r="BT134" s="1007">
        <f t="shared" si="149"/>
        <v>0</v>
      </c>
      <c r="BU134" s="1007"/>
      <c r="BV134" s="1007">
        <f t="shared" si="150"/>
        <v>0</v>
      </c>
      <c r="BW134" s="1007">
        <f t="shared" si="150"/>
        <v>0</v>
      </c>
      <c r="BX134" s="1007">
        <f t="shared" si="151"/>
        <v>0</v>
      </c>
      <c r="BY134" s="1007">
        <f t="shared" si="151"/>
        <v>0</v>
      </c>
      <c r="BZ134" s="1007"/>
      <c r="CA134" s="1007">
        <f t="shared" si="152"/>
        <v>0</v>
      </c>
      <c r="CB134" s="1007">
        <f t="shared" si="152"/>
        <v>0</v>
      </c>
      <c r="CC134" s="1007">
        <f t="shared" si="152"/>
        <v>0</v>
      </c>
      <c r="CD134" s="1007">
        <f t="shared" si="152"/>
        <v>0</v>
      </c>
      <c r="CE134" s="1007">
        <f t="shared" si="152"/>
        <v>0</v>
      </c>
      <c r="CF134" s="1007">
        <f t="shared" si="152"/>
        <v>0</v>
      </c>
      <c r="CG134" s="1007">
        <f t="shared" si="152"/>
        <v>0</v>
      </c>
      <c r="CH134" s="1007">
        <f t="shared" si="152"/>
        <v>338306</v>
      </c>
      <c r="CI134" s="1007">
        <f t="shared" si="152"/>
        <v>0</v>
      </c>
      <c r="CJ134" s="1007"/>
      <c r="CK134" s="1007"/>
      <c r="CL134" s="1007">
        <f t="shared" si="153"/>
        <v>0</v>
      </c>
      <c r="CM134" s="1010">
        <f t="shared" si="113"/>
        <v>0.99903067428571424</v>
      </c>
      <c r="CN134" s="1007">
        <f t="shared" si="154"/>
        <v>349660736</v>
      </c>
      <c r="CO134" s="1007"/>
      <c r="CP134" s="1007"/>
      <c r="CQ134" s="1007"/>
      <c r="CR134" s="1007">
        <f>+'[8]SEPTIEMBRE 2015'!$H$30+'[8]SEPTIEMBRE 2015'!$H$32</f>
        <v>326999042</v>
      </c>
      <c r="CS134" s="1007"/>
      <c r="CT134" s="1007"/>
      <c r="CU134" s="1007"/>
      <c r="CV134" s="1007"/>
      <c r="CW134" s="1007"/>
      <c r="CX134" s="1007"/>
      <c r="CY134" s="1007"/>
      <c r="CZ134" s="1007"/>
      <c r="DA134" s="1007"/>
      <c r="DB134" s="1007"/>
      <c r="DC134" s="1007"/>
      <c r="DD134" s="1007">
        <f>+'[8]SEPTIEMBRE 2015'!$H$33</f>
        <v>22661694</v>
      </c>
      <c r="DE134" s="1007"/>
      <c r="DF134" s="1007"/>
      <c r="DG134" s="1007"/>
      <c r="DH134" s="1007"/>
      <c r="DI134" s="1010">
        <f t="shared" si="115"/>
        <v>9.6932571428576253E-4</v>
      </c>
      <c r="DJ134" s="1007">
        <f t="shared" si="155"/>
        <v>339264</v>
      </c>
      <c r="DK134" s="1007"/>
      <c r="DL134" s="1007"/>
      <c r="DM134" s="1007"/>
      <c r="DN134" s="1007">
        <f t="shared" si="156"/>
        <v>958</v>
      </c>
      <c r="DO134" s="1007">
        <f t="shared" si="156"/>
        <v>0</v>
      </c>
      <c r="DP134" s="1007">
        <f t="shared" si="156"/>
        <v>0</v>
      </c>
      <c r="DQ134" s="1007">
        <f t="shared" si="156"/>
        <v>0</v>
      </c>
      <c r="DR134" s="1007"/>
      <c r="DS134" s="1007">
        <f t="shared" si="157"/>
        <v>0</v>
      </c>
      <c r="DT134" s="1007">
        <f t="shared" si="157"/>
        <v>0</v>
      </c>
      <c r="DU134" s="1007"/>
      <c r="DV134" s="1007">
        <f t="shared" si="158"/>
        <v>0</v>
      </c>
      <c r="DW134" s="1007">
        <f t="shared" si="158"/>
        <v>0</v>
      </c>
      <c r="DX134" s="1007">
        <f t="shared" si="158"/>
        <v>0</v>
      </c>
      <c r="DY134" s="1007">
        <f t="shared" si="159"/>
        <v>0</v>
      </c>
      <c r="DZ134" s="1007">
        <f t="shared" si="159"/>
        <v>338306</v>
      </c>
      <c r="EA134" s="1007">
        <f t="shared" si="159"/>
        <v>0</v>
      </c>
      <c r="EB134" s="1007">
        <f t="shared" si="159"/>
        <v>0</v>
      </c>
      <c r="EC134" s="1007"/>
      <c r="ED134" s="1007">
        <f t="shared" si="160"/>
        <v>0</v>
      </c>
      <c r="EE134" s="1035"/>
    </row>
    <row r="135" spans="1:136" ht="33" customHeight="1" x14ac:dyDescent="0.25">
      <c r="A135" s="1590"/>
      <c r="B135" s="989"/>
      <c r="C135" s="852" t="s">
        <v>4488</v>
      </c>
      <c r="D135" s="1018" t="s">
        <v>4471</v>
      </c>
      <c r="E135" s="994">
        <v>111</v>
      </c>
      <c r="F135" s="1094" t="s">
        <v>4482</v>
      </c>
      <c r="G135" s="1429"/>
      <c r="H135" s="1060">
        <f t="shared" si="143"/>
        <v>598906128</v>
      </c>
      <c r="I135" s="1060">
        <f t="shared" si="144"/>
        <v>7460796</v>
      </c>
      <c r="J135" s="1094">
        <v>55000</v>
      </c>
      <c r="K135" s="1097">
        <v>85140</v>
      </c>
      <c r="L135" s="1097">
        <v>57970</v>
      </c>
      <c r="M135" s="1097">
        <v>41</v>
      </c>
      <c r="N135" s="1097">
        <v>25</v>
      </c>
      <c r="O135" s="1097">
        <v>10</v>
      </c>
      <c r="P135" s="1097">
        <v>97</v>
      </c>
      <c r="Q135" s="1097">
        <v>25</v>
      </c>
      <c r="R135" s="1097">
        <v>24</v>
      </c>
      <c r="S135" s="1094"/>
      <c r="T135" s="1094"/>
      <c r="U135" s="1094"/>
      <c r="V135" s="1094"/>
      <c r="W135" s="1094"/>
      <c r="X135" s="1094"/>
      <c r="Y135" s="1007">
        <f t="shared" si="145"/>
        <v>606366924</v>
      </c>
      <c r="Z135" s="1007"/>
      <c r="AA135" s="1007"/>
      <c r="AB135" s="1007"/>
      <c r="AC135" s="1007">
        <f>636000000+213203847-262848257</f>
        <v>586355590</v>
      </c>
      <c r="AD135" s="1007">
        <f>20011334</f>
        <v>20011334</v>
      </c>
      <c r="AE135" s="1007"/>
      <c r="AF135" s="1007"/>
      <c r="AG135" s="1007"/>
      <c r="AH135" s="1007"/>
      <c r="AI135" s="1007"/>
      <c r="AJ135" s="1007"/>
      <c r="AK135" s="1007"/>
      <c r="AL135" s="1007"/>
      <c r="AM135" s="1007"/>
      <c r="AN135" s="1007"/>
      <c r="AO135" s="1007"/>
      <c r="AP135" s="1007"/>
      <c r="AQ135" s="1007"/>
      <c r="AR135" s="1007"/>
      <c r="AS135" s="1007"/>
      <c r="AT135" s="984"/>
      <c r="AU135" s="1010">
        <f t="shared" si="103"/>
        <v>0.9958638146298362</v>
      </c>
      <c r="AV135" s="1007">
        <f t="shared" si="146"/>
        <v>603858878</v>
      </c>
      <c r="AW135" s="1007"/>
      <c r="AX135" s="1007"/>
      <c r="AY135" s="1007"/>
      <c r="AZ135" s="1007">
        <f>+'[8]SEPTIEMBRE 2015'!$M$38</f>
        <v>586355588</v>
      </c>
      <c r="BA135" s="1007">
        <f>+'[7]AGOSTO 2015'!$N$33</f>
        <v>17503290</v>
      </c>
      <c r="BB135" s="1007"/>
      <c r="BC135" s="1007"/>
      <c r="BD135" s="1007"/>
      <c r="BE135" s="1007"/>
      <c r="BF135" s="1007"/>
      <c r="BG135" s="1007"/>
      <c r="BH135" s="1007"/>
      <c r="BI135" s="1007"/>
      <c r="BJ135" s="1007"/>
      <c r="BK135" s="1007"/>
      <c r="BL135" s="1007"/>
      <c r="BM135" s="1007"/>
      <c r="BN135" s="1007"/>
      <c r="BO135" s="1007"/>
      <c r="BP135" s="1007"/>
      <c r="BQ135" s="1010">
        <f t="shared" si="105"/>
        <v>4.1361853701638029E-3</v>
      </c>
      <c r="BR135" s="1007">
        <f t="shared" si="147"/>
        <v>2508046</v>
      </c>
      <c r="BS135" s="1007">
        <f t="shared" si="148"/>
        <v>0</v>
      </c>
      <c r="BT135" s="1007">
        <f t="shared" si="149"/>
        <v>0</v>
      </c>
      <c r="BU135" s="1007"/>
      <c r="BV135" s="1007">
        <f t="shared" si="150"/>
        <v>2</v>
      </c>
      <c r="BW135" s="1007">
        <f t="shared" si="150"/>
        <v>2508044</v>
      </c>
      <c r="BX135" s="1007">
        <f t="shared" si="151"/>
        <v>0</v>
      </c>
      <c r="BY135" s="1007">
        <f t="shared" si="151"/>
        <v>0</v>
      </c>
      <c r="BZ135" s="1007"/>
      <c r="CA135" s="1007">
        <f t="shared" si="152"/>
        <v>0</v>
      </c>
      <c r="CB135" s="1007">
        <f t="shared" si="152"/>
        <v>0</v>
      </c>
      <c r="CC135" s="1007">
        <f t="shared" si="152"/>
        <v>0</v>
      </c>
      <c r="CD135" s="1007">
        <f t="shared" si="152"/>
        <v>0</v>
      </c>
      <c r="CE135" s="1007">
        <f t="shared" si="152"/>
        <v>0</v>
      </c>
      <c r="CF135" s="1007">
        <f t="shared" si="152"/>
        <v>0</v>
      </c>
      <c r="CG135" s="1007">
        <f t="shared" si="152"/>
        <v>0</v>
      </c>
      <c r="CH135" s="1007">
        <f t="shared" si="152"/>
        <v>0</v>
      </c>
      <c r="CI135" s="1007">
        <f t="shared" si="152"/>
        <v>0</v>
      </c>
      <c r="CJ135" s="1007"/>
      <c r="CK135" s="1007"/>
      <c r="CL135" s="1007">
        <f t="shared" si="153"/>
        <v>0</v>
      </c>
      <c r="CM135" s="1010">
        <f t="shared" si="113"/>
        <v>0.98769590539209551</v>
      </c>
      <c r="CN135" s="1007">
        <f t="shared" si="154"/>
        <v>598906128</v>
      </c>
      <c r="CO135" s="1007"/>
      <c r="CP135" s="1007"/>
      <c r="CQ135" s="1007"/>
      <c r="CR135" s="1007">
        <f>+'[7]AGOSTO 2015'!$H$34+'[7]AGOSTO 2015'!$G$43</f>
        <v>586355588</v>
      </c>
      <c r="CS135" s="1007">
        <f>+'[7]AGOSTO 2015'!$H$45+'[7]AGOSTO 2015'!$H$47+'[7]AGOSTO 2015'!$H$50</f>
        <v>12550540</v>
      </c>
      <c r="CT135" s="1007"/>
      <c r="CU135" s="1007"/>
      <c r="CV135" s="1007"/>
      <c r="CW135" s="1007"/>
      <c r="CX135" s="1007"/>
      <c r="CY135" s="1007"/>
      <c r="CZ135" s="1007"/>
      <c r="DA135" s="1007"/>
      <c r="DB135" s="1007"/>
      <c r="DC135" s="1007"/>
      <c r="DD135" s="1007"/>
      <c r="DE135" s="1007"/>
      <c r="DF135" s="1007"/>
      <c r="DG135" s="1007"/>
      <c r="DH135" s="1007"/>
      <c r="DI135" s="1010">
        <f t="shared" si="115"/>
        <v>1.2304094607904492E-2</v>
      </c>
      <c r="DJ135" s="1007">
        <f t="shared" si="155"/>
        <v>7460796</v>
      </c>
      <c r="DK135" s="1007"/>
      <c r="DL135" s="1007"/>
      <c r="DM135" s="1007"/>
      <c r="DN135" s="1007">
        <f t="shared" si="156"/>
        <v>2</v>
      </c>
      <c r="DO135" s="1007">
        <f t="shared" si="156"/>
        <v>7460794</v>
      </c>
      <c r="DP135" s="1007">
        <f t="shared" si="156"/>
        <v>0</v>
      </c>
      <c r="DQ135" s="1007">
        <f t="shared" si="156"/>
        <v>0</v>
      </c>
      <c r="DR135" s="1007"/>
      <c r="DS135" s="1007">
        <f t="shared" si="157"/>
        <v>0</v>
      </c>
      <c r="DT135" s="1007">
        <f t="shared" si="157"/>
        <v>0</v>
      </c>
      <c r="DU135" s="1007"/>
      <c r="DV135" s="1007">
        <f t="shared" si="158"/>
        <v>0</v>
      </c>
      <c r="DW135" s="1007">
        <f t="shared" si="158"/>
        <v>0</v>
      </c>
      <c r="DX135" s="1007">
        <f t="shared" si="158"/>
        <v>0</v>
      </c>
      <c r="DY135" s="1007">
        <f t="shared" si="159"/>
        <v>0</v>
      </c>
      <c r="DZ135" s="1007">
        <f t="shared" si="159"/>
        <v>0</v>
      </c>
      <c r="EA135" s="1007">
        <f t="shared" si="159"/>
        <v>0</v>
      </c>
      <c r="EB135" s="1007">
        <f t="shared" si="159"/>
        <v>0</v>
      </c>
      <c r="EC135" s="1007"/>
      <c r="ED135" s="1007">
        <f t="shared" si="160"/>
        <v>0</v>
      </c>
    </row>
    <row r="136" spans="1:136" s="203" customFormat="1" ht="51" customHeight="1" x14ac:dyDescent="0.25">
      <c r="A136" s="1590"/>
      <c r="B136" s="989"/>
      <c r="C136" s="1080" t="s">
        <v>4489</v>
      </c>
      <c r="D136" s="1018" t="s">
        <v>4472</v>
      </c>
      <c r="E136" s="996">
        <v>111</v>
      </c>
      <c r="F136" s="1094" t="s">
        <v>4482</v>
      </c>
      <c r="G136" s="1429"/>
      <c r="H136" s="1060">
        <f t="shared" si="143"/>
        <v>0</v>
      </c>
      <c r="I136" s="1060">
        <f t="shared" si="144"/>
        <v>650000000</v>
      </c>
      <c r="J136" s="1094">
        <v>100</v>
      </c>
      <c r="K136" s="1097">
        <v>130</v>
      </c>
      <c r="L136" s="1097">
        <v>103</v>
      </c>
      <c r="M136" s="1074">
        <v>0</v>
      </c>
      <c r="N136" s="1074">
        <v>0</v>
      </c>
      <c r="O136" s="1074">
        <v>0</v>
      </c>
      <c r="P136" s="1074"/>
      <c r="Q136" s="1074"/>
      <c r="R136" s="1074"/>
      <c r="S136" s="1094"/>
      <c r="T136" s="1094"/>
      <c r="U136" s="1094"/>
      <c r="V136" s="1094"/>
      <c r="W136" s="1094"/>
      <c r="X136" s="1094"/>
      <c r="Y136" s="1066">
        <f t="shared" si="145"/>
        <v>650000000</v>
      </c>
      <c r="Z136" s="1066"/>
      <c r="AA136" s="1066"/>
      <c r="AB136" s="1066"/>
      <c r="AC136" s="1066">
        <f>290000000+70000000+290000000</f>
        <v>650000000</v>
      </c>
      <c r="AD136" s="1066"/>
      <c r="AE136" s="1066"/>
      <c r="AF136" s="1066"/>
      <c r="AG136" s="1066"/>
      <c r="AH136" s="1066"/>
      <c r="AI136" s="1066"/>
      <c r="AJ136" s="1066"/>
      <c r="AK136" s="1066"/>
      <c r="AL136" s="1066"/>
      <c r="AM136" s="1066"/>
      <c r="AN136" s="1066"/>
      <c r="AO136" s="1066"/>
      <c r="AP136" s="1066"/>
      <c r="AQ136" s="1066"/>
      <c r="AR136" s="1066"/>
      <c r="AS136" s="1066"/>
      <c r="AT136" s="1088"/>
      <c r="AU136" s="1081">
        <f t="shared" si="103"/>
        <v>0</v>
      </c>
      <c r="AV136" s="1066">
        <f t="shared" si="146"/>
        <v>0</v>
      </c>
      <c r="AW136" s="1066"/>
      <c r="AX136" s="1066"/>
      <c r="AY136" s="1066"/>
      <c r="AZ136" s="1066"/>
      <c r="BA136" s="1066"/>
      <c r="BB136" s="1066"/>
      <c r="BC136" s="1066"/>
      <c r="BD136" s="1066"/>
      <c r="BE136" s="1066"/>
      <c r="BF136" s="1066"/>
      <c r="BG136" s="1066"/>
      <c r="BH136" s="1066"/>
      <c r="BI136" s="1066"/>
      <c r="BJ136" s="1066"/>
      <c r="BK136" s="1066"/>
      <c r="BL136" s="1066"/>
      <c r="BM136" s="1066"/>
      <c r="BN136" s="1066"/>
      <c r="BO136" s="1066"/>
      <c r="BP136" s="1066"/>
      <c r="BQ136" s="1081">
        <f t="shared" si="105"/>
        <v>1</v>
      </c>
      <c r="BR136" s="1066">
        <f t="shared" si="147"/>
        <v>650000000</v>
      </c>
      <c r="BS136" s="1066">
        <f t="shared" si="148"/>
        <v>0</v>
      </c>
      <c r="BT136" s="1066">
        <f t="shared" si="149"/>
        <v>0</v>
      </c>
      <c r="BU136" s="1066"/>
      <c r="BV136" s="1066">
        <f t="shared" si="150"/>
        <v>650000000</v>
      </c>
      <c r="BW136" s="1066">
        <f t="shared" si="150"/>
        <v>0</v>
      </c>
      <c r="BX136" s="1066">
        <f t="shared" si="151"/>
        <v>0</v>
      </c>
      <c r="BY136" s="1066">
        <f t="shared" si="151"/>
        <v>0</v>
      </c>
      <c r="BZ136" s="1066"/>
      <c r="CA136" s="1066">
        <f t="shared" si="152"/>
        <v>0</v>
      </c>
      <c r="CB136" s="1066">
        <f t="shared" si="152"/>
        <v>0</v>
      </c>
      <c r="CC136" s="1066">
        <f t="shared" si="152"/>
        <v>0</v>
      </c>
      <c r="CD136" s="1066">
        <f t="shared" si="152"/>
        <v>0</v>
      </c>
      <c r="CE136" s="1066">
        <f t="shared" si="152"/>
        <v>0</v>
      </c>
      <c r="CF136" s="1066">
        <f t="shared" si="152"/>
        <v>0</v>
      </c>
      <c r="CG136" s="1066">
        <f t="shared" si="152"/>
        <v>0</v>
      </c>
      <c r="CH136" s="1066">
        <f t="shared" si="152"/>
        <v>0</v>
      </c>
      <c r="CI136" s="1066">
        <f t="shared" si="152"/>
        <v>0</v>
      </c>
      <c r="CJ136" s="1066"/>
      <c r="CK136" s="1066"/>
      <c r="CL136" s="1066">
        <f t="shared" si="153"/>
        <v>0</v>
      </c>
      <c r="CM136" s="1081">
        <f t="shared" si="113"/>
        <v>0</v>
      </c>
      <c r="CN136" s="1066">
        <f t="shared" si="154"/>
        <v>0</v>
      </c>
      <c r="CO136" s="1066"/>
      <c r="CP136" s="1066"/>
      <c r="CQ136" s="1066"/>
      <c r="CR136" s="1066"/>
      <c r="CS136" s="1066"/>
      <c r="CT136" s="1066"/>
      <c r="CU136" s="1066"/>
      <c r="CV136" s="1066"/>
      <c r="CW136" s="1066"/>
      <c r="CX136" s="1066"/>
      <c r="CY136" s="1066"/>
      <c r="CZ136" s="1066"/>
      <c r="DA136" s="1066"/>
      <c r="DB136" s="1066"/>
      <c r="DC136" s="1066"/>
      <c r="DD136" s="1066"/>
      <c r="DE136" s="1066"/>
      <c r="DF136" s="1066"/>
      <c r="DG136" s="1066"/>
      <c r="DH136" s="1066"/>
      <c r="DI136" s="1081">
        <f t="shared" si="115"/>
        <v>1</v>
      </c>
      <c r="DJ136" s="1066">
        <f t="shared" si="155"/>
        <v>650000000</v>
      </c>
      <c r="DK136" s="1066"/>
      <c r="DL136" s="1066"/>
      <c r="DM136" s="1066"/>
      <c r="DN136" s="1066">
        <f t="shared" si="156"/>
        <v>650000000</v>
      </c>
      <c r="DO136" s="1066">
        <f t="shared" si="156"/>
        <v>0</v>
      </c>
      <c r="DP136" s="1066">
        <f t="shared" si="156"/>
        <v>0</v>
      </c>
      <c r="DQ136" s="1066">
        <f t="shared" si="156"/>
        <v>0</v>
      </c>
      <c r="DR136" s="1066"/>
      <c r="DS136" s="1066">
        <f t="shared" si="157"/>
        <v>0</v>
      </c>
      <c r="DT136" s="1066">
        <f t="shared" si="157"/>
        <v>0</v>
      </c>
      <c r="DU136" s="1066"/>
      <c r="DV136" s="1066">
        <f t="shared" si="158"/>
        <v>0</v>
      </c>
      <c r="DW136" s="1066">
        <f t="shared" si="158"/>
        <v>0</v>
      </c>
      <c r="DX136" s="1066">
        <f t="shared" si="158"/>
        <v>0</v>
      </c>
      <c r="DY136" s="1066">
        <f t="shared" si="159"/>
        <v>0</v>
      </c>
      <c r="DZ136" s="1066">
        <f t="shared" si="159"/>
        <v>0</v>
      </c>
      <c r="EA136" s="1066">
        <f t="shared" si="159"/>
        <v>0</v>
      </c>
      <c r="EB136" s="1066">
        <f t="shared" si="159"/>
        <v>0</v>
      </c>
      <c r="EC136" s="1066"/>
      <c r="ED136" s="1066">
        <f t="shared" si="160"/>
        <v>0</v>
      </c>
    </row>
    <row r="137" spans="1:136" ht="45.75" customHeight="1" x14ac:dyDescent="0.25">
      <c r="A137" s="1590"/>
      <c r="B137" s="989"/>
      <c r="C137" s="852" t="s">
        <v>4490</v>
      </c>
      <c r="D137" s="1018" t="s">
        <v>4473</v>
      </c>
      <c r="E137" s="994">
        <v>111</v>
      </c>
      <c r="F137" s="1094" t="s">
        <v>4482</v>
      </c>
      <c r="G137" s="1429"/>
      <c r="H137" s="1060">
        <f t="shared" si="143"/>
        <v>0</v>
      </c>
      <c r="I137" s="1060">
        <f t="shared" si="144"/>
        <v>938075763</v>
      </c>
      <c r="J137" s="1094">
        <v>1273</v>
      </c>
      <c r="K137" s="1097">
        <v>1832</v>
      </c>
      <c r="L137" s="1097">
        <v>1332</v>
      </c>
      <c r="M137" s="1097">
        <v>0</v>
      </c>
      <c r="N137" s="1097">
        <v>0</v>
      </c>
      <c r="O137" s="1097">
        <v>0</v>
      </c>
      <c r="P137" s="1097">
        <v>0</v>
      </c>
      <c r="Q137" s="1097">
        <v>0</v>
      </c>
      <c r="R137" s="1097">
        <v>0</v>
      </c>
      <c r="S137" s="1094"/>
      <c r="T137" s="1094"/>
      <c r="U137" s="1094"/>
      <c r="V137" s="1094"/>
      <c r="W137" s="1094"/>
      <c r="X137" s="1094"/>
      <c r="Y137" s="1007">
        <f t="shared" si="145"/>
        <v>938075763</v>
      </c>
      <c r="Z137" s="1007"/>
      <c r="AA137" s="1007"/>
      <c r="AB137" s="1007"/>
      <c r="AC137" s="1007">
        <f>699600000+99000000+80000000</f>
        <v>878600000</v>
      </c>
      <c r="AD137" s="1007"/>
      <c r="AE137" s="1007"/>
      <c r="AF137" s="1007"/>
      <c r="AG137" s="1007"/>
      <c r="AH137" s="1007"/>
      <c r="AI137" s="1007">
        <v>1940856</v>
      </c>
      <c r="AJ137" s="1007">
        <v>3438802</v>
      </c>
      <c r="AK137" s="1007">
        <v>54096105</v>
      </c>
      <c r="AL137" s="1007"/>
      <c r="AM137" s="1007"/>
      <c r="AN137" s="1007"/>
      <c r="AO137" s="1007"/>
      <c r="AP137" s="1007"/>
      <c r="AQ137" s="1007"/>
      <c r="AR137" s="1007"/>
      <c r="AS137" s="1007"/>
      <c r="AT137" s="984"/>
      <c r="AU137" s="1010">
        <f t="shared" si="103"/>
        <v>0</v>
      </c>
      <c r="AV137" s="1007">
        <f t="shared" si="146"/>
        <v>0</v>
      </c>
      <c r="AW137" s="1007"/>
      <c r="AX137" s="1007"/>
      <c r="AY137" s="1007"/>
      <c r="AZ137" s="1007"/>
      <c r="BA137" s="1007"/>
      <c r="BB137" s="1007"/>
      <c r="BC137" s="1007"/>
      <c r="BD137" s="1007"/>
      <c r="BE137" s="1007"/>
      <c r="BF137" s="1007"/>
      <c r="BG137" s="1007"/>
      <c r="BH137" s="1007"/>
      <c r="BI137" s="1007"/>
      <c r="BJ137" s="1007"/>
      <c r="BK137" s="1007"/>
      <c r="BL137" s="1007"/>
      <c r="BM137" s="1007"/>
      <c r="BN137" s="1007"/>
      <c r="BO137" s="1007"/>
      <c r="BP137" s="1007"/>
      <c r="BQ137" s="1010">
        <f t="shared" si="105"/>
        <v>1</v>
      </c>
      <c r="BR137" s="1007">
        <f t="shared" si="147"/>
        <v>938075763</v>
      </c>
      <c r="BS137" s="1007">
        <f t="shared" si="148"/>
        <v>0</v>
      </c>
      <c r="BT137" s="1007">
        <f t="shared" si="149"/>
        <v>0</v>
      </c>
      <c r="BU137" s="1007"/>
      <c r="BV137" s="1007">
        <f t="shared" si="150"/>
        <v>878600000</v>
      </c>
      <c r="BW137" s="1007">
        <f t="shared" si="150"/>
        <v>0</v>
      </c>
      <c r="BX137" s="1007">
        <f t="shared" si="151"/>
        <v>0</v>
      </c>
      <c r="BY137" s="1007">
        <f t="shared" si="151"/>
        <v>0</v>
      </c>
      <c r="BZ137" s="1007"/>
      <c r="CA137" s="1007">
        <f t="shared" si="152"/>
        <v>0</v>
      </c>
      <c r="CB137" s="1007">
        <f t="shared" si="152"/>
        <v>1940856</v>
      </c>
      <c r="CC137" s="1007">
        <f t="shared" si="152"/>
        <v>3438802</v>
      </c>
      <c r="CD137" s="1007">
        <f t="shared" si="152"/>
        <v>54096105</v>
      </c>
      <c r="CE137" s="1007">
        <f t="shared" si="152"/>
        <v>0</v>
      </c>
      <c r="CF137" s="1007">
        <f t="shared" si="152"/>
        <v>0</v>
      </c>
      <c r="CG137" s="1007">
        <f t="shared" si="152"/>
        <v>0</v>
      </c>
      <c r="CH137" s="1007">
        <f t="shared" si="152"/>
        <v>0</v>
      </c>
      <c r="CI137" s="1007">
        <f t="shared" si="152"/>
        <v>0</v>
      </c>
      <c r="CJ137" s="1007">
        <f>+AQ137-BN137</f>
        <v>0</v>
      </c>
      <c r="CK137" s="1007">
        <f>+AR137-BO137</f>
        <v>0</v>
      </c>
      <c r="CL137" s="1007">
        <f t="shared" si="153"/>
        <v>0</v>
      </c>
      <c r="CM137" s="1010">
        <f t="shared" si="113"/>
        <v>0</v>
      </c>
      <c r="CN137" s="1007">
        <f t="shared" si="154"/>
        <v>0</v>
      </c>
      <c r="CO137" s="1007"/>
      <c r="CP137" s="1007"/>
      <c r="CQ137" s="1007"/>
      <c r="CR137" s="1007"/>
      <c r="CS137" s="1007"/>
      <c r="CT137" s="1007"/>
      <c r="CU137" s="1007"/>
      <c r="CV137" s="1007"/>
      <c r="CW137" s="1007"/>
      <c r="CX137" s="1007"/>
      <c r="CY137" s="1007"/>
      <c r="CZ137" s="1007"/>
      <c r="DA137" s="1007"/>
      <c r="DB137" s="1007"/>
      <c r="DC137" s="1007"/>
      <c r="DD137" s="1007"/>
      <c r="DE137" s="1007"/>
      <c r="DF137" s="1007"/>
      <c r="DG137" s="1007"/>
      <c r="DH137" s="1007"/>
      <c r="DI137" s="1010">
        <f t="shared" si="115"/>
        <v>1</v>
      </c>
      <c r="DJ137" s="1007">
        <f t="shared" si="155"/>
        <v>938075763</v>
      </c>
      <c r="DK137" s="1007"/>
      <c r="DL137" s="1007"/>
      <c r="DM137" s="1007"/>
      <c r="DN137" s="1007">
        <f t="shared" si="156"/>
        <v>878600000</v>
      </c>
      <c r="DO137" s="1007">
        <f t="shared" si="156"/>
        <v>0</v>
      </c>
      <c r="DP137" s="1007">
        <f t="shared" si="156"/>
        <v>0</v>
      </c>
      <c r="DQ137" s="1007">
        <f t="shared" si="156"/>
        <v>0</v>
      </c>
      <c r="DR137" s="1007"/>
      <c r="DS137" s="1007">
        <f t="shared" si="157"/>
        <v>0</v>
      </c>
      <c r="DT137" s="1007">
        <f t="shared" si="157"/>
        <v>1940856</v>
      </c>
      <c r="DU137" s="1007">
        <f>+AJ137-CY137</f>
        <v>3438802</v>
      </c>
      <c r="DV137" s="1007">
        <f t="shared" si="158"/>
        <v>54096105</v>
      </c>
      <c r="DW137" s="1007">
        <f t="shared" si="158"/>
        <v>0</v>
      </c>
      <c r="DX137" s="1007">
        <f t="shared" si="158"/>
        <v>0</v>
      </c>
      <c r="DY137" s="1007">
        <f t="shared" si="159"/>
        <v>0</v>
      </c>
      <c r="DZ137" s="1007">
        <f t="shared" si="159"/>
        <v>0</v>
      </c>
      <c r="EA137" s="1007">
        <f t="shared" si="159"/>
        <v>0</v>
      </c>
      <c r="EB137" s="1007">
        <f t="shared" si="159"/>
        <v>0</v>
      </c>
      <c r="EC137" s="1007"/>
      <c r="ED137" s="1007">
        <f t="shared" si="160"/>
        <v>0</v>
      </c>
    </row>
    <row r="138" spans="1:136" ht="33.75" customHeight="1" x14ac:dyDescent="0.25">
      <c r="A138" s="1590"/>
      <c r="B138" s="989"/>
      <c r="C138" s="852" t="s">
        <v>4491</v>
      </c>
      <c r="D138" s="1018" t="s">
        <v>4474</v>
      </c>
      <c r="E138" s="994">
        <v>111</v>
      </c>
      <c r="F138" s="1094" t="s">
        <v>4482</v>
      </c>
      <c r="G138" s="1429"/>
      <c r="H138" s="1060">
        <f t="shared" si="143"/>
        <v>0</v>
      </c>
      <c r="I138" s="1060">
        <f t="shared" si="144"/>
        <v>233200000</v>
      </c>
      <c r="J138" s="1094">
        <v>60</v>
      </c>
      <c r="K138" s="1097">
        <v>80</v>
      </c>
      <c r="L138" s="1097">
        <v>62</v>
      </c>
      <c r="M138" s="1097">
        <v>0</v>
      </c>
      <c r="N138" s="1097">
        <v>0</v>
      </c>
      <c r="O138" s="1097">
        <v>0</v>
      </c>
      <c r="P138" s="1097">
        <v>0</v>
      </c>
      <c r="Q138" s="1097">
        <v>0</v>
      </c>
      <c r="R138" s="1097">
        <v>0</v>
      </c>
      <c r="S138" s="1094"/>
      <c r="T138" s="1094"/>
      <c r="U138" s="1094"/>
      <c r="V138" s="1094"/>
      <c r="W138" s="1094"/>
      <c r="X138" s="1094"/>
      <c r="Y138" s="1007">
        <f t="shared" si="145"/>
        <v>233200000</v>
      </c>
      <c r="Z138" s="1007"/>
      <c r="AA138" s="1007"/>
      <c r="AB138" s="1007"/>
      <c r="AC138" s="1007">
        <v>233200000</v>
      </c>
      <c r="AD138" s="1007"/>
      <c r="AE138" s="1007"/>
      <c r="AF138" s="1007"/>
      <c r="AG138" s="1007"/>
      <c r="AH138" s="1007"/>
      <c r="AI138" s="1007"/>
      <c r="AJ138" s="1007"/>
      <c r="AK138" s="1007"/>
      <c r="AL138" s="1007"/>
      <c r="AM138" s="1007"/>
      <c r="AN138" s="1007"/>
      <c r="AO138" s="1007"/>
      <c r="AP138" s="1007"/>
      <c r="AQ138" s="1007"/>
      <c r="AR138" s="1007"/>
      <c r="AS138" s="1007"/>
      <c r="AT138" s="984"/>
      <c r="AU138" s="1010">
        <f t="shared" si="103"/>
        <v>0</v>
      </c>
      <c r="AV138" s="1007">
        <f t="shared" si="146"/>
        <v>0</v>
      </c>
      <c r="AW138" s="1007"/>
      <c r="AX138" s="1007"/>
      <c r="AY138" s="1007"/>
      <c r="AZ138" s="1007"/>
      <c r="BA138" s="1007"/>
      <c r="BB138" s="1007"/>
      <c r="BC138" s="1007"/>
      <c r="BD138" s="1007"/>
      <c r="BE138" s="1007"/>
      <c r="BF138" s="1007"/>
      <c r="BG138" s="1007"/>
      <c r="BH138" s="1007"/>
      <c r="BI138" s="1007"/>
      <c r="BJ138" s="1007"/>
      <c r="BK138" s="1007"/>
      <c r="BL138" s="1007"/>
      <c r="BM138" s="1007"/>
      <c r="BN138" s="1007"/>
      <c r="BO138" s="1007"/>
      <c r="BP138" s="1007"/>
      <c r="BQ138" s="1010">
        <f t="shared" si="105"/>
        <v>1</v>
      </c>
      <c r="BR138" s="1007">
        <f t="shared" si="147"/>
        <v>233200000</v>
      </c>
      <c r="BS138" s="1007">
        <f t="shared" si="148"/>
        <v>0</v>
      </c>
      <c r="BT138" s="1007">
        <f t="shared" si="149"/>
        <v>0</v>
      </c>
      <c r="BU138" s="1007"/>
      <c r="BV138" s="1007">
        <f t="shared" si="150"/>
        <v>233200000</v>
      </c>
      <c r="BW138" s="1007">
        <f t="shared" si="150"/>
        <v>0</v>
      </c>
      <c r="BX138" s="1007">
        <f t="shared" si="151"/>
        <v>0</v>
      </c>
      <c r="BY138" s="1007">
        <f t="shared" si="151"/>
        <v>0</v>
      </c>
      <c r="BZ138" s="1007"/>
      <c r="CA138" s="1007">
        <f t="shared" si="152"/>
        <v>0</v>
      </c>
      <c r="CB138" s="1007">
        <f t="shared" si="152"/>
        <v>0</v>
      </c>
      <c r="CC138" s="1007">
        <f t="shared" si="152"/>
        <v>0</v>
      </c>
      <c r="CD138" s="1007">
        <f t="shared" si="152"/>
        <v>0</v>
      </c>
      <c r="CE138" s="1007">
        <f t="shared" si="152"/>
        <v>0</v>
      </c>
      <c r="CF138" s="1007">
        <f t="shared" si="152"/>
        <v>0</v>
      </c>
      <c r="CG138" s="1007">
        <f t="shared" si="152"/>
        <v>0</v>
      </c>
      <c r="CH138" s="1007">
        <f t="shared" si="152"/>
        <v>0</v>
      </c>
      <c r="CI138" s="1007">
        <f t="shared" si="152"/>
        <v>0</v>
      </c>
      <c r="CJ138" s="1007"/>
      <c r="CK138" s="1007">
        <f t="shared" ref="CK138:CK150" si="161">+AR138-BO138</f>
        <v>0</v>
      </c>
      <c r="CL138" s="1007">
        <f t="shared" si="153"/>
        <v>0</v>
      </c>
      <c r="CM138" s="1010">
        <f t="shared" si="113"/>
        <v>0</v>
      </c>
      <c r="CN138" s="1007">
        <f t="shared" si="154"/>
        <v>0</v>
      </c>
      <c r="CO138" s="1007"/>
      <c r="CP138" s="1007"/>
      <c r="CQ138" s="1007"/>
      <c r="CR138" s="1007"/>
      <c r="CS138" s="1007"/>
      <c r="CT138" s="1007"/>
      <c r="CU138" s="1007"/>
      <c r="CV138" s="1007"/>
      <c r="CW138" s="1007"/>
      <c r="CX138" s="1007"/>
      <c r="CY138" s="1007"/>
      <c r="CZ138" s="1007"/>
      <c r="DA138" s="1007"/>
      <c r="DB138" s="1007"/>
      <c r="DC138" s="1007"/>
      <c r="DD138" s="1007"/>
      <c r="DE138" s="1007"/>
      <c r="DF138" s="1007"/>
      <c r="DG138" s="1007"/>
      <c r="DH138" s="1007"/>
      <c r="DI138" s="1010">
        <f t="shared" si="115"/>
        <v>1</v>
      </c>
      <c r="DJ138" s="1007">
        <f t="shared" si="155"/>
        <v>233200000</v>
      </c>
      <c r="DK138" s="1007"/>
      <c r="DL138" s="1007"/>
      <c r="DM138" s="1007"/>
      <c r="DN138" s="1007">
        <f t="shared" si="156"/>
        <v>233200000</v>
      </c>
      <c r="DO138" s="1007">
        <f t="shared" si="156"/>
        <v>0</v>
      </c>
      <c r="DP138" s="1007">
        <f t="shared" si="156"/>
        <v>0</v>
      </c>
      <c r="DQ138" s="1007">
        <f t="shared" si="156"/>
        <v>0</v>
      </c>
      <c r="DR138" s="1007"/>
      <c r="DS138" s="1007">
        <f t="shared" si="157"/>
        <v>0</v>
      </c>
      <c r="DT138" s="1007">
        <f t="shared" si="157"/>
        <v>0</v>
      </c>
      <c r="DU138" s="1007">
        <f>+AJ138-CY138</f>
        <v>0</v>
      </c>
      <c r="DV138" s="1007">
        <f t="shared" si="158"/>
        <v>0</v>
      </c>
      <c r="DW138" s="1007">
        <f t="shared" si="158"/>
        <v>0</v>
      </c>
      <c r="DX138" s="1007">
        <f t="shared" si="158"/>
        <v>0</v>
      </c>
      <c r="DY138" s="1007">
        <f t="shared" si="159"/>
        <v>0</v>
      </c>
      <c r="DZ138" s="1007">
        <f t="shared" si="159"/>
        <v>0</v>
      </c>
      <c r="EA138" s="1007">
        <f t="shared" si="159"/>
        <v>0</v>
      </c>
      <c r="EB138" s="1007">
        <f t="shared" si="159"/>
        <v>0</v>
      </c>
      <c r="EC138" s="1007"/>
      <c r="ED138" s="1007">
        <f t="shared" si="160"/>
        <v>0</v>
      </c>
    </row>
    <row r="139" spans="1:136" ht="52.5" customHeight="1" x14ac:dyDescent="0.25">
      <c r="A139" s="1590"/>
      <c r="B139" s="989"/>
      <c r="C139" s="852" t="s">
        <v>4492</v>
      </c>
      <c r="D139" s="1018" t="s">
        <v>4475</v>
      </c>
      <c r="E139" s="994">
        <v>111</v>
      </c>
      <c r="F139" s="1094" t="s">
        <v>4482</v>
      </c>
      <c r="G139" s="1429"/>
      <c r="H139" s="1060">
        <f t="shared" si="143"/>
        <v>0</v>
      </c>
      <c r="I139" s="1060">
        <f t="shared" si="144"/>
        <v>300000000</v>
      </c>
      <c r="J139" s="1283">
        <v>206</v>
      </c>
      <c r="K139" s="1198">
        <v>448</v>
      </c>
      <c r="L139" s="1198">
        <v>230</v>
      </c>
      <c r="M139" s="1097">
        <v>0</v>
      </c>
      <c r="N139" s="1097">
        <v>0</v>
      </c>
      <c r="O139" s="1097">
        <v>0</v>
      </c>
      <c r="P139" s="1097">
        <v>0</v>
      </c>
      <c r="Q139" s="1097">
        <v>0</v>
      </c>
      <c r="R139" s="1097">
        <v>0</v>
      </c>
      <c r="S139" s="1094"/>
      <c r="T139" s="1094"/>
      <c r="U139" s="1094"/>
      <c r="V139" s="1094"/>
      <c r="W139" s="1094"/>
      <c r="X139" s="1094"/>
      <c r="Y139" s="1007">
        <f t="shared" si="145"/>
        <v>300000000</v>
      </c>
      <c r="Z139" s="1007"/>
      <c r="AA139" s="1007"/>
      <c r="AB139" s="1007"/>
      <c r="AC139" s="1007">
        <f>114715796+100000000-12000000</f>
        <v>202715796</v>
      </c>
      <c r="AD139" s="1007"/>
      <c r="AE139" s="1007"/>
      <c r="AF139" s="1007"/>
      <c r="AG139" s="1007"/>
      <c r="AH139" s="1007"/>
      <c r="AI139" s="1007"/>
      <c r="AJ139" s="1007"/>
      <c r="AK139" s="1007">
        <v>97284204</v>
      </c>
      <c r="AL139" s="1007"/>
      <c r="AM139" s="1007"/>
      <c r="AN139" s="1007"/>
      <c r="AO139" s="1007"/>
      <c r="AP139" s="1007"/>
      <c r="AQ139" s="1007"/>
      <c r="AR139" s="1007"/>
      <c r="AS139" s="1007"/>
      <c r="AT139" s="984"/>
      <c r="AU139" s="1010">
        <f t="shared" si="103"/>
        <v>0</v>
      </c>
      <c r="AV139" s="1007">
        <f t="shared" si="146"/>
        <v>0</v>
      </c>
      <c r="AW139" s="1007"/>
      <c r="AX139" s="1007"/>
      <c r="AY139" s="1007"/>
      <c r="AZ139" s="1007"/>
      <c r="BA139" s="1007"/>
      <c r="BB139" s="1007"/>
      <c r="BC139" s="1007"/>
      <c r="BD139" s="1007"/>
      <c r="BE139" s="1007"/>
      <c r="BF139" s="1007"/>
      <c r="BG139" s="1007"/>
      <c r="BH139" s="1007"/>
      <c r="BI139" s="1007"/>
      <c r="BJ139" s="1007"/>
      <c r="BK139" s="1007"/>
      <c r="BL139" s="1007"/>
      <c r="BM139" s="1007"/>
      <c r="BN139" s="1007"/>
      <c r="BO139" s="1007"/>
      <c r="BP139" s="1007"/>
      <c r="BQ139" s="1010">
        <f t="shared" si="105"/>
        <v>1</v>
      </c>
      <c r="BR139" s="1007">
        <f t="shared" si="147"/>
        <v>300000000</v>
      </c>
      <c r="BS139" s="1007">
        <f t="shared" si="148"/>
        <v>0</v>
      </c>
      <c r="BT139" s="1007">
        <f t="shared" si="149"/>
        <v>0</v>
      </c>
      <c r="BU139" s="1007"/>
      <c r="BV139" s="1007">
        <f t="shared" si="150"/>
        <v>202715796</v>
      </c>
      <c r="BW139" s="1007">
        <f t="shared" si="150"/>
        <v>0</v>
      </c>
      <c r="BX139" s="1007">
        <f t="shared" si="151"/>
        <v>0</v>
      </c>
      <c r="BY139" s="1007">
        <f t="shared" si="151"/>
        <v>0</v>
      </c>
      <c r="BZ139" s="1007"/>
      <c r="CA139" s="1007">
        <f t="shared" si="152"/>
        <v>0</v>
      </c>
      <c r="CB139" s="1007">
        <f t="shared" si="152"/>
        <v>0</v>
      </c>
      <c r="CC139" s="1007">
        <f t="shared" si="152"/>
        <v>0</v>
      </c>
      <c r="CD139" s="1007">
        <f t="shared" si="152"/>
        <v>97284204</v>
      </c>
      <c r="CE139" s="1007">
        <f t="shared" si="152"/>
        <v>0</v>
      </c>
      <c r="CF139" s="1007">
        <f t="shared" si="152"/>
        <v>0</v>
      </c>
      <c r="CG139" s="1007">
        <f t="shared" si="152"/>
        <v>0</v>
      </c>
      <c r="CH139" s="1007">
        <f t="shared" si="152"/>
        <v>0</v>
      </c>
      <c r="CI139" s="1007">
        <f t="shared" si="152"/>
        <v>0</v>
      </c>
      <c r="CJ139" s="1007"/>
      <c r="CK139" s="1007">
        <f t="shared" si="161"/>
        <v>0</v>
      </c>
      <c r="CL139" s="1007">
        <f t="shared" si="153"/>
        <v>0</v>
      </c>
      <c r="CM139" s="1010">
        <f t="shared" si="113"/>
        <v>0</v>
      </c>
      <c r="CN139" s="1007">
        <f t="shared" si="154"/>
        <v>0</v>
      </c>
      <c r="CO139" s="1007"/>
      <c r="CP139" s="1007"/>
      <c r="CQ139" s="1007"/>
      <c r="CR139" s="1007"/>
      <c r="CS139" s="1007"/>
      <c r="CT139" s="1007"/>
      <c r="CU139" s="1007"/>
      <c r="CV139" s="1007"/>
      <c r="CW139" s="1007"/>
      <c r="CX139" s="1007"/>
      <c r="CY139" s="1007"/>
      <c r="CZ139" s="1007"/>
      <c r="DA139" s="1007"/>
      <c r="DB139" s="1007"/>
      <c r="DC139" s="1007"/>
      <c r="DD139" s="1007"/>
      <c r="DE139" s="1007"/>
      <c r="DF139" s="1007"/>
      <c r="DG139" s="1007"/>
      <c r="DH139" s="1007"/>
      <c r="DI139" s="1010">
        <f t="shared" si="115"/>
        <v>1</v>
      </c>
      <c r="DJ139" s="1007">
        <f t="shared" si="155"/>
        <v>300000000</v>
      </c>
      <c r="DK139" s="1007"/>
      <c r="DL139" s="1007"/>
      <c r="DM139" s="1007"/>
      <c r="DN139" s="1007">
        <f t="shared" si="156"/>
        <v>202715796</v>
      </c>
      <c r="DO139" s="1007">
        <f t="shared" si="156"/>
        <v>0</v>
      </c>
      <c r="DP139" s="1007">
        <f t="shared" si="156"/>
        <v>0</v>
      </c>
      <c r="DQ139" s="1007">
        <f t="shared" si="156"/>
        <v>0</v>
      </c>
      <c r="DR139" s="1007"/>
      <c r="DS139" s="1007">
        <f t="shared" si="157"/>
        <v>0</v>
      </c>
      <c r="DT139" s="1007">
        <f t="shared" si="157"/>
        <v>0</v>
      </c>
      <c r="DU139" s="1007"/>
      <c r="DV139" s="1007">
        <f t="shared" si="158"/>
        <v>97284204</v>
      </c>
      <c r="DW139" s="1007">
        <f t="shared" si="158"/>
        <v>0</v>
      </c>
      <c r="DX139" s="1007">
        <f t="shared" si="158"/>
        <v>0</v>
      </c>
      <c r="DY139" s="1007">
        <f t="shared" si="159"/>
        <v>0</v>
      </c>
      <c r="DZ139" s="1007">
        <f t="shared" si="159"/>
        <v>0</v>
      </c>
      <c r="EA139" s="1007">
        <f t="shared" si="159"/>
        <v>0</v>
      </c>
      <c r="EB139" s="1007">
        <f t="shared" si="159"/>
        <v>0</v>
      </c>
      <c r="EC139" s="1007"/>
      <c r="ED139" s="1007">
        <f t="shared" si="160"/>
        <v>0</v>
      </c>
      <c r="EE139" s="1035"/>
    </row>
    <row r="140" spans="1:136" ht="32.25" customHeight="1" x14ac:dyDescent="0.25">
      <c r="A140" s="1590"/>
      <c r="B140" s="989"/>
      <c r="C140" s="852" t="s">
        <v>4493</v>
      </c>
      <c r="D140" s="1018" t="s">
        <v>4476</v>
      </c>
      <c r="E140" s="994">
        <v>111</v>
      </c>
      <c r="F140" s="1094" t="s">
        <v>4482</v>
      </c>
      <c r="G140" s="1429"/>
      <c r="H140" s="1060">
        <f t="shared" si="143"/>
        <v>0</v>
      </c>
      <c r="I140" s="1060">
        <f t="shared" si="144"/>
        <v>35000000</v>
      </c>
      <c r="J140" s="1283"/>
      <c r="K140" s="1198"/>
      <c r="L140" s="1198"/>
      <c r="M140" s="1097">
        <v>0</v>
      </c>
      <c r="N140" s="1097">
        <v>0</v>
      </c>
      <c r="O140" s="1097">
        <v>0</v>
      </c>
      <c r="P140" s="1097">
        <v>0</v>
      </c>
      <c r="Q140" s="1097">
        <v>0</v>
      </c>
      <c r="R140" s="1097">
        <v>0</v>
      </c>
      <c r="S140" s="1094"/>
      <c r="T140" s="1094"/>
      <c r="U140" s="1094"/>
      <c r="V140" s="1094"/>
      <c r="W140" s="1094"/>
      <c r="X140" s="1094"/>
      <c r="Y140" s="1007">
        <f t="shared" si="145"/>
        <v>35000000</v>
      </c>
      <c r="Z140" s="1007"/>
      <c r="AA140" s="1007"/>
      <c r="AB140" s="1007"/>
      <c r="AC140" s="1007">
        <f>71000000-71000000</f>
        <v>0</v>
      </c>
      <c r="AD140" s="1007"/>
      <c r="AE140" s="1007"/>
      <c r="AF140" s="1007"/>
      <c r="AG140" s="1007"/>
      <c r="AH140" s="1007"/>
      <c r="AI140" s="1007"/>
      <c r="AJ140" s="1007"/>
      <c r="AK140" s="1007">
        <v>35000000</v>
      </c>
      <c r="AL140" s="1007"/>
      <c r="AM140" s="1007"/>
      <c r="AN140" s="1007"/>
      <c r="AO140" s="1007"/>
      <c r="AP140" s="1007"/>
      <c r="AQ140" s="1007"/>
      <c r="AR140" s="1007"/>
      <c r="AS140" s="1007"/>
      <c r="AT140" s="984"/>
      <c r="AU140" s="1010">
        <f t="shared" si="103"/>
        <v>0</v>
      </c>
      <c r="AV140" s="1007">
        <f t="shared" si="146"/>
        <v>0</v>
      </c>
      <c r="AW140" s="1007"/>
      <c r="AX140" s="1007"/>
      <c r="AY140" s="1007"/>
      <c r="AZ140" s="1007"/>
      <c r="BA140" s="1007"/>
      <c r="BB140" s="1007"/>
      <c r="BC140" s="1007"/>
      <c r="BD140" s="1007"/>
      <c r="BE140" s="1007"/>
      <c r="BF140" s="1007"/>
      <c r="BG140" s="1007"/>
      <c r="BH140" s="1007"/>
      <c r="BI140" s="1007"/>
      <c r="BJ140" s="1007"/>
      <c r="BK140" s="1007"/>
      <c r="BL140" s="1007"/>
      <c r="BM140" s="1007"/>
      <c r="BN140" s="1007"/>
      <c r="BO140" s="1007"/>
      <c r="BP140" s="1007"/>
      <c r="BQ140" s="1010">
        <f t="shared" si="105"/>
        <v>1</v>
      </c>
      <c r="BR140" s="1007">
        <f t="shared" si="147"/>
        <v>35000000</v>
      </c>
      <c r="BS140" s="1007">
        <f t="shared" si="148"/>
        <v>0</v>
      </c>
      <c r="BT140" s="1007">
        <f t="shared" si="149"/>
        <v>0</v>
      </c>
      <c r="BU140" s="1007"/>
      <c r="BV140" s="1007">
        <f t="shared" si="150"/>
        <v>0</v>
      </c>
      <c r="BW140" s="1007">
        <f t="shared" si="150"/>
        <v>0</v>
      </c>
      <c r="BX140" s="1007">
        <f t="shared" si="151"/>
        <v>0</v>
      </c>
      <c r="BY140" s="1007">
        <f t="shared" si="151"/>
        <v>0</v>
      </c>
      <c r="BZ140" s="1007"/>
      <c r="CA140" s="1007">
        <f t="shared" si="152"/>
        <v>0</v>
      </c>
      <c r="CB140" s="1007">
        <f t="shared" si="152"/>
        <v>0</v>
      </c>
      <c r="CC140" s="1007">
        <f t="shared" si="152"/>
        <v>0</v>
      </c>
      <c r="CD140" s="1007">
        <f t="shared" si="152"/>
        <v>35000000</v>
      </c>
      <c r="CE140" s="1007">
        <f t="shared" si="152"/>
        <v>0</v>
      </c>
      <c r="CF140" s="1007">
        <f t="shared" si="152"/>
        <v>0</v>
      </c>
      <c r="CG140" s="1007">
        <f t="shared" si="152"/>
        <v>0</v>
      </c>
      <c r="CH140" s="1007">
        <f t="shared" si="152"/>
        <v>0</v>
      </c>
      <c r="CI140" s="1007">
        <f t="shared" si="152"/>
        <v>0</v>
      </c>
      <c r="CJ140" s="1007"/>
      <c r="CK140" s="1007">
        <f t="shared" si="161"/>
        <v>0</v>
      </c>
      <c r="CL140" s="1007">
        <f t="shared" si="153"/>
        <v>0</v>
      </c>
      <c r="CM140" s="1010">
        <f t="shared" si="113"/>
        <v>0</v>
      </c>
      <c r="CN140" s="1007">
        <f t="shared" si="154"/>
        <v>0</v>
      </c>
      <c r="CO140" s="1007"/>
      <c r="CP140" s="1007"/>
      <c r="CQ140" s="1007"/>
      <c r="CR140" s="1007"/>
      <c r="CS140" s="1007"/>
      <c r="CT140" s="1007"/>
      <c r="CU140" s="1007"/>
      <c r="CV140" s="1007"/>
      <c r="CW140" s="1007"/>
      <c r="CX140" s="1007"/>
      <c r="CY140" s="1007"/>
      <c r="CZ140" s="1007"/>
      <c r="DA140" s="1007"/>
      <c r="DB140" s="1007"/>
      <c r="DC140" s="1007"/>
      <c r="DD140" s="1007"/>
      <c r="DE140" s="1007"/>
      <c r="DF140" s="1007"/>
      <c r="DG140" s="1007"/>
      <c r="DH140" s="1007"/>
      <c r="DI140" s="1010">
        <f t="shared" si="115"/>
        <v>1</v>
      </c>
      <c r="DJ140" s="1007">
        <f t="shared" si="155"/>
        <v>35000000</v>
      </c>
      <c r="DK140" s="1007"/>
      <c r="DL140" s="1007"/>
      <c r="DM140" s="1007"/>
      <c r="DN140" s="1007">
        <f t="shared" si="156"/>
        <v>0</v>
      </c>
      <c r="DO140" s="1007">
        <f t="shared" si="156"/>
        <v>0</v>
      </c>
      <c r="DP140" s="1007">
        <f t="shared" si="156"/>
        <v>0</v>
      </c>
      <c r="DQ140" s="1007">
        <f t="shared" si="156"/>
        <v>0</v>
      </c>
      <c r="DR140" s="1007"/>
      <c r="DS140" s="1007">
        <f t="shared" si="157"/>
        <v>0</v>
      </c>
      <c r="DT140" s="1007">
        <f t="shared" si="157"/>
        <v>0</v>
      </c>
      <c r="DU140" s="1007"/>
      <c r="DV140" s="1007">
        <f t="shared" si="158"/>
        <v>35000000</v>
      </c>
      <c r="DW140" s="1007">
        <f t="shared" si="158"/>
        <v>0</v>
      </c>
      <c r="DX140" s="1007">
        <f t="shared" si="158"/>
        <v>0</v>
      </c>
      <c r="DY140" s="1007">
        <f t="shared" si="159"/>
        <v>0</v>
      </c>
      <c r="DZ140" s="1007">
        <f t="shared" si="159"/>
        <v>0</v>
      </c>
      <c r="EA140" s="1007">
        <f t="shared" si="159"/>
        <v>0</v>
      </c>
      <c r="EB140" s="1007">
        <f t="shared" si="159"/>
        <v>0</v>
      </c>
      <c r="EC140" s="1007"/>
      <c r="ED140" s="1007">
        <f t="shared" si="160"/>
        <v>0</v>
      </c>
    </row>
    <row r="141" spans="1:136" s="203" customFormat="1" ht="28.5" customHeight="1" x14ac:dyDescent="0.25">
      <c r="A141" s="1590"/>
      <c r="B141" s="989"/>
      <c r="C141" s="1080" t="s">
        <v>4494</v>
      </c>
      <c r="D141" s="1018" t="s">
        <v>4477</v>
      </c>
      <c r="E141" s="996">
        <v>111</v>
      </c>
      <c r="F141" s="1094" t="s">
        <v>4482</v>
      </c>
      <c r="G141" s="1429"/>
      <c r="H141" s="1060">
        <f t="shared" si="143"/>
        <v>0</v>
      </c>
      <c r="I141" s="1060">
        <f t="shared" si="144"/>
        <v>0</v>
      </c>
      <c r="J141" s="1428">
        <v>320</v>
      </c>
      <c r="K141" s="1257">
        <v>948</v>
      </c>
      <c r="L141" s="1257">
        <v>390</v>
      </c>
      <c r="M141" s="1074">
        <v>0</v>
      </c>
      <c r="N141" s="1074">
        <v>0</v>
      </c>
      <c r="O141" s="1074">
        <v>0</v>
      </c>
      <c r="P141" s="1074"/>
      <c r="Q141" s="1074"/>
      <c r="R141" s="1074"/>
      <c r="S141" s="1094"/>
      <c r="T141" s="1094"/>
      <c r="U141" s="1094"/>
      <c r="V141" s="1094"/>
      <c r="W141" s="1094"/>
      <c r="X141" s="1094"/>
      <c r="Y141" s="1066">
        <f t="shared" si="145"/>
        <v>0</v>
      </c>
      <c r="Z141" s="1066"/>
      <c r="AA141" s="1066"/>
      <c r="AB141" s="1066"/>
      <c r="AC141" s="1066">
        <f>1804000000-636519551-639181389-128000000-400299060</f>
        <v>0</v>
      </c>
      <c r="AD141" s="1066"/>
      <c r="AE141" s="1066"/>
      <c r="AF141" s="1066"/>
      <c r="AG141" s="1066"/>
      <c r="AH141" s="1066"/>
      <c r="AI141" s="1066"/>
      <c r="AJ141" s="1066"/>
      <c r="AK141" s="1066"/>
      <c r="AL141" s="1066"/>
      <c r="AM141" s="1066"/>
      <c r="AN141" s="1066"/>
      <c r="AO141" s="1066"/>
      <c r="AP141" s="1066"/>
      <c r="AQ141" s="1066"/>
      <c r="AR141" s="1066"/>
      <c r="AS141" s="1066"/>
      <c r="AT141" s="1088"/>
      <c r="AU141" s="1081" t="e">
        <f t="shared" si="103"/>
        <v>#DIV/0!</v>
      </c>
      <c r="AV141" s="1066">
        <f t="shared" si="146"/>
        <v>0</v>
      </c>
      <c r="AW141" s="1066"/>
      <c r="AX141" s="1066"/>
      <c r="AY141" s="1066"/>
      <c r="AZ141" s="1066"/>
      <c r="BA141" s="1066"/>
      <c r="BB141" s="1066"/>
      <c r="BC141" s="1066"/>
      <c r="BD141" s="1066"/>
      <c r="BE141" s="1066"/>
      <c r="BF141" s="1066"/>
      <c r="BG141" s="1066"/>
      <c r="BH141" s="1066"/>
      <c r="BI141" s="1066"/>
      <c r="BJ141" s="1066"/>
      <c r="BK141" s="1066"/>
      <c r="BL141" s="1066"/>
      <c r="BM141" s="1066"/>
      <c r="BN141" s="1066"/>
      <c r="BO141" s="1066"/>
      <c r="BP141" s="1066"/>
      <c r="BQ141" s="1081" t="e">
        <f t="shared" si="105"/>
        <v>#DIV/0!</v>
      </c>
      <c r="BR141" s="1066">
        <f t="shared" si="147"/>
        <v>0</v>
      </c>
      <c r="BS141" s="1066">
        <f t="shared" si="148"/>
        <v>0</v>
      </c>
      <c r="BT141" s="1066">
        <f t="shared" si="149"/>
        <v>0</v>
      </c>
      <c r="BU141" s="1066"/>
      <c r="BV141" s="1066">
        <f t="shared" si="150"/>
        <v>0</v>
      </c>
      <c r="BW141" s="1066">
        <f t="shared" si="150"/>
        <v>0</v>
      </c>
      <c r="BX141" s="1066">
        <f t="shared" si="151"/>
        <v>0</v>
      </c>
      <c r="BY141" s="1066">
        <f t="shared" si="151"/>
        <v>0</v>
      </c>
      <c r="BZ141" s="1066"/>
      <c r="CA141" s="1066">
        <f t="shared" si="152"/>
        <v>0</v>
      </c>
      <c r="CB141" s="1066">
        <f t="shared" si="152"/>
        <v>0</v>
      </c>
      <c r="CC141" s="1066">
        <f t="shared" si="152"/>
        <v>0</v>
      </c>
      <c r="CD141" s="1066">
        <f t="shared" si="152"/>
        <v>0</v>
      </c>
      <c r="CE141" s="1066">
        <f t="shared" si="152"/>
        <v>0</v>
      </c>
      <c r="CF141" s="1066">
        <f t="shared" si="152"/>
        <v>0</v>
      </c>
      <c r="CG141" s="1066">
        <f t="shared" si="152"/>
        <v>0</v>
      </c>
      <c r="CH141" s="1066">
        <f t="shared" si="152"/>
        <v>0</v>
      </c>
      <c r="CI141" s="1066">
        <f t="shared" si="152"/>
        <v>0</v>
      </c>
      <c r="CJ141" s="1066"/>
      <c r="CK141" s="1066">
        <f t="shared" si="161"/>
        <v>0</v>
      </c>
      <c r="CL141" s="1066">
        <f t="shared" si="153"/>
        <v>0</v>
      </c>
      <c r="CM141" s="1081" t="e">
        <f t="shared" si="113"/>
        <v>#DIV/0!</v>
      </c>
      <c r="CN141" s="1066">
        <f t="shared" si="154"/>
        <v>0</v>
      </c>
      <c r="CO141" s="1066"/>
      <c r="CP141" s="1066"/>
      <c r="CQ141" s="1066"/>
      <c r="CR141" s="1066"/>
      <c r="CS141" s="1066"/>
      <c r="CT141" s="1066"/>
      <c r="CU141" s="1066"/>
      <c r="CV141" s="1066"/>
      <c r="CW141" s="1066"/>
      <c r="CX141" s="1066"/>
      <c r="CY141" s="1066"/>
      <c r="CZ141" s="1066"/>
      <c r="DA141" s="1066"/>
      <c r="DB141" s="1066"/>
      <c r="DC141" s="1066"/>
      <c r="DD141" s="1066"/>
      <c r="DE141" s="1066"/>
      <c r="DF141" s="1066"/>
      <c r="DG141" s="1066"/>
      <c r="DH141" s="1066"/>
      <c r="DI141" s="1081" t="e">
        <f t="shared" si="115"/>
        <v>#DIV/0!</v>
      </c>
      <c r="DJ141" s="1066">
        <f t="shared" si="155"/>
        <v>0</v>
      </c>
      <c r="DK141" s="1066"/>
      <c r="DL141" s="1066"/>
      <c r="DM141" s="1066"/>
      <c r="DN141" s="1066">
        <f t="shared" si="156"/>
        <v>0</v>
      </c>
      <c r="DO141" s="1066">
        <f t="shared" si="156"/>
        <v>0</v>
      </c>
      <c r="DP141" s="1066">
        <f t="shared" si="156"/>
        <v>0</v>
      </c>
      <c r="DQ141" s="1066">
        <f t="shared" si="156"/>
        <v>0</v>
      </c>
      <c r="DR141" s="1066"/>
      <c r="DS141" s="1066">
        <f t="shared" si="157"/>
        <v>0</v>
      </c>
      <c r="DT141" s="1066">
        <f t="shared" si="157"/>
        <v>0</v>
      </c>
      <c r="DU141" s="1066"/>
      <c r="DV141" s="1066">
        <f t="shared" si="158"/>
        <v>0</v>
      </c>
      <c r="DW141" s="1066">
        <f t="shared" si="158"/>
        <v>0</v>
      </c>
      <c r="DX141" s="1066">
        <f t="shared" si="158"/>
        <v>0</v>
      </c>
      <c r="DY141" s="1066">
        <f t="shared" si="159"/>
        <v>0</v>
      </c>
      <c r="DZ141" s="1066">
        <f t="shared" si="159"/>
        <v>0</v>
      </c>
      <c r="EA141" s="1066">
        <f t="shared" si="159"/>
        <v>0</v>
      </c>
      <c r="EB141" s="1066">
        <f t="shared" si="159"/>
        <v>0</v>
      </c>
      <c r="EC141" s="1066"/>
      <c r="ED141" s="1066">
        <f t="shared" si="160"/>
        <v>0</v>
      </c>
    </row>
    <row r="142" spans="1:136" ht="21" customHeight="1" x14ac:dyDescent="0.25">
      <c r="A142" s="1590"/>
      <c r="B142" s="989"/>
      <c r="C142" s="852" t="s">
        <v>4495</v>
      </c>
      <c r="D142" s="1018" t="s">
        <v>4714</v>
      </c>
      <c r="E142" s="994">
        <v>111</v>
      </c>
      <c r="F142" s="1094" t="s">
        <v>4482</v>
      </c>
      <c r="G142" s="1429"/>
      <c r="H142" s="1060">
        <f t="shared" si="143"/>
        <v>375878510</v>
      </c>
      <c r="I142" s="1060">
        <f t="shared" si="144"/>
        <v>180000000</v>
      </c>
      <c r="J142" s="1430"/>
      <c r="K142" s="1258"/>
      <c r="L142" s="1258"/>
      <c r="M142" s="1096">
        <v>6</v>
      </c>
      <c r="N142" s="1096">
        <v>0</v>
      </c>
      <c r="O142" s="1096">
        <v>0</v>
      </c>
      <c r="P142" s="1097">
        <v>100</v>
      </c>
      <c r="Q142" s="1097">
        <v>0</v>
      </c>
      <c r="R142" s="1097">
        <v>0</v>
      </c>
      <c r="S142" s="1094"/>
      <c r="T142" s="1094"/>
      <c r="U142" s="1094"/>
      <c r="V142" s="1094"/>
      <c r="W142" s="1094"/>
      <c r="X142" s="1094"/>
      <c r="Y142" s="1007">
        <f t="shared" si="145"/>
        <v>555878510</v>
      </c>
      <c r="Z142" s="1007"/>
      <c r="AA142" s="1007"/>
      <c r="AB142" s="1007"/>
      <c r="AC142" s="1007">
        <f>424000000+400000000-448121490+180000000</f>
        <v>555878510</v>
      </c>
      <c r="AD142" s="1007"/>
      <c r="AE142" s="1007"/>
      <c r="AF142" s="1007"/>
      <c r="AG142" s="1007"/>
      <c r="AH142" s="1007"/>
      <c r="AI142" s="1007"/>
      <c r="AJ142" s="1007"/>
      <c r="AK142" s="1007"/>
      <c r="AL142" s="1007"/>
      <c r="AM142" s="1007"/>
      <c r="AN142" s="1007"/>
      <c r="AO142" s="1007"/>
      <c r="AP142" s="1007"/>
      <c r="AQ142" s="1007"/>
      <c r="AR142" s="1007"/>
      <c r="AS142" s="1007"/>
      <c r="AT142" s="984"/>
      <c r="AU142" s="1010">
        <f t="shared" si="103"/>
        <v>0.67618823760609126</v>
      </c>
      <c r="AV142" s="1007">
        <f t="shared" si="146"/>
        <v>375878510</v>
      </c>
      <c r="AW142" s="1007"/>
      <c r="AX142" s="1007"/>
      <c r="AY142" s="1007"/>
      <c r="AZ142" s="1007">
        <f>+'[17]MAYO 2015'!$L$79-11600</f>
        <v>375878510</v>
      </c>
      <c r="BA142" s="1007"/>
      <c r="BB142" s="1007"/>
      <c r="BC142" s="1007"/>
      <c r="BD142" s="1007"/>
      <c r="BE142" s="1007"/>
      <c r="BF142" s="1007"/>
      <c r="BG142" s="1007"/>
      <c r="BH142" s="1007"/>
      <c r="BI142" s="1007"/>
      <c r="BJ142" s="1007"/>
      <c r="BK142" s="1007"/>
      <c r="BL142" s="1007"/>
      <c r="BM142" s="1007"/>
      <c r="BN142" s="1007"/>
      <c r="BO142" s="1007"/>
      <c r="BP142" s="1007"/>
      <c r="BQ142" s="1010">
        <f t="shared" si="105"/>
        <v>0.32381176239390874</v>
      </c>
      <c r="BR142" s="1007">
        <f t="shared" si="147"/>
        <v>180000000</v>
      </c>
      <c r="BS142" s="1007">
        <f t="shared" si="148"/>
        <v>0</v>
      </c>
      <c r="BT142" s="1007">
        <f t="shared" si="149"/>
        <v>0</v>
      </c>
      <c r="BU142" s="1007"/>
      <c r="BV142" s="1007">
        <f t="shared" si="150"/>
        <v>180000000</v>
      </c>
      <c r="BW142" s="1007">
        <f t="shared" si="150"/>
        <v>0</v>
      </c>
      <c r="BX142" s="1007">
        <f t="shared" si="151"/>
        <v>0</v>
      </c>
      <c r="BY142" s="1007">
        <f t="shared" si="151"/>
        <v>0</v>
      </c>
      <c r="BZ142" s="1007"/>
      <c r="CA142" s="1007">
        <f t="shared" si="152"/>
        <v>0</v>
      </c>
      <c r="CB142" s="1007">
        <f t="shared" si="152"/>
        <v>0</v>
      </c>
      <c r="CC142" s="1007">
        <f t="shared" si="152"/>
        <v>0</v>
      </c>
      <c r="CD142" s="1007">
        <f t="shared" si="152"/>
        <v>0</v>
      </c>
      <c r="CE142" s="1007">
        <f t="shared" si="152"/>
        <v>0</v>
      </c>
      <c r="CF142" s="1007">
        <f t="shared" si="152"/>
        <v>0</v>
      </c>
      <c r="CG142" s="1007">
        <f t="shared" si="152"/>
        <v>0</v>
      </c>
      <c r="CH142" s="1007">
        <f t="shared" si="152"/>
        <v>0</v>
      </c>
      <c r="CI142" s="1007">
        <f t="shared" si="152"/>
        <v>0</v>
      </c>
      <c r="CJ142" s="1007"/>
      <c r="CK142" s="1007">
        <f t="shared" si="161"/>
        <v>0</v>
      </c>
      <c r="CL142" s="1007">
        <f t="shared" si="153"/>
        <v>0</v>
      </c>
      <c r="CM142" s="1010">
        <f t="shared" si="113"/>
        <v>0.67618823760609126</v>
      </c>
      <c r="CN142" s="1007">
        <f t="shared" si="154"/>
        <v>375878510</v>
      </c>
      <c r="CO142" s="1007"/>
      <c r="CP142" s="1007"/>
      <c r="CQ142" s="1007"/>
      <c r="CR142" s="1007">
        <v>375878510</v>
      </c>
      <c r="CS142" s="1007"/>
      <c r="CT142" s="1007"/>
      <c r="CU142" s="1007"/>
      <c r="CV142" s="1007"/>
      <c r="CW142" s="1007"/>
      <c r="CX142" s="1007"/>
      <c r="CY142" s="1007"/>
      <c r="CZ142" s="1007"/>
      <c r="DA142" s="1007"/>
      <c r="DB142" s="1007"/>
      <c r="DC142" s="1007"/>
      <c r="DD142" s="1007"/>
      <c r="DE142" s="1007"/>
      <c r="DF142" s="1007"/>
      <c r="DG142" s="1007"/>
      <c r="DH142" s="1007"/>
      <c r="DI142" s="1010">
        <f t="shared" si="115"/>
        <v>0.32381176239390874</v>
      </c>
      <c r="DJ142" s="1007">
        <f t="shared" si="155"/>
        <v>180000000</v>
      </c>
      <c r="DK142" s="1007"/>
      <c r="DL142" s="1007"/>
      <c r="DM142" s="1007"/>
      <c r="DN142" s="1007">
        <f t="shared" si="156"/>
        <v>180000000</v>
      </c>
      <c r="DO142" s="1007">
        <f t="shared" si="156"/>
        <v>0</v>
      </c>
      <c r="DP142" s="1007">
        <f t="shared" si="156"/>
        <v>0</v>
      </c>
      <c r="DQ142" s="1007">
        <f t="shared" si="156"/>
        <v>0</v>
      </c>
      <c r="DR142" s="1007"/>
      <c r="DS142" s="1007">
        <f t="shared" si="157"/>
        <v>0</v>
      </c>
      <c r="DT142" s="1007">
        <f t="shared" si="157"/>
        <v>0</v>
      </c>
      <c r="DU142" s="1007"/>
      <c r="DV142" s="1007">
        <f t="shared" si="158"/>
        <v>0</v>
      </c>
      <c r="DW142" s="1007">
        <f t="shared" si="158"/>
        <v>0</v>
      </c>
      <c r="DX142" s="1007">
        <f t="shared" si="158"/>
        <v>0</v>
      </c>
      <c r="DY142" s="1007">
        <f t="shared" si="159"/>
        <v>0</v>
      </c>
      <c r="DZ142" s="1007">
        <f t="shared" si="159"/>
        <v>0</v>
      </c>
      <c r="EA142" s="1007">
        <f t="shared" si="159"/>
        <v>0</v>
      </c>
      <c r="EB142" s="1007">
        <f t="shared" si="159"/>
        <v>0</v>
      </c>
      <c r="EC142" s="1007"/>
      <c r="ED142" s="1007">
        <f t="shared" si="160"/>
        <v>0</v>
      </c>
    </row>
    <row r="143" spans="1:136" s="203" customFormat="1" ht="48.75" customHeight="1" x14ac:dyDescent="0.25">
      <c r="A143" s="1590"/>
      <c r="B143" s="989"/>
      <c r="C143" s="1080" t="s">
        <v>4496</v>
      </c>
      <c r="D143" s="1018" t="s">
        <v>4478</v>
      </c>
      <c r="E143" s="996">
        <v>111</v>
      </c>
      <c r="F143" s="1094" t="s">
        <v>4482</v>
      </c>
      <c r="G143" s="1429"/>
      <c r="H143" s="1060">
        <f t="shared" si="143"/>
        <v>0</v>
      </c>
      <c r="I143" s="1060">
        <f t="shared" si="144"/>
        <v>0</v>
      </c>
      <c r="J143" s="1283">
        <v>9</v>
      </c>
      <c r="K143" s="1198">
        <v>129</v>
      </c>
      <c r="L143" s="1198">
        <v>20</v>
      </c>
      <c r="M143" s="1074">
        <v>0</v>
      </c>
      <c r="N143" s="1074">
        <v>0</v>
      </c>
      <c r="O143" s="1074">
        <v>0</v>
      </c>
      <c r="P143" s="1074"/>
      <c r="Q143" s="1074"/>
      <c r="R143" s="1074"/>
      <c r="S143" s="1094"/>
      <c r="T143" s="1094"/>
      <c r="U143" s="1094"/>
      <c r="V143" s="1094"/>
      <c r="W143" s="1094"/>
      <c r="X143" s="1094"/>
      <c r="Y143" s="1066">
        <f t="shared" si="145"/>
        <v>0</v>
      </c>
      <c r="Z143" s="1066"/>
      <c r="AA143" s="1066"/>
      <c r="AB143" s="1066"/>
      <c r="AC143" s="1066">
        <f>212000000-212000000</f>
        <v>0</v>
      </c>
      <c r="AD143" s="1066"/>
      <c r="AE143" s="1066"/>
      <c r="AF143" s="1066"/>
      <c r="AG143" s="1066"/>
      <c r="AH143" s="1066"/>
      <c r="AI143" s="1066"/>
      <c r="AJ143" s="1066"/>
      <c r="AK143" s="1066"/>
      <c r="AL143" s="1066"/>
      <c r="AM143" s="1066"/>
      <c r="AN143" s="1066"/>
      <c r="AO143" s="1066"/>
      <c r="AP143" s="1066"/>
      <c r="AQ143" s="1066"/>
      <c r="AR143" s="1066"/>
      <c r="AS143" s="1066"/>
      <c r="AT143" s="1088"/>
      <c r="AU143" s="1081" t="e">
        <f t="shared" si="103"/>
        <v>#DIV/0!</v>
      </c>
      <c r="AV143" s="1066">
        <f t="shared" si="146"/>
        <v>0</v>
      </c>
      <c r="AW143" s="1066"/>
      <c r="AX143" s="1066"/>
      <c r="AY143" s="1066"/>
      <c r="AZ143" s="1066"/>
      <c r="BA143" s="1066"/>
      <c r="BB143" s="1066"/>
      <c r="BC143" s="1066"/>
      <c r="BD143" s="1066"/>
      <c r="BE143" s="1066"/>
      <c r="BF143" s="1066"/>
      <c r="BG143" s="1066"/>
      <c r="BH143" s="1066"/>
      <c r="BI143" s="1066"/>
      <c r="BJ143" s="1066"/>
      <c r="BK143" s="1066"/>
      <c r="BL143" s="1066"/>
      <c r="BM143" s="1066"/>
      <c r="BN143" s="1066"/>
      <c r="BO143" s="1066"/>
      <c r="BP143" s="1066"/>
      <c r="BQ143" s="1081" t="e">
        <f t="shared" si="105"/>
        <v>#DIV/0!</v>
      </c>
      <c r="BR143" s="1066">
        <f t="shared" si="147"/>
        <v>0</v>
      </c>
      <c r="BS143" s="1066">
        <f t="shared" si="148"/>
        <v>0</v>
      </c>
      <c r="BT143" s="1066">
        <f t="shared" si="149"/>
        <v>0</v>
      </c>
      <c r="BU143" s="1066"/>
      <c r="BV143" s="1066">
        <f t="shared" si="150"/>
        <v>0</v>
      </c>
      <c r="BW143" s="1066">
        <f t="shared" si="150"/>
        <v>0</v>
      </c>
      <c r="BX143" s="1066">
        <f t="shared" si="151"/>
        <v>0</v>
      </c>
      <c r="BY143" s="1066">
        <f t="shared" si="151"/>
        <v>0</v>
      </c>
      <c r="BZ143" s="1066"/>
      <c r="CA143" s="1066">
        <f t="shared" si="152"/>
        <v>0</v>
      </c>
      <c r="CB143" s="1066">
        <f t="shared" si="152"/>
        <v>0</v>
      </c>
      <c r="CC143" s="1066">
        <f t="shared" si="152"/>
        <v>0</v>
      </c>
      <c r="CD143" s="1066">
        <f t="shared" si="152"/>
        <v>0</v>
      </c>
      <c r="CE143" s="1066">
        <f t="shared" si="152"/>
        <v>0</v>
      </c>
      <c r="CF143" s="1066">
        <f t="shared" si="152"/>
        <v>0</v>
      </c>
      <c r="CG143" s="1066">
        <f t="shared" si="152"/>
        <v>0</v>
      </c>
      <c r="CH143" s="1066">
        <f t="shared" si="152"/>
        <v>0</v>
      </c>
      <c r="CI143" s="1066">
        <f t="shared" si="152"/>
        <v>0</v>
      </c>
      <c r="CJ143" s="1066"/>
      <c r="CK143" s="1066">
        <f t="shared" si="161"/>
        <v>0</v>
      </c>
      <c r="CL143" s="1066">
        <f t="shared" si="153"/>
        <v>0</v>
      </c>
      <c r="CM143" s="1081" t="e">
        <f t="shared" si="113"/>
        <v>#DIV/0!</v>
      </c>
      <c r="CN143" s="1066">
        <f t="shared" si="154"/>
        <v>0</v>
      </c>
      <c r="CO143" s="1066"/>
      <c r="CP143" s="1066"/>
      <c r="CQ143" s="1066"/>
      <c r="CR143" s="1066"/>
      <c r="CS143" s="1066"/>
      <c r="CT143" s="1066"/>
      <c r="CU143" s="1066"/>
      <c r="CV143" s="1066"/>
      <c r="CW143" s="1066"/>
      <c r="CX143" s="1066"/>
      <c r="CY143" s="1066"/>
      <c r="CZ143" s="1066"/>
      <c r="DA143" s="1066"/>
      <c r="DB143" s="1066"/>
      <c r="DC143" s="1066"/>
      <c r="DD143" s="1066"/>
      <c r="DE143" s="1066"/>
      <c r="DF143" s="1066"/>
      <c r="DG143" s="1066"/>
      <c r="DH143" s="1066"/>
      <c r="DI143" s="1081" t="e">
        <f t="shared" si="115"/>
        <v>#DIV/0!</v>
      </c>
      <c r="DJ143" s="1066">
        <f t="shared" si="155"/>
        <v>0</v>
      </c>
      <c r="DK143" s="1066"/>
      <c r="DL143" s="1066"/>
      <c r="DM143" s="1066"/>
      <c r="DN143" s="1066">
        <f t="shared" si="156"/>
        <v>0</v>
      </c>
      <c r="DO143" s="1066">
        <f t="shared" si="156"/>
        <v>0</v>
      </c>
      <c r="DP143" s="1066">
        <f t="shared" si="156"/>
        <v>0</v>
      </c>
      <c r="DQ143" s="1066">
        <f t="shared" si="156"/>
        <v>0</v>
      </c>
      <c r="DR143" s="1066"/>
      <c r="DS143" s="1066">
        <f t="shared" si="157"/>
        <v>0</v>
      </c>
      <c r="DT143" s="1066">
        <f t="shared" si="157"/>
        <v>0</v>
      </c>
      <c r="DU143" s="1066"/>
      <c r="DV143" s="1066">
        <f t="shared" si="158"/>
        <v>0</v>
      </c>
      <c r="DW143" s="1066">
        <f t="shared" si="158"/>
        <v>0</v>
      </c>
      <c r="DX143" s="1066">
        <f t="shared" si="158"/>
        <v>0</v>
      </c>
      <c r="DY143" s="1066">
        <f t="shared" si="159"/>
        <v>0</v>
      </c>
      <c r="DZ143" s="1066">
        <f t="shared" si="159"/>
        <v>0</v>
      </c>
      <c r="EA143" s="1066">
        <f t="shared" si="159"/>
        <v>0</v>
      </c>
      <c r="EB143" s="1066">
        <f t="shared" si="159"/>
        <v>0</v>
      </c>
      <c r="EC143" s="1066"/>
      <c r="ED143" s="1066">
        <f t="shared" si="160"/>
        <v>0</v>
      </c>
    </row>
    <row r="144" spans="1:136" s="203" customFormat="1" ht="27.75" customHeight="1" x14ac:dyDescent="0.25">
      <c r="A144" s="1590"/>
      <c r="B144" s="989"/>
      <c r="C144" s="1080" t="s">
        <v>4497</v>
      </c>
      <c r="D144" s="1018" t="s">
        <v>4479</v>
      </c>
      <c r="E144" s="996">
        <v>111</v>
      </c>
      <c r="F144" s="1094" t="s">
        <v>4482</v>
      </c>
      <c r="G144" s="1429"/>
      <c r="H144" s="1060">
        <f t="shared" si="143"/>
        <v>0</v>
      </c>
      <c r="I144" s="1060">
        <f t="shared" si="144"/>
        <v>0</v>
      </c>
      <c r="J144" s="1283"/>
      <c r="K144" s="1198"/>
      <c r="L144" s="1198"/>
      <c r="M144" s="1074">
        <v>0</v>
      </c>
      <c r="N144" s="1074">
        <v>0</v>
      </c>
      <c r="O144" s="1074">
        <v>0</v>
      </c>
      <c r="P144" s="1074"/>
      <c r="Q144" s="1074"/>
      <c r="R144" s="1074"/>
      <c r="S144" s="1094"/>
      <c r="T144" s="1094"/>
      <c r="U144" s="1094"/>
      <c r="V144" s="1094"/>
      <c r="W144" s="1094"/>
      <c r="X144" s="1094"/>
      <c r="Y144" s="1066">
        <f t="shared" si="145"/>
        <v>0</v>
      </c>
      <c r="Z144" s="1066"/>
      <c r="AA144" s="1066"/>
      <c r="AB144" s="1066"/>
      <c r="AC144" s="1066">
        <f>63600000-50000000-13600000</f>
        <v>0</v>
      </c>
      <c r="AD144" s="1066"/>
      <c r="AE144" s="1066"/>
      <c r="AF144" s="1066"/>
      <c r="AG144" s="1066"/>
      <c r="AH144" s="1066"/>
      <c r="AI144" s="1066"/>
      <c r="AJ144" s="1066"/>
      <c r="AK144" s="1066"/>
      <c r="AL144" s="1066"/>
      <c r="AM144" s="1066"/>
      <c r="AN144" s="1066"/>
      <c r="AO144" s="1066"/>
      <c r="AP144" s="1066"/>
      <c r="AQ144" s="1066"/>
      <c r="AR144" s="1066"/>
      <c r="AS144" s="1066"/>
      <c r="AT144" s="1088"/>
      <c r="AU144" s="1081" t="e">
        <f t="shared" si="103"/>
        <v>#DIV/0!</v>
      </c>
      <c r="AV144" s="1066">
        <f t="shared" si="146"/>
        <v>0</v>
      </c>
      <c r="AW144" s="1066"/>
      <c r="AX144" s="1066"/>
      <c r="AY144" s="1066"/>
      <c r="AZ144" s="1066"/>
      <c r="BA144" s="1066"/>
      <c r="BB144" s="1066"/>
      <c r="BC144" s="1066"/>
      <c r="BD144" s="1066"/>
      <c r="BE144" s="1066"/>
      <c r="BF144" s="1066"/>
      <c r="BG144" s="1066"/>
      <c r="BH144" s="1066"/>
      <c r="BI144" s="1066"/>
      <c r="BJ144" s="1066"/>
      <c r="BK144" s="1066"/>
      <c r="BL144" s="1066"/>
      <c r="BM144" s="1066"/>
      <c r="BN144" s="1066"/>
      <c r="BO144" s="1066"/>
      <c r="BP144" s="1066"/>
      <c r="BQ144" s="1081" t="e">
        <f t="shared" si="105"/>
        <v>#DIV/0!</v>
      </c>
      <c r="BR144" s="1066">
        <f t="shared" si="147"/>
        <v>0</v>
      </c>
      <c r="BS144" s="1066">
        <f t="shared" si="148"/>
        <v>0</v>
      </c>
      <c r="BT144" s="1066">
        <f t="shared" si="149"/>
        <v>0</v>
      </c>
      <c r="BU144" s="1066"/>
      <c r="BV144" s="1066">
        <f t="shared" si="150"/>
        <v>0</v>
      </c>
      <c r="BW144" s="1066">
        <f t="shared" si="150"/>
        <v>0</v>
      </c>
      <c r="BX144" s="1066">
        <f t="shared" si="151"/>
        <v>0</v>
      </c>
      <c r="BY144" s="1066">
        <f t="shared" si="151"/>
        <v>0</v>
      </c>
      <c r="BZ144" s="1066"/>
      <c r="CA144" s="1066">
        <f t="shared" si="152"/>
        <v>0</v>
      </c>
      <c r="CB144" s="1066">
        <f t="shared" si="152"/>
        <v>0</v>
      </c>
      <c r="CC144" s="1066">
        <f t="shared" si="152"/>
        <v>0</v>
      </c>
      <c r="CD144" s="1066">
        <f t="shared" si="152"/>
        <v>0</v>
      </c>
      <c r="CE144" s="1066">
        <f t="shared" si="152"/>
        <v>0</v>
      </c>
      <c r="CF144" s="1066">
        <f t="shared" si="152"/>
        <v>0</v>
      </c>
      <c r="CG144" s="1066">
        <f t="shared" si="152"/>
        <v>0</v>
      </c>
      <c r="CH144" s="1066">
        <f t="shared" si="152"/>
        <v>0</v>
      </c>
      <c r="CI144" s="1066">
        <f t="shared" si="152"/>
        <v>0</v>
      </c>
      <c r="CJ144" s="1066"/>
      <c r="CK144" s="1066">
        <f t="shared" si="161"/>
        <v>0</v>
      </c>
      <c r="CL144" s="1066">
        <f t="shared" si="153"/>
        <v>0</v>
      </c>
      <c r="CM144" s="1081" t="e">
        <f t="shared" si="113"/>
        <v>#DIV/0!</v>
      </c>
      <c r="CN144" s="1066">
        <f t="shared" si="154"/>
        <v>0</v>
      </c>
      <c r="CO144" s="1066"/>
      <c r="CP144" s="1066"/>
      <c r="CQ144" s="1066"/>
      <c r="CR144" s="1066"/>
      <c r="CS144" s="1066"/>
      <c r="CT144" s="1066"/>
      <c r="CU144" s="1066"/>
      <c r="CV144" s="1066"/>
      <c r="CW144" s="1066"/>
      <c r="CX144" s="1066"/>
      <c r="CY144" s="1066"/>
      <c r="CZ144" s="1066"/>
      <c r="DA144" s="1066"/>
      <c r="DB144" s="1066"/>
      <c r="DC144" s="1066"/>
      <c r="DD144" s="1066"/>
      <c r="DE144" s="1066"/>
      <c r="DF144" s="1066"/>
      <c r="DG144" s="1066"/>
      <c r="DH144" s="1066"/>
      <c r="DI144" s="1081" t="e">
        <f t="shared" si="115"/>
        <v>#DIV/0!</v>
      </c>
      <c r="DJ144" s="1066">
        <f t="shared" si="155"/>
        <v>0</v>
      </c>
      <c r="DK144" s="1066"/>
      <c r="DL144" s="1066"/>
      <c r="DM144" s="1066"/>
      <c r="DN144" s="1066">
        <f t="shared" si="156"/>
        <v>0</v>
      </c>
      <c r="DO144" s="1066">
        <f t="shared" si="156"/>
        <v>0</v>
      </c>
      <c r="DP144" s="1066">
        <f t="shared" si="156"/>
        <v>0</v>
      </c>
      <c r="DQ144" s="1066">
        <f t="shared" si="156"/>
        <v>0</v>
      </c>
      <c r="DR144" s="1066"/>
      <c r="DS144" s="1066">
        <f t="shared" si="157"/>
        <v>0</v>
      </c>
      <c r="DT144" s="1066">
        <f t="shared" si="157"/>
        <v>0</v>
      </c>
      <c r="DU144" s="1066"/>
      <c r="DV144" s="1066">
        <f t="shared" si="158"/>
        <v>0</v>
      </c>
      <c r="DW144" s="1066">
        <f t="shared" si="158"/>
        <v>0</v>
      </c>
      <c r="DX144" s="1066">
        <f t="shared" si="158"/>
        <v>0</v>
      </c>
      <c r="DY144" s="1066">
        <f t="shared" si="159"/>
        <v>0</v>
      </c>
      <c r="DZ144" s="1066">
        <f t="shared" si="159"/>
        <v>0</v>
      </c>
      <c r="EA144" s="1066">
        <f t="shared" si="159"/>
        <v>0</v>
      </c>
      <c r="EB144" s="1066">
        <f t="shared" si="159"/>
        <v>0</v>
      </c>
      <c r="EC144" s="1066"/>
      <c r="ED144" s="1066">
        <f t="shared" si="160"/>
        <v>0</v>
      </c>
    </row>
    <row r="145" spans="1:134" ht="34.5" customHeight="1" x14ac:dyDescent="0.25">
      <c r="A145" s="1590"/>
      <c r="B145" s="989"/>
      <c r="C145" s="852" t="s">
        <v>4498</v>
      </c>
      <c r="D145" s="1018" t="s">
        <v>4480</v>
      </c>
      <c r="E145" s="994">
        <v>111</v>
      </c>
      <c r="F145" s="1094" t="s">
        <v>4482</v>
      </c>
      <c r="G145" s="1429"/>
      <c r="H145" s="1060">
        <f t="shared" si="143"/>
        <v>0</v>
      </c>
      <c r="I145" s="1060">
        <f t="shared" si="144"/>
        <v>121000000</v>
      </c>
      <c r="J145" s="1591">
        <v>1120</v>
      </c>
      <c r="K145" s="1594">
        <v>3920</v>
      </c>
      <c r="L145" s="1257">
        <v>1456</v>
      </c>
      <c r="M145" s="1097">
        <v>0</v>
      </c>
      <c r="N145" s="1097">
        <v>0</v>
      </c>
      <c r="O145" s="1097">
        <v>0</v>
      </c>
      <c r="P145" s="1097">
        <v>0</v>
      </c>
      <c r="Q145" s="1097">
        <v>0</v>
      </c>
      <c r="R145" s="1097">
        <v>0</v>
      </c>
      <c r="S145" s="1094"/>
      <c r="T145" s="1094"/>
      <c r="U145" s="1094"/>
      <c r="V145" s="1094"/>
      <c r="W145" s="1094"/>
      <c r="X145" s="1094"/>
      <c r="Y145" s="1007">
        <f t="shared" si="145"/>
        <v>121000000</v>
      </c>
      <c r="Z145" s="1007"/>
      <c r="AA145" s="1007"/>
      <c r="AB145" s="1007"/>
      <c r="AC145" s="1007">
        <f>1590000000+897519551-1587519551-900000000</f>
        <v>0</v>
      </c>
      <c r="AD145" s="1007"/>
      <c r="AE145" s="1007"/>
      <c r="AF145" s="1007"/>
      <c r="AG145" s="1007"/>
      <c r="AH145" s="1007"/>
      <c r="AI145" s="1007"/>
      <c r="AJ145" s="1007"/>
      <c r="AK145" s="1007"/>
      <c r="AL145" s="1007"/>
      <c r="AM145" s="1007"/>
      <c r="AN145" s="1007"/>
      <c r="AO145" s="1007"/>
      <c r="AP145" s="1007"/>
      <c r="AQ145" s="1007"/>
      <c r="AR145" s="1007"/>
      <c r="AS145" s="1007">
        <v>121000000</v>
      </c>
      <c r="AT145" s="984"/>
      <c r="AU145" s="1010">
        <f t="shared" si="103"/>
        <v>0</v>
      </c>
      <c r="AV145" s="1007">
        <f t="shared" si="146"/>
        <v>0</v>
      </c>
      <c r="AW145" s="1007"/>
      <c r="AX145" s="1007"/>
      <c r="AY145" s="1007"/>
      <c r="AZ145" s="1007"/>
      <c r="BA145" s="1007"/>
      <c r="BB145" s="1007"/>
      <c r="BC145" s="1007"/>
      <c r="BD145" s="1007"/>
      <c r="BE145" s="1007"/>
      <c r="BF145" s="1007"/>
      <c r="BG145" s="1007"/>
      <c r="BH145" s="1007"/>
      <c r="BI145" s="1007"/>
      <c r="BJ145" s="1007"/>
      <c r="BK145" s="1007"/>
      <c r="BL145" s="1007"/>
      <c r="BM145" s="1007"/>
      <c r="BN145" s="1007"/>
      <c r="BO145" s="1007"/>
      <c r="BP145" s="1007"/>
      <c r="BQ145" s="1010">
        <f t="shared" si="105"/>
        <v>1</v>
      </c>
      <c r="BR145" s="1007">
        <f t="shared" si="147"/>
        <v>121000000</v>
      </c>
      <c r="BS145" s="1007">
        <f t="shared" si="148"/>
        <v>0</v>
      </c>
      <c r="BT145" s="1007">
        <f t="shared" si="149"/>
        <v>0</v>
      </c>
      <c r="BU145" s="1007"/>
      <c r="BV145" s="1007">
        <f t="shared" si="150"/>
        <v>0</v>
      </c>
      <c r="BW145" s="1007">
        <f t="shared" si="150"/>
        <v>0</v>
      </c>
      <c r="BX145" s="1007">
        <f t="shared" si="151"/>
        <v>0</v>
      </c>
      <c r="BY145" s="1007">
        <f t="shared" si="151"/>
        <v>0</v>
      </c>
      <c r="BZ145" s="1007"/>
      <c r="CA145" s="1007">
        <f t="shared" si="152"/>
        <v>0</v>
      </c>
      <c r="CB145" s="1007">
        <f t="shared" si="152"/>
        <v>0</v>
      </c>
      <c r="CC145" s="1007">
        <f t="shared" si="152"/>
        <v>0</v>
      </c>
      <c r="CD145" s="1007">
        <f t="shared" si="152"/>
        <v>0</v>
      </c>
      <c r="CE145" s="1007">
        <f t="shared" si="152"/>
        <v>0</v>
      </c>
      <c r="CF145" s="1007">
        <f t="shared" si="152"/>
        <v>0</v>
      </c>
      <c r="CG145" s="1007">
        <f t="shared" si="152"/>
        <v>0</v>
      </c>
      <c r="CH145" s="1007">
        <f t="shared" si="152"/>
        <v>0</v>
      </c>
      <c r="CI145" s="1007">
        <f t="shared" si="152"/>
        <v>0</v>
      </c>
      <c r="CJ145" s="1007"/>
      <c r="CK145" s="1007">
        <f t="shared" si="161"/>
        <v>0</v>
      </c>
      <c r="CL145" s="1007">
        <f t="shared" si="153"/>
        <v>121000000</v>
      </c>
      <c r="CM145" s="1010">
        <f t="shared" si="113"/>
        <v>0</v>
      </c>
      <c r="CN145" s="1007">
        <f t="shared" si="154"/>
        <v>0</v>
      </c>
      <c r="CO145" s="1007"/>
      <c r="CP145" s="1007"/>
      <c r="CQ145" s="1007"/>
      <c r="CR145" s="1007"/>
      <c r="CS145" s="1007"/>
      <c r="CT145" s="1007"/>
      <c r="CU145" s="1007"/>
      <c r="CV145" s="1007"/>
      <c r="CW145" s="1007"/>
      <c r="CX145" s="1007"/>
      <c r="CY145" s="1007"/>
      <c r="CZ145" s="1007"/>
      <c r="DA145" s="1007"/>
      <c r="DB145" s="1007"/>
      <c r="DC145" s="1007"/>
      <c r="DD145" s="1007"/>
      <c r="DE145" s="1007"/>
      <c r="DF145" s="1007"/>
      <c r="DG145" s="1007"/>
      <c r="DH145" s="1007"/>
      <c r="DI145" s="1010">
        <f t="shared" si="115"/>
        <v>1</v>
      </c>
      <c r="DJ145" s="1007">
        <f t="shared" si="155"/>
        <v>121000000</v>
      </c>
      <c r="DK145" s="1007"/>
      <c r="DL145" s="1007"/>
      <c r="DM145" s="1007"/>
      <c r="DN145" s="1007">
        <f t="shared" si="156"/>
        <v>0</v>
      </c>
      <c r="DO145" s="1007">
        <f t="shared" si="156"/>
        <v>0</v>
      </c>
      <c r="DP145" s="1007">
        <f t="shared" si="156"/>
        <v>0</v>
      </c>
      <c r="DQ145" s="1007">
        <f t="shared" si="156"/>
        <v>0</v>
      </c>
      <c r="DR145" s="1007"/>
      <c r="DS145" s="1007">
        <f t="shared" si="157"/>
        <v>0</v>
      </c>
      <c r="DT145" s="1007">
        <f t="shared" si="157"/>
        <v>0</v>
      </c>
      <c r="DU145" s="1007"/>
      <c r="DV145" s="1007">
        <f t="shared" si="158"/>
        <v>0</v>
      </c>
      <c r="DW145" s="1007">
        <f t="shared" si="158"/>
        <v>0</v>
      </c>
      <c r="DX145" s="1007">
        <f t="shared" si="158"/>
        <v>0</v>
      </c>
      <c r="DY145" s="1007">
        <f t="shared" si="159"/>
        <v>0</v>
      </c>
      <c r="DZ145" s="1007">
        <f t="shared" si="159"/>
        <v>0</v>
      </c>
      <c r="EA145" s="1007">
        <f t="shared" si="159"/>
        <v>0</v>
      </c>
      <c r="EB145" s="1007">
        <f t="shared" si="159"/>
        <v>0</v>
      </c>
      <c r="EC145" s="1007"/>
      <c r="ED145" s="1007">
        <f t="shared" si="160"/>
        <v>121000000</v>
      </c>
    </row>
    <row r="146" spans="1:134" s="203" customFormat="1" ht="35.25" customHeight="1" x14ac:dyDescent="0.25">
      <c r="A146" s="1590"/>
      <c r="B146" s="989"/>
      <c r="C146" s="1080" t="s">
        <v>4499</v>
      </c>
      <c r="D146" s="1018" t="s">
        <v>4481</v>
      </c>
      <c r="E146" s="996">
        <v>111</v>
      </c>
      <c r="F146" s="1094" t="s">
        <v>4482</v>
      </c>
      <c r="G146" s="1429"/>
      <c r="H146" s="1060">
        <f t="shared" si="143"/>
        <v>0</v>
      </c>
      <c r="I146" s="1060">
        <f t="shared" si="144"/>
        <v>0</v>
      </c>
      <c r="J146" s="1592"/>
      <c r="K146" s="1595"/>
      <c r="L146" s="1562"/>
      <c r="M146" s="1074"/>
      <c r="N146" s="1074"/>
      <c r="O146" s="1074"/>
      <c r="P146" s="1074"/>
      <c r="Q146" s="1074"/>
      <c r="R146" s="1074"/>
      <c r="S146" s="1094"/>
      <c r="T146" s="1094"/>
      <c r="U146" s="1094"/>
      <c r="V146" s="1094"/>
      <c r="W146" s="1094"/>
      <c r="X146" s="1094"/>
      <c r="Y146" s="1066">
        <f t="shared" si="145"/>
        <v>0</v>
      </c>
      <c r="Z146" s="149"/>
      <c r="AA146" s="149"/>
      <c r="AB146" s="149"/>
      <c r="AC146" s="1066">
        <f>417803755-417803755</f>
        <v>0</v>
      </c>
      <c r="AD146" s="149"/>
      <c r="AE146" s="149"/>
      <c r="AF146" s="149"/>
      <c r="AG146" s="149"/>
      <c r="AH146" s="149"/>
      <c r="AI146" s="149"/>
      <c r="AJ146" s="149"/>
      <c r="AK146" s="149"/>
      <c r="AL146" s="149"/>
      <c r="AM146" s="149"/>
      <c r="AN146" s="149"/>
      <c r="AO146" s="149"/>
      <c r="AP146" s="149"/>
      <c r="AQ146" s="149"/>
      <c r="AR146" s="149"/>
      <c r="AS146" s="149"/>
      <c r="AT146" s="1088"/>
      <c r="AU146" s="1081" t="e">
        <f t="shared" si="103"/>
        <v>#DIV/0!</v>
      </c>
      <c r="AV146" s="1066">
        <f t="shared" si="146"/>
        <v>0</v>
      </c>
      <c r="AW146" s="1066"/>
      <c r="AX146" s="1066"/>
      <c r="AY146" s="1066"/>
      <c r="AZ146" s="1066"/>
      <c r="BA146" s="1066"/>
      <c r="BB146" s="1066"/>
      <c r="BC146" s="1066"/>
      <c r="BD146" s="1066"/>
      <c r="BE146" s="1066"/>
      <c r="BF146" s="1066"/>
      <c r="BG146" s="1066"/>
      <c r="BH146" s="1066"/>
      <c r="BI146" s="1066"/>
      <c r="BJ146" s="1066"/>
      <c r="BK146" s="1066"/>
      <c r="BL146" s="1066"/>
      <c r="BM146" s="1066"/>
      <c r="BN146" s="1066"/>
      <c r="BO146" s="1066"/>
      <c r="BP146" s="1066"/>
      <c r="BQ146" s="1081" t="e">
        <f t="shared" si="105"/>
        <v>#DIV/0!</v>
      </c>
      <c r="BR146" s="1066">
        <f t="shared" si="147"/>
        <v>0</v>
      </c>
      <c r="BS146" s="1066">
        <f t="shared" si="148"/>
        <v>0</v>
      </c>
      <c r="BT146" s="1066">
        <f t="shared" si="149"/>
        <v>0</v>
      </c>
      <c r="BU146" s="1066"/>
      <c r="BV146" s="1066">
        <f t="shared" si="150"/>
        <v>0</v>
      </c>
      <c r="BW146" s="1066">
        <f t="shared" si="150"/>
        <v>0</v>
      </c>
      <c r="BX146" s="1066">
        <f t="shared" si="151"/>
        <v>0</v>
      </c>
      <c r="BY146" s="1066">
        <f t="shared" si="151"/>
        <v>0</v>
      </c>
      <c r="BZ146" s="1066"/>
      <c r="CA146" s="1066">
        <f t="shared" si="152"/>
        <v>0</v>
      </c>
      <c r="CB146" s="1066">
        <f t="shared" si="152"/>
        <v>0</v>
      </c>
      <c r="CC146" s="1066">
        <f t="shared" si="152"/>
        <v>0</v>
      </c>
      <c r="CD146" s="1066">
        <f t="shared" si="152"/>
        <v>0</v>
      </c>
      <c r="CE146" s="1066">
        <f t="shared" si="152"/>
        <v>0</v>
      </c>
      <c r="CF146" s="1066">
        <f t="shared" si="152"/>
        <v>0</v>
      </c>
      <c r="CG146" s="1066">
        <f t="shared" si="152"/>
        <v>0</v>
      </c>
      <c r="CH146" s="1066">
        <f t="shared" si="152"/>
        <v>0</v>
      </c>
      <c r="CI146" s="1066">
        <f t="shared" si="152"/>
        <v>0</v>
      </c>
      <c r="CJ146" s="1066"/>
      <c r="CK146" s="1066">
        <f t="shared" si="161"/>
        <v>0</v>
      </c>
      <c r="CL146" s="1066">
        <f t="shared" si="153"/>
        <v>0</v>
      </c>
      <c r="CM146" s="1081" t="e">
        <f t="shared" si="113"/>
        <v>#DIV/0!</v>
      </c>
      <c r="CN146" s="1066">
        <f t="shared" si="154"/>
        <v>0</v>
      </c>
      <c r="CO146" s="1066"/>
      <c r="CP146" s="1066"/>
      <c r="CQ146" s="1066"/>
      <c r="CR146" s="1066"/>
      <c r="CS146" s="1066"/>
      <c r="CT146" s="1066"/>
      <c r="CU146" s="1066"/>
      <c r="CV146" s="1066"/>
      <c r="CW146" s="1066"/>
      <c r="CX146" s="1066"/>
      <c r="CY146" s="1066"/>
      <c r="CZ146" s="1066"/>
      <c r="DA146" s="1066"/>
      <c r="DB146" s="1066"/>
      <c r="DC146" s="1066"/>
      <c r="DD146" s="1066"/>
      <c r="DE146" s="1066"/>
      <c r="DF146" s="1066"/>
      <c r="DG146" s="1066"/>
      <c r="DH146" s="1066"/>
      <c r="DI146" s="1081" t="e">
        <f t="shared" si="115"/>
        <v>#DIV/0!</v>
      </c>
      <c r="DJ146" s="1066">
        <f t="shared" si="155"/>
        <v>0</v>
      </c>
      <c r="DK146" s="1066"/>
      <c r="DL146" s="1066"/>
      <c r="DM146" s="1066"/>
      <c r="DN146" s="1066">
        <f t="shared" si="156"/>
        <v>0</v>
      </c>
      <c r="DO146" s="1066">
        <f t="shared" si="156"/>
        <v>0</v>
      </c>
      <c r="DP146" s="1066">
        <f t="shared" si="156"/>
        <v>0</v>
      </c>
      <c r="DQ146" s="1066">
        <f t="shared" si="156"/>
        <v>0</v>
      </c>
      <c r="DR146" s="1066"/>
      <c r="DS146" s="1066">
        <f t="shared" si="157"/>
        <v>0</v>
      </c>
      <c r="DT146" s="1066">
        <f t="shared" si="157"/>
        <v>0</v>
      </c>
      <c r="DU146" s="1066"/>
      <c r="DV146" s="1066">
        <f t="shared" si="158"/>
        <v>0</v>
      </c>
      <c r="DW146" s="1066">
        <f t="shared" si="158"/>
        <v>0</v>
      </c>
      <c r="DX146" s="1066">
        <f t="shared" si="158"/>
        <v>0</v>
      </c>
      <c r="DY146" s="1066">
        <f t="shared" si="159"/>
        <v>0</v>
      </c>
      <c r="DZ146" s="1066">
        <f t="shared" si="159"/>
        <v>0</v>
      </c>
      <c r="EA146" s="1066">
        <f t="shared" si="159"/>
        <v>0</v>
      </c>
      <c r="EB146" s="1066">
        <f t="shared" si="159"/>
        <v>0</v>
      </c>
      <c r="EC146" s="1066"/>
      <c r="ED146" s="1066">
        <f t="shared" si="160"/>
        <v>0</v>
      </c>
    </row>
    <row r="147" spans="1:134" ht="32.25" customHeight="1" x14ac:dyDescent="0.25">
      <c r="A147" s="1590"/>
      <c r="B147" s="989"/>
      <c r="C147" s="852" t="s">
        <v>4500</v>
      </c>
      <c r="D147" s="1018" t="s">
        <v>4718</v>
      </c>
      <c r="E147" s="994">
        <v>111</v>
      </c>
      <c r="F147" s="1094" t="s">
        <v>4482</v>
      </c>
      <c r="G147" s="1429"/>
      <c r="H147" s="1060">
        <f t="shared" si="143"/>
        <v>661861284</v>
      </c>
      <c r="I147" s="1060">
        <f t="shared" si="144"/>
        <v>463500048</v>
      </c>
      <c r="J147" s="1593"/>
      <c r="K147" s="1596"/>
      <c r="L147" s="1258"/>
      <c r="M147" s="1074"/>
      <c r="N147" s="1074"/>
      <c r="O147" s="1074"/>
      <c r="P147" s="1097">
        <v>42</v>
      </c>
      <c r="Q147" s="1097">
        <v>0</v>
      </c>
      <c r="R147" s="1097">
        <v>0</v>
      </c>
      <c r="S147" s="1094"/>
      <c r="T147" s="1094"/>
      <c r="U147" s="1094"/>
      <c r="V147" s="1094"/>
      <c r="W147" s="1094"/>
      <c r="X147" s="1094"/>
      <c r="Y147" s="1007">
        <f t="shared" si="145"/>
        <v>1125361332</v>
      </c>
      <c r="Z147" s="1007"/>
      <c r="AA147" s="1007"/>
      <c r="AB147" s="1007"/>
      <c r="AC147" s="1007">
        <f>371000000+890000000-104000000-133915719-12442500+39070000</f>
        <v>1049711781</v>
      </c>
      <c r="AD147" s="1007"/>
      <c r="AE147" s="1007"/>
      <c r="AF147" s="1007"/>
      <c r="AG147" s="1007"/>
      <c r="AH147" s="1007"/>
      <c r="AI147" s="1007"/>
      <c r="AJ147" s="1007"/>
      <c r="AK147" s="1007"/>
      <c r="AL147" s="1007"/>
      <c r="AM147" s="1007"/>
      <c r="AN147" s="1007">
        <f>114719551-39070000</f>
        <v>75649551</v>
      </c>
      <c r="AO147" s="1007"/>
      <c r="AP147" s="1007"/>
      <c r="AQ147" s="1007"/>
      <c r="AR147" s="1007"/>
      <c r="AS147" s="1007"/>
      <c r="AT147" s="984"/>
      <c r="AU147" s="1010">
        <f t="shared" si="103"/>
        <v>0.59279626288065845</v>
      </c>
      <c r="AV147" s="1007">
        <f t="shared" si="146"/>
        <v>667109992</v>
      </c>
      <c r="AW147" s="1007"/>
      <c r="AX147" s="1007"/>
      <c r="AY147" s="1007"/>
      <c r="AZ147" s="1007">
        <f>+'[8]SEPTIEMBRE 2015'!$M$130</f>
        <v>667109992</v>
      </c>
      <c r="BA147" s="1007"/>
      <c r="BB147" s="1007"/>
      <c r="BC147" s="1007"/>
      <c r="BD147" s="1007"/>
      <c r="BE147" s="1007"/>
      <c r="BF147" s="1007"/>
      <c r="BG147" s="1007"/>
      <c r="BH147" s="1007"/>
      <c r="BI147" s="1007"/>
      <c r="BJ147" s="1007"/>
      <c r="BK147" s="1007"/>
      <c r="BL147" s="1007"/>
      <c r="BM147" s="1007"/>
      <c r="BN147" s="1007"/>
      <c r="BO147" s="1007"/>
      <c r="BP147" s="1007"/>
      <c r="BQ147" s="1010">
        <f t="shared" si="105"/>
        <v>0.40720373711934155</v>
      </c>
      <c r="BR147" s="1007">
        <f t="shared" si="147"/>
        <v>458251340</v>
      </c>
      <c r="BS147" s="1007">
        <f t="shared" si="148"/>
        <v>0</v>
      </c>
      <c r="BT147" s="1007">
        <f t="shared" si="149"/>
        <v>0</v>
      </c>
      <c r="BU147" s="1007"/>
      <c r="BV147" s="1007">
        <f t="shared" si="150"/>
        <v>382601789</v>
      </c>
      <c r="BW147" s="1007">
        <f t="shared" si="150"/>
        <v>0</v>
      </c>
      <c r="BX147" s="1007">
        <f t="shared" si="151"/>
        <v>0</v>
      </c>
      <c r="BY147" s="1007">
        <f t="shared" si="151"/>
        <v>0</v>
      </c>
      <c r="BZ147" s="1007"/>
      <c r="CA147" s="1007">
        <f t="shared" si="152"/>
        <v>0</v>
      </c>
      <c r="CB147" s="1007">
        <f t="shared" si="152"/>
        <v>0</v>
      </c>
      <c r="CC147" s="1007">
        <f t="shared" si="152"/>
        <v>0</v>
      </c>
      <c r="CD147" s="1007">
        <f t="shared" si="152"/>
        <v>0</v>
      </c>
      <c r="CE147" s="1007">
        <f t="shared" si="152"/>
        <v>0</v>
      </c>
      <c r="CF147" s="1007">
        <f t="shared" si="152"/>
        <v>0</v>
      </c>
      <c r="CG147" s="1007">
        <f t="shared" si="152"/>
        <v>75649551</v>
      </c>
      <c r="CH147" s="1007">
        <f t="shared" si="152"/>
        <v>0</v>
      </c>
      <c r="CI147" s="1007">
        <f t="shared" si="152"/>
        <v>0</v>
      </c>
      <c r="CJ147" s="1007"/>
      <c r="CK147" s="1007">
        <f t="shared" si="161"/>
        <v>0</v>
      </c>
      <c r="CL147" s="1007">
        <f t="shared" si="153"/>
        <v>0</v>
      </c>
      <c r="CM147" s="1010">
        <f t="shared" si="113"/>
        <v>0.58813224266710451</v>
      </c>
      <c r="CN147" s="1007">
        <f t="shared" si="154"/>
        <v>661861284</v>
      </c>
      <c r="CO147" s="1007"/>
      <c r="CP147" s="1007"/>
      <c r="CQ147" s="1007"/>
      <c r="CR147" s="1007">
        <f>+'[8]SEPTIEMBRE 2015'!$H$128</f>
        <v>661861284</v>
      </c>
      <c r="CS147" s="1007"/>
      <c r="CT147" s="1007"/>
      <c r="CU147" s="1007"/>
      <c r="CV147" s="1007"/>
      <c r="CW147" s="1007"/>
      <c r="CX147" s="1007"/>
      <c r="CY147" s="1007"/>
      <c r="CZ147" s="1007"/>
      <c r="DA147" s="1007"/>
      <c r="DB147" s="1007"/>
      <c r="DC147" s="1007"/>
      <c r="DD147" s="1007"/>
      <c r="DE147" s="1007"/>
      <c r="DF147" s="1007"/>
      <c r="DG147" s="1007"/>
      <c r="DH147" s="1007"/>
      <c r="DI147" s="1010">
        <f t="shared" si="115"/>
        <v>0.41186775733289549</v>
      </c>
      <c r="DJ147" s="1007">
        <f t="shared" si="155"/>
        <v>463500048</v>
      </c>
      <c r="DK147" s="1007"/>
      <c r="DL147" s="1007"/>
      <c r="DM147" s="1007"/>
      <c r="DN147" s="1007">
        <f t="shared" si="156"/>
        <v>387850497</v>
      </c>
      <c r="DO147" s="1007">
        <f t="shared" si="156"/>
        <v>0</v>
      </c>
      <c r="DP147" s="1007">
        <f t="shared" si="156"/>
        <v>0</v>
      </c>
      <c r="DQ147" s="1007">
        <f t="shared" si="156"/>
        <v>0</v>
      </c>
      <c r="DR147" s="1007"/>
      <c r="DS147" s="1007">
        <f t="shared" si="157"/>
        <v>0</v>
      </c>
      <c r="DT147" s="1007">
        <f t="shared" si="157"/>
        <v>0</v>
      </c>
      <c r="DU147" s="1007"/>
      <c r="DV147" s="1007">
        <f t="shared" si="158"/>
        <v>0</v>
      </c>
      <c r="DW147" s="1007">
        <f t="shared" si="158"/>
        <v>0</v>
      </c>
      <c r="DX147" s="1007">
        <f t="shared" si="158"/>
        <v>0</v>
      </c>
      <c r="DY147" s="1007">
        <f t="shared" si="159"/>
        <v>75649551</v>
      </c>
      <c r="DZ147" s="1007">
        <f t="shared" si="159"/>
        <v>0</v>
      </c>
      <c r="EA147" s="1007">
        <f t="shared" si="159"/>
        <v>0</v>
      </c>
      <c r="EB147" s="1007">
        <f t="shared" si="159"/>
        <v>0</v>
      </c>
      <c r="EC147" s="1007"/>
      <c r="ED147" s="1007">
        <f t="shared" si="160"/>
        <v>0</v>
      </c>
    </row>
    <row r="148" spans="1:134" ht="52.5" customHeight="1" x14ac:dyDescent="0.25">
      <c r="A148" s="1590"/>
      <c r="B148" s="989"/>
      <c r="C148" s="852" t="s">
        <v>4501</v>
      </c>
      <c r="D148" s="1018" t="s">
        <v>4745</v>
      </c>
      <c r="E148" s="994">
        <v>111</v>
      </c>
      <c r="F148" s="1094" t="s">
        <v>4482</v>
      </c>
      <c r="G148" s="1429"/>
      <c r="H148" s="1060">
        <f t="shared" si="143"/>
        <v>239600131</v>
      </c>
      <c r="I148" s="1060">
        <f t="shared" si="144"/>
        <v>999869</v>
      </c>
      <c r="J148" s="1591">
        <v>184</v>
      </c>
      <c r="K148" s="1594">
        <v>317</v>
      </c>
      <c r="L148" s="1257">
        <v>198</v>
      </c>
      <c r="M148" s="1097">
        <v>0</v>
      </c>
      <c r="N148" s="1097">
        <v>0</v>
      </c>
      <c r="O148" s="1097">
        <v>0</v>
      </c>
      <c r="P148" s="1097">
        <v>0</v>
      </c>
      <c r="Q148" s="1097">
        <v>0</v>
      </c>
      <c r="R148" s="1097">
        <v>0</v>
      </c>
      <c r="S148" s="1094"/>
      <c r="T148" s="1094"/>
      <c r="U148" s="1094"/>
      <c r="V148" s="1094"/>
      <c r="W148" s="1094"/>
      <c r="X148" s="1094"/>
      <c r="Y148" s="1007">
        <f t="shared" si="145"/>
        <v>240600000</v>
      </c>
      <c r="Z148" s="1007"/>
      <c r="AA148" s="1007"/>
      <c r="AB148" s="1007"/>
      <c r="AC148" s="1007">
        <f>540600000-300000000</f>
        <v>240600000</v>
      </c>
      <c r="AD148" s="1007"/>
      <c r="AE148" s="1007"/>
      <c r="AF148" s="1007"/>
      <c r="AG148" s="1007"/>
      <c r="AH148" s="1007"/>
      <c r="AI148" s="1007"/>
      <c r="AJ148" s="1007"/>
      <c r="AK148" s="1007"/>
      <c r="AL148" s="1007"/>
      <c r="AM148" s="1007"/>
      <c r="AN148" s="1007"/>
      <c r="AO148" s="1007"/>
      <c r="AP148" s="1007"/>
      <c r="AQ148" s="1007"/>
      <c r="AR148" s="1007"/>
      <c r="AS148" s="1007"/>
      <c r="AT148" s="984"/>
      <c r="AU148" s="1010">
        <f t="shared" si="103"/>
        <v>0.99584426849542806</v>
      </c>
      <c r="AV148" s="1007">
        <f t="shared" si="146"/>
        <v>239600131</v>
      </c>
      <c r="AW148" s="1007"/>
      <c r="AX148" s="1007"/>
      <c r="AY148" s="1007"/>
      <c r="AZ148" s="1007">
        <f>+'[8]SEPTIEMBRE 2015'!$M$152</f>
        <v>239600131</v>
      </c>
      <c r="BA148" s="1007"/>
      <c r="BB148" s="1007"/>
      <c r="BC148" s="1007"/>
      <c r="BD148" s="1007"/>
      <c r="BE148" s="1007"/>
      <c r="BF148" s="1007"/>
      <c r="BG148" s="1007"/>
      <c r="BH148" s="1007"/>
      <c r="BI148" s="1007"/>
      <c r="BJ148" s="1007"/>
      <c r="BK148" s="1007"/>
      <c r="BL148" s="1007"/>
      <c r="BM148" s="1007"/>
      <c r="BN148" s="1007"/>
      <c r="BO148" s="1007"/>
      <c r="BP148" s="1007"/>
      <c r="BQ148" s="1010">
        <f t="shared" si="105"/>
        <v>4.1557315045719356E-3</v>
      </c>
      <c r="BR148" s="1007">
        <f t="shared" si="147"/>
        <v>999869</v>
      </c>
      <c r="BS148" s="1007">
        <f t="shared" si="148"/>
        <v>0</v>
      </c>
      <c r="BT148" s="1007">
        <f t="shared" si="149"/>
        <v>0</v>
      </c>
      <c r="BU148" s="1007"/>
      <c r="BV148" s="1007">
        <f t="shared" si="150"/>
        <v>999869</v>
      </c>
      <c r="BW148" s="1007">
        <f t="shared" si="150"/>
        <v>0</v>
      </c>
      <c r="BX148" s="1007">
        <f t="shared" si="151"/>
        <v>0</v>
      </c>
      <c r="BY148" s="1007">
        <f t="shared" si="151"/>
        <v>0</v>
      </c>
      <c r="BZ148" s="1007"/>
      <c r="CA148" s="1007">
        <f t="shared" si="152"/>
        <v>0</v>
      </c>
      <c r="CB148" s="1007">
        <f t="shared" si="152"/>
        <v>0</v>
      </c>
      <c r="CC148" s="1007">
        <f t="shared" si="152"/>
        <v>0</v>
      </c>
      <c r="CD148" s="1007">
        <f t="shared" si="152"/>
        <v>0</v>
      </c>
      <c r="CE148" s="1007">
        <f t="shared" si="152"/>
        <v>0</v>
      </c>
      <c r="CF148" s="1007">
        <f t="shared" si="152"/>
        <v>0</v>
      </c>
      <c r="CG148" s="1007">
        <f t="shared" si="152"/>
        <v>0</v>
      </c>
      <c r="CH148" s="1007">
        <f t="shared" si="152"/>
        <v>0</v>
      </c>
      <c r="CI148" s="1007">
        <f t="shared" si="152"/>
        <v>0</v>
      </c>
      <c r="CJ148" s="1007"/>
      <c r="CK148" s="1007">
        <f t="shared" si="161"/>
        <v>0</v>
      </c>
      <c r="CL148" s="1007">
        <f t="shared" si="153"/>
        <v>0</v>
      </c>
      <c r="CM148" s="1010">
        <f t="shared" si="113"/>
        <v>0.99584426849542806</v>
      </c>
      <c r="CN148" s="1007">
        <f t="shared" si="154"/>
        <v>239600131</v>
      </c>
      <c r="CO148" s="1007"/>
      <c r="CP148" s="1007"/>
      <c r="CQ148" s="1007"/>
      <c r="CR148" s="1007">
        <f>+'[10]JULIO 2015'!$H$138</f>
        <v>239600131</v>
      </c>
      <c r="CS148" s="1007"/>
      <c r="CT148" s="1007"/>
      <c r="CU148" s="1007"/>
      <c r="CV148" s="1007"/>
      <c r="CW148" s="1007"/>
      <c r="CX148" s="1007"/>
      <c r="CY148" s="1007"/>
      <c r="CZ148" s="1007"/>
      <c r="DA148" s="1007"/>
      <c r="DB148" s="1007"/>
      <c r="DC148" s="1007"/>
      <c r="DD148" s="1007"/>
      <c r="DE148" s="1007"/>
      <c r="DF148" s="1007"/>
      <c r="DG148" s="1007"/>
      <c r="DH148" s="1007"/>
      <c r="DI148" s="1010">
        <f t="shared" si="115"/>
        <v>4.1557315045719356E-3</v>
      </c>
      <c r="DJ148" s="1007">
        <f t="shared" si="155"/>
        <v>999869</v>
      </c>
      <c r="DK148" s="1007"/>
      <c r="DL148" s="1007"/>
      <c r="DM148" s="1007"/>
      <c r="DN148" s="1007">
        <f t="shared" si="156"/>
        <v>999869</v>
      </c>
      <c r="DO148" s="1007">
        <f t="shared" si="156"/>
        <v>0</v>
      </c>
      <c r="DP148" s="1007">
        <f t="shared" si="156"/>
        <v>0</v>
      </c>
      <c r="DQ148" s="1007">
        <f t="shared" si="156"/>
        <v>0</v>
      </c>
      <c r="DR148" s="1007"/>
      <c r="DS148" s="1007">
        <f t="shared" si="157"/>
        <v>0</v>
      </c>
      <c r="DT148" s="1007">
        <f t="shared" si="157"/>
        <v>0</v>
      </c>
      <c r="DU148" s="1007"/>
      <c r="DV148" s="1007">
        <f t="shared" si="158"/>
        <v>0</v>
      </c>
      <c r="DW148" s="1007">
        <f t="shared" si="158"/>
        <v>0</v>
      </c>
      <c r="DX148" s="1007">
        <f t="shared" si="158"/>
        <v>0</v>
      </c>
      <c r="DY148" s="1007">
        <f t="shared" si="159"/>
        <v>0</v>
      </c>
      <c r="DZ148" s="1007">
        <f t="shared" si="159"/>
        <v>0</v>
      </c>
      <c r="EA148" s="1007">
        <f t="shared" si="159"/>
        <v>0</v>
      </c>
      <c r="EB148" s="1007">
        <f t="shared" si="159"/>
        <v>0</v>
      </c>
      <c r="EC148" s="1007"/>
      <c r="ED148" s="1007">
        <f t="shared" si="160"/>
        <v>0</v>
      </c>
    </row>
    <row r="149" spans="1:134" s="203" customFormat="1" ht="61.5" customHeight="1" x14ac:dyDescent="0.25">
      <c r="A149" s="1590"/>
      <c r="B149" s="989"/>
      <c r="C149" s="1080" t="s">
        <v>4502</v>
      </c>
      <c r="D149" s="1018" t="s">
        <v>4484</v>
      </c>
      <c r="E149" s="996">
        <v>111</v>
      </c>
      <c r="F149" s="1094" t="s">
        <v>4482</v>
      </c>
      <c r="G149" s="1429"/>
      <c r="H149" s="1060">
        <f t="shared" si="143"/>
        <v>0</v>
      </c>
      <c r="I149" s="1060">
        <f t="shared" si="144"/>
        <v>0</v>
      </c>
      <c r="J149" s="1593"/>
      <c r="K149" s="1596"/>
      <c r="L149" s="1258"/>
      <c r="M149" s="1074">
        <v>0</v>
      </c>
      <c r="N149" s="1074">
        <v>0</v>
      </c>
      <c r="O149" s="1074">
        <v>0</v>
      </c>
      <c r="P149" s="1074"/>
      <c r="Q149" s="1074"/>
      <c r="R149" s="1074"/>
      <c r="S149" s="1094"/>
      <c r="T149" s="1094"/>
      <c r="U149" s="1094"/>
      <c r="V149" s="1094"/>
      <c r="W149" s="1094"/>
      <c r="X149" s="1094"/>
      <c r="Y149" s="1066">
        <f t="shared" si="145"/>
        <v>0</v>
      </c>
      <c r="Z149" s="1066"/>
      <c r="AA149" s="1066"/>
      <c r="AB149" s="1066"/>
      <c r="AC149" s="1066">
        <f>2968000000-968000000-897000000-103000000-1000000000</f>
        <v>0</v>
      </c>
      <c r="AD149" s="1066"/>
      <c r="AE149" s="1066"/>
      <c r="AF149" s="1066"/>
      <c r="AG149" s="1066"/>
      <c r="AH149" s="1066"/>
      <c r="AI149" s="1066"/>
      <c r="AJ149" s="1066"/>
      <c r="AK149" s="1066"/>
      <c r="AL149" s="1066"/>
      <c r="AM149" s="1066"/>
      <c r="AN149" s="1066"/>
      <c r="AO149" s="1066"/>
      <c r="AP149" s="1066"/>
      <c r="AQ149" s="1066"/>
      <c r="AR149" s="1066"/>
      <c r="AS149" s="1066"/>
      <c r="AT149" s="1088"/>
      <c r="AU149" s="1081" t="e">
        <f t="shared" si="103"/>
        <v>#DIV/0!</v>
      </c>
      <c r="AV149" s="1066">
        <f t="shared" si="146"/>
        <v>0</v>
      </c>
      <c r="AW149" s="1066"/>
      <c r="AX149" s="1066"/>
      <c r="AY149" s="1066"/>
      <c r="AZ149" s="1066"/>
      <c r="BA149" s="1066"/>
      <c r="BB149" s="1066"/>
      <c r="BC149" s="1066"/>
      <c r="BD149" s="1066"/>
      <c r="BE149" s="1066"/>
      <c r="BF149" s="1066"/>
      <c r="BG149" s="1066"/>
      <c r="BH149" s="1066"/>
      <c r="BI149" s="1066"/>
      <c r="BJ149" s="1066"/>
      <c r="BK149" s="1066"/>
      <c r="BL149" s="1066"/>
      <c r="BM149" s="1066"/>
      <c r="BN149" s="1066"/>
      <c r="BO149" s="1066"/>
      <c r="BP149" s="1066"/>
      <c r="BQ149" s="1081" t="e">
        <f t="shared" si="105"/>
        <v>#DIV/0!</v>
      </c>
      <c r="BR149" s="1066">
        <f t="shared" si="147"/>
        <v>0</v>
      </c>
      <c r="BS149" s="1066">
        <f t="shared" si="148"/>
        <v>0</v>
      </c>
      <c r="BT149" s="1066">
        <f t="shared" si="149"/>
        <v>0</v>
      </c>
      <c r="BU149" s="1066"/>
      <c r="BV149" s="1066">
        <f t="shared" si="150"/>
        <v>0</v>
      </c>
      <c r="BW149" s="1066">
        <f t="shared" si="150"/>
        <v>0</v>
      </c>
      <c r="BX149" s="1066">
        <f t="shared" si="151"/>
        <v>0</v>
      </c>
      <c r="BY149" s="1066">
        <f t="shared" si="151"/>
        <v>0</v>
      </c>
      <c r="BZ149" s="1066"/>
      <c r="CA149" s="1066">
        <f t="shared" si="152"/>
        <v>0</v>
      </c>
      <c r="CB149" s="1066">
        <f t="shared" si="152"/>
        <v>0</v>
      </c>
      <c r="CC149" s="1066">
        <f t="shared" si="152"/>
        <v>0</v>
      </c>
      <c r="CD149" s="1066">
        <f t="shared" si="152"/>
        <v>0</v>
      </c>
      <c r="CE149" s="1066">
        <f t="shared" si="152"/>
        <v>0</v>
      </c>
      <c r="CF149" s="1066">
        <f t="shared" si="152"/>
        <v>0</v>
      </c>
      <c r="CG149" s="1066">
        <f t="shared" si="152"/>
        <v>0</v>
      </c>
      <c r="CH149" s="1066">
        <f t="shared" si="152"/>
        <v>0</v>
      </c>
      <c r="CI149" s="1066">
        <f t="shared" si="152"/>
        <v>0</v>
      </c>
      <c r="CJ149" s="1066"/>
      <c r="CK149" s="1066">
        <f t="shared" si="161"/>
        <v>0</v>
      </c>
      <c r="CL149" s="1066">
        <f t="shared" si="153"/>
        <v>0</v>
      </c>
      <c r="CM149" s="1081" t="e">
        <f t="shared" si="113"/>
        <v>#DIV/0!</v>
      </c>
      <c r="CN149" s="1066">
        <f t="shared" si="154"/>
        <v>0</v>
      </c>
      <c r="CO149" s="1066"/>
      <c r="CP149" s="1066"/>
      <c r="CQ149" s="1066"/>
      <c r="CR149" s="1066"/>
      <c r="CS149" s="1066"/>
      <c r="CT149" s="1066"/>
      <c r="CU149" s="1066"/>
      <c r="CV149" s="1066"/>
      <c r="CW149" s="1066"/>
      <c r="CX149" s="1066"/>
      <c r="CY149" s="1066"/>
      <c r="CZ149" s="1066"/>
      <c r="DA149" s="1066"/>
      <c r="DB149" s="1066"/>
      <c r="DC149" s="1066"/>
      <c r="DD149" s="1066"/>
      <c r="DE149" s="1066"/>
      <c r="DF149" s="1066"/>
      <c r="DG149" s="1066"/>
      <c r="DH149" s="1066"/>
      <c r="DI149" s="1081" t="e">
        <f t="shared" si="115"/>
        <v>#DIV/0!</v>
      </c>
      <c r="DJ149" s="1066">
        <f t="shared" si="155"/>
        <v>0</v>
      </c>
      <c r="DK149" s="1066"/>
      <c r="DL149" s="1066"/>
      <c r="DM149" s="1066"/>
      <c r="DN149" s="1066">
        <f t="shared" si="156"/>
        <v>0</v>
      </c>
      <c r="DO149" s="1066">
        <f t="shared" si="156"/>
        <v>0</v>
      </c>
      <c r="DP149" s="1066">
        <f t="shared" si="156"/>
        <v>0</v>
      </c>
      <c r="DQ149" s="1066">
        <f t="shared" si="156"/>
        <v>0</v>
      </c>
      <c r="DR149" s="1066"/>
      <c r="DS149" s="1066">
        <f t="shared" si="157"/>
        <v>0</v>
      </c>
      <c r="DT149" s="1066">
        <f t="shared" si="157"/>
        <v>0</v>
      </c>
      <c r="DU149" s="1066"/>
      <c r="DV149" s="1066">
        <f t="shared" si="158"/>
        <v>0</v>
      </c>
      <c r="DW149" s="1066">
        <f t="shared" si="158"/>
        <v>0</v>
      </c>
      <c r="DX149" s="1066">
        <f t="shared" si="158"/>
        <v>0</v>
      </c>
      <c r="DY149" s="1066">
        <f t="shared" si="159"/>
        <v>0</v>
      </c>
      <c r="DZ149" s="1066">
        <f t="shared" si="159"/>
        <v>0</v>
      </c>
      <c r="EA149" s="1066">
        <f t="shared" si="159"/>
        <v>0</v>
      </c>
      <c r="EB149" s="1066">
        <f t="shared" si="159"/>
        <v>0</v>
      </c>
      <c r="EC149" s="1066"/>
      <c r="ED149" s="1066">
        <f t="shared" si="160"/>
        <v>0</v>
      </c>
    </row>
    <row r="150" spans="1:134" ht="64.5" customHeight="1" x14ac:dyDescent="0.25">
      <c r="A150" s="1590"/>
      <c r="B150" s="989"/>
      <c r="C150" s="852" t="s">
        <v>4503</v>
      </c>
      <c r="D150" s="1018" t="s">
        <v>4483</v>
      </c>
      <c r="E150" s="994">
        <v>111</v>
      </c>
      <c r="F150" s="1094" t="s">
        <v>4742</v>
      </c>
      <c r="G150" s="1429"/>
      <c r="H150" s="1060">
        <f t="shared" si="143"/>
        <v>53155185</v>
      </c>
      <c r="I150" s="1060">
        <f t="shared" si="144"/>
        <v>18959815</v>
      </c>
      <c r="J150" s="1428">
        <v>3</v>
      </c>
      <c r="K150" s="1257" t="s">
        <v>4928</v>
      </c>
      <c r="L150" s="1257">
        <v>3</v>
      </c>
      <c r="M150" s="1090"/>
      <c r="N150" s="1090"/>
      <c r="O150" s="1090"/>
      <c r="P150" s="1097">
        <v>0</v>
      </c>
      <c r="Q150" s="1097">
        <v>0</v>
      </c>
      <c r="R150" s="1097">
        <v>0</v>
      </c>
      <c r="S150" s="1094"/>
      <c r="T150" s="1094"/>
      <c r="U150" s="1094"/>
      <c r="V150" s="1094"/>
      <c r="W150" s="1094"/>
      <c r="X150" s="1094"/>
      <c r="Y150" s="1007">
        <f t="shared" si="145"/>
        <v>72115000</v>
      </c>
      <c r="Z150" s="1007"/>
      <c r="AA150" s="1007"/>
      <c r="AB150" s="1007"/>
      <c r="AC150" s="1007"/>
      <c r="AD150" s="1007"/>
      <c r="AE150" s="1007"/>
      <c r="AF150" s="1007"/>
      <c r="AG150" s="1007"/>
      <c r="AH150" s="1007"/>
      <c r="AI150" s="1007"/>
      <c r="AJ150" s="1007"/>
      <c r="AK150" s="1007"/>
      <c r="AL150" s="1007"/>
      <c r="AM150" s="1007"/>
      <c r="AN150" s="1007"/>
      <c r="AO150" s="1007"/>
      <c r="AP150" s="1007"/>
      <c r="AQ150" s="1007"/>
      <c r="AR150" s="1007"/>
      <c r="AS150" s="1007">
        <f>587519551+2000000+10000000+37000000-597519551+46500000-13385000</f>
        <v>72115000</v>
      </c>
      <c r="AT150" s="984"/>
      <c r="AU150" s="1010">
        <f t="shared" si="103"/>
        <v>1</v>
      </c>
      <c r="AV150" s="1007">
        <f t="shared" si="146"/>
        <v>72115000</v>
      </c>
      <c r="AW150" s="1007"/>
      <c r="AX150" s="1007"/>
      <c r="AY150" s="1007"/>
      <c r="AZ150" s="1007"/>
      <c r="BA150" s="1007"/>
      <c r="BB150" s="1007"/>
      <c r="BC150" s="1007"/>
      <c r="BD150" s="1007"/>
      <c r="BE150" s="1007"/>
      <c r="BF150" s="1007"/>
      <c r="BG150" s="1007"/>
      <c r="BH150" s="1007"/>
      <c r="BI150" s="1007"/>
      <c r="BJ150" s="1007"/>
      <c r="BK150" s="1007"/>
      <c r="BL150" s="1007"/>
      <c r="BM150" s="1007"/>
      <c r="BN150" s="1007"/>
      <c r="BO150" s="1007"/>
      <c r="BP150" s="1007">
        <f>+'[7]AGOSTO 2015'!$G$156</f>
        <v>72115000</v>
      </c>
      <c r="BQ150" s="1010">
        <f t="shared" si="105"/>
        <v>0</v>
      </c>
      <c r="BR150" s="1007">
        <f t="shared" si="147"/>
        <v>0</v>
      </c>
      <c r="BS150" s="1007">
        <f t="shared" si="148"/>
        <v>0</v>
      </c>
      <c r="BT150" s="1007">
        <f t="shared" si="149"/>
        <v>0</v>
      </c>
      <c r="BU150" s="1007"/>
      <c r="BV150" s="1007">
        <f t="shared" si="150"/>
        <v>0</v>
      </c>
      <c r="BW150" s="1007">
        <f t="shared" si="150"/>
        <v>0</v>
      </c>
      <c r="BX150" s="1007">
        <f t="shared" si="151"/>
        <v>0</v>
      </c>
      <c r="BY150" s="1007">
        <f t="shared" si="151"/>
        <v>0</v>
      </c>
      <c r="BZ150" s="1007"/>
      <c r="CA150" s="1007">
        <f t="shared" si="152"/>
        <v>0</v>
      </c>
      <c r="CB150" s="1007">
        <f t="shared" si="152"/>
        <v>0</v>
      </c>
      <c r="CC150" s="1007">
        <f t="shared" si="152"/>
        <v>0</v>
      </c>
      <c r="CD150" s="1007">
        <f t="shared" si="152"/>
        <v>0</v>
      </c>
      <c r="CE150" s="1007">
        <f t="shared" si="152"/>
        <v>0</v>
      </c>
      <c r="CF150" s="1007">
        <f t="shared" si="152"/>
        <v>0</v>
      </c>
      <c r="CG150" s="1007">
        <f t="shared" si="152"/>
        <v>0</v>
      </c>
      <c r="CH150" s="1007">
        <f t="shared" si="152"/>
        <v>0</v>
      </c>
      <c r="CI150" s="1007">
        <f t="shared" si="152"/>
        <v>0</v>
      </c>
      <c r="CJ150" s="1007"/>
      <c r="CK150" s="1007">
        <f t="shared" si="161"/>
        <v>0</v>
      </c>
      <c r="CL150" s="1007">
        <f t="shared" si="153"/>
        <v>0</v>
      </c>
      <c r="CM150" s="1010">
        <f t="shared" si="113"/>
        <v>0.73708916314220341</v>
      </c>
      <c r="CN150" s="1007">
        <f t="shared" si="154"/>
        <v>53155185</v>
      </c>
      <c r="CO150" s="1007"/>
      <c r="CP150" s="1007"/>
      <c r="CQ150" s="1007"/>
      <c r="CR150" s="1007"/>
      <c r="CS150" s="1007"/>
      <c r="CT150" s="1007"/>
      <c r="CU150" s="1007"/>
      <c r="CV150" s="1007"/>
      <c r="CW150" s="1007"/>
      <c r="CX150" s="1007"/>
      <c r="CY150" s="1007"/>
      <c r="CZ150" s="1007"/>
      <c r="DA150" s="1007"/>
      <c r="DB150" s="1007"/>
      <c r="DC150" s="1007"/>
      <c r="DD150" s="1007"/>
      <c r="DE150" s="1007"/>
      <c r="DF150" s="1007"/>
      <c r="DG150" s="1007"/>
      <c r="DH150" s="1007">
        <f>+'[8]SEPTIEMBRE 2015'!$H$162</f>
        <v>53155185</v>
      </c>
      <c r="DI150" s="1010">
        <f t="shared" si="115"/>
        <v>0.26291083685779659</v>
      </c>
      <c r="DJ150" s="1007">
        <f t="shared" si="155"/>
        <v>18959815</v>
      </c>
      <c r="DK150" s="1007"/>
      <c r="DL150" s="1007"/>
      <c r="DM150" s="1007"/>
      <c r="DN150" s="1007">
        <f t="shared" si="156"/>
        <v>0</v>
      </c>
      <c r="DO150" s="1007">
        <f t="shared" si="156"/>
        <v>0</v>
      </c>
      <c r="DP150" s="1007">
        <f t="shared" si="156"/>
        <v>0</v>
      </c>
      <c r="DQ150" s="1007">
        <f t="shared" si="156"/>
        <v>0</v>
      </c>
      <c r="DR150" s="1007"/>
      <c r="DS150" s="1007">
        <f t="shared" si="157"/>
        <v>0</v>
      </c>
      <c r="DT150" s="1007">
        <f t="shared" si="157"/>
        <v>0</v>
      </c>
      <c r="DU150" s="1007"/>
      <c r="DV150" s="1007">
        <f t="shared" si="158"/>
        <v>0</v>
      </c>
      <c r="DW150" s="1007">
        <f t="shared" si="158"/>
        <v>0</v>
      </c>
      <c r="DX150" s="1007">
        <f t="shared" si="158"/>
        <v>0</v>
      </c>
      <c r="DY150" s="1007">
        <f t="shared" si="159"/>
        <v>0</v>
      </c>
      <c r="DZ150" s="1007">
        <f t="shared" si="159"/>
        <v>0</v>
      </c>
      <c r="EA150" s="1007">
        <f t="shared" si="159"/>
        <v>0</v>
      </c>
      <c r="EB150" s="1007">
        <f t="shared" si="159"/>
        <v>0</v>
      </c>
      <c r="EC150" s="1007"/>
      <c r="ED150" s="1007">
        <f t="shared" si="160"/>
        <v>18959815</v>
      </c>
    </row>
    <row r="151" spans="1:134" s="203" customFormat="1" ht="33.75" customHeight="1" x14ac:dyDescent="0.25">
      <c r="A151" s="1590"/>
      <c r="B151" s="989"/>
      <c r="C151" s="1080" t="s">
        <v>4710</v>
      </c>
      <c r="D151" s="1018" t="s">
        <v>4711</v>
      </c>
      <c r="E151" s="996">
        <v>111</v>
      </c>
      <c r="F151" s="1094" t="s">
        <v>4482</v>
      </c>
      <c r="G151" s="1429"/>
      <c r="H151" s="1060">
        <f t="shared" si="143"/>
        <v>0</v>
      </c>
      <c r="I151" s="1060">
        <f t="shared" si="144"/>
        <v>0</v>
      </c>
      <c r="J151" s="1430"/>
      <c r="K151" s="1258"/>
      <c r="L151" s="1258"/>
      <c r="M151" s="1074">
        <v>0</v>
      </c>
      <c r="N151" s="1074">
        <v>0</v>
      </c>
      <c r="O151" s="1074">
        <v>0</v>
      </c>
      <c r="P151" s="1074"/>
      <c r="Q151" s="1074"/>
      <c r="R151" s="1074"/>
      <c r="S151" s="1094"/>
      <c r="T151" s="1094"/>
      <c r="U151" s="1094"/>
      <c r="V151" s="1094"/>
      <c r="W151" s="1094"/>
      <c r="X151" s="1094"/>
      <c r="Y151" s="1066">
        <f t="shared" si="145"/>
        <v>0</v>
      </c>
      <c r="Z151" s="1066"/>
      <c r="AA151" s="1066"/>
      <c r="AB151" s="1066"/>
      <c r="AC151" s="1066">
        <f>400000000-400000000</f>
        <v>0</v>
      </c>
      <c r="AD151" s="1066"/>
      <c r="AE151" s="1066"/>
      <c r="AF151" s="1066"/>
      <c r="AG151" s="1066"/>
      <c r="AH151" s="1066"/>
      <c r="AI151" s="1066"/>
      <c r="AJ151" s="1066"/>
      <c r="AK151" s="1066"/>
      <c r="AL151" s="1066"/>
      <c r="AM151" s="1066"/>
      <c r="AN151" s="1066"/>
      <c r="AO151" s="1066"/>
      <c r="AP151" s="1066"/>
      <c r="AQ151" s="1066"/>
      <c r="AR151" s="1066"/>
      <c r="AS151" s="1066"/>
      <c r="AT151" s="1089"/>
      <c r="AU151" s="1081" t="e">
        <f t="shared" si="103"/>
        <v>#DIV/0!</v>
      </c>
      <c r="AV151" s="1066">
        <f t="shared" si="146"/>
        <v>0</v>
      </c>
      <c r="AW151" s="1066"/>
      <c r="AX151" s="1066"/>
      <c r="AY151" s="1066"/>
      <c r="AZ151" s="1066"/>
      <c r="BA151" s="1066"/>
      <c r="BB151" s="1066"/>
      <c r="BC151" s="1066"/>
      <c r="BD151" s="1066"/>
      <c r="BE151" s="1066"/>
      <c r="BF151" s="1066"/>
      <c r="BG151" s="1066"/>
      <c r="BH151" s="1066"/>
      <c r="BI151" s="1066"/>
      <c r="BJ151" s="1066"/>
      <c r="BK151" s="1066"/>
      <c r="BL151" s="1066"/>
      <c r="BM151" s="1066"/>
      <c r="BN151" s="1066"/>
      <c r="BO151" s="1066"/>
      <c r="BP151" s="1066"/>
      <c r="BQ151" s="1081" t="e">
        <f t="shared" si="105"/>
        <v>#DIV/0!</v>
      </c>
      <c r="BR151" s="1066">
        <f t="shared" si="147"/>
        <v>0</v>
      </c>
      <c r="BS151" s="1066"/>
      <c r="BT151" s="1066"/>
      <c r="BU151" s="1066"/>
      <c r="BV151" s="1066">
        <f t="shared" ref="BV151:BW194" si="162">AC151-AZ151</f>
        <v>0</v>
      </c>
      <c r="BW151" s="1066"/>
      <c r="BX151" s="1066"/>
      <c r="BY151" s="1066"/>
      <c r="BZ151" s="1066"/>
      <c r="CA151" s="1066"/>
      <c r="CB151" s="1066"/>
      <c r="CC151" s="1066"/>
      <c r="CD151" s="1066"/>
      <c r="CE151" s="1066"/>
      <c r="CF151" s="1066"/>
      <c r="CG151" s="1066"/>
      <c r="CH151" s="1066"/>
      <c r="CI151" s="1066"/>
      <c r="CJ151" s="1066"/>
      <c r="CK151" s="1066"/>
      <c r="CL151" s="1066"/>
      <c r="CM151" s="1081" t="e">
        <f t="shared" si="113"/>
        <v>#DIV/0!</v>
      </c>
      <c r="CN151" s="1066">
        <f t="shared" si="154"/>
        <v>0</v>
      </c>
      <c r="CO151" s="1066"/>
      <c r="CP151" s="1066"/>
      <c r="CQ151" s="1066"/>
      <c r="CR151" s="1066"/>
      <c r="CS151" s="1066"/>
      <c r="CT151" s="1066"/>
      <c r="CU151" s="1066"/>
      <c r="CV151" s="1066"/>
      <c r="CW151" s="1066"/>
      <c r="CX151" s="1066"/>
      <c r="CY151" s="1066"/>
      <c r="CZ151" s="1066"/>
      <c r="DA151" s="1066"/>
      <c r="DB151" s="1066"/>
      <c r="DC151" s="1066"/>
      <c r="DD151" s="1066"/>
      <c r="DE151" s="1066"/>
      <c r="DF151" s="1066"/>
      <c r="DG151" s="1066"/>
      <c r="DH151" s="1066"/>
      <c r="DI151" s="1081" t="e">
        <f t="shared" si="115"/>
        <v>#DIV/0!</v>
      </c>
      <c r="DJ151" s="1066">
        <f t="shared" si="155"/>
        <v>0</v>
      </c>
      <c r="DK151" s="1066"/>
      <c r="DL151" s="1066"/>
      <c r="DM151" s="1066"/>
      <c r="DN151" s="1066">
        <f t="shared" ref="DN151:DQ194" si="163">AC151-CR151</f>
        <v>0</v>
      </c>
      <c r="DO151" s="1066"/>
      <c r="DP151" s="1066"/>
      <c r="DQ151" s="1066"/>
      <c r="DR151" s="1066"/>
      <c r="DS151" s="1066"/>
      <c r="DT151" s="1066"/>
      <c r="DU151" s="1066"/>
      <c r="DV151" s="1066"/>
      <c r="DW151" s="1066"/>
      <c r="DX151" s="1066"/>
      <c r="DY151" s="1066"/>
      <c r="DZ151" s="1066"/>
      <c r="EA151" s="1066"/>
      <c r="EB151" s="1066"/>
      <c r="EC151" s="1066"/>
      <c r="ED151" s="1066"/>
    </row>
    <row r="152" spans="1:134" ht="64.5" customHeight="1" x14ac:dyDescent="0.25">
      <c r="A152" s="1590"/>
      <c r="B152" s="989" t="s">
        <v>4450</v>
      </c>
      <c r="C152" s="852" t="s">
        <v>4513</v>
      </c>
      <c r="D152" s="1018" t="s">
        <v>4549</v>
      </c>
      <c r="E152" s="994">
        <v>211</v>
      </c>
      <c r="F152" s="1094" t="s">
        <v>4482</v>
      </c>
      <c r="G152" s="1429"/>
      <c r="H152" s="1060">
        <f t="shared" si="143"/>
        <v>189556618</v>
      </c>
      <c r="I152" s="1060">
        <f t="shared" si="144"/>
        <v>0</v>
      </c>
      <c r="J152" s="1428">
        <v>117</v>
      </c>
      <c r="K152" s="1257">
        <v>127</v>
      </c>
      <c r="L152" s="1257">
        <v>118</v>
      </c>
      <c r="M152" s="1097">
        <v>0</v>
      </c>
      <c r="N152" s="1097">
        <v>0</v>
      </c>
      <c r="O152" s="1097">
        <v>0</v>
      </c>
      <c r="P152" s="1097">
        <v>100</v>
      </c>
      <c r="Q152" s="1097">
        <v>100</v>
      </c>
      <c r="R152" s="1097">
        <v>100</v>
      </c>
      <c r="S152" s="1094"/>
      <c r="T152" s="1094"/>
      <c r="U152" s="1094"/>
      <c r="V152" s="1094"/>
      <c r="W152" s="1094"/>
      <c r="X152" s="1094"/>
      <c r="Y152" s="1007">
        <f t="shared" si="145"/>
        <v>189556618</v>
      </c>
      <c r="Z152" s="1007"/>
      <c r="AA152" s="1007"/>
      <c r="AB152" s="1007"/>
      <c r="AC152" s="1007">
        <f>500000000-100000000-210443382</f>
        <v>189556618</v>
      </c>
      <c r="AD152" s="1007"/>
      <c r="AE152" s="1007"/>
      <c r="AF152" s="1007"/>
      <c r="AG152" s="1007"/>
      <c r="AH152" s="1007"/>
      <c r="AI152" s="1007"/>
      <c r="AJ152" s="1007"/>
      <c r="AK152" s="1007"/>
      <c r="AL152" s="1007"/>
      <c r="AM152" s="1007"/>
      <c r="AN152" s="1007"/>
      <c r="AO152" s="1007"/>
      <c r="AP152" s="1007"/>
      <c r="AQ152" s="1007"/>
      <c r="AR152" s="1007"/>
      <c r="AS152" s="1007"/>
      <c r="AU152" s="1010">
        <f t="shared" si="103"/>
        <v>1</v>
      </c>
      <c r="AV152" s="1007">
        <f t="shared" si="146"/>
        <v>189556618</v>
      </c>
      <c r="AW152" s="1007"/>
      <c r="AX152" s="1007"/>
      <c r="AY152" s="1007"/>
      <c r="AZ152" s="1007">
        <v>189556618</v>
      </c>
      <c r="BA152" s="1007"/>
      <c r="BB152" s="1007"/>
      <c r="BC152" s="1007"/>
      <c r="BD152" s="1007"/>
      <c r="BE152" s="1007"/>
      <c r="BF152" s="1007"/>
      <c r="BG152" s="1007"/>
      <c r="BH152" s="1007"/>
      <c r="BI152" s="1007"/>
      <c r="BJ152" s="1007"/>
      <c r="BK152" s="1007"/>
      <c r="BL152" s="1007"/>
      <c r="BM152" s="1007"/>
      <c r="BN152" s="1007"/>
      <c r="BO152" s="1007"/>
      <c r="BP152" s="1007"/>
      <c r="BQ152" s="1010">
        <f t="shared" si="105"/>
        <v>0</v>
      </c>
      <c r="BR152" s="1007">
        <f t="shared" si="147"/>
        <v>0</v>
      </c>
      <c r="BS152" s="1007">
        <f t="shared" ref="BS152:BS173" si="164">+Z152-AW152</f>
        <v>0</v>
      </c>
      <c r="BT152" s="1007">
        <f t="shared" ref="BT152:BT173" si="165">AA152-AX152</f>
        <v>0</v>
      </c>
      <c r="BU152" s="1007"/>
      <c r="BV152" s="1007">
        <f t="shared" si="162"/>
        <v>0</v>
      </c>
      <c r="BW152" s="1007">
        <f t="shared" si="162"/>
        <v>0</v>
      </c>
      <c r="BX152" s="1007">
        <f t="shared" ref="BX152:BY173" si="166">+AE152-BB152</f>
        <v>0</v>
      </c>
      <c r="BY152" s="1007">
        <f t="shared" si="166"/>
        <v>0</v>
      </c>
      <c r="BZ152" s="1007"/>
      <c r="CA152" s="1007">
        <f t="shared" ref="CA152:CI173" si="167">+AH152-BE152</f>
        <v>0</v>
      </c>
      <c r="CB152" s="1007">
        <f t="shared" si="167"/>
        <v>0</v>
      </c>
      <c r="CC152" s="1007">
        <f t="shared" si="167"/>
        <v>0</v>
      </c>
      <c r="CD152" s="1007">
        <f t="shared" si="167"/>
        <v>0</v>
      </c>
      <c r="CE152" s="1007">
        <f t="shared" si="167"/>
        <v>0</v>
      </c>
      <c r="CF152" s="1007">
        <f t="shared" si="167"/>
        <v>0</v>
      </c>
      <c r="CG152" s="1007">
        <f t="shared" si="167"/>
        <v>0</v>
      </c>
      <c r="CH152" s="1007">
        <f t="shared" si="167"/>
        <v>0</v>
      </c>
      <c r="CI152" s="1007">
        <f t="shared" si="167"/>
        <v>0</v>
      </c>
      <c r="CJ152" s="1007"/>
      <c r="CK152" s="1007">
        <f t="shared" ref="CK152:CL173" si="168">+AR152-BO152</f>
        <v>0</v>
      </c>
      <c r="CL152" s="1007">
        <f t="shared" si="168"/>
        <v>0</v>
      </c>
      <c r="CM152" s="1010">
        <f t="shared" si="113"/>
        <v>1</v>
      </c>
      <c r="CN152" s="1007">
        <f t="shared" si="154"/>
        <v>189556618</v>
      </c>
      <c r="CO152" s="1007"/>
      <c r="CP152" s="1007"/>
      <c r="CQ152" s="1007"/>
      <c r="CR152" s="1007">
        <f>+'[13]JUNIO 2015'!$H$171</f>
        <v>189556618</v>
      </c>
      <c r="CS152" s="1007"/>
      <c r="CT152" s="1007"/>
      <c r="CU152" s="1007"/>
      <c r="CV152" s="1007"/>
      <c r="CW152" s="1007"/>
      <c r="CX152" s="1007"/>
      <c r="CY152" s="1007"/>
      <c r="CZ152" s="1007"/>
      <c r="DA152" s="1007"/>
      <c r="DB152" s="1007"/>
      <c r="DC152" s="1007"/>
      <c r="DD152" s="1007"/>
      <c r="DE152" s="1007"/>
      <c r="DF152" s="1007"/>
      <c r="DG152" s="1007"/>
      <c r="DH152" s="1007"/>
      <c r="DI152" s="1010">
        <f t="shared" si="115"/>
        <v>0</v>
      </c>
      <c r="DJ152" s="1007">
        <f t="shared" si="155"/>
        <v>0</v>
      </c>
      <c r="DK152" s="1007"/>
      <c r="DL152" s="1007"/>
      <c r="DM152" s="1007"/>
      <c r="DN152" s="1007">
        <f t="shared" si="163"/>
        <v>0</v>
      </c>
      <c r="DO152" s="1007">
        <f t="shared" si="163"/>
        <v>0</v>
      </c>
      <c r="DP152" s="1007">
        <f t="shared" si="163"/>
        <v>0</v>
      </c>
      <c r="DQ152" s="1007">
        <f t="shared" si="163"/>
        <v>0</v>
      </c>
      <c r="DR152" s="1007"/>
      <c r="DS152" s="1007">
        <f t="shared" ref="DS152:DT173" si="169">+AH152-CW152</f>
        <v>0</v>
      </c>
      <c r="DT152" s="1007">
        <f t="shared" si="169"/>
        <v>0</v>
      </c>
      <c r="DU152" s="1007"/>
      <c r="DV152" s="1007">
        <f t="shared" ref="DV152:DX173" si="170">AK152-CZ152</f>
        <v>0</v>
      </c>
      <c r="DW152" s="1007">
        <f t="shared" si="170"/>
        <v>0</v>
      </c>
      <c r="DX152" s="1007">
        <f t="shared" si="170"/>
        <v>0</v>
      </c>
      <c r="DY152" s="1007">
        <f t="shared" ref="DY152:EC173" si="171">+AN152-DC152</f>
        <v>0</v>
      </c>
      <c r="DZ152" s="1007">
        <f t="shared" si="171"/>
        <v>0</v>
      </c>
      <c r="EA152" s="1007">
        <f t="shared" si="171"/>
        <v>0</v>
      </c>
      <c r="EB152" s="1007">
        <f t="shared" si="171"/>
        <v>0</v>
      </c>
      <c r="EC152" s="1007"/>
      <c r="ED152" s="1007">
        <f t="shared" ref="ED152:ED173" si="172">+AS152-DH152</f>
        <v>0</v>
      </c>
    </row>
    <row r="153" spans="1:134" ht="48" customHeight="1" x14ac:dyDescent="0.25">
      <c r="A153" s="1590"/>
      <c r="B153" s="989"/>
      <c r="C153" s="852" t="s">
        <v>4514</v>
      </c>
      <c r="D153" s="1018" t="s">
        <v>4550</v>
      </c>
      <c r="E153" s="994">
        <v>211</v>
      </c>
      <c r="F153" s="1094" t="s">
        <v>4482</v>
      </c>
      <c r="G153" s="1429"/>
      <c r="H153" s="1060">
        <f t="shared" si="143"/>
        <v>48956036</v>
      </c>
      <c r="I153" s="1060">
        <f t="shared" si="144"/>
        <v>60887622</v>
      </c>
      <c r="J153" s="1429"/>
      <c r="K153" s="1562"/>
      <c r="L153" s="1562"/>
      <c r="M153" s="1097">
        <v>2</v>
      </c>
      <c r="N153" s="1097">
        <v>0</v>
      </c>
      <c r="O153" s="1097">
        <v>0</v>
      </c>
      <c r="P153" s="1097">
        <v>45</v>
      </c>
      <c r="Q153" s="1097">
        <v>35</v>
      </c>
      <c r="R153" s="1097">
        <v>16</v>
      </c>
      <c r="S153" s="1094"/>
      <c r="T153" s="1094"/>
      <c r="U153" s="1094"/>
      <c r="V153" s="1094"/>
      <c r="W153" s="1094"/>
      <c r="X153" s="1094"/>
      <c r="Y153" s="1007">
        <f t="shared" si="145"/>
        <v>109843658</v>
      </c>
      <c r="Z153" s="1007"/>
      <c r="AA153" s="1007"/>
      <c r="AB153" s="1007"/>
      <c r="AC153" s="1007">
        <f>498457340+300000000-790156342</f>
        <v>8300998</v>
      </c>
      <c r="AD153" s="1007"/>
      <c r="AE153" s="1007"/>
      <c r="AF153" s="1007"/>
      <c r="AG153" s="1007"/>
      <c r="AH153" s="1007"/>
      <c r="AI153" s="1007"/>
      <c r="AJ153" s="1007"/>
      <c r="AK153" s="1007">
        <v>101542660</v>
      </c>
      <c r="AL153" s="1007"/>
      <c r="AM153" s="1007"/>
      <c r="AN153" s="1007"/>
      <c r="AO153" s="1007"/>
      <c r="AP153" s="1007"/>
      <c r="AQ153" s="1007"/>
      <c r="AR153" s="1007"/>
      <c r="AS153" s="1007"/>
      <c r="AU153" s="1010">
        <f t="shared" si="103"/>
        <v>0.4456883254925833</v>
      </c>
      <c r="AV153" s="1007">
        <f t="shared" si="146"/>
        <v>48956036</v>
      </c>
      <c r="AW153" s="1007"/>
      <c r="AX153" s="1007"/>
      <c r="AY153" s="1007"/>
      <c r="AZ153" s="1007">
        <f>+'[13]JUNIO 2015'!$M$180</f>
        <v>8300998</v>
      </c>
      <c r="BA153" s="1007"/>
      <c r="BB153" s="1007"/>
      <c r="BC153" s="1007"/>
      <c r="BD153" s="1007"/>
      <c r="BE153" s="1007"/>
      <c r="BF153" s="1007"/>
      <c r="BG153" s="1007"/>
      <c r="BH153" s="1007">
        <f>+'[13]JUNIO 2015'!$U$180</f>
        <v>40655038</v>
      </c>
      <c r="BI153" s="1007"/>
      <c r="BJ153" s="1007"/>
      <c r="BK153" s="1007"/>
      <c r="BL153" s="1007"/>
      <c r="BM153" s="1007"/>
      <c r="BN153" s="1007"/>
      <c r="BO153" s="1007"/>
      <c r="BP153" s="1007"/>
      <c r="BQ153" s="1010">
        <f t="shared" si="105"/>
        <v>0.5543116745074167</v>
      </c>
      <c r="BR153" s="1007">
        <f t="shared" si="147"/>
        <v>60887622</v>
      </c>
      <c r="BS153" s="1007">
        <f t="shared" si="164"/>
        <v>0</v>
      </c>
      <c r="BT153" s="1007">
        <f t="shared" si="165"/>
        <v>0</v>
      </c>
      <c r="BU153" s="1007"/>
      <c r="BV153" s="1007">
        <f t="shared" si="162"/>
        <v>0</v>
      </c>
      <c r="BW153" s="1007">
        <f t="shared" si="162"/>
        <v>0</v>
      </c>
      <c r="BX153" s="1007">
        <f t="shared" si="166"/>
        <v>0</v>
      </c>
      <c r="BY153" s="1007">
        <f t="shared" si="166"/>
        <v>0</v>
      </c>
      <c r="BZ153" s="1007"/>
      <c r="CA153" s="1007">
        <f t="shared" si="167"/>
        <v>0</v>
      </c>
      <c r="CB153" s="1007">
        <f t="shared" si="167"/>
        <v>0</v>
      </c>
      <c r="CC153" s="1007">
        <f t="shared" si="167"/>
        <v>0</v>
      </c>
      <c r="CD153" s="1007">
        <f t="shared" si="167"/>
        <v>60887622</v>
      </c>
      <c r="CE153" s="1007">
        <f t="shared" si="167"/>
        <v>0</v>
      </c>
      <c r="CF153" s="1007">
        <f t="shared" si="167"/>
        <v>0</v>
      </c>
      <c r="CG153" s="1007">
        <f t="shared" si="167"/>
        <v>0</v>
      </c>
      <c r="CH153" s="1007">
        <f t="shared" si="167"/>
        <v>0</v>
      </c>
      <c r="CI153" s="1007">
        <f t="shared" si="167"/>
        <v>0</v>
      </c>
      <c r="CJ153" s="1007"/>
      <c r="CK153" s="1007">
        <f t="shared" si="168"/>
        <v>0</v>
      </c>
      <c r="CL153" s="1007">
        <f t="shared" si="168"/>
        <v>0</v>
      </c>
      <c r="CM153" s="1010">
        <f t="shared" si="113"/>
        <v>0.4456883254925833</v>
      </c>
      <c r="CN153" s="1007">
        <f t="shared" si="154"/>
        <v>48956036</v>
      </c>
      <c r="CO153" s="1007"/>
      <c r="CP153" s="1007"/>
      <c r="CQ153" s="1007"/>
      <c r="CR153" s="1007">
        <f>+'[9]ABRIL 2015'!$H$166</f>
        <v>8300998</v>
      </c>
      <c r="CS153" s="1007"/>
      <c r="CT153" s="1007"/>
      <c r="CU153" s="1007"/>
      <c r="CV153" s="1007"/>
      <c r="CW153" s="1007"/>
      <c r="CX153" s="1007"/>
      <c r="CY153" s="1007"/>
      <c r="CZ153" s="1007">
        <f>8301038+32354000</f>
        <v>40655038</v>
      </c>
      <c r="DA153" s="1007"/>
      <c r="DB153" s="1007"/>
      <c r="DC153" s="1007"/>
      <c r="DD153" s="1007"/>
      <c r="DE153" s="1007"/>
      <c r="DF153" s="1007"/>
      <c r="DG153" s="1007"/>
      <c r="DH153" s="1007"/>
      <c r="DI153" s="1010">
        <f t="shared" si="115"/>
        <v>0.5543116745074167</v>
      </c>
      <c r="DJ153" s="1007">
        <f t="shared" si="155"/>
        <v>60887622</v>
      </c>
      <c r="DK153" s="1007"/>
      <c r="DL153" s="1007"/>
      <c r="DM153" s="1007"/>
      <c r="DN153" s="1007">
        <f t="shared" si="163"/>
        <v>0</v>
      </c>
      <c r="DO153" s="1007">
        <f t="shared" si="163"/>
        <v>0</v>
      </c>
      <c r="DP153" s="1007">
        <f t="shared" si="163"/>
        <v>0</v>
      </c>
      <c r="DQ153" s="1007">
        <f t="shared" si="163"/>
        <v>0</v>
      </c>
      <c r="DR153" s="1007"/>
      <c r="DS153" s="1007">
        <f t="shared" si="169"/>
        <v>0</v>
      </c>
      <c r="DT153" s="1007">
        <f t="shared" si="169"/>
        <v>0</v>
      </c>
      <c r="DU153" s="1007"/>
      <c r="DV153" s="1007">
        <f t="shared" si="170"/>
        <v>60887622</v>
      </c>
      <c r="DW153" s="1007">
        <f t="shared" si="170"/>
        <v>0</v>
      </c>
      <c r="DX153" s="1007">
        <f t="shared" si="170"/>
        <v>0</v>
      </c>
      <c r="DY153" s="1007">
        <f t="shared" si="171"/>
        <v>0</v>
      </c>
      <c r="DZ153" s="1007">
        <f t="shared" si="171"/>
        <v>0</v>
      </c>
      <c r="EA153" s="1007">
        <f t="shared" si="171"/>
        <v>0</v>
      </c>
      <c r="EB153" s="1007">
        <f t="shared" si="171"/>
        <v>0</v>
      </c>
      <c r="EC153" s="1007"/>
      <c r="ED153" s="1007">
        <f t="shared" si="172"/>
        <v>0</v>
      </c>
    </row>
    <row r="154" spans="1:134" s="203" customFormat="1" ht="36" customHeight="1" x14ac:dyDescent="0.25">
      <c r="A154" s="1590"/>
      <c r="B154" s="989"/>
      <c r="C154" s="1080" t="s">
        <v>4515</v>
      </c>
      <c r="D154" s="1018" t="s">
        <v>4551</v>
      </c>
      <c r="E154" s="996">
        <v>211</v>
      </c>
      <c r="F154" s="1094" t="s">
        <v>4482</v>
      </c>
      <c r="G154" s="1429"/>
      <c r="H154" s="1060">
        <f t="shared" si="143"/>
        <v>0</v>
      </c>
      <c r="I154" s="1060">
        <f t="shared" si="144"/>
        <v>0</v>
      </c>
      <c r="J154" s="1430"/>
      <c r="K154" s="1258"/>
      <c r="L154" s="1258"/>
      <c r="M154" s="1074">
        <v>0</v>
      </c>
      <c r="N154" s="1074">
        <v>0</v>
      </c>
      <c r="O154" s="1074">
        <v>0</v>
      </c>
      <c r="P154" s="1074"/>
      <c r="Q154" s="1074"/>
      <c r="R154" s="1074"/>
      <c r="S154" s="1094"/>
      <c r="T154" s="1094"/>
      <c r="U154" s="1094"/>
      <c r="V154" s="1094"/>
      <c r="W154" s="1094"/>
      <c r="X154" s="1094"/>
      <c r="Y154" s="1066">
        <f t="shared" si="145"/>
        <v>0</v>
      </c>
      <c r="Z154" s="149"/>
      <c r="AA154" s="149"/>
      <c r="AB154" s="149"/>
      <c r="AC154" s="1066">
        <f>600000000-600000000</f>
        <v>0</v>
      </c>
      <c r="AD154" s="149"/>
      <c r="AE154" s="149"/>
      <c r="AF154" s="1066"/>
      <c r="AG154" s="1066"/>
      <c r="AH154" s="1066"/>
      <c r="AI154" s="1066"/>
      <c r="AJ154" s="1066"/>
      <c r="AK154" s="1066"/>
      <c r="AL154" s="1066"/>
      <c r="AM154" s="149"/>
      <c r="AN154" s="149"/>
      <c r="AO154" s="149"/>
      <c r="AP154" s="149"/>
      <c r="AQ154" s="149"/>
      <c r="AR154" s="149"/>
      <c r="AS154" s="1066"/>
      <c r="AU154" s="1081" t="e">
        <f t="shared" si="103"/>
        <v>#DIV/0!</v>
      </c>
      <c r="AV154" s="1066">
        <f t="shared" si="146"/>
        <v>0</v>
      </c>
      <c r="AW154" s="1066"/>
      <c r="AX154" s="1066"/>
      <c r="AY154" s="1066"/>
      <c r="AZ154" s="1066"/>
      <c r="BA154" s="1066"/>
      <c r="BB154" s="1066"/>
      <c r="BC154" s="1066"/>
      <c r="BD154" s="1066"/>
      <c r="BE154" s="1066"/>
      <c r="BF154" s="1066"/>
      <c r="BG154" s="1066"/>
      <c r="BH154" s="1066"/>
      <c r="BI154" s="1066"/>
      <c r="BJ154" s="1066"/>
      <c r="BK154" s="1066"/>
      <c r="BL154" s="1066"/>
      <c r="BM154" s="1066"/>
      <c r="BN154" s="1066"/>
      <c r="BO154" s="1066"/>
      <c r="BP154" s="1066"/>
      <c r="BQ154" s="1081" t="e">
        <f t="shared" si="105"/>
        <v>#DIV/0!</v>
      </c>
      <c r="BR154" s="1066">
        <f t="shared" si="147"/>
        <v>0</v>
      </c>
      <c r="BS154" s="1066">
        <f t="shared" si="164"/>
        <v>0</v>
      </c>
      <c r="BT154" s="1066">
        <f t="shared" si="165"/>
        <v>0</v>
      </c>
      <c r="BU154" s="1066"/>
      <c r="BV154" s="1066">
        <f t="shared" si="162"/>
        <v>0</v>
      </c>
      <c r="BW154" s="1066">
        <f t="shared" si="162"/>
        <v>0</v>
      </c>
      <c r="BX154" s="1066">
        <f t="shared" si="166"/>
        <v>0</v>
      </c>
      <c r="BY154" s="1066">
        <f t="shared" si="166"/>
        <v>0</v>
      </c>
      <c r="BZ154" s="1066"/>
      <c r="CA154" s="1066">
        <f t="shared" si="167"/>
        <v>0</v>
      </c>
      <c r="CB154" s="1066">
        <f t="shared" si="167"/>
        <v>0</v>
      </c>
      <c r="CC154" s="1066">
        <f t="shared" si="167"/>
        <v>0</v>
      </c>
      <c r="CD154" s="1066">
        <f t="shared" si="167"/>
        <v>0</v>
      </c>
      <c r="CE154" s="1066">
        <f t="shared" si="167"/>
        <v>0</v>
      </c>
      <c r="CF154" s="1066">
        <f t="shared" si="167"/>
        <v>0</v>
      </c>
      <c r="CG154" s="1066">
        <f t="shared" si="167"/>
        <v>0</v>
      </c>
      <c r="CH154" s="1066">
        <f t="shared" si="167"/>
        <v>0</v>
      </c>
      <c r="CI154" s="1066">
        <f t="shared" si="167"/>
        <v>0</v>
      </c>
      <c r="CJ154" s="1066"/>
      <c r="CK154" s="1066">
        <f t="shared" si="168"/>
        <v>0</v>
      </c>
      <c r="CL154" s="1066">
        <f t="shared" si="168"/>
        <v>0</v>
      </c>
      <c r="CM154" s="1081" t="e">
        <f t="shared" si="113"/>
        <v>#DIV/0!</v>
      </c>
      <c r="CN154" s="1066">
        <f t="shared" si="154"/>
        <v>0</v>
      </c>
      <c r="CO154" s="1066"/>
      <c r="CP154" s="1066"/>
      <c r="CQ154" s="1066"/>
      <c r="CR154" s="1066"/>
      <c r="CS154" s="1066"/>
      <c r="CT154" s="1066"/>
      <c r="CU154" s="1066"/>
      <c r="CV154" s="1066"/>
      <c r="CW154" s="1066"/>
      <c r="CX154" s="1066"/>
      <c r="CY154" s="1066"/>
      <c r="CZ154" s="1066"/>
      <c r="DA154" s="1066"/>
      <c r="DB154" s="1066"/>
      <c r="DC154" s="1066"/>
      <c r="DD154" s="1066"/>
      <c r="DE154" s="1066"/>
      <c r="DF154" s="1066"/>
      <c r="DG154" s="1066"/>
      <c r="DH154" s="1066"/>
      <c r="DI154" s="1081" t="e">
        <f t="shared" si="115"/>
        <v>#DIV/0!</v>
      </c>
      <c r="DJ154" s="1066">
        <f t="shared" si="155"/>
        <v>0</v>
      </c>
      <c r="DK154" s="1066"/>
      <c r="DL154" s="1066"/>
      <c r="DM154" s="1066"/>
      <c r="DN154" s="1066">
        <f t="shared" si="163"/>
        <v>0</v>
      </c>
      <c r="DO154" s="1066">
        <f t="shared" si="163"/>
        <v>0</v>
      </c>
      <c r="DP154" s="1066">
        <f t="shared" si="163"/>
        <v>0</v>
      </c>
      <c r="DQ154" s="1066">
        <f t="shared" si="163"/>
        <v>0</v>
      </c>
      <c r="DR154" s="1066"/>
      <c r="DS154" s="1066">
        <f t="shared" si="169"/>
        <v>0</v>
      </c>
      <c r="DT154" s="1066">
        <f t="shared" si="169"/>
        <v>0</v>
      </c>
      <c r="DU154" s="1066"/>
      <c r="DV154" s="1066">
        <f t="shared" si="170"/>
        <v>0</v>
      </c>
      <c r="DW154" s="1066">
        <f t="shared" si="170"/>
        <v>0</v>
      </c>
      <c r="DX154" s="1066">
        <f t="shared" si="170"/>
        <v>0</v>
      </c>
      <c r="DY154" s="1066">
        <f t="shared" si="171"/>
        <v>0</v>
      </c>
      <c r="DZ154" s="1066">
        <f t="shared" si="171"/>
        <v>0</v>
      </c>
      <c r="EA154" s="1066">
        <f t="shared" si="171"/>
        <v>0</v>
      </c>
      <c r="EB154" s="1066">
        <f t="shared" si="171"/>
        <v>0</v>
      </c>
      <c r="EC154" s="1066">
        <f t="shared" si="171"/>
        <v>0</v>
      </c>
      <c r="ED154" s="1066">
        <f t="shared" si="172"/>
        <v>0</v>
      </c>
    </row>
    <row r="155" spans="1:134" ht="48.75" customHeight="1" x14ac:dyDescent="0.25">
      <c r="A155" s="1590"/>
      <c r="B155" s="989"/>
      <c r="C155" s="852" t="s">
        <v>4516</v>
      </c>
      <c r="D155" s="1018" t="s">
        <v>4726</v>
      </c>
      <c r="E155" s="994">
        <v>211</v>
      </c>
      <c r="F155" s="1094" t="s">
        <v>4482</v>
      </c>
      <c r="G155" s="1429"/>
      <c r="H155" s="1060">
        <f t="shared" si="143"/>
        <v>372698968</v>
      </c>
      <c r="I155" s="1060">
        <f t="shared" si="144"/>
        <v>2518133</v>
      </c>
      <c r="J155" s="1597">
        <v>60</v>
      </c>
      <c r="K155" s="1598">
        <v>78</v>
      </c>
      <c r="L155" s="1198">
        <v>62</v>
      </c>
      <c r="M155" s="1096">
        <v>0</v>
      </c>
      <c r="N155" s="1096">
        <v>0</v>
      </c>
      <c r="O155" s="1096">
        <v>0</v>
      </c>
      <c r="P155" s="1097">
        <v>0</v>
      </c>
      <c r="Q155" s="1097">
        <v>0</v>
      </c>
      <c r="R155" s="1097">
        <v>0</v>
      </c>
      <c r="S155" s="1094"/>
      <c r="T155" s="1094"/>
      <c r="U155" s="1094"/>
      <c r="V155" s="1094"/>
      <c r="W155" s="1094"/>
      <c r="X155" s="1094"/>
      <c r="Y155" s="1007">
        <f t="shared" si="145"/>
        <v>375217101</v>
      </c>
      <c r="Z155" s="944"/>
      <c r="AA155" s="944"/>
      <c r="AB155" s="944"/>
      <c r="AC155" s="1007">
        <f>1007000000-631782899</f>
        <v>375217101</v>
      </c>
      <c r="AD155" s="944"/>
      <c r="AE155" s="944"/>
      <c r="AF155" s="1007"/>
      <c r="AG155" s="1007"/>
      <c r="AH155" s="1007"/>
      <c r="AI155" s="1007"/>
      <c r="AJ155" s="1007"/>
      <c r="AK155" s="1007"/>
      <c r="AL155" s="1007"/>
      <c r="AM155" s="149"/>
      <c r="AN155" s="149"/>
      <c r="AO155" s="149"/>
      <c r="AP155" s="149"/>
      <c r="AQ155" s="149"/>
      <c r="AR155" s="149"/>
      <c r="AS155" s="1007"/>
      <c r="AU155" s="1010">
        <f t="shared" si="103"/>
        <v>0.99328886398490668</v>
      </c>
      <c r="AV155" s="1007">
        <f t="shared" si="146"/>
        <v>372698968</v>
      </c>
      <c r="AW155" s="1007"/>
      <c r="AX155" s="1007"/>
      <c r="AY155" s="1007"/>
      <c r="AZ155" s="1007">
        <f>+'[10]JULIO 2015'!$M$208</f>
        <v>372698968</v>
      </c>
      <c r="BA155" s="1007"/>
      <c r="BB155" s="1007"/>
      <c r="BC155" s="1007"/>
      <c r="BD155" s="1007"/>
      <c r="BE155" s="1007"/>
      <c r="BF155" s="1007"/>
      <c r="BG155" s="1007"/>
      <c r="BH155" s="1007"/>
      <c r="BI155" s="1007"/>
      <c r="BJ155" s="1007"/>
      <c r="BK155" s="1007"/>
      <c r="BL155" s="1007"/>
      <c r="BM155" s="1007"/>
      <c r="BN155" s="1007"/>
      <c r="BO155" s="1007"/>
      <c r="BP155" s="1007"/>
      <c r="BQ155" s="1010">
        <f t="shared" si="105"/>
        <v>6.7111360150933219E-3</v>
      </c>
      <c r="BR155" s="1007">
        <f t="shared" si="147"/>
        <v>2518133</v>
      </c>
      <c r="BS155" s="1007">
        <f t="shared" si="164"/>
        <v>0</v>
      </c>
      <c r="BT155" s="1007">
        <f t="shared" si="165"/>
        <v>0</v>
      </c>
      <c r="BU155" s="1007"/>
      <c r="BV155" s="1007">
        <f t="shared" si="162"/>
        <v>2518133</v>
      </c>
      <c r="BW155" s="1007">
        <f t="shared" si="162"/>
        <v>0</v>
      </c>
      <c r="BX155" s="1007">
        <f t="shared" si="166"/>
        <v>0</v>
      </c>
      <c r="BY155" s="1007">
        <f t="shared" si="166"/>
        <v>0</v>
      </c>
      <c r="BZ155" s="1007"/>
      <c r="CA155" s="1007">
        <f t="shared" si="167"/>
        <v>0</v>
      </c>
      <c r="CB155" s="1007">
        <f t="shared" si="167"/>
        <v>0</v>
      </c>
      <c r="CC155" s="1007">
        <f t="shared" si="167"/>
        <v>0</v>
      </c>
      <c r="CD155" s="1007">
        <f t="shared" si="167"/>
        <v>0</v>
      </c>
      <c r="CE155" s="1007">
        <f t="shared" si="167"/>
        <v>0</v>
      </c>
      <c r="CF155" s="1007">
        <f t="shared" si="167"/>
        <v>0</v>
      </c>
      <c r="CG155" s="1007">
        <f t="shared" si="167"/>
        <v>0</v>
      </c>
      <c r="CH155" s="1007">
        <f t="shared" si="167"/>
        <v>0</v>
      </c>
      <c r="CI155" s="1007">
        <f t="shared" si="167"/>
        <v>0</v>
      </c>
      <c r="CJ155" s="1007"/>
      <c r="CK155" s="1007">
        <f t="shared" si="168"/>
        <v>0</v>
      </c>
      <c r="CL155" s="1007">
        <f t="shared" si="168"/>
        <v>0</v>
      </c>
      <c r="CM155" s="1010">
        <f t="shared" si="113"/>
        <v>0.99328886398490668</v>
      </c>
      <c r="CN155" s="1007">
        <f t="shared" si="154"/>
        <v>372698968</v>
      </c>
      <c r="CO155" s="1007"/>
      <c r="CP155" s="1007"/>
      <c r="CQ155" s="1007"/>
      <c r="CR155" s="1007">
        <f>+'[7]AGOSTO 2015'!$H$214</f>
        <v>372698968</v>
      </c>
      <c r="CS155" s="1007"/>
      <c r="CT155" s="1007"/>
      <c r="CU155" s="1007"/>
      <c r="CV155" s="1007"/>
      <c r="CW155" s="1007"/>
      <c r="CX155" s="1007"/>
      <c r="CY155" s="1007"/>
      <c r="CZ155" s="1007"/>
      <c r="DA155" s="1007"/>
      <c r="DB155" s="1007"/>
      <c r="DC155" s="1007"/>
      <c r="DD155" s="1007"/>
      <c r="DE155" s="1007"/>
      <c r="DF155" s="1007"/>
      <c r="DG155" s="1007"/>
      <c r="DH155" s="1007"/>
      <c r="DI155" s="1010">
        <f t="shared" si="115"/>
        <v>6.7111360150933219E-3</v>
      </c>
      <c r="DJ155" s="1007">
        <f t="shared" si="155"/>
        <v>2518133</v>
      </c>
      <c r="DK155" s="1007"/>
      <c r="DL155" s="1007"/>
      <c r="DM155" s="1007"/>
      <c r="DN155" s="1007">
        <f t="shared" si="163"/>
        <v>2518133</v>
      </c>
      <c r="DO155" s="1007">
        <f t="shared" si="163"/>
        <v>0</v>
      </c>
      <c r="DP155" s="1007">
        <f t="shared" si="163"/>
        <v>0</v>
      </c>
      <c r="DQ155" s="1007">
        <f t="shared" si="163"/>
        <v>0</v>
      </c>
      <c r="DR155" s="1007"/>
      <c r="DS155" s="1007">
        <f t="shared" si="169"/>
        <v>0</v>
      </c>
      <c r="DT155" s="1007">
        <f t="shared" si="169"/>
        <v>0</v>
      </c>
      <c r="DU155" s="1007"/>
      <c r="DV155" s="1007">
        <f t="shared" si="170"/>
        <v>0</v>
      </c>
      <c r="DW155" s="1007">
        <f t="shared" si="170"/>
        <v>0</v>
      </c>
      <c r="DX155" s="1007">
        <f t="shared" si="170"/>
        <v>0</v>
      </c>
      <c r="DY155" s="1007">
        <f t="shared" si="171"/>
        <v>0</v>
      </c>
      <c r="DZ155" s="1007">
        <f t="shared" si="171"/>
        <v>0</v>
      </c>
      <c r="EA155" s="1007">
        <f t="shared" si="171"/>
        <v>0</v>
      </c>
      <c r="EB155" s="1007">
        <f t="shared" si="171"/>
        <v>0</v>
      </c>
      <c r="EC155" s="1007">
        <f t="shared" si="171"/>
        <v>0</v>
      </c>
      <c r="ED155" s="1007">
        <f t="shared" si="172"/>
        <v>0</v>
      </c>
    </row>
    <row r="156" spans="1:134" ht="49.5" customHeight="1" x14ac:dyDescent="0.25">
      <c r="A156" s="1590"/>
      <c r="B156" s="989"/>
      <c r="C156" s="852" t="s">
        <v>4517</v>
      </c>
      <c r="D156" s="1018" t="s">
        <v>4552</v>
      </c>
      <c r="E156" s="994">
        <v>211</v>
      </c>
      <c r="F156" s="1094" t="s">
        <v>4482</v>
      </c>
      <c r="G156" s="1429"/>
      <c r="H156" s="1060">
        <f t="shared" si="143"/>
        <v>244800000</v>
      </c>
      <c r="I156" s="1060">
        <f t="shared" si="144"/>
        <v>0</v>
      </c>
      <c r="J156" s="1597"/>
      <c r="K156" s="1598"/>
      <c r="L156" s="1198"/>
      <c r="M156" s="1096">
        <v>0</v>
      </c>
      <c r="N156" s="1096">
        <v>0</v>
      </c>
      <c r="O156" s="1096">
        <v>0</v>
      </c>
      <c r="P156" s="1097">
        <v>100</v>
      </c>
      <c r="Q156" s="1097">
        <v>40</v>
      </c>
      <c r="R156" s="1097">
        <v>40</v>
      </c>
      <c r="S156" s="1094"/>
      <c r="T156" s="1094"/>
      <c r="U156" s="1094"/>
      <c r="V156" s="1094"/>
      <c r="W156" s="1094"/>
      <c r="X156" s="1094"/>
      <c r="Y156" s="1007">
        <f t="shared" si="145"/>
        <v>244800000</v>
      </c>
      <c r="Z156" s="944"/>
      <c r="AA156" s="944"/>
      <c r="AB156" s="944"/>
      <c r="AC156" s="1007">
        <f>2000000000-1755200000</f>
        <v>244800000</v>
      </c>
      <c r="AD156" s="944"/>
      <c r="AE156" s="944"/>
      <c r="AF156" s="1007"/>
      <c r="AG156" s="1007"/>
      <c r="AH156" s="1007"/>
      <c r="AI156" s="1007"/>
      <c r="AJ156" s="1007"/>
      <c r="AK156" s="1007"/>
      <c r="AL156" s="1007"/>
      <c r="AM156" s="149"/>
      <c r="AN156" s="149"/>
      <c r="AO156" s="149"/>
      <c r="AP156" s="149"/>
      <c r="AQ156" s="149"/>
      <c r="AR156" s="149"/>
      <c r="AS156" s="1007"/>
      <c r="AU156" s="1010">
        <f t="shared" si="103"/>
        <v>1</v>
      </c>
      <c r="AV156" s="1007">
        <f t="shared" si="146"/>
        <v>244800000</v>
      </c>
      <c r="AW156" s="1007"/>
      <c r="AX156" s="1007"/>
      <c r="AY156" s="1007"/>
      <c r="AZ156" s="1007">
        <f>+'[9]ABRIL 2015'!$G$182</f>
        <v>244800000</v>
      </c>
      <c r="BA156" s="1007"/>
      <c r="BB156" s="1007"/>
      <c r="BC156" s="1007"/>
      <c r="BD156" s="1007"/>
      <c r="BE156" s="1007"/>
      <c r="BF156" s="1007"/>
      <c r="BG156" s="1007"/>
      <c r="BH156" s="1007"/>
      <c r="BI156" s="1007"/>
      <c r="BJ156" s="1007"/>
      <c r="BK156" s="1007"/>
      <c r="BL156" s="1007"/>
      <c r="BM156" s="1007"/>
      <c r="BN156" s="1007"/>
      <c r="BO156" s="1007"/>
      <c r="BP156" s="1007"/>
      <c r="BQ156" s="1010">
        <f t="shared" si="105"/>
        <v>0</v>
      </c>
      <c r="BR156" s="1007">
        <f t="shared" si="147"/>
        <v>0</v>
      </c>
      <c r="BS156" s="1007">
        <f t="shared" si="164"/>
        <v>0</v>
      </c>
      <c r="BT156" s="1007">
        <f t="shared" si="165"/>
        <v>0</v>
      </c>
      <c r="BU156" s="1007"/>
      <c r="BV156" s="1007">
        <f t="shared" si="162"/>
        <v>0</v>
      </c>
      <c r="BW156" s="1007">
        <f t="shared" si="162"/>
        <v>0</v>
      </c>
      <c r="BX156" s="1007">
        <f t="shared" si="166"/>
        <v>0</v>
      </c>
      <c r="BY156" s="1007">
        <f t="shared" si="166"/>
        <v>0</v>
      </c>
      <c r="BZ156" s="1007"/>
      <c r="CA156" s="1007">
        <f t="shared" si="167"/>
        <v>0</v>
      </c>
      <c r="CB156" s="1007">
        <f t="shared" si="167"/>
        <v>0</v>
      </c>
      <c r="CC156" s="1007">
        <f t="shared" si="167"/>
        <v>0</v>
      </c>
      <c r="CD156" s="1007">
        <f t="shared" si="167"/>
        <v>0</v>
      </c>
      <c r="CE156" s="1007">
        <f t="shared" si="167"/>
        <v>0</v>
      </c>
      <c r="CF156" s="1007">
        <f t="shared" si="167"/>
        <v>0</v>
      </c>
      <c r="CG156" s="1007">
        <f t="shared" si="167"/>
        <v>0</v>
      </c>
      <c r="CH156" s="1007">
        <f t="shared" si="167"/>
        <v>0</v>
      </c>
      <c r="CI156" s="1007">
        <f t="shared" si="167"/>
        <v>0</v>
      </c>
      <c r="CJ156" s="1007"/>
      <c r="CK156" s="1007">
        <f t="shared" si="168"/>
        <v>0</v>
      </c>
      <c r="CL156" s="1007">
        <f t="shared" si="168"/>
        <v>0</v>
      </c>
      <c r="CM156" s="1010">
        <f t="shared" si="113"/>
        <v>1</v>
      </c>
      <c r="CN156" s="1007">
        <f t="shared" si="154"/>
        <v>244800000</v>
      </c>
      <c r="CO156" s="1007"/>
      <c r="CP156" s="1007"/>
      <c r="CQ156" s="1007"/>
      <c r="CR156" s="1007">
        <v>244800000</v>
      </c>
      <c r="CS156" s="1007"/>
      <c r="CT156" s="1007"/>
      <c r="CU156" s="1007"/>
      <c r="CV156" s="1007"/>
      <c r="CW156" s="1007"/>
      <c r="CX156" s="1007"/>
      <c r="CY156" s="1007"/>
      <c r="CZ156" s="1007"/>
      <c r="DA156" s="1007"/>
      <c r="DB156" s="1007"/>
      <c r="DC156" s="1007"/>
      <c r="DD156" s="1007"/>
      <c r="DE156" s="1007"/>
      <c r="DF156" s="1007"/>
      <c r="DG156" s="1007"/>
      <c r="DH156" s="1007"/>
      <c r="DI156" s="1010">
        <f t="shared" si="115"/>
        <v>0</v>
      </c>
      <c r="DJ156" s="1007">
        <f t="shared" si="155"/>
        <v>0</v>
      </c>
      <c r="DK156" s="1007"/>
      <c r="DL156" s="1007"/>
      <c r="DM156" s="1007"/>
      <c r="DN156" s="1007">
        <f t="shared" si="163"/>
        <v>0</v>
      </c>
      <c r="DO156" s="1007">
        <f t="shared" si="163"/>
        <v>0</v>
      </c>
      <c r="DP156" s="1007">
        <f t="shared" si="163"/>
        <v>0</v>
      </c>
      <c r="DQ156" s="1007">
        <f t="shared" si="163"/>
        <v>0</v>
      </c>
      <c r="DR156" s="1007"/>
      <c r="DS156" s="1007">
        <f t="shared" si="169"/>
        <v>0</v>
      </c>
      <c r="DT156" s="1007">
        <f t="shared" si="169"/>
        <v>0</v>
      </c>
      <c r="DU156" s="1007"/>
      <c r="DV156" s="1007">
        <f t="shared" si="170"/>
        <v>0</v>
      </c>
      <c r="DW156" s="1007">
        <f t="shared" si="170"/>
        <v>0</v>
      </c>
      <c r="DX156" s="1007">
        <f t="shared" si="170"/>
        <v>0</v>
      </c>
      <c r="DY156" s="1007">
        <f t="shared" si="171"/>
        <v>0</v>
      </c>
      <c r="DZ156" s="1007">
        <f t="shared" si="171"/>
        <v>0</v>
      </c>
      <c r="EA156" s="1007">
        <f t="shared" si="171"/>
        <v>0</v>
      </c>
      <c r="EB156" s="1007">
        <f t="shared" si="171"/>
        <v>0</v>
      </c>
      <c r="EC156" s="1007">
        <f t="shared" si="171"/>
        <v>0</v>
      </c>
      <c r="ED156" s="1007">
        <f t="shared" si="172"/>
        <v>0</v>
      </c>
    </row>
    <row r="157" spans="1:134" ht="22.5" customHeight="1" x14ac:dyDescent="0.25">
      <c r="A157" s="1590"/>
      <c r="B157" s="989"/>
      <c r="C157" s="852" t="s">
        <v>4518</v>
      </c>
      <c r="D157" s="1018" t="s">
        <v>4553</v>
      </c>
      <c r="E157" s="994">
        <v>211</v>
      </c>
      <c r="F157" s="1094" t="s">
        <v>4482</v>
      </c>
      <c r="G157" s="1429"/>
      <c r="H157" s="1060">
        <f t="shared" si="143"/>
        <v>96000000</v>
      </c>
      <c r="I157" s="1060">
        <f t="shared" si="144"/>
        <v>250985280</v>
      </c>
      <c r="J157" s="1597"/>
      <c r="K157" s="1598"/>
      <c r="L157" s="1198"/>
      <c r="M157" s="1096">
        <v>0</v>
      </c>
      <c r="N157" s="1096">
        <v>0</v>
      </c>
      <c r="O157" s="1096">
        <v>0</v>
      </c>
      <c r="P157" s="1097">
        <v>13</v>
      </c>
      <c r="Q157" s="1097">
        <v>5</v>
      </c>
      <c r="R157" s="1097">
        <v>1</v>
      </c>
      <c r="S157" s="1094"/>
      <c r="T157" s="1094"/>
      <c r="U157" s="1094"/>
      <c r="V157" s="1094"/>
      <c r="W157" s="1094"/>
      <c r="X157" s="1094"/>
      <c r="Y157" s="1007">
        <f t="shared" si="145"/>
        <v>346985280</v>
      </c>
      <c r="Z157" s="944"/>
      <c r="AA157" s="944"/>
      <c r="AB157" s="944"/>
      <c r="AC157" s="1007">
        <f>178840000+200000000-72884540+72884540-31854720</f>
        <v>346985280</v>
      </c>
      <c r="AD157" s="1007">
        <f>72884540-72884540</f>
        <v>0</v>
      </c>
      <c r="AE157" s="944"/>
      <c r="AF157" s="1007"/>
      <c r="AG157" s="1007"/>
      <c r="AH157" s="1007"/>
      <c r="AI157" s="1007"/>
      <c r="AJ157" s="1007"/>
      <c r="AK157" s="1007"/>
      <c r="AL157" s="1007"/>
      <c r="AM157" s="149"/>
      <c r="AN157" s="149"/>
      <c r="AO157" s="149"/>
      <c r="AP157" s="149"/>
      <c r="AQ157" s="149"/>
      <c r="AR157" s="149"/>
      <c r="AS157" s="1007"/>
      <c r="AU157" s="1010">
        <f t="shared" si="103"/>
        <v>0.27666879701640368</v>
      </c>
      <c r="AV157" s="1007">
        <f t="shared" si="146"/>
        <v>96000000</v>
      </c>
      <c r="AW157" s="1007"/>
      <c r="AX157" s="1007"/>
      <c r="AY157" s="1007"/>
      <c r="AZ157" s="1007">
        <f>+'[7]AGOSTO 2015'!$M$233</f>
        <v>96000000</v>
      </c>
      <c r="BA157" s="1007"/>
      <c r="BB157" s="1007"/>
      <c r="BC157" s="1007"/>
      <c r="BD157" s="1007"/>
      <c r="BE157" s="1007"/>
      <c r="BF157" s="1007"/>
      <c r="BG157" s="1007"/>
      <c r="BH157" s="1007"/>
      <c r="BI157" s="1007"/>
      <c r="BJ157" s="1007"/>
      <c r="BK157" s="1007"/>
      <c r="BL157" s="1007"/>
      <c r="BM157" s="1007"/>
      <c r="BN157" s="1007"/>
      <c r="BO157" s="1007"/>
      <c r="BP157" s="1007"/>
      <c r="BQ157" s="1010">
        <f t="shared" si="105"/>
        <v>0.72333120298359632</v>
      </c>
      <c r="BR157" s="1007">
        <f t="shared" si="147"/>
        <v>250985280</v>
      </c>
      <c r="BS157" s="1007">
        <f t="shared" si="164"/>
        <v>0</v>
      </c>
      <c r="BT157" s="1007">
        <f t="shared" si="165"/>
        <v>0</v>
      </c>
      <c r="BU157" s="1007"/>
      <c r="BV157" s="1007">
        <f t="shared" si="162"/>
        <v>250985280</v>
      </c>
      <c r="BW157" s="1007">
        <f t="shared" si="162"/>
        <v>0</v>
      </c>
      <c r="BX157" s="1007">
        <f t="shared" si="166"/>
        <v>0</v>
      </c>
      <c r="BY157" s="1007">
        <f t="shared" si="166"/>
        <v>0</v>
      </c>
      <c r="BZ157" s="1007"/>
      <c r="CA157" s="1007">
        <f t="shared" si="167"/>
        <v>0</v>
      </c>
      <c r="CB157" s="1007">
        <f t="shared" si="167"/>
        <v>0</v>
      </c>
      <c r="CC157" s="1007">
        <f t="shared" si="167"/>
        <v>0</v>
      </c>
      <c r="CD157" s="1007">
        <f t="shared" si="167"/>
        <v>0</v>
      </c>
      <c r="CE157" s="1007">
        <f t="shared" si="167"/>
        <v>0</v>
      </c>
      <c r="CF157" s="1007">
        <f t="shared" si="167"/>
        <v>0</v>
      </c>
      <c r="CG157" s="1007">
        <f t="shared" si="167"/>
        <v>0</v>
      </c>
      <c r="CH157" s="1007">
        <f t="shared" si="167"/>
        <v>0</v>
      </c>
      <c r="CI157" s="1007">
        <f t="shared" si="167"/>
        <v>0</v>
      </c>
      <c r="CJ157" s="1007"/>
      <c r="CK157" s="1007">
        <f t="shared" si="168"/>
        <v>0</v>
      </c>
      <c r="CL157" s="1007">
        <f t="shared" si="168"/>
        <v>0</v>
      </c>
      <c r="CM157" s="1010">
        <f t="shared" si="113"/>
        <v>0.27666879701640368</v>
      </c>
      <c r="CN157" s="1007">
        <f t="shared" si="154"/>
        <v>96000000</v>
      </c>
      <c r="CO157" s="1007"/>
      <c r="CP157" s="1007"/>
      <c r="CQ157" s="1007"/>
      <c r="CR157" s="1007">
        <f>+'[7]AGOSTO 2015'!$H$231</f>
        <v>96000000</v>
      </c>
      <c r="CS157" s="1007"/>
      <c r="CT157" s="1007"/>
      <c r="CU157" s="1007"/>
      <c r="CV157" s="1007"/>
      <c r="CW157" s="1007"/>
      <c r="CX157" s="1007"/>
      <c r="CY157" s="1007"/>
      <c r="CZ157" s="1007"/>
      <c r="DA157" s="1007"/>
      <c r="DB157" s="1007"/>
      <c r="DC157" s="1007"/>
      <c r="DD157" s="1007"/>
      <c r="DE157" s="1007"/>
      <c r="DF157" s="1007"/>
      <c r="DG157" s="1007"/>
      <c r="DH157" s="1007"/>
      <c r="DI157" s="1010">
        <f t="shared" si="115"/>
        <v>0.72333120298359632</v>
      </c>
      <c r="DJ157" s="1007">
        <f t="shared" si="155"/>
        <v>250985280</v>
      </c>
      <c r="DK157" s="1007"/>
      <c r="DL157" s="1007"/>
      <c r="DM157" s="1007"/>
      <c r="DN157" s="1007">
        <f t="shared" si="163"/>
        <v>250985280</v>
      </c>
      <c r="DO157" s="1007">
        <f t="shared" si="163"/>
        <v>0</v>
      </c>
      <c r="DP157" s="1007">
        <f t="shared" si="163"/>
        <v>0</v>
      </c>
      <c r="DQ157" s="1007">
        <f t="shared" si="163"/>
        <v>0</v>
      </c>
      <c r="DR157" s="1007"/>
      <c r="DS157" s="1007">
        <f t="shared" si="169"/>
        <v>0</v>
      </c>
      <c r="DT157" s="1007">
        <f t="shared" si="169"/>
        <v>0</v>
      </c>
      <c r="DU157" s="1007"/>
      <c r="DV157" s="1007">
        <f t="shared" si="170"/>
        <v>0</v>
      </c>
      <c r="DW157" s="1007">
        <f t="shared" si="170"/>
        <v>0</v>
      </c>
      <c r="DX157" s="1007">
        <f t="shared" si="170"/>
        <v>0</v>
      </c>
      <c r="DY157" s="1007">
        <f t="shared" si="171"/>
        <v>0</v>
      </c>
      <c r="DZ157" s="1007">
        <f t="shared" si="171"/>
        <v>0</v>
      </c>
      <c r="EA157" s="1007">
        <f t="shared" si="171"/>
        <v>0</v>
      </c>
      <c r="EB157" s="1007">
        <f t="shared" si="171"/>
        <v>0</v>
      </c>
      <c r="EC157" s="1007">
        <f t="shared" si="171"/>
        <v>0</v>
      </c>
      <c r="ED157" s="1007">
        <f t="shared" si="172"/>
        <v>0</v>
      </c>
    </row>
    <row r="158" spans="1:134" ht="45.75" customHeight="1" x14ac:dyDescent="0.25">
      <c r="A158" s="1590"/>
      <c r="B158" s="989"/>
      <c r="C158" s="852" t="s">
        <v>4519</v>
      </c>
      <c r="D158" s="1052" t="s">
        <v>4554</v>
      </c>
      <c r="E158" s="994">
        <v>211</v>
      </c>
      <c r="F158" s="1053" t="s">
        <v>4482</v>
      </c>
      <c r="G158" s="1429"/>
      <c r="H158" s="1060">
        <f t="shared" si="143"/>
        <v>186695</v>
      </c>
      <c r="I158" s="1060">
        <f t="shared" si="144"/>
        <v>39813305</v>
      </c>
      <c r="J158" s="1597">
        <v>54</v>
      </c>
      <c r="K158" s="1598">
        <v>71</v>
      </c>
      <c r="L158" s="1198">
        <v>56</v>
      </c>
      <c r="M158" s="1096">
        <v>0</v>
      </c>
      <c r="N158" s="1096">
        <v>0</v>
      </c>
      <c r="O158" s="1096">
        <v>0</v>
      </c>
      <c r="P158" s="1097">
        <v>0</v>
      </c>
      <c r="Q158" s="1097">
        <v>0</v>
      </c>
      <c r="R158" s="1097">
        <v>0</v>
      </c>
      <c r="S158" s="1053"/>
      <c r="T158" s="1053"/>
      <c r="U158" s="1053"/>
      <c r="V158" s="1053"/>
      <c r="W158" s="1053"/>
      <c r="X158" s="1053"/>
      <c r="Y158" s="1007">
        <f t="shared" si="145"/>
        <v>40000000</v>
      </c>
      <c r="Z158" s="944"/>
      <c r="AA158" s="944"/>
      <c r="AB158" s="944"/>
      <c r="AC158" s="1007">
        <f>90000000+500000000-250000000-300000000-39070000</f>
        <v>930000</v>
      </c>
      <c r="AD158" s="944"/>
      <c r="AE158" s="944"/>
      <c r="AF158" s="1007"/>
      <c r="AG158" s="1007"/>
      <c r="AH158" s="1007"/>
      <c r="AI158" s="1007"/>
      <c r="AJ158" s="1007"/>
      <c r="AK158" s="1007"/>
      <c r="AL158" s="1007"/>
      <c r="AM158" s="149"/>
      <c r="AN158" s="149">
        <f>39070000</f>
        <v>39070000</v>
      </c>
      <c r="AO158" s="149"/>
      <c r="AP158" s="149"/>
      <c r="AQ158" s="149"/>
      <c r="AR158" s="149"/>
      <c r="AS158" s="1007"/>
      <c r="AU158" s="1010">
        <f t="shared" si="103"/>
        <v>2.325E-2</v>
      </c>
      <c r="AV158" s="1007">
        <f t="shared" si="146"/>
        <v>930000</v>
      </c>
      <c r="AW158" s="1007"/>
      <c r="AX158" s="1007"/>
      <c r="AY158" s="1007"/>
      <c r="AZ158" s="1007">
        <f>+'[13]JUNIO 2015'!$M$212</f>
        <v>930000</v>
      </c>
      <c r="BA158" s="1007"/>
      <c r="BB158" s="1007"/>
      <c r="BC158" s="1007"/>
      <c r="BD158" s="1007"/>
      <c r="BE158" s="1007"/>
      <c r="BF158" s="1007"/>
      <c r="BG158" s="1007"/>
      <c r="BH158" s="1007"/>
      <c r="BI158" s="1007"/>
      <c r="BJ158" s="1007"/>
      <c r="BK158" s="1007"/>
      <c r="BL158" s="1007"/>
      <c r="BM158" s="1007"/>
      <c r="BN158" s="1007"/>
      <c r="BO158" s="1007"/>
      <c r="BP158" s="1007"/>
      <c r="BQ158" s="1010">
        <f t="shared" si="105"/>
        <v>0.97675000000000001</v>
      </c>
      <c r="BR158" s="1007">
        <f t="shared" si="147"/>
        <v>39070000</v>
      </c>
      <c r="BS158" s="1007">
        <f t="shared" si="164"/>
        <v>0</v>
      </c>
      <c r="BT158" s="1007">
        <f t="shared" si="165"/>
        <v>0</v>
      </c>
      <c r="BU158" s="1007"/>
      <c r="BV158" s="1007">
        <f t="shared" si="162"/>
        <v>0</v>
      </c>
      <c r="BW158" s="1007">
        <f t="shared" si="162"/>
        <v>0</v>
      </c>
      <c r="BX158" s="1007">
        <f t="shared" si="166"/>
        <v>0</v>
      </c>
      <c r="BY158" s="1007">
        <f t="shared" si="166"/>
        <v>0</v>
      </c>
      <c r="BZ158" s="1007"/>
      <c r="CA158" s="1007">
        <f t="shared" si="167"/>
        <v>0</v>
      </c>
      <c r="CB158" s="1007">
        <f t="shared" si="167"/>
        <v>0</v>
      </c>
      <c r="CC158" s="1007">
        <f t="shared" si="167"/>
        <v>0</v>
      </c>
      <c r="CD158" s="1007">
        <f t="shared" si="167"/>
        <v>0</v>
      </c>
      <c r="CE158" s="1007">
        <f t="shared" si="167"/>
        <v>0</v>
      </c>
      <c r="CF158" s="1007">
        <f t="shared" si="167"/>
        <v>0</v>
      </c>
      <c r="CG158" s="1007">
        <f t="shared" si="167"/>
        <v>39070000</v>
      </c>
      <c r="CH158" s="1007">
        <f t="shared" si="167"/>
        <v>0</v>
      </c>
      <c r="CI158" s="1007">
        <f t="shared" si="167"/>
        <v>0</v>
      </c>
      <c r="CJ158" s="1007"/>
      <c r="CK158" s="1007">
        <f t="shared" si="168"/>
        <v>0</v>
      </c>
      <c r="CL158" s="1007">
        <f t="shared" si="168"/>
        <v>0</v>
      </c>
      <c r="CM158" s="1010">
        <f t="shared" si="113"/>
        <v>4.6673749999999996E-3</v>
      </c>
      <c r="CN158" s="1007">
        <f t="shared" si="154"/>
        <v>186695</v>
      </c>
      <c r="CO158" s="1007"/>
      <c r="CP158" s="1007"/>
      <c r="CQ158" s="1007"/>
      <c r="CR158" s="1007">
        <f>+'[13]JUNIO 2015'!$H$210</f>
        <v>186695</v>
      </c>
      <c r="CS158" s="1007"/>
      <c r="CT158" s="1007"/>
      <c r="CU158" s="1007"/>
      <c r="CV158" s="1007"/>
      <c r="CW158" s="1007"/>
      <c r="CX158" s="1007"/>
      <c r="CY158" s="1007"/>
      <c r="CZ158" s="1007"/>
      <c r="DA158" s="1007"/>
      <c r="DB158" s="1007"/>
      <c r="DC158" s="1007"/>
      <c r="DD158" s="1007"/>
      <c r="DE158" s="1007"/>
      <c r="DF158" s="1007"/>
      <c r="DG158" s="1007"/>
      <c r="DH158" s="1007"/>
      <c r="DI158" s="1010">
        <f t="shared" si="115"/>
        <v>0.99533262499999997</v>
      </c>
      <c r="DJ158" s="1007">
        <f t="shared" si="155"/>
        <v>39813305</v>
      </c>
      <c r="DK158" s="1007"/>
      <c r="DL158" s="1007"/>
      <c r="DM158" s="1007"/>
      <c r="DN158" s="1007">
        <f t="shared" si="163"/>
        <v>743305</v>
      </c>
      <c r="DO158" s="1007">
        <f t="shared" si="163"/>
        <v>0</v>
      </c>
      <c r="DP158" s="1007">
        <f t="shared" si="163"/>
        <v>0</v>
      </c>
      <c r="DQ158" s="1007">
        <f t="shared" si="163"/>
        <v>0</v>
      </c>
      <c r="DR158" s="1007"/>
      <c r="DS158" s="1007">
        <f t="shared" si="169"/>
        <v>0</v>
      </c>
      <c r="DT158" s="1007">
        <f t="shared" si="169"/>
        <v>0</v>
      </c>
      <c r="DU158" s="1007"/>
      <c r="DV158" s="1007">
        <f t="shared" si="170"/>
        <v>0</v>
      </c>
      <c r="DW158" s="1007">
        <f t="shared" si="170"/>
        <v>0</v>
      </c>
      <c r="DX158" s="1007">
        <f t="shared" si="170"/>
        <v>0</v>
      </c>
      <c r="DY158" s="1007">
        <f t="shared" si="171"/>
        <v>39070000</v>
      </c>
      <c r="DZ158" s="1007">
        <f t="shared" si="171"/>
        <v>0</v>
      </c>
      <c r="EA158" s="1007">
        <f t="shared" si="171"/>
        <v>0</v>
      </c>
      <c r="EB158" s="1007">
        <f t="shared" si="171"/>
        <v>0</v>
      </c>
      <c r="EC158" s="1007">
        <f t="shared" si="171"/>
        <v>0</v>
      </c>
      <c r="ED158" s="1007">
        <f t="shared" si="172"/>
        <v>0</v>
      </c>
    </row>
    <row r="159" spans="1:134" s="203" customFormat="1" ht="35.25" customHeight="1" x14ac:dyDescent="0.25">
      <c r="A159" s="1590"/>
      <c r="B159" s="989"/>
      <c r="C159" s="1080" t="s">
        <v>4520</v>
      </c>
      <c r="D159" s="1018" t="s">
        <v>4555</v>
      </c>
      <c r="E159" s="996">
        <v>211</v>
      </c>
      <c r="F159" s="1094" t="s">
        <v>4482</v>
      </c>
      <c r="G159" s="1429"/>
      <c r="H159" s="1060">
        <f t="shared" si="143"/>
        <v>0</v>
      </c>
      <c r="I159" s="1060">
        <f t="shared" si="144"/>
        <v>300000000</v>
      </c>
      <c r="J159" s="1597"/>
      <c r="K159" s="1598"/>
      <c r="L159" s="1198"/>
      <c r="M159" s="1076">
        <v>0</v>
      </c>
      <c r="N159" s="1076">
        <v>0</v>
      </c>
      <c r="O159" s="1076">
        <v>0</v>
      </c>
      <c r="P159" s="1074"/>
      <c r="Q159" s="1074"/>
      <c r="R159" s="1074"/>
      <c r="S159" s="1094"/>
      <c r="T159" s="1094"/>
      <c r="U159" s="1094"/>
      <c r="V159" s="1094"/>
      <c r="W159" s="1094"/>
      <c r="X159" s="1094"/>
      <c r="Y159" s="1066">
        <f t="shared" si="145"/>
        <v>300000000</v>
      </c>
      <c r="Z159" s="149"/>
      <c r="AA159" s="149"/>
      <c r="AB159" s="149"/>
      <c r="AC159" s="1066">
        <f>300000000-300000000+300000000</f>
        <v>300000000</v>
      </c>
      <c r="AD159" s="149"/>
      <c r="AE159" s="149"/>
      <c r="AF159" s="1066"/>
      <c r="AG159" s="1066"/>
      <c r="AH159" s="1066"/>
      <c r="AI159" s="1066"/>
      <c r="AJ159" s="1066"/>
      <c r="AK159" s="1066"/>
      <c r="AL159" s="1066"/>
      <c r="AM159" s="149"/>
      <c r="AN159" s="149"/>
      <c r="AO159" s="149"/>
      <c r="AP159" s="149"/>
      <c r="AQ159" s="149"/>
      <c r="AR159" s="149"/>
      <c r="AS159" s="1066"/>
      <c r="AU159" s="1081">
        <f t="shared" si="103"/>
        <v>1</v>
      </c>
      <c r="AV159" s="1066">
        <f t="shared" si="146"/>
        <v>300000000</v>
      </c>
      <c r="AW159" s="1066"/>
      <c r="AX159" s="1066"/>
      <c r="AY159" s="1066"/>
      <c r="AZ159" s="1066">
        <f>+'[10]JULIO 2015'!$M$236</f>
        <v>300000000</v>
      </c>
      <c r="BA159" s="1066"/>
      <c r="BB159" s="1066"/>
      <c r="BC159" s="1066"/>
      <c r="BD159" s="1066"/>
      <c r="BE159" s="1066"/>
      <c r="BF159" s="1066"/>
      <c r="BG159" s="1066"/>
      <c r="BH159" s="1066"/>
      <c r="BI159" s="1066"/>
      <c r="BJ159" s="1066"/>
      <c r="BK159" s="1066"/>
      <c r="BL159" s="1066"/>
      <c r="BM159" s="1066"/>
      <c r="BN159" s="1066"/>
      <c r="BO159" s="1066"/>
      <c r="BP159" s="1066"/>
      <c r="BQ159" s="1081">
        <f t="shared" si="105"/>
        <v>0</v>
      </c>
      <c r="BR159" s="1066">
        <f t="shared" si="147"/>
        <v>0</v>
      </c>
      <c r="BS159" s="1066">
        <f t="shared" si="164"/>
        <v>0</v>
      </c>
      <c r="BT159" s="1066">
        <f t="shared" si="165"/>
        <v>0</v>
      </c>
      <c r="BU159" s="1066"/>
      <c r="BV159" s="1066">
        <f t="shared" si="162"/>
        <v>0</v>
      </c>
      <c r="BW159" s="1066">
        <f t="shared" si="162"/>
        <v>0</v>
      </c>
      <c r="BX159" s="1066">
        <f t="shared" si="166"/>
        <v>0</v>
      </c>
      <c r="BY159" s="1066">
        <f t="shared" si="166"/>
        <v>0</v>
      </c>
      <c r="BZ159" s="1066"/>
      <c r="CA159" s="1066">
        <f t="shared" si="167"/>
        <v>0</v>
      </c>
      <c r="CB159" s="1066">
        <f t="shared" si="167"/>
        <v>0</v>
      </c>
      <c r="CC159" s="1066">
        <f t="shared" si="167"/>
        <v>0</v>
      </c>
      <c r="CD159" s="1066">
        <f t="shared" si="167"/>
        <v>0</v>
      </c>
      <c r="CE159" s="1066">
        <f t="shared" si="167"/>
        <v>0</v>
      </c>
      <c r="CF159" s="1066">
        <f t="shared" si="167"/>
        <v>0</v>
      </c>
      <c r="CG159" s="1066">
        <f t="shared" si="167"/>
        <v>0</v>
      </c>
      <c r="CH159" s="1066">
        <f t="shared" si="167"/>
        <v>0</v>
      </c>
      <c r="CI159" s="1066">
        <f t="shared" si="167"/>
        <v>0</v>
      </c>
      <c r="CJ159" s="1066"/>
      <c r="CK159" s="1066">
        <f t="shared" si="168"/>
        <v>0</v>
      </c>
      <c r="CL159" s="1066">
        <f t="shared" si="168"/>
        <v>0</v>
      </c>
      <c r="CM159" s="1081">
        <f t="shared" si="113"/>
        <v>0</v>
      </c>
      <c r="CN159" s="1066">
        <f t="shared" si="154"/>
        <v>0</v>
      </c>
      <c r="CO159" s="1066"/>
      <c r="CP159" s="1066"/>
      <c r="CQ159" s="1066"/>
      <c r="CR159" s="1066"/>
      <c r="CS159" s="1066"/>
      <c r="CT159" s="1066"/>
      <c r="CU159" s="1066"/>
      <c r="CV159" s="1066"/>
      <c r="CW159" s="1066"/>
      <c r="CX159" s="1066"/>
      <c r="CY159" s="1066"/>
      <c r="CZ159" s="1066"/>
      <c r="DA159" s="1066"/>
      <c r="DB159" s="1066"/>
      <c r="DC159" s="1066"/>
      <c r="DD159" s="1066"/>
      <c r="DE159" s="1066"/>
      <c r="DF159" s="1066"/>
      <c r="DG159" s="1066"/>
      <c r="DH159" s="1066"/>
      <c r="DI159" s="1081">
        <f t="shared" si="115"/>
        <v>1</v>
      </c>
      <c r="DJ159" s="1066">
        <f t="shared" si="155"/>
        <v>300000000</v>
      </c>
      <c r="DK159" s="1066"/>
      <c r="DL159" s="1066"/>
      <c r="DM159" s="1066"/>
      <c r="DN159" s="1066">
        <f t="shared" si="163"/>
        <v>300000000</v>
      </c>
      <c r="DO159" s="1066">
        <f t="shared" si="163"/>
        <v>0</v>
      </c>
      <c r="DP159" s="1066">
        <f t="shared" si="163"/>
        <v>0</v>
      </c>
      <c r="DQ159" s="1066">
        <f t="shared" si="163"/>
        <v>0</v>
      </c>
      <c r="DR159" s="1066"/>
      <c r="DS159" s="1066">
        <f t="shared" si="169"/>
        <v>0</v>
      </c>
      <c r="DT159" s="1066">
        <f t="shared" si="169"/>
        <v>0</v>
      </c>
      <c r="DU159" s="1066"/>
      <c r="DV159" s="1066">
        <f t="shared" si="170"/>
        <v>0</v>
      </c>
      <c r="DW159" s="1066">
        <f t="shared" si="170"/>
        <v>0</v>
      </c>
      <c r="DX159" s="1066">
        <f t="shared" si="170"/>
        <v>0</v>
      </c>
      <c r="DY159" s="1066">
        <f t="shared" si="171"/>
        <v>0</v>
      </c>
      <c r="DZ159" s="1066">
        <f t="shared" si="171"/>
        <v>0</v>
      </c>
      <c r="EA159" s="1066">
        <f t="shared" si="171"/>
        <v>0</v>
      </c>
      <c r="EB159" s="1066">
        <f t="shared" si="171"/>
        <v>0</v>
      </c>
      <c r="EC159" s="1066">
        <f t="shared" si="171"/>
        <v>0</v>
      </c>
      <c r="ED159" s="1066">
        <f t="shared" si="172"/>
        <v>0</v>
      </c>
    </row>
    <row r="160" spans="1:134" ht="36.75" customHeight="1" x14ac:dyDescent="0.25">
      <c r="A160" s="1590"/>
      <c r="B160" s="989"/>
      <c r="C160" s="852" t="s">
        <v>4521</v>
      </c>
      <c r="D160" s="1018" t="s">
        <v>4504</v>
      </c>
      <c r="E160" s="994">
        <v>211</v>
      </c>
      <c r="F160" s="1094" t="s">
        <v>4506</v>
      </c>
      <c r="G160" s="1429"/>
      <c r="H160" s="1060">
        <f t="shared" si="143"/>
        <v>0</v>
      </c>
      <c r="I160" s="1060">
        <f t="shared" si="144"/>
        <v>4200000</v>
      </c>
      <c r="J160" s="1597"/>
      <c r="K160" s="1598"/>
      <c r="L160" s="1198"/>
      <c r="M160" s="1096">
        <v>0</v>
      </c>
      <c r="N160" s="1096">
        <v>0</v>
      </c>
      <c r="O160" s="1096">
        <v>0</v>
      </c>
      <c r="P160" s="1097">
        <v>0</v>
      </c>
      <c r="Q160" s="1097">
        <v>0</v>
      </c>
      <c r="R160" s="1097">
        <v>0</v>
      </c>
      <c r="S160" s="1094"/>
      <c r="T160" s="1094"/>
      <c r="U160" s="1094"/>
      <c r="V160" s="1094"/>
      <c r="W160" s="1094"/>
      <c r="X160" s="1094"/>
      <c r="Y160" s="1007">
        <f t="shared" si="145"/>
        <v>4200000</v>
      </c>
      <c r="Z160" s="944"/>
      <c r="AA160" s="944"/>
      <c r="AB160" s="944"/>
      <c r="AC160" s="1007"/>
      <c r="AD160" s="944"/>
      <c r="AE160" s="944"/>
      <c r="AF160" s="1007"/>
      <c r="AG160" s="1007"/>
      <c r="AH160" s="1007"/>
      <c r="AI160" s="1007"/>
      <c r="AJ160" s="1007"/>
      <c r="AK160" s="1007"/>
      <c r="AL160" s="1007"/>
      <c r="AM160" s="149"/>
      <c r="AN160" s="149"/>
      <c r="AO160" s="149"/>
      <c r="AP160" s="149"/>
      <c r="AQ160" s="149"/>
      <c r="AR160" s="149"/>
      <c r="AS160" s="1007">
        <f>4200000</f>
        <v>4200000</v>
      </c>
      <c r="AU160" s="1010">
        <f t="shared" si="103"/>
        <v>1</v>
      </c>
      <c r="AV160" s="1007">
        <f t="shared" si="146"/>
        <v>4200000</v>
      </c>
      <c r="AW160" s="1007"/>
      <c r="AX160" s="1007"/>
      <c r="AY160" s="1007"/>
      <c r="AZ160" s="1007"/>
      <c r="BA160" s="1007"/>
      <c r="BB160" s="1007"/>
      <c r="BC160" s="1007"/>
      <c r="BD160" s="1007"/>
      <c r="BE160" s="1007"/>
      <c r="BF160" s="1007"/>
      <c r="BG160" s="1007"/>
      <c r="BH160" s="1007"/>
      <c r="BI160" s="1007"/>
      <c r="BJ160" s="1007"/>
      <c r="BK160" s="1007"/>
      <c r="BL160" s="1007"/>
      <c r="BM160" s="1007"/>
      <c r="BN160" s="1007"/>
      <c r="BO160" s="1007"/>
      <c r="BP160" s="1007">
        <f>+'[16]ENERO 2015'!$AA$166</f>
        <v>4200000</v>
      </c>
      <c r="BQ160" s="1010">
        <f t="shared" si="105"/>
        <v>0</v>
      </c>
      <c r="BR160" s="1007">
        <f t="shared" si="147"/>
        <v>0</v>
      </c>
      <c r="BS160" s="1007">
        <f t="shared" si="164"/>
        <v>0</v>
      </c>
      <c r="BT160" s="1007">
        <f t="shared" si="165"/>
        <v>0</v>
      </c>
      <c r="BU160" s="1007"/>
      <c r="BV160" s="1007">
        <f t="shared" si="162"/>
        <v>0</v>
      </c>
      <c r="BW160" s="1007">
        <f t="shared" si="162"/>
        <v>0</v>
      </c>
      <c r="BX160" s="1007">
        <f t="shared" si="166"/>
        <v>0</v>
      </c>
      <c r="BY160" s="1007">
        <f t="shared" si="166"/>
        <v>0</v>
      </c>
      <c r="BZ160" s="1007"/>
      <c r="CA160" s="1007">
        <f t="shared" si="167"/>
        <v>0</v>
      </c>
      <c r="CB160" s="1007">
        <f t="shared" si="167"/>
        <v>0</v>
      </c>
      <c r="CC160" s="1007">
        <f t="shared" si="167"/>
        <v>0</v>
      </c>
      <c r="CD160" s="1007">
        <f t="shared" si="167"/>
        <v>0</v>
      </c>
      <c r="CE160" s="1007">
        <f t="shared" si="167"/>
        <v>0</v>
      </c>
      <c r="CF160" s="1007">
        <f t="shared" si="167"/>
        <v>0</v>
      </c>
      <c r="CG160" s="1007">
        <f t="shared" si="167"/>
        <v>0</v>
      </c>
      <c r="CH160" s="1007">
        <f t="shared" si="167"/>
        <v>0</v>
      </c>
      <c r="CI160" s="1007">
        <f t="shared" si="167"/>
        <v>0</v>
      </c>
      <c r="CJ160" s="1007"/>
      <c r="CK160" s="1007">
        <f t="shared" si="168"/>
        <v>0</v>
      </c>
      <c r="CL160" s="1007">
        <f t="shared" si="168"/>
        <v>0</v>
      </c>
      <c r="CM160" s="1010">
        <f t="shared" si="113"/>
        <v>0</v>
      </c>
      <c r="CN160" s="1007">
        <f t="shared" si="154"/>
        <v>0</v>
      </c>
      <c r="CO160" s="1007"/>
      <c r="CP160" s="1007"/>
      <c r="CQ160" s="1007"/>
      <c r="CR160" s="1007"/>
      <c r="CS160" s="1007"/>
      <c r="CT160" s="1007"/>
      <c r="CU160" s="1007"/>
      <c r="CV160" s="1007"/>
      <c r="CW160" s="1007"/>
      <c r="CX160" s="1007"/>
      <c r="CY160" s="1007"/>
      <c r="CZ160" s="1007"/>
      <c r="DA160" s="1007"/>
      <c r="DB160" s="1007"/>
      <c r="DC160" s="1007"/>
      <c r="DD160" s="1007"/>
      <c r="DE160" s="1007"/>
      <c r="DF160" s="1007"/>
      <c r="DG160" s="1007"/>
      <c r="DH160" s="1007"/>
      <c r="DI160" s="1010">
        <f t="shared" si="115"/>
        <v>1</v>
      </c>
      <c r="DJ160" s="1007">
        <f t="shared" si="155"/>
        <v>4200000</v>
      </c>
      <c r="DK160" s="1007"/>
      <c r="DL160" s="1007"/>
      <c r="DM160" s="1007"/>
      <c r="DN160" s="1007">
        <f t="shared" si="163"/>
        <v>0</v>
      </c>
      <c r="DO160" s="1007">
        <f t="shared" si="163"/>
        <v>0</v>
      </c>
      <c r="DP160" s="1007">
        <f t="shared" si="163"/>
        <v>0</v>
      </c>
      <c r="DQ160" s="1007">
        <f t="shared" si="163"/>
        <v>0</v>
      </c>
      <c r="DR160" s="1007"/>
      <c r="DS160" s="1007">
        <f t="shared" si="169"/>
        <v>0</v>
      </c>
      <c r="DT160" s="1007">
        <f t="shared" si="169"/>
        <v>0</v>
      </c>
      <c r="DU160" s="1007"/>
      <c r="DV160" s="1007">
        <f t="shared" si="170"/>
        <v>0</v>
      </c>
      <c r="DW160" s="1007">
        <f t="shared" si="170"/>
        <v>0</v>
      </c>
      <c r="DX160" s="1007">
        <f t="shared" si="170"/>
        <v>0</v>
      </c>
      <c r="DY160" s="1007">
        <f t="shared" si="171"/>
        <v>0</v>
      </c>
      <c r="DZ160" s="1007">
        <f t="shared" si="171"/>
        <v>0</v>
      </c>
      <c r="EA160" s="1007">
        <f t="shared" si="171"/>
        <v>0</v>
      </c>
      <c r="EB160" s="1007">
        <f t="shared" si="171"/>
        <v>0</v>
      </c>
      <c r="EC160" s="1007">
        <f t="shared" si="171"/>
        <v>0</v>
      </c>
      <c r="ED160" s="1007">
        <f t="shared" si="172"/>
        <v>4200000</v>
      </c>
    </row>
    <row r="161" spans="1:134" ht="21" customHeight="1" x14ac:dyDescent="0.25">
      <c r="A161" s="1590"/>
      <c r="B161" s="989"/>
      <c r="C161" s="852" t="s">
        <v>4522</v>
      </c>
      <c r="D161" s="1018" t="s">
        <v>4505</v>
      </c>
      <c r="E161" s="994">
        <v>211</v>
      </c>
      <c r="F161" s="1094" t="s">
        <v>4482</v>
      </c>
      <c r="G161" s="1429"/>
      <c r="H161" s="1060">
        <f t="shared" si="143"/>
        <v>0</v>
      </c>
      <c r="I161" s="1060">
        <f t="shared" si="144"/>
        <v>30741545</v>
      </c>
      <c r="J161" s="1428">
        <v>299</v>
      </c>
      <c r="K161" s="1257">
        <v>399</v>
      </c>
      <c r="L161" s="1257">
        <v>309</v>
      </c>
      <c r="M161" s="1096">
        <v>0</v>
      </c>
      <c r="N161" s="1096">
        <v>0</v>
      </c>
      <c r="O161" s="1096">
        <v>0</v>
      </c>
      <c r="P161" s="1097">
        <v>0</v>
      </c>
      <c r="Q161" s="1097">
        <v>0</v>
      </c>
      <c r="R161" s="1097">
        <v>0</v>
      </c>
      <c r="S161" s="1094"/>
      <c r="T161" s="1094"/>
      <c r="U161" s="1094"/>
      <c r="V161" s="1094"/>
      <c r="W161" s="1094"/>
      <c r="X161" s="1094"/>
      <c r="Y161" s="1007">
        <f t="shared" si="145"/>
        <v>30741545</v>
      </c>
      <c r="Z161" s="944"/>
      <c r="AA161" s="944"/>
      <c r="AB161" s="944"/>
      <c r="AC161" s="1007">
        <f>124058456-124058456</f>
        <v>0</v>
      </c>
      <c r="AD161" s="944"/>
      <c r="AE161" s="944"/>
      <c r="AF161" s="1007"/>
      <c r="AG161" s="1007"/>
      <c r="AH161" s="1007"/>
      <c r="AI161" s="1007"/>
      <c r="AJ161" s="1007"/>
      <c r="AK161" s="1007">
        <v>30741545</v>
      </c>
      <c r="AL161" s="1007"/>
      <c r="AM161" s="149"/>
      <c r="AN161" s="149"/>
      <c r="AO161" s="149"/>
      <c r="AP161" s="149"/>
      <c r="AQ161" s="149"/>
      <c r="AR161" s="149"/>
      <c r="AS161" s="1007"/>
      <c r="AU161" s="1010">
        <f t="shared" si="103"/>
        <v>0.33179854818617605</v>
      </c>
      <c r="AV161" s="1007">
        <f t="shared" si="146"/>
        <v>10200000</v>
      </c>
      <c r="AW161" s="1007"/>
      <c r="AX161" s="1007"/>
      <c r="AY161" s="1007"/>
      <c r="AZ161" s="1007"/>
      <c r="BA161" s="1007"/>
      <c r="BB161" s="1007"/>
      <c r="BC161" s="1007"/>
      <c r="BD161" s="1007"/>
      <c r="BE161" s="1007"/>
      <c r="BF161" s="1007"/>
      <c r="BG161" s="1007"/>
      <c r="BH161" s="1007">
        <f>+'[8]SEPTIEMBRE 2015'!$U$271</f>
        <v>10200000</v>
      </c>
      <c r="BI161" s="1007"/>
      <c r="BJ161" s="1007"/>
      <c r="BK161" s="1007"/>
      <c r="BL161" s="1007"/>
      <c r="BM161" s="1007"/>
      <c r="BN161" s="1007"/>
      <c r="BO161" s="1007"/>
      <c r="BP161" s="1007"/>
      <c r="BQ161" s="1010">
        <f t="shared" si="105"/>
        <v>0.66820145181382395</v>
      </c>
      <c r="BR161" s="1007">
        <f t="shared" si="147"/>
        <v>20541545</v>
      </c>
      <c r="BS161" s="1007">
        <f t="shared" si="164"/>
        <v>0</v>
      </c>
      <c r="BT161" s="1007">
        <f t="shared" si="165"/>
        <v>0</v>
      </c>
      <c r="BU161" s="1007"/>
      <c r="BV161" s="1007">
        <f t="shared" si="162"/>
        <v>0</v>
      </c>
      <c r="BW161" s="1007">
        <f t="shared" si="162"/>
        <v>0</v>
      </c>
      <c r="BX161" s="1007">
        <f t="shared" si="166"/>
        <v>0</v>
      </c>
      <c r="BY161" s="1007">
        <f t="shared" si="166"/>
        <v>0</v>
      </c>
      <c r="BZ161" s="1007"/>
      <c r="CA161" s="1007">
        <f t="shared" si="167"/>
        <v>0</v>
      </c>
      <c r="CB161" s="1007">
        <f t="shared" si="167"/>
        <v>0</v>
      </c>
      <c r="CC161" s="1007">
        <f t="shared" si="167"/>
        <v>0</v>
      </c>
      <c r="CD161" s="1007">
        <f t="shared" si="167"/>
        <v>20541545</v>
      </c>
      <c r="CE161" s="1007">
        <f t="shared" si="167"/>
        <v>0</v>
      </c>
      <c r="CF161" s="1007">
        <f t="shared" si="167"/>
        <v>0</v>
      </c>
      <c r="CG161" s="1007">
        <f t="shared" si="167"/>
        <v>0</v>
      </c>
      <c r="CH161" s="1007">
        <f t="shared" si="167"/>
        <v>0</v>
      </c>
      <c r="CI161" s="1007">
        <f t="shared" si="167"/>
        <v>0</v>
      </c>
      <c r="CJ161" s="1007"/>
      <c r="CK161" s="1007">
        <f t="shared" si="168"/>
        <v>0</v>
      </c>
      <c r="CL161" s="1007">
        <f t="shared" si="168"/>
        <v>0</v>
      </c>
      <c r="CM161" s="1010">
        <f t="shared" si="113"/>
        <v>0</v>
      </c>
      <c r="CN161" s="1007">
        <f t="shared" si="154"/>
        <v>0</v>
      </c>
      <c r="CO161" s="1007"/>
      <c r="CP161" s="1007"/>
      <c r="CQ161" s="1007"/>
      <c r="CR161" s="1007"/>
      <c r="CS161" s="1007"/>
      <c r="CT161" s="1007"/>
      <c r="CU161" s="1007"/>
      <c r="CV161" s="1007"/>
      <c r="CW161" s="1007"/>
      <c r="CX161" s="1007"/>
      <c r="CY161" s="1007"/>
      <c r="CZ161" s="1007"/>
      <c r="DA161" s="1007"/>
      <c r="DB161" s="1007"/>
      <c r="DC161" s="1007"/>
      <c r="DD161" s="1007"/>
      <c r="DE161" s="1007"/>
      <c r="DF161" s="1007"/>
      <c r="DG161" s="1007"/>
      <c r="DH161" s="1007"/>
      <c r="DI161" s="1010">
        <f t="shared" si="115"/>
        <v>1</v>
      </c>
      <c r="DJ161" s="1007">
        <f t="shared" si="155"/>
        <v>30741545</v>
      </c>
      <c r="DK161" s="1007"/>
      <c r="DL161" s="1007"/>
      <c r="DM161" s="1007"/>
      <c r="DN161" s="1007">
        <f t="shared" si="163"/>
        <v>0</v>
      </c>
      <c r="DO161" s="1007">
        <f t="shared" si="163"/>
        <v>0</v>
      </c>
      <c r="DP161" s="1007">
        <f t="shared" si="163"/>
        <v>0</v>
      </c>
      <c r="DQ161" s="1007">
        <f t="shared" si="163"/>
        <v>0</v>
      </c>
      <c r="DR161" s="1007"/>
      <c r="DS161" s="1007">
        <f t="shared" si="169"/>
        <v>0</v>
      </c>
      <c r="DT161" s="1007">
        <f t="shared" si="169"/>
        <v>0</v>
      </c>
      <c r="DU161" s="1007"/>
      <c r="DV161" s="1007">
        <f t="shared" si="170"/>
        <v>30741545</v>
      </c>
      <c r="DW161" s="1007">
        <f t="shared" si="170"/>
        <v>0</v>
      </c>
      <c r="DX161" s="1007">
        <f t="shared" si="170"/>
        <v>0</v>
      </c>
      <c r="DY161" s="1007">
        <f t="shared" si="171"/>
        <v>0</v>
      </c>
      <c r="DZ161" s="1007">
        <f t="shared" si="171"/>
        <v>0</v>
      </c>
      <c r="EA161" s="1007">
        <f t="shared" si="171"/>
        <v>0</v>
      </c>
      <c r="EB161" s="1007">
        <f t="shared" si="171"/>
        <v>0</v>
      </c>
      <c r="EC161" s="1007">
        <f t="shared" si="171"/>
        <v>0</v>
      </c>
      <c r="ED161" s="1007">
        <f t="shared" si="172"/>
        <v>0</v>
      </c>
    </row>
    <row r="162" spans="1:134" ht="40.5" customHeight="1" x14ac:dyDescent="0.25">
      <c r="A162" s="1590"/>
      <c r="B162" s="989"/>
      <c r="C162" s="852" t="s">
        <v>4523</v>
      </c>
      <c r="D162" s="1018" t="s">
        <v>4507</v>
      </c>
      <c r="E162" s="994">
        <v>211</v>
      </c>
      <c r="F162" s="1094" t="s">
        <v>4482</v>
      </c>
      <c r="G162" s="1429"/>
      <c r="H162" s="1060">
        <f t="shared" si="143"/>
        <v>239816980</v>
      </c>
      <c r="I162" s="1060">
        <f t="shared" si="144"/>
        <v>0</v>
      </c>
      <c r="J162" s="1429"/>
      <c r="K162" s="1562"/>
      <c r="L162" s="1562"/>
      <c r="M162" s="1096">
        <v>0</v>
      </c>
      <c r="N162" s="1096">
        <v>0</v>
      </c>
      <c r="O162" s="1096">
        <v>0</v>
      </c>
      <c r="P162" s="1097">
        <v>100</v>
      </c>
      <c r="Q162" s="1097">
        <v>100</v>
      </c>
      <c r="R162" s="1097">
        <v>100</v>
      </c>
      <c r="S162" s="1094"/>
      <c r="T162" s="1094"/>
      <c r="U162" s="1094"/>
      <c r="V162" s="1094"/>
      <c r="W162" s="1094"/>
      <c r="X162" s="1094"/>
      <c r="Y162" s="1007">
        <f t="shared" ref="Y162:Y193" si="173">SUM(Z162:AS162)</f>
        <v>239816980</v>
      </c>
      <c r="Z162" s="944"/>
      <c r="AA162" s="944"/>
      <c r="AB162" s="944"/>
      <c r="AC162" s="1007">
        <f>101542660+138457340-183020</f>
        <v>239816980</v>
      </c>
      <c r="AD162" s="944"/>
      <c r="AE162" s="944"/>
      <c r="AF162" s="1007">
        <f>169457340-169457340</f>
        <v>0</v>
      </c>
      <c r="AG162" s="1007"/>
      <c r="AH162" s="1007"/>
      <c r="AI162" s="1007"/>
      <c r="AJ162" s="1007"/>
      <c r="AK162" s="1007"/>
      <c r="AL162" s="1007"/>
      <c r="AM162" s="149"/>
      <c r="AN162" s="149"/>
      <c r="AO162" s="149"/>
      <c r="AP162" s="149"/>
      <c r="AQ162" s="149"/>
      <c r="AR162" s="149"/>
      <c r="AS162" s="1007"/>
      <c r="AU162" s="1010">
        <f t="shared" si="103"/>
        <v>1</v>
      </c>
      <c r="AV162" s="1007">
        <f t="shared" ref="AV162:AV193" si="174">SUM(AW162:BP162)</f>
        <v>239816980</v>
      </c>
      <c r="AW162" s="1007"/>
      <c r="AX162" s="1007"/>
      <c r="AY162" s="1007"/>
      <c r="AZ162" s="1007">
        <f>+'[13]JUNIO 2015'!$M$235</f>
        <v>239816980</v>
      </c>
      <c r="BA162" s="1007"/>
      <c r="BB162" s="1007"/>
      <c r="BC162" s="1007"/>
      <c r="BD162" s="1007"/>
      <c r="BE162" s="1007"/>
      <c r="BF162" s="1007"/>
      <c r="BG162" s="1007"/>
      <c r="BH162" s="1007"/>
      <c r="BI162" s="1007"/>
      <c r="BJ162" s="1007"/>
      <c r="BK162" s="1007"/>
      <c r="BL162" s="1007"/>
      <c r="BM162" s="1007"/>
      <c r="BN162" s="1007"/>
      <c r="BO162" s="1007"/>
      <c r="BP162" s="1007"/>
      <c r="BQ162" s="1010">
        <f t="shared" si="105"/>
        <v>0</v>
      </c>
      <c r="BR162" s="1007">
        <f t="shared" ref="BR162:BR194" si="175">SUM(BS162:CL162)</f>
        <v>0</v>
      </c>
      <c r="BS162" s="1007">
        <f t="shared" si="164"/>
        <v>0</v>
      </c>
      <c r="BT162" s="1007">
        <f t="shared" si="165"/>
        <v>0</v>
      </c>
      <c r="BU162" s="1007"/>
      <c r="BV162" s="1007">
        <f t="shared" si="162"/>
        <v>0</v>
      </c>
      <c r="BW162" s="1007">
        <f t="shared" si="162"/>
        <v>0</v>
      </c>
      <c r="BX162" s="1007">
        <f t="shared" si="166"/>
        <v>0</v>
      </c>
      <c r="BY162" s="1007">
        <f t="shared" si="166"/>
        <v>0</v>
      </c>
      <c r="BZ162" s="1007"/>
      <c r="CA162" s="1007">
        <f t="shared" si="167"/>
        <v>0</v>
      </c>
      <c r="CB162" s="1007">
        <f t="shared" si="167"/>
        <v>0</v>
      </c>
      <c r="CC162" s="1007">
        <f t="shared" si="167"/>
        <v>0</v>
      </c>
      <c r="CD162" s="1007">
        <f t="shared" si="167"/>
        <v>0</v>
      </c>
      <c r="CE162" s="1007">
        <f t="shared" si="167"/>
        <v>0</v>
      </c>
      <c r="CF162" s="1007">
        <f t="shared" si="167"/>
        <v>0</v>
      </c>
      <c r="CG162" s="1007">
        <f t="shared" si="167"/>
        <v>0</v>
      </c>
      <c r="CH162" s="1007">
        <f t="shared" si="167"/>
        <v>0</v>
      </c>
      <c r="CI162" s="1007">
        <f t="shared" si="167"/>
        <v>0</v>
      </c>
      <c r="CJ162" s="1007"/>
      <c r="CK162" s="1007">
        <f t="shared" si="168"/>
        <v>0</v>
      </c>
      <c r="CL162" s="1007">
        <f t="shared" si="168"/>
        <v>0</v>
      </c>
      <c r="CM162" s="1010">
        <f t="shared" si="113"/>
        <v>1</v>
      </c>
      <c r="CN162" s="1007">
        <f t="shared" ref="CN162:CN194" si="176">SUM(CO162:DH162)</f>
        <v>239816980</v>
      </c>
      <c r="CO162" s="1007"/>
      <c r="CP162" s="1007"/>
      <c r="CQ162" s="1007"/>
      <c r="CR162" s="1007">
        <f>+'[9]ABRIL 2015'!$H$216</f>
        <v>239816980</v>
      </c>
      <c r="CS162" s="1007"/>
      <c r="CT162" s="1007"/>
      <c r="CU162" s="1007"/>
      <c r="CV162" s="1007"/>
      <c r="CW162" s="1007"/>
      <c r="CX162" s="1007"/>
      <c r="CY162" s="1007"/>
      <c r="CZ162" s="1007"/>
      <c r="DA162" s="1007"/>
      <c r="DB162" s="1007"/>
      <c r="DC162" s="1007"/>
      <c r="DD162" s="1007"/>
      <c r="DE162" s="1007"/>
      <c r="DF162" s="1007"/>
      <c r="DG162" s="1007"/>
      <c r="DH162" s="1007"/>
      <c r="DI162" s="1010">
        <f t="shared" si="115"/>
        <v>0</v>
      </c>
      <c r="DJ162" s="1007">
        <f t="shared" ref="DJ162:DJ194" si="177">SUM(DK162:ED162)</f>
        <v>0</v>
      </c>
      <c r="DK162" s="1007"/>
      <c r="DL162" s="1007"/>
      <c r="DM162" s="1007"/>
      <c r="DN162" s="1007">
        <f t="shared" si="163"/>
        <v>0</v>
      </c>
      <c r="DO162" s="1007">
        <f t="shared" si="163"/>
        <v>0</v>
      </c>
      <c r="DP162" s="1007">
        <f t="shared" si="163"/>
        <v>0</v>
      </c>
      <c r="DQ162" s="1007">
        <f t="shared" si="163"/>
        <v>0</v>
      </c>
      <c r="DR162" s="1007"/>
      <c r="DS162" s="1007">
        <f t="shared" si="169"/>
        <v>0</v>
      </c>
      <c r="DT162" s="1007">
        <f t="shared" si="169"/>
        <v>0</v>
      </c>
      <c r="DU162" s="1007"/>
      <c r="DV162" s="1007">
        <f t="shared" si="170"/>
        <v>0</v>
      </c>
      <c r="DW162" s="1007">
        <f t="shared" si="170"/>
        <v>0</v>
      </c>
      <c r="DX162" s="1007">
        <f t="shared" si="170"/>
        <v>0</v>
      </c>
      <c r="DY162" s="1007">
        <f t="shared" si="171"/>
        <v>0</v>
      </c>
      <c r="DZ162" s="1007">
        <f t="shared" si="171"/>
        <v>0</v>
      </c>
      <c r="EA162" s="1007">
        <f t="shared" si="171"/>
        <v>0</v>
      </c>
      <c r="EB162" s="1007">
        <f t="shared" si="171"/>
        <v>0</v>
      </c>
      <c r="EC162" s="1007">
        <f t="shared" si="171"/>
        <v>0</v>
      </c>
      <c r="ED162" s="1007">
        <f t="shared" si="172"/>
        <v>0</v>
      </c>
    </row>
    <row r="163" spans="1:134" s="203" customFormat="1" ht="33.75" customHeight="1" x14ac:dyDescent="0.25">
      <c r="A163" s="1590"/>
      <c r="B163" s="989"/>
      <c r="C163" s="1080" t="s">
        <v>4524</v>
      </c>
      <c r="D163" s="1018" t="s">
        <v>4508</v>
      </c>
      <c r="E163" s="996">
        <v>211</v>
      </c>
      <c r="F163" s="1094" t="s">
        <v>4482</v>
      </c>
      <c r="G163" s="1429"/>
      <c r="H163" s="1060">
        <f t="shared" si="143"/>
        <v>0</v>
      </c>
      <c r="I163" s="1060">
        <f t="shared" si="144"/>
        <v>0</v>
      </c>
      <c r="J163" s="1430"/>
      <c r="K163" s="1258"/>
      <c r="L163" s="1258"/>
      <c r="M163" s="1076">
        <v>0</v>
      </c>
      <c r="N163" s="1076">
        <v>0</v>
      </c>
      <c r="O163" s="1076">
        <v>0</v>
      </c>
      <c r="P163" s="1074"/>
      <c r="Q163" s="1074"/>
      <c r="R163" s="1074"/>
      <c r="S163" s="1094"/>
      <c r="T163" s="1094"/>
      <c r="U163" s="1094"/>
      <c r="V163" s="1094"/>
      <c r="W163" s="1094"/>
      <c r="X163" s="1094"/>
      <c r="Y163" s="1066">
        <f t="shared" si="173"/>
        <v>0</v>
      </c>
      <c r="Z163" s="149"/>
      <c r="AA163" s="1066">
        <f>353000000-353000000</f>
        <v>0</v>
      </c>
      <c r="AB163" s="1066"/>
      <c r="AC163" s="1066">
        <f>99815599-99815599</f>
        <v>0</v>
      </c>
      <c r="AD163" s="1066"/>
      <c r="AE163" s="1066"/>
      <c r="AF163" s="1066">
        <f>500000000-37000000-110000000-353000000</f>
        <v>0</v>
      </c>
      <c r="AG163" s="149"/>
      <c r="AH163" s="149"/>
      <c r="AI163" s="149"/>
      <c r="AJ163" s="149"/>
      <c r="AK163" s="149"/>
      <c r="AL163" s="149"/>
      <c r="AM163" s="149"/>
      <c r="AN163" s="149"/>
      <c r="AO163" s="149"/>
      <c r="AP163" s="149"/>
      <c r="AQ163" s="149"/>
      <c r="AR163" s="149"/>
      <c r="AS163" s="1066"/>
      <c r="AU163" s="1081" t="e">
        <f t="shared" si="103"/>
        <v>#DIV/0!</v>
      </c>
      <c r="AV163" s="1066">
        <f t="shared" si="174"/>
        <v>0</v>
      </c>
      <c r="AW163" s="1066"/>
      <c r="AX163" s="1066"/>
      <c r="AY163" s="1066"/>
      <c r="AZ163" s="1066"/>
      <c r="BA163" s="1066"/>
      <c r="BB163" s="1066"/>
      <c r="BC163" s="1066"/>
      <c r="BD163" s="1066"/>
      <c r="BE163" s="1066"/>
      <c r="BF163" s="1066"/>
      <c r="BG163" s="1066"/>
      <c r="BH163" s="1066"/>
      <c r="BI163" s="1066"/>
      <c r="BJ163" s="1066"/>
      <c r="BK163" s="1066"/>
      <c r="BL163" s="1066"/>
      <c r="BM163" s="1066"/>
      <c r="BN163" s="1066"/>
      <c r="BO163" s="1066"/>
      <c r="BP163" s="1066"/>
      <c r="BQ163" s="1081" t="e">
        <f t="shared" si="105"/>
        <v>#DIV/0!</v>
      </c>
      <c r="BR163" s="1066">
        <f t="shared" si="175"/>
        <v>0</v>
      </c>
      <c r="BS163" s="1066">
        <f t="shared" si="164"/>
        <v>0</v>
      </c>
      <c r="BT163" s="1066">
        <f t="shared" si="165"/>
        <v>0</v>
      </c>
      <c r="BU163" s="1066"/>
      <c r="BV163" s="1066">
        <f t="shared" si="162"/>
        <v>0</v>
      </c>
      <c r="BW163" s="1066">
        <f t="shared" si="162"/>
        <v>0</v>
      </c>
      <c r="BX163" s="1066">
        <f t="shared" si="166"/>
        <v>0</v>
      </c>
      <c r="BY163" s="1066">
        <f t="shared" si="166"/>
        <v>0</v>
      </c>
      <c r="BZ163" s="1066"/>
      <c r="CA163" s="1066">
        <f t="shared" si="167"/>
        <v>0</v>
      </c>
      <c r="CB163" s="1066">
        <f t="shared" si="167"/>
        <v>0</v>
      </c>
      <c r="CC163" s="1066">
        <f t="shared" si="167"/>
        <v>0</v>
      </c>
      <c r="CD163" s="1066">
        <f t="shared" si="167"/>
        <v>0</v>
      </c>
      <c r="CE163" s="1066">
        <f t="shared" si="167"/>
        <v>0</v>
      </c>
      <c r="CF163" s="1066">
        <f t="shared" si="167"/>
        <v>0</v>
      </c>
      <c r="CG163" s="1066">
        <f t="shared" si="167"/>
        <v>0</v>
      </c>
      <c r="CH163" s="1066">
        <f t="shared" si="167"/>
        <v>0</v>
      </c>
      <c r="CI163" s="1066">
        <f t="shared" si="167"/>
        <v>0</v>
      </c>
      <c r="CJ163" s="1066">
        <f>+AQ163-BN163</f>
        <v>0</v>
      </c>
      <c r="CK163" s="1066">
        <f t="shared" si="168"/>
        <v>0</v>
      </c>
      <c r="CL163" s="1066">
        <f t="shared" si="168"/>
        <v>0</v>
      </c>
      <c r="CM163" s="1081" t="e">
        <f t="shared" si="113"/>
        <v>#DIV/0!</v>
      </c>
      <c r="CN163" s="1066">
        <f t="shared" si="176"/>
        <v>0</v>
      </c>
      <c r="CO163" s="1066"/>
      <c r="CP163" s="1066"/>
      <c r="CQ163" s="1066"/>
      <c r="CR163" s="1066"/>
      <c r="CS163" s="1066"/>
      <c r="CT163" s="1066"/>
      <c r="CU163" s="1066"/>
      <c r="CV163" s="1066"/>
      <c r="CW163" s="1066"/>
      <c r="CX163" s="1066"/>
      <c r="CY163" s="1066"/>
      <c r="CZ163" s="1066"/>
      <c r="DA163" s="1066"/>
      <c r="DB163" s="1066"/>
      <c r="DC163" s="1066"/>
      <c r="DD163" s="1066"/>
      <c r="DE163" s="1066"/>
      <c r="DF163" s="1066"/>
      <c r="DG163" s="1066"/>
      <c r="DH163" s="1066"/>
      <c r="DI163" s="1081" t="e">
        <f t="shared" si="115"/>
        <v>#DIV/0!</v>
      </c>
      <c r="DJ163" s="1066">
        <f t="shared" si="177"/>
        <v>0</v>
      </c>
      <c r="DK163" s="1066"/>
      <c r="DL163" s="1066">
        <f>AA163-CP163</f>
        <v>0</v>
      </c>
      <c r="DM163" s="1066">
        <f>AB163-CQ163</f>
        <v>0</v>
      </c>
      <c r="DN163" s="1066">
        <f t="shared" si="163"/>
        <v>0</v>
      </c>
      <c r="DO163" s="1066">
        <f t="shared" si="163"/>
        <v>0</v>
      </c>
      <c r="DP163" s="1066">
        <f t="shared" si="163"/>
        <v>0</v>
      </c>
      <c r="DQ163" s="1066">
        <f t="shared" si="163"/>
        <v>0</v>
      </c>
      <c r="DR163" s="1066"/>
      <c r="DS163" s="1066">
        <f t="shared" si="169"/>
        <v>0</v>
      </c>
      <c r="DT163" s="1066">
        <f t="shared" si="169"/>
        <v>0</v>
      </c>
      <c r="DU163" s="1066"/>
      <c r="DV163" s="1066">
        <f t="shared" si="170"/>
        <v>0</v>
      </c>
      <c r="DW163" s="1066">
        <f t="shared" si="170"/>
        <v>0</v>
      </c>
      <c r="DX163" s="1066">
        <f t="shared" si="170"/>
        <v>0</v>
      </c>
      <c r="DY163" s="1066">
        <f t="shared" si="171"/>
        <v>0</v>
      </c>
      <c r="DZ163" s="1066">
        <f t="shared" si="171"/>
        <v>0</v>
      </c>
      <c r="EA163" s="1066">
        <f t="shared" si="171"/>
        <v>0</v>
      </c>
      <c r="EB163" s="1066">
        <f t="shared" si="171"/>
        <v>0</v>
      </c>
      <c r="EC163" s="1066">
        <f t="shared" si="171"/>
        <v>0</v>
      </c>
      <c r="ED163" s="1066">
        <f t="shared" si="172"/>
        <v>0</v>
      </c>
    </row>
    <row r="164" spans="1:134" ht="42.75" customHeight="1" x14ac:dyDescent="0.25">
      <c r="A164" s="1590"/>
      <c r="B164" s="989"/>
      <c r="C164" s="852" t="s">
        <v>4525</v>
      </c>
      <c r="D164" s="1018" t="s">
        <v>4673</v>
      </c>
      <c r="E164" s="994">
        <v>211</v>
      </c>
      <c r="F164" s="1094" t="s">
        <v>4819</v>
      </c>
      <c r="G164" s="1429"/>
      <c r="H164" s="1060">
        <f t="shared" si="143"/>
        <v>36999994</v>
      </c>
      <c r="I164" s="1060">
        <f t="shared" si="144"/>
        <v>423775120</v>
      </c>
      <c r="J164" s="1591">
        <v>58</v>
      </c>
      <c r="K164" s="1594">
        <v>98</v>
      </c>
      <c r="L164" s="1257">
        <v>63</v>
      </c>
      <c r="M164" s="1096">
        <v>0</v>
      </c>
      <c r="N164" s="1096">
        <v>0</v>
      </c>
      <c r="O164" s="1096">
        <v>0</v>
      </c>
      <c r="P164" s="1097">
        <v>16</v>
      </c>
      <c r="Q164" s="1097">
        <v>0</v>
      </c>
      <c r="R164" s="1097">
        <v>0</v>
      </c>
      <c r="S164" s="1094"/>
      <c r="T164" s="1094"/>
      <c r="U164" s="1094"/>
      <c r="V164" s="1094"/>
      <c r="W164" s="1094"/>
      <c r="X164" s="1094"/>
      <c r="Y164" s="1007">
        <f t="shared" si="173"/>
        <v>460775114</v>
      </c>
      <c r="Z164" s="944"/>
      <c r="AA164" s="1007"/>
      <c r="AB164" s="1007"/>
      <c r="AC164" s="1007">
        <v>420000000</v>
      </c>
      <c r="AD164" s="1007"/>
      <c r="AE164" s="1007"/>
      <c r="AF164" s="1007"/>
      <c r="AG164" s="944"/>
      <c r="AH164" s="944"/>
      <c r="AI164" s="149"/>
      <c r="AJ164" s="149"/>
      <c r="AK164" s="149"/>
      <c r="AL164" s="149"/>
      <c r="AM164" s="149"/>
      <c r="AN164" s="944"/>
      <c r="AO164" s="944"/>
      <c r="AP164" s="944"/>
      <c r="AQ164" s="944"/>
      <c r="AR164" s="944"/>
      <c r="AS164" s="1007">
        <f>37000000+3775114</f>
        <v>40775114</v>
      </c>
      <c r="AU164" s="1010">
        <f t="shared" si="103"/>
        <v>0.78585471523533712</v>
      </c>
      <c r="AV164" s="1007">
        <f t="shared" si="174"/>
        <v>362102296</v>
      </c>
      <c r="AW164" s="1007"/>
      <c r="AX164" s="1007"/>
      <c r="AY164" s="1007"/>
      <c r="AZ164" s="1007">
        <f>+'[8]SEPTIEMBRE 2015'!$M$291</f>
        <v>325102296</v>
      </c>
      <c r="BA164" s="1007"/>
      <c r="BB164" s="1007"/>
      <c r="BC164" s="1007"/>
      <c r="BD164" s="1007"/>
      <c r="BE164" s="1007"/>
      <c r="BF164" s="1007"/>
      <c r="BG164" s="1007"/>
      <c r="BH164" s="1007"/>
      <c r="BI164" s="1007"/>
      <c r="BJ164" s="1007"/>
      <c r="BK164" s="1007"/>
      <c r="BL164" s="1007"/>
      <c r="BM164" s="1007"/>
      <c r="BN164" s="1007"/>
      <c r="BO164" s="1007"/>
      <c r="BP164" s="1007">
        <f>+'[15]FEBRERO 2015'!$G$196</f>
        <v>37000000</v>
      </c>
      <c r="BQ164" s="1010">
        <f t="shared" si="105"/>
        <v>0.21414528476466288</v>
      </c>
      <c r="BR164" s="1007">
        <f t="shared" si="175"/>
        <v>98672818</v>
      </c>
      <c r="BS164" s="1007">
        <f t="shared" si="164"/>
        <v>0</v>
      </c>
      <c r="BT164" s="1007">
        <f t="shared" si="165"/>
        <v>0</v>
      </c>
      <c r="BU164" s="1007"/>
      <c r="BV164" s="1007">
        <f t="shared" si="162"/>
        <v>94897704</v>
      </c>
      <c r="BW164" s="1007">
        <f t="shared" si="162"/>
        <v>0</v>
      </c>
      <c r="BX164" s="1007">
        <f t="shared" si="166"/>
        <v>0</v>
      </c>
      <c r="BY164" s="1007">
        <f t="shared" si="166"/>
        <v>0</v>
      </c>
      <c r="BZ164" s="1007"/>
      <c r="CA164" s="1007">
        <f t="shared" si="167"/>
        <v>0</v>
      </c>
      <c r="CB164" s="1007">
        <f t="shared" si="167"/>
        <v>0</v>
      </c>
      <c r="CC164" s="1007">
        <f t="shared" si="167"/>
        <v>0</v>
      </c>
      <c r="CD164" s="1007">
        <f t="shared" si="167"/>
        <v>0</v>
      </c>
      <c r="CE164" s="1007">
        <f t="shared" si="167"/>
        <v>0</v>
      </c>
      <c r="CF164" s="1007">
        <f t="shared" si="167"/>
        <v>0</v>
      </c>
      <c r="CG164" s="1007">
        <f t="shared" si="167"/>
        <v>0</v>
      </c>
      <c r="CH164" s="1007">
        <f t="shared" si="167"/>
        <v>0</v>
      </c>
      <c r="CI164" s="1007">
        <f t="shared" si="167"/>
        <v>0</v>
      </c>
      <c r="CJ164" s="1007"/>
      <c r="CK164" s="1007">
        <f t="shared" si="168"/>
        <v>0</v>
      </c>
      <c r="CL164" s="1007">
        <f t="shared" si="168"/>
        <v>3775114</v>
      </c>
      <c r="CM164" s="1010">
        <f t="shared" si="113"/>
        <v>8.0299462526962767E-2</v>
      </c>
      <c r="CN164" s="1007">
        <f t="shared" si="176"/>
        <v>36999994</v>
      </c>
      <c r="CO164" s="1007"/>
      <c r="CP164" s="1007"/>
      <c r="CQ164" s="1007"/>
      <c r="CR164" s="1007"/>
      <c r="CS164" s="1007"/>
      <c r="CT164" s="1007"/>
      <c r="CU164" s="1007"/>
      <c r="CV164" s="1007"/>
      <c r="CW164" s="1007"/>
      <c r="CX164" s="1007"/>
      <c r="CY164" s="1007"/>
      <c r="CZ164" s="1007"/>
      <c r="DA164" s="1007"/>
      <c r="DB164" s="1007"/>
      <c r="DC164" s="1007"/>
      <c r="DD164" s="1007"/>
      <c r="DE164" s="1007"/>
      <c r="DF164" s="1007"/>
      <c r="DG164" s="1007"/>
      <c r="DH164" s="1007">
        <f>+'[8]SEPTIEMBRE 2015'!$H$292</f>
        <v>36999994</v>
      </c>
      <c r="DI164" s="1010">
        <f t="shared" si="115"/>
        <v>0.91970053747303726</v>
      </c>
      <c r="DJ164" s="1007">
        <f t="shared" si="177"/>
        <v>423775120</v>
      </c>
      <c r="DK164" s="1007"/>
      <c r="DL164" s="1007"/>
      <c r="DM164" s="1007"/>
      <c r="DN164" s="1007">
        <f t="shared" si="163"/>
        <v>420000000</v>
      </c>
      <c r="DO164" s="1007">
        <f t="shared" si="163"/>
        <v>0</v>
      </c>
      <c r="DP164" s="1007">
        <f t="shared" si="163"/>
        <v>0</v>
      </c>
      <c r="DQ164" s="1007">
        <f t="shared" si="163"/>
        <v>0</v>
      </c>
      <c r="DR164" s="1007"/>
      <c r="DS164" s="1007">
        <f t="shared" si="169"/>
        <v>0</v>
      </c>
      <c r="DT164" s="1007">
        <f t="shared" si="169"/>
        <v>0</v>
      </c>
      <c r="DU164" s="1007"/>
      <c r="DV164" s="1007">
        <f t="shared" si="170"/>
        <v>0</v>
      </c>
      <c r="DW164" s="1007">
        <f t="shared" si="170"/>
        <v>0</v>
      </c>
      <c r="DX164" s="1007">
        <f t="shared" si="170"/>
        <v>0</v>
      </c>
      <c r="DY164" s="1007">
        <f t="shared" si="171"/>
        <v>0</v>
      </c>
      <c r="DZ164" s="1007">
        <f t="shared" si="171"/>
        <v>0</v>
      </c>
      <c r="EA164" s="1007">
        <f t="shared" si="171"/>
        <v>0</v>
      </c>
      <c r="EB164" s="1007">
        <f t="shared" si="171"/>
        <v>0</v>
      </c>
      <c r="EC164" s="1007">
        <f t="shared" si="171"/>
        <v>0</v>
      </c>
      <c r="ED164" s="1007">
        <f t="shared" si="172"/>
        <v>3775120</v>
      </c>
    </row>
    <row r="165" spans="1:134" ht="81" customHeight="1" x14ac:dyDescent="0.25">
      <c r="A165" s="1590"/>
      <c r="B165" s="989"/>
      <c r="C165" s="852" t="s">
        <v>4526</v>
      </c>
      <c r="D165" s="1018" t="s">
        <v>4641</v>
      </c>
      <c r="E165" s="994">
        <v>211</v>
      </c>
      <c r="F165" s="1094" t="s">
        <v>4672</v>
      </c>
      <c r="G165" s="1429"/>
      <c r="H165" s="1060">
        <f t="shared" si="143"/>
        <v>21204410</v>
      </c>
      <c r="I165" s="1060">
        <f t="shared" si="144"/>
        <v>56002527</v>
      </c>
      <c r="J165" s="1592"/>
      <c r="K165" s="1595"/>
      <c r="L165" s="1562"/>
      <c r="M165" s="1096">
        <v>0</v>
      </c>
      <c r="N165" s="1096">
        <v>0</v>
      </c>
      <c r="O165" s="1096">
        <v>0</v>
      </c>
      <c r="P165" s="1097">
        <v>29</v>
      </c>
      <c r="Q165" s="1097">
        <v>0</v>
      </c>
      <c r="R165" s="1097">
        <v>0</v>
      </c>
      <c r="S165" s="1094"/>
      <c r="T165" s="1094"/>
      <c r="U165" s="1094"/>
      <c r="V165" s="1094"/>
      <c r="W165" s="1094"/>
      <c r="X165" s="1094"/>
      <c r="Y165" s="1007">
        <f t="shared" si="173"/>
        <v>77206937</v>
      </c>
      <c r="Z165" s="944"/>
      <c r="AA165" s="1007"/>
      <c r="AB165" s="1007"/>
      <c r="AC165" s="1007"/>
      <c r="AD165" s="1007"/>
      <c r="AE165" s="1007"/>
      <c r="AF165" s="1007"/>
      <c r="AG165" s="944"/>
      <c r="AH165" s="944"/>
      <c r="AI165" s="149"/>
      <c r="AJ165" s="149"/>
      <c r="AK165" s="149"/>
      <c r="AL165" s="149"/>
      <c r="AM165" s="149"/>
      <c r="AN165" s="944"/>
      <c r="AO165" s="944"/>
      <c r="AP165" s="944"/>
      <c r="AQ165" s="944"/>
      <c r="AR165" s="944"/>
      <c r="AS165" s="1007">
        <f>6158702+2689112+21598701+428146+6000101+7556188+25983466+3000000+3792521</f>
        <v>77206937</v>
      </c>
      <c r="AU165" s="1010">
        <f t="shared" si="103"/>
        <v>0.83788704116056312</v>
      </c>
      <c r="AV165" s="1007">
        <f t="shared" si="174"/>
        <v>64690692</v>
      </c>
      <c r="AW165" s="1007"/>
      <c r="AX165" s="1007"/>
      <c r="AY165" s="1007"/>
      <c r="AZ165" s="1007"/>
      <c r="BA165" s="1007"/>
      <c r="BB165" s="1007"/>
      <c r="BC165" s="1007"/>
      <c r="BD165" s="1007"/>
      <c r="BE165" s="1007"/>
      <c r="BF165" s="1007"/>
      <c r="BG165" s="1007"/>
      <c r="BH165" s="1007"/>
      <c r="BI165" s="1007"/>
      <c r="BJ165" s="1007"/>
      <c r="BK165" s="1007"/>
      <c r="BL165" s="1007"/>
      <c r="BM165" s="1007"/>
      <c r="BN165" s="1007"/>
      <c r="BO165" s="1007"/>
      <c r="BP165" s="1007">
        <f>+'[8]SEPTIEMBRE 2015'!$G$303</f>
        <v>64690692</v>
      </c>
      <c r="BQ165" s="1010">
        <f t="shared" si="105"/>
        <v>0.16211295883943688</v>
      </c>
      <c r="BR165" s="1007">
        <f t="shared" si="175"/>
        <v>12516245</v>
      </c>
      <c r="BS165" s="1007">
        <f t="shared" si="164"/>
        <v>0</v>
      </c>
      <c r="BT165" s="1007">
        <f t="shared" si="165"/>
        <v>0</v>
      </c>
      <c r="BU165" s="1007"/>
      <c r="BV165" s="1007">
        <f t="shared" si="162"/>
        <v>0</v>
      </c>
      <c r="BW165" s="1007">
        <f t="shared" si="162"/>
        <v>0</v>
      </c>
      <c r="BX165" s="1007">
        <f t="shared" si="166"/>
        <v>0</v>
      </c>
      <c r="BY165" s="1007">
        <f t="shared" si="166"/>
        <v>0</v>
      </c>
      <c r="BZ165" s="1007"/>
      <c r="CA165" s="1007">
        <f t="shared" si="167"/>
        <v>0</v>
      </c>
      <c r="CB165" s="1007">
        <f t="shared" si="167"/>
        <v>0</v>
      </c>
      <c r="CC165" s="1007">
        <f t="shared" si="167"/>
        <v>0</v>
      </c>
      <c r="CD165" s="1007">
        <f t="shared" si="167"/>
        <v>0</v>
      </c>
      <c r="CE165" s="1007">
        <f t="shared" si="167"/>
        <v>0</v>
      </c>
      <c r="CF165" s="1007">
        <f t="shared" si="167"/>
        <v>0</v>
      </c>
      <c r="CG165" s="1007">
        <f t="shared" si="167"/>
        <v>0</v>
      </c>
      <c r="CH165" s="1007">
        <f t="shared" si="167"/>
        <v>0</v>
      </c>
      <c r="CI165" s="1007">
        <f t="shared" si="167"/>
        <v>0</v>
      </c>
      <c r="CJ165" s="1007"/>
      <c r="CK165" s="1007">
        <f t="shared" si="168"/>
        <v>0</v>
      </c>
      <c r="CL165" s="1007">
        <f t="shared" si="168"/>
        <v>12516245</v>
      </c>
      <c r="CM165" s="1010">
        <f t="shared" si="113"/>
        <v>0.27464384450324714</v>
      </c>
      <c r="CN165" s="1007">
        <f t="shared" si="176"/>
        <v>21204410</v>
      </c>
      <c r="CO165" s="1007"/>
      <c r="CP165" s="1007"/>
      <c r="CQ165" s="1007"/>
      <c r="CR165" s="1007"/>
      <c r="CS165" s="1007"/>
      <c r="CT165" s="1007"/>
      <c r="CU165" s="1007"/>
      <c r="CV165" s="1007"/>
      <c r="CW165" s="1007"/>
      <c r="CX165" s="1007"/>
      <c r="CY165" s="1007"/>
      <c r="CZ165" s="1007"/>
      <c r="DA165" s="1007"/>
      <c r="DB165" s="1007"/>
      <c r="DC165" s="1007"/>
      <c r="DD165" s="1007"/>
      <c r="DE165" s="1007"/>
      <c r="DF165" s="1007"/>
      <c r="DG165" s="1007"/>
      <c r="DH165" s="1007">
        <f>+'[7]AGOSTO 2015'!$H$284</f>
        <v>21204410</v>
      </c>
      <c r="DI165" s="1010">
        <f t="shared" si="115"/>
        <v>0.72535615549675292</v>
      </c>
      <c r="DJ165" s="1007">
        <f t="shared" si="177"/>
        <v>56002527</v>
      </c>
      <c r="DK165" s="1007"/>
      <c r="DL165" s="1007"/>
      <c r="DM165" s="1007"/>
      <c r="DN165" s="1007">
        <f t="shared" si="163"/>
        <v>0</v>
      </c>
      <c r="DO165" s="1007">
        <f t="shared" si="163"/>
        <v>0</v>
      </c>
      <c r="DP165" s="1007">
        <f t="shared" si="163"/>
        <v>0</v>
      </c>
      <c r="DQ165" s="1007">
        <f t="shared" si="163"/>
        <v>0</v>
      </c>
      <c r="DR165" s="1007"/>
      <c r="DS165" s="1007">
        <f t="shared" si="169"/>
        <v>0</v>
      </c>
      <c r="DT165" s="1007">
        <f t="shared" si="169"/>
        <v>0</v>
      </c>
      <c r="DU165" s="1007"/>
      <c r="DV165" s="1007">
        <f t="shared" si="170"/>
        <v>0</v>
      </c>
      <c r="DW165" s="1007">
        <f t="shared" si="170"/>
        <v>0</v>
      </c>
      <c r="DX165" s="1007">
        <f t="shared" si="170"/>
        <v>0</v>
      </c>
      <c r="DY165" s="1007">
        <f t="shared" si="171"/>
        <v>0</v>
      </c>
      <c r="DZ165" s="1007">
        <f t="shared" si="171"/>
        <v>0</v>
      </c>
      <c r="EA165" s="1007">
        <f t="shared" si="171"/>
        <v>0</v>
      </c>
      <c r="EB165" s="1007">
        <f t="shared" si="171"/>
        <v>0</v>
      </c>
      <c r="EC165" s="1007">
        <f t="shared" si="171"/>
        <v>0</v>
      </c>
      <c r="ED165" s="1007">
        <f t="shared" si="172"/>
        <v>56002527</v>
      </c>
    </row>
    <row r="166" spans="1:134" s="203" customFormat="1" ht="27.75" customHeight="1" x14ac:dyDescent="0.25">
      <c r="A166" s="1590"/>
      <c r="B166" s="989"/>
      <c r="C166" s="1080" t="s">
        <v>4527</v>
      </c>
      <c r="D166" s="1018" t="s">
        <v>4509</v>
      </c>
      <c r="E166" s="996">
        <v>211</v>
      </c>
      <c r="F166" s="1094" t="s">
        <v>4482</v>
      </c>
      <c r="G166" s="1429"/>
      <c r="H166" s="1060">
        <f t="shared" si="143"/>
        <v>0</v>
      </c>
      <c r="I166" s="1060">
        <f t="shared" si="144"/>
        <v>0</v>
      </c>
      <c r="J166" s="1593"/>
      <c r="K166" s="1596"/>
      <c r="L166" s="1258"/>
      <c r="M166" s="1076">
        <v>0</v>
      </c>
      <c r="N166" s="1076">
        <v>0</v>
      </c>
      <c r="O166" s="1076">
        <v>0</v>
      </c>
      <c r="P166" s="1074"/>
      <c r="Q166" s="1074"/>
      <c r="R166" s="1074"/>
      <c r="S166" s="1094"/>
      <c r="T166" s="1094"/>
      <c r="U166" s="1094"/>
      <c r="V166" s="1094"/>
      <c r="W166" s="1094"/>
      <c r="X166" s="1094"/>
      <c r="Y166" s="1066">
        <f t="shared" si="173"/>
        <v>0</v>
      </c>
      <c r="Z166" s="149"/>
      <c r="AA166" s="1066">
        <f>270014856-270014856</f>
        <v>0</v>
      </c>
      <c r="AB166" s="1066"/>
      <c r="AC166" s="1066">
        <f>65677916-65677916</f>
        <v>0</v>
      </c>
      <c r="AD166" s="1066"/>
      <c r="AE166" s="1066"/>
      <c r="AF166" s="1066">
        <f>335692772-270014856-65677916</f>
        <v>0</v>
      </c>
      <c r="AG166" s="149"/>
      <c r="AH166" s="149"/>
      <c r="AI166" s="149"/>
      <c r="AJ166" s="149"/>
      <c r="AK166" s="149"/>
      <c r="AL166" s="149"/>
      <c r="AM166" s="149"/>
      <c r="AN166" s="149"/>
      <c r="AO166" s="149"/>
      <c r="AP166" s="149"/>
      <c r="AQ166" s="149"/>
      <c r="AR166" s="149"/>
      <c r="AS166" s="149"/>
      <c r="AU166" s="1081" t="e">
        <f t="shared" si="103"/>
        <v>#DIV/0!</v>
      </c>
      <c r="AV166" s="1066">
        <f t="shared" si="174"/>
        <v>0</v>
      </c>
      <c r="AW166" s="1066"/>
      <c r="AX166" s="1066"/>
      <c r="AY166" s="1066"/>
      <c r="AZ166" s="1066"/>
      <c r="BA166" s="1066"/>
      <c r="BB166" s="1066"/>
      <c r="BC166" s="1066"/>
      <c r="BD166" s="1066"/>
      <c r="BE166" s="1066"/>
      <c r="BF166" s="1066"/>
      <c r="BG166" s="1066"/>
      <c r="BH166" s="1066"/>
      <c r="BI166" s="1066"/>
      <c r="BJ166" s="1066"/>
      <c r="BK166" s="1066"/>
      <c r="BL166" s="1066"/>
      <c r="BM166" s="1066"/>
      <c r="BN166" s="1066"/>
      <c r="BO166" s="1066"/>
      <c r="BP166" s="1066"/>
      <c r="BQ166" s="1081" t="e">
        <f t="shared" si="105"/>
        <v>#DIV/0!</v>
      </c>
      <c r="BR166" s="1066">
        <f t="shared" si="175"/>
        <v>0</v>
      </c>
      <c r="BS166" s="1066">
        <f t="shared" si="164"/>
        <v>0</v>
      </c>
      <c r="BT166" s="1066">
        <f t="shared" si="165"/>
        <v>0</v>
      </c>
      <c r="BU166" s="1066"/>
      <c r="BV166" s="1066">
        <f t="shared" si="162"/>
        <v>0</v>
      </c>
      <c r="BW166" s="1066">
        <f t="shared" si="162"/>
        <v>0</v>
      </c>
      <c r="BX166" s="1066">
        <f t="shared" si="166"/>
        <v>0</v>
      </c>
      <c r="BY166" s="1066">
        <f t="shared" si="166"/>
        <v>0</v>
      </c>
      <c r="BZ166" s="1066"/>
      <c r="CA166" s="1066">
        <f t="shared" si="167"/>
        <v>0</v>
      </c>
      <c r="CB166" s="1066">
        <f t="shared" si="167"/>
        <v>0</v>
      </c>
      <c r="CC166" s="1066">
        <f t="shared" si="167"/>
        <v>0</v>
      </c>
      <c r="CD166" s="1066">
        <f t="shared" si="167"/>
        <v>0</v>
      </c>
      <c r="CE166" s="1066">
        <f t="shared" si="167"/>
        <v>0</v>
      </c>
      <c r="CF166" s="1066">
        <f t="shared" si="167"/>
        <v>0</v>
      </c>
      <c r="CG166" s="1066">
        <f t="shared" si="167"/>
        <v>0</v>
      </c>
      <c r="CH166" s="1066">
        <f t="shared" si="167"/>
        <v>0</v>
      </c>
      <c r="CI166" s="1066">
        <f t="shared" si="167"/>
        <v>0</v>
      </c>
      <c r="CJ166" s="1066"/>
      <c r="CK166" s="1066">
        <f t="shared" si="168"/>
        <v>0</v>
      </c>
      <c r="CL166" s="1066">
        <f t="shared" si="168"/>
        <v>0</v>
      </c>
      <c r="CM166" s="1081" t="e">
        <f t="shared" si="113"/>
        <v>#DIV/0!</v>
      </c>
      <c r="CN166" s="1066">
        <f t="shared" si="176"/>
        <v>0</v>
      </c>
      <c r="CO166" s="1066"/>
      <c r="CP166" s="1066"/>
      <c r="CQ166" s="1066"/>
      <c r="CR166" s="1066"/>
      <c r="CS166" s="1066"/>
      <c r="CT166" s="1066"/>
      <c r="CU166" s="1066"/>
      <c r="CV166" s="1066"/>
      <c r="CW166" s="1066"/>
      <c r="CX166" s="1066"/>
      <c r="CY166" s="1066"/>
      <c r="CZ166" s="1066"/>
      <c r="DA166" s="1066"/>
      <c r="DB166" s="1066"/>
      <c r="DC166" s="1066"/>
      <c r="DD166" s="1066"/>
      <c r="DE166" s="1066"/>
      <c r="DF166" s="1066"/>
      <c r="DG166" s="1066"/>
      <c r="DH166" s="1066"/>
      <c r="DI166" s="1081" t="e">
        <f t="shared" si="115"/>
        <v>#DIV/0!</v>
      </c>
      <c r="DJ166" s="1066">
        <f t="shared" si="177"/>
        <v>0</v>
      </c>
      <c r="DK166" s="1066"/>
      <c r="DL166" s="1066">
        <f>AA166-CP166</f>
        <v>0</v>
      </c>
      <c r="DM166" s="1066">
        <f>AB166-CQ166</f>
        <v>0</v>
      </c>
      <c r="DN166" s="1066">
        <f t="shared" si="163"/>
        <v>0</v>
      </c>
      <c r="DO166" s="1066">
        <f t="shared" si="163"/>
        <v>0</v>
      </c>
      <c r="DP166" s="1066">
        <f t="shared" si="163"/>
        <v>0</v>
      </c>
      <c r="DQ166" s="1066">
        <f t="shared" si="163"/>
        <v>0</v>
      </c>
      <c r="DR166" s="1066"/>
      <c r="DS166" s="1066">
        <f t="shared" si="169"/>
        <v>0</v>
      </c>
      <c r="DT166" s="1066">
        <f t="shared" si="169"/>
        <v>0</v>
      </c>
      <c r="DU166" s="1066"/>
      <c r="DV166" s="1066">
        <f t="shared" si="170"/>
        <v>0</v>
      </c>
      <c r="DW166" s="1066">
        <f t="shared" si="170"/>
        <v>0</v>
      </c>
      <c r="DX166" s="1066">
        <f t="shared" si="170"/>
        <v>0</v>
      </c>
      <c r="DY166" s="1066">
        <f t="shared" si="171"/>
        <v>0</v>
      </c>
      <c r="DZ166" s="1066">
        <f t="shared" si="171"/>
        <v>0</v>
      </c>
      <c r="EA166" s="1066">
        <f t="shared" si="171"/>
        <v>0</v>
      </c>
      <c r="EB166" s="1066">
        <f t="shared" si="171"/>
        <v>0</v>
      </c>
      <c r="EC166" s="1066">
        <f t="shared" si="171"/>
        <v>0</v>
      </c>
      <c r="ED166" s="1066">
        <f t="shared" si="172"/>
        <v>0</v>
      </c>
    </row>
    <row r="167" spans="1:134" ht="35.25" customHeight="1" x14ac:dyDescent="0.25">
      <c r="A167" s="1590"/>
      <c r="B167" s="989"/>
      <c r="C167" s="852" t="s">
        <v>4528</v>
      </c>
      <c r="D167" s="1018" t="s">
        <v>4723</v>
      </c>
      <c r="E167" s="994">
        <v>211</v>
      </c>
      <c r="F167" s="1094" t="s">
        <v>4482</v>
      </c>
      <c r="G167" s="1429"/>
      <c r="H167" s="1060">
        <f t="shared" si="143"/>
        <v>167851094</v>
      </c>
      <c r="I167" s="1060">
        <f t="shared" si="144"/>
        <v>32148906</v>
      </c>
      <c r="J167" s="1591">
        <v>120</v>
      </c>
      <c r="K167" s="1594">
        <v>600</v>
      </c>
      <c r="L167" s="1257">
        <v>168</v>
      </c>
      <c r="M167" s="1096">
        <v>0</v>
      </c>
      <c r="N167" s="1096">
        <v>0</v>
      </c>
      <c r="O167" s="1096">
        <v>0</v>
      </c>
      <c r="P167" s="1097">
        <v>51</v>
      </c>
      <c r="Q167" s="1097">
        <v>35</v>
      </c>
      <c r="R167" s="1097">
        <v>18</v>
      </c>
      <c r="S167" s="1094"/>
      <c r="T167" s="1094"/>
      <c r="U167" s="1094"/>
      <c r="V167" s="1094"/>
      <c r="W167" s="1094"/>
      <c r="X167" s="1094"/>
      <c r="Y167" s="1007">
        <f t="shared" si="173"/>
        <v>200000000</v>
      </c>
      <c r="Z167" s="944"/>
      <c r="AA167" s="1007"/>
      <c r="AB167" s="1007"/>
      <c r="AC167" s="1007">
        <f>300000000-100000000</f>
        <v>200000000</v>
      </c>
      <c r="AD167" s="1007"/>
      <c r="AE167" s="1007"/>
      <c r="AF167" s="1007">
        <f>300000000-300000000</f>
        <v>0</v>
      </c>
      <c r="AG167" s="1007"/>
      <c r="AH167" s="1007"/>
      <c r="AI167" s="1007"/>
      <c r="AJ167" s="1007"/>
      <c r="AK167" s="1007"/>
      <c r="AL167" s="1007"/>
      <c r="AM167" s="1007"/>
      <c r="AN167" s="1007"/>
      <c r="AO167" s="1007"/>
      <c r="AP167" s="1007"/>
      <c r="AQ167" s="1007"/>
      <c r="AR167" s="1007"/>
      <c r="AS167" s="1007"/>
      <c r="AT167" s="1007"/>
      <c r="AU167" s="1010">
        <f t="shared" si="103"/>
        <v>0.91125051999999995</v>
      </c>
      <c r="AV167" s="1007">
        <f t="shared" si="174"/>
        <v>182250104</v>
      </c>
      <c r="AW167" s="1007"/>
      <c r="AX167" s="1007"/>
      <c r="AY167" s="1007"/>
      <c r="AZ167" s="1007">
        <f>+'[8]SEPTIEMBRE 2015'!$M$327</f>
        <v>182250104</v>
      </c>
      <c r="BA167" s="1007"/>
      <c r="BB167" s="1007"/>
      <c r="BC167" s="1007"/>
      <c r="BD167" s="1007"/>
      <c r="BE167" s="1007"/>
      <c r="BF167" s="1007"/>
      <c r="BG167" s="1007"/>
      <c r="BH167" s="1007"/>
      <c r="BI167" s="1007"/>
      <c r="BJ167" s="1007"/>
      <c r="BK167" s="1007"/>
      <c r="BL167" s="1007"/>
      <c r="BM167" s="1007"/>
      <c r="BN167" s="1007"/>
      <c r="BO167" s="1007"/>
      <c r="BP167" s="1007"/>
      <c r="BQ167" s="1010">
        <f t="shared" si="105"/>
        <v>8.8749480000000047E-2</v>
      </c>
      <c r="BR167" s="1007">
        <f t="shared" si="175"/>
        <v>17749896</v>
      </c>
      <c r="BS167" s="1007">
        <f t="shared" si="164"/>
        <v>0</v>
      </c>
      <c r="BT167" s="1007">
        <f t="shared" si="165"/>
        <v>0</v>
      </c>
      <c r="BU167" s="1007"/>
      <c r="BV167" s="1007">
        <f t="shared" si="162"/>
        <v>17749896</v>
      </c>
      <c r="BW167" s="1007">
        <f t="shared" si="162"/>
        <v>0</v>
      </c>
      <c r="BX167" s="1007">
        <f t="shared" si="166"/>
        <v>0</v>
      </c>
      <c r="BY167" s="1007">
        <f t="shared" si="166"/>
        <v>0</v>
      </c>
      <c r="BZ167" s="1007"/>
      <c r="CA167" s="1007">
        <f t="shared" si="167"/>
        <v>0</v>
      </c>
      <c r="CB167" s="1007">
        <f t="shared" si="167"/>
        <v>0</v>
      </c>
      <c r="CC167" s="1007">
        <f t="shared" si="167"/>
        <v>0</v>
      </c>
      <c r="CD167" s="1007">
        <f t="shared" si="167"/>
        <v>0</v>
      </c>
      <c r="CE167" s="1007">
        <f t="shared" si="167"/>
        <v>0</v>
      </c>
      <c r="CF167" s="1007">
        <f t="shared" si="167"/>
        <v>0</v>
      </c>
      <c r="CG167" s="1007">
        <f t="shared" si="167"/>
        <v>0</v>
      </c>
      <c r="CH167" s="1007">
        <f t="shared" si="167"/>
        <v>0</v>
      </c>
      <c r="CI167" s="1007">
        <f t="shared" si="167"/>
        <v>0</v>
      </c>
      <c r="CJ167" s="1007"/>
      <c r="CK167" s="1007">
        <f t="shared" si="168"/>
        <v>0</v>
      </c>
      <c r="CL167" s="1007">
        <f t="shared" si="168"/>
        <v>0</v>
      </c>
      <c r="CM167" s="1010">
        <f t="shared" si="113"/>
        <v>0.83925547</v>
      </c>
      <c r="CN167" s="1007">
        <f t="shared" si="176"/>
        <v>167851094</v>
      </c>
      <c r="CO167" s="1007"/>
      <c r="CP167" s="1007"/>
      <c r="CQ167" s="1007"/>
      <c r="CR167" s="1007">
        <f>+'[7]AGOSTO 2015'!$H$305</f>
        <v>167851094</v>
      </c>
      <c r="CS167" s="1007"/>
      <c r="CT167" s="1007"/>
      <c r="CU167" s="1007"/>
      <c r="CV167" s="1007"/>
      <c r="CW167" s="1007"/>
      <c r="CX167" s="1007"/>
      <c r="CY167" s="1007"/>
      <c r="CZ167" s="1007"/>
      <c r="DA167" s="1007"/>
      <c r="DB167" s="1007"/>
      <c r="DC167" s="1007"/>
      <c r="DD167" s="1007"/>
      <c r="DE167" s="1007"/>
      <c r="DF167" s="1007"/>
      <c r="DG167" s="1007"/>
      <c r="DH167" s="1007"/>
      <c r="DI167" s="1010">
        <f t="shared" si="115"/>
        <v>0.16074453</v>
      </c>
      <c r="DJ167" s="1007">
        <f t="shared" si="177"/>
        <v>32148906</v>
      </c>
      <c r="DK167" s="1007"/>
      <c r="DL167" s="1007"/>
      <c r="DM167" s="1007"/>
      <c r="DN167" s="1007">
        <f t="shared" si="163"/>
        <v>32148906</v>
      </c>
      <c r="DO167" s="1007">
        <f t="shared" si="163"/>
        <v>0</v>
      </c>
      <c r="DP167" s="1007">
        <f t="shared" si="163"/>
        <v>0</v>
      </c>
      <c r="DQ167" s="1007">
        <f t="shared" si="163"/>
        <v>0</v>
      </c>
      <c r="DR167" s="1007"/>
      <c r="DS167" s="1007">
        <f t="shared" si="169"/>
        <v>0</v>
      </c>
      <c r="DT167" s="1007">
        <f t="shared" si="169"/>
        <v>0</v>
      </c>
      <c r="DU167" s="1007"/>
      <c r="DV167" s="1007">
        <f t="shared" si="170"/>
        <v>0</v>
      </c>
      <c r="DW167" s="1007">
        <f t="shared" si="170"/>
        <v>0</v>
      </c>
      <c r="DX167" s="1007">
        <f t="shared" si="170"/>
        <v>0</v>
      </c>
      <c r="DY167" s="1007">
        <f t="shared" si="171"/>
        <v>0</v>
      </c>
      <c r="DZ167" s="1007">
        <f t="shared" si="171"/>
        <v>0</v>
      </c>
      <c r="EA167" s="1007">
        <f t="shared" si="171"/>
        <v>0</v>
      </c>
      <c r="EB167" s="1007">
        <f t="shared" si="171"/>
        <v>0</v>
      </c>
      <c r="EC167" s="1007">
        <f t="shared" si="171"/>
        <v>0</v>
      </c>
      <c r="ED167" s="1007">
        <f t="shared" si="172"/>
        <v>0</v>
      </c>
    </row>
    <row r="168" spans="1:134" ht="55.5" customHeight="1" x14ac:dyDescent="0.25">
      <c r="A168" s="1590"/>
      <c r="B168" s="989"/>
      <c r="C168" s="852" t="s">
        <v>4529</v>
      </c>
      <c r="D168" s="1018" t="s">
        <v>4642</v>
      </c>
      <c r="E168" s="994">
        <v>211</v>
      </c>
      <c r="F168" s="1094" t="s">
        <v>4743</v>
      </c>
      <c r="G168" s="1429"/>
      <c r="H168" s="1060">
        <f t="shared" si="143"/>
        <v>168595305</v>
      </c>
      <c r="I168" s="1060">
        <f t="shared" si="144"/>
        <v>394603405</v>
      </c>
      <c r="J168" s="1592"/>
      <c r="K168" s="1595"/>
      <c r="L168" s="1562"/>
      <c r="M168" s="1097">
        <v>1</v>
      </c>
      <c r="N168" s="1097">
        <v>0</v>
      </c>
      <c r="O168" s="1097">
        <v>0</v>
      </c>
      <c r="P168" s="1097">
        <v>0</v>
      </c>
      <c r="Q168" s="1097">
        <v>0</v>
      </c>
      <c r="R168" s="1097">
        <v>0</v>
      </c>
      <c r="S168" s="1094"/>
      <c r="T168" s="1094"/>
      <c r="U168" s="1094"/>
      <c r="V168" s="1094"/>
      <c r="W168" s="1094"/>
      <c r="X168" s="1094"/>
      <c r="Y168" s="1007">
        <f t="shared" si="173"/>
        <v>563198710</v>
      </c>
      <c r="Z168" s="944"/>
      <c r="AA168" s="1007"/>
      <c r="AB168" s="1007"/>
      <c r="AC168" s="1007">
        <f>200000000+194000000-116541544+210000000</f>
        <v>487458456</v>
      </c>
      <c r="AD168" s="1007"/>
      <c r="AE168" s="1007"/>
      <c r="AF168" s="1007">
        <f>194000000-194000000</f>
        <v>0</v>
      </c>
      <c r="AG168" s="1007"/>
      <c r="AH168" s="1007"/>
      <c r="AI168" s="1007"/>
      <c r="AJ168" s="1007"/>
      <c r="AK168" s="1007"/>
      <c r="AL168" s="1007"/>
      <c r="AM168" s="1007"/>
      <c r="AN168" s="1007"/>
      <c r="AO168" s="1007"/>
      <c r="AP168" s="1007"/>
      <c r="AQ168" s="1007"/>
      <c r="AR168" s="1007"/>
      <c r="AS168" s="1007">
        <f>45131378+17223876+13385000</f>
        <v>75740254</v>
      </c>
      <c r="AT168" s="1007"/>
      <c r="AU168" s="1010">
        <f t="shared" si="103"/>
        <v>0.96941776375872735</v>
      </c>
      <c r="AV168" s="1007">
        <f t="shared" si="174"/>
        <v>545974834</v>
      </c>
      <c r="AW168" s="1007"/>
      <c r="AX168" s="1007"/>
      <c r="AY168" s="1007"/>
      <c r="AZ168" s="1007">
        <f>+'[8]SEPTIEMBRE 2015'!$M$341</f>
        <v>487458456</v>
      </c>
      <c r="BA168" s="1007"/>
      <c r="BB168" s="1007"/>
      <c r="BC168" s="1007"/>
      <c r="BD168" s="1007"/>
      <c r="BE168" s="1007"/>
      <c r="BF168" s="1007"/>
      <c r="BG168" s="1007"/>
      <c r="BH168" s="1007"/>
      <c r="BI168" s="1007"/>
      <c r="BJ168" s="1007"/>
      <c r="BK168" s="1007"/>
      <c r="BL168" s="1007"/>
      <c r="BM168" s="1007"/>
      <c r="BN168" s="1007"/>
      <c r="BO168" s="1007"/>
      <c r="BP168" s="1007">
        <f>+'[8]SEPTIEMBRE 2015'!$AD$341</f>
        <v>58516378</v>
      </c>
      <c r="BQ168" s="1010">
        <f t="shared" si="105"/>
        <v>3.0582236241272653E-2</v>
      </c>
      <c r="BR168" s="1007">
        <f t="shared" si="175"/>
        <v>17223876</v>
      </c>
      <c r="BS168" s="1007">
        <f t="shared" si="164"/>
        <v>0</v>
      </c>
      <c r="BT168" s="1007">
        <f t="shared" si="165"/>
        <v>0</v>
      </c>
      <c r="BU168" s="1007"/>
      <c r="BV168" s="1007">
        <f t="shared" si="162"/>
        <v>0</v>
      </c>
      <c r="BW168" s="1007">
        <f t="shared" si="162"/>
        <v>0</v>
      </c>
      <c r="BX168" s="1007">
        <f t="shared" si="166"/>
        <v>0</v>
      </c>
      <c r="BY168" s="1007">
        <f t="shared" si="166"/>
        <v>0</v>
      </c>
      <c r="BZ168" s="1007"/>
      <c r="CA168" s="1007">
        <f t="shared" si="167"/>
        <v>0</v>
      </c>
      <c r="CB168" s="1007">
        <f t="shared" si="167"/>
        <v>0</v>
      </c>
      <c r="CC168" s="1007">
        <f t="shared" si="167"/>
        <v>0</v>
      </c>
      <c r="CD168" s="1007">
        <f t="shared" si="167"/>
        <v>0</v>
      </c>
      <c r="CE168" s="1007">
        <f t="shared" si="167"/>
        <v>0</v>
      </c>
      <c r="CF168" s="1007">
        <f t="shared" si="167"/>
        <v>0</v>
      </c>
      <c r="CG168" s="1007">
        <f t="shared" si="167"/>
        <v>0</v>
      </c>
      <c r="CH168" s="1007">
        <f t="shared" si="167"/>
        <v>0</v>
      </c>
      <c r="CI168" s="1007">
        <f t="shared" si="167"/>
        <v>0</v>
      </c>
      <c r="CJ168" s="1007"/>
      <c r="CK168" s="1007">
        <f t="shared" si="168"/>
        <v>0</v>
      </c>
      <c r="CL168" s="1007">
        <f t="shared" si="168"/>
        <v>17223876</v>
      </c>
      <c r="CM168" s="1010">
        <f t="shared" si="113"/>
        <v>0.29935314482520742</v>
      </c>
      <c r="CN168" s="1007">
        <f t="shared" si="176"/>
        <v>168595305</v>
      </c>
      <c r="CO168" s="1007"/>
      <c r="CP168" s="1007"/>
      <c r="CQ168" s="1007"/>
      <c r="CR168" s="1007">
        <f>+'[7]AGOSTO 2015'!$H$322+'[7]AGOSTO 2015'!$H$328+'[7]AGOSTO 2015'!$H$330+'[7]AGOSTO 2015'!$H$335</f>
        <v>149011305</v>
      </c>
      <c r="CS168" s="1007"/>
      <c r="CT168" s="1007"/>
      <c r="CU168" s="1007"/>
      <c r="CV168" s="1007"/>
      <c r="CW168" s="1007"/>
      <c r="CX168" s="1007"/>
      <c r="CY168" s="1007"/>
      <c r="CZ168" s="1007"/>
      <c r="DA168" s="1007"/>
      <c r="DB168" s="1007"/>
      <c r="DC168" s="1007"/>
      <c r="DD168" s="1007"/>
      <c r="DE168" s="1007"/>
      <c r="DF168" s="1007"/>
      <c r="DG168" s="1007"/>
      <c r="DH168" s="1007">
        <f>+'[8]SEPTIEMBRE 2015'!$H$344+'[8]SEPTIEMBRE 2015'!$H$346+'[8]SEPTIEMBRE 2015'!$H$354</f>
        <v>19584000</v>
      </c>
      <c r="DI168" s="1010">
        <f t="shared" si="115"/>
        <v>0.70064685517479264</v>
      </c>
      <c r="DJ168" s="1007">
        <f t="shared" si="177"/>
        <v>394603405</v>
      </c>
      <c r="DK168" s="1007"/>
      <c r="DL168" s="1007"/>
      <c r="DM168" s="1007"/>
      <c r="DN168" s="1007">
        <f t="shared" si="163"/>
        <v>338447151</v>
      </c>
      <c r="DO168" s="1007">
        <f t="shared" si="163"/>
        <v>0</v>
      </c>
      <c r="DP168" s="1007">
        <f t="shared" si="163"/>
        <v>0</v>
      </c>
      <c r="DQ168" s="1007">
        <f t="shared" si="163"/>
        <v>0</v>
      </c>
      <c r="DR168" s="1007"/>
      <c r="DS168" s="1007">
        <f t="shared" si="169"/>
        <v>0</v>
      </c>
      <c r="DT168" s="1007">
        <f t="shared" si="169"/>
        <v>0</v>
      </c>
      <c r="DU168" s="1007"/>
      <c r="DV168" s="1007">
        <f t="shared" si="170"/>
        <v>0</v>
      </c>
      <c r="DW168" s="1007">
        <f t="shared" si="170"/>
        <v>0</v>
      </c>
      <c r="DX168" s="1007">
        <f t="shared" si="170"/>
        <v>0</v>
      </c>
      <c r="DY168" s="1007">
        <f t="shared" si="171"/>
        <v>0</v>
      </c>
      <c r="DZ168" s="1007">
        <f t="shared" si="171"/>
        <v>0</v>
      </c>
      <c r="EA168" s="1007">
        <f t="shared" si="171"/>
        <v>0</v>
      </c>
      <c r="EB168" s="1007">
        <f t="shared" si="171"/>
        <v>0</v>
      </c>
      <c r="EC168" s="1007">
        <f t="shared" si="171"/>
        <v>0</v>
      </c>
      <c r="ED168" s="1007">
        <f t="shared" si="172"/>
        <v>56156254</v>
      </c>
    </row>
    <row r="169" spans="1:134" ht="36" customHeight="1" x14ac:dyDescent="0.25">
      <c r="A169" s="1590"/>
      <c r="B169" s="989"/>
      <c r="C169" s="852" t="s">
        <v>4530</v>
      </c>
      <c r="D169" s="1052" t="s">
        <v>4510</v>
      </c>
      <c r="E169" s="994">
        <v>211</v>
      </c>
      <c r="F169" s="1094" t="s">
        <v>4670</v>
      </c>
      <c r="G169" s="1429"/>
      <c r="H169" s="1060">
        <f t="shared" si="143"/>
        <v>3525240</v>
      </c>
      <c r="I169" s="1060">
        <f t="shared" si="144"/>
        <v>0</v>
      </c>
      <c r="J169" s="1593"/>
      <c r="K169" s="1596"/>
      <c r="L169" s="1258"/>
      <c r="M169" s="1097">
        <v>59</v>
      </c>
      <c r="N169" s="1097">
        <v>0</v>
      </c>
      <c r="O169" s="1097">
        <v>0</v>
      </c>
      <c r="P169" s="1097">
        <v>44</v>
      </c>
      <c r="Q169" s="1097">
        <v>60</v>
      </c>
      <c r="R169" s="1097">
        <v>26</v>
      </c>
      <c r="S169" s="1094"/>
      <c r="T169" s="1094"/>
      <c r="U169" s="1094"/>
      <c r="V169" s="1094"/>
      <c r="W169" s="1094"/>
      <c r="X169" s="1094"/>
      <c r="Y169" s="1007">
        <f t="shared" si="173"/>
        <v>3525240</v>
      </c>
      <c r="Z169" s="944"/>
      <c r="AA169" s="1007"/>
      <c r="AB169" s="1007"/>
      <c r="AC169" s="1007"/>
      <c r="AD169" s="1007"/>
      <c r="AE169" s="1007"/>
      <c r="AF169" s="1007"/>
      <c r="AG169" s="1007"/>
      <c r="AH169" s="1007"/>
      <c r="AI169" s="1007"/>
      <c r="AJ169" s="1007"/>
      <c r="AK169" s="1007"/>
      <c r="AL169" s="1007"/>
      <c r="AM169" s="1007"/>
      <c r="AN169" s="1007"/>
      <c r="AO169" s="1007"/>
      <c r="AP169" s="1007"/>
      <c r="AQ169" s="1007"/>
      <c r="AR169" s="1007"/>
      <c r="AS169" s="1007">
        <f>6000000+2000000-4474760</f>
        <v>3525240</v>
      </c>
      <c r="AT169" s="1007"/>
      <c r="AU169" s="1010">
        <f t="shared" si="103"/>
        <v>1</v>
      </c>
      <c r="AV169" s="1007">
        <f t="shared" si="174"/>
        <v>3525240</v>
      </c>
      <c r="AW169" s="1007"/>
      <c r="AX169" s="1007"/>
      <c r="AY169" s="1007"/>
      <c r="AZ169" s="1007"/>
      <c r="BA169" s="1007"/>
      <c r="BB169" s="1007"/>
      <c r="BC169" s="1007"/>
      <c r="BD169" s="1007"/>
      <c r="BE169" s="1007"/>
      <c r="BF169" s="1007"/>
      <c r="BG169" s="1007"/>
      <c r="BH169" s="1007"/>
      <c r="BI169" s="1007"/>
      <c r="BJ169" s="1007"/>
      <c r="BK169" s="1007"/>
      <c r="BL169" s="1007"/>
      <c r="BM169" s="1007"/>
      <c r="BN169" s="1007"/>
      <c r="BO169" s="1007"/>
      <c r="BP169" s="1007">
        <f>+'[7]AGOSTO 2015'!$AD$339</f>
        <v>3525240</v>
      </c>
      <c r="BQ169" s="1010">
        <f t="shared" si="105"/>
        <v>0</v>
      </c>
      <c r="BR169" s="1007">
        <f t="shared" si="175"/>
        <v>0</v>
      </c>
      <c r="BS169" s="1007">
        <f t="shared" si="164"/>
        <v>0</v>
      </c>
      <c r="BT169" s="1007">
        <f t="shared" si="165"/>
        <v>0</v>
      </c>
      <c r="BU169" s="1007"/>
      <c r="BV169" s="1007">
        <f t="shared" si="162"/>
        <v>0</v>
      </c>
      <c r="BW169" s="1007">
        <f t="shared" si="162"/>
        <v>0</v>
      </c>
      <c r="BX169" s="1007">
        <f t="shared" si="166"/>
        <v>0</v>
      </c>
      <c r="BY169" s="1007">
        <f t="shared" si="166"/>
        <v>0</v>
      </c>
      <c r="BZ169" s="1007"/>
      <c r="CA169" s="1007">
        <f t="shared" si="167"/>
        <v>0</v>
      </c>
      <c r="CB169" s="1007">
        <f t="shared" si="167"/>
        <v>0</v>
      </c>
      <c r="CC169" s="1007">
        <f t="shared" si="167"/>
        <v>0</v>
      </c>
      <c r="CD169" s="1007">
        <f t="shared" si="167"/>
        <v>0</v>
      </c>
      <c r="CE169" s="1007">
        <f t="shared" si="167"/>
        <v>0</v>
      </c>
      <c r="CF169" s="1007">
        <f t="shared" si="167"/>
        <v>0</v>
      </c>
      <c r="CG169" s="1007">
        <f t="shared" si="167"/>
        <v>0</v>
      </c>
      <c r="CH169" s="1007">
        <f t="shared" si="167"/>
        <v>0</v>
      </c>
      <c r="CI169" s="1007">
        <f t="shared" si="167"/>
        <v>0</v>
      </c>
      <c r="CJ169" s="1007"/>
      <c r="CK169" s="1007">
        <f t="shared" si="168"/>
        <v>0</v>
      </c>
      <c r="CL169" s="1007">
        <f t="shared" si="168"/>
        <v>0</v>
      </c>
      <c r="CM169" s="1010">
        <f t="shared" si="113"/>
        <v>1</v>
      </c>
      <c r="CN169" s="1007">
        <f t="shared" si="176"/>
        <v>3525240</v>
      </c>
      <c r="CO169" s="1007"/>
      <c r="CP169" s="1007"/>
      <c r="CQ169" s="1007"/>
      <c r="CR169" s="1007"/>
      <c r="CS169" s="1007"/>
      <c r="CT169" s="1007"/>
      <c r="CU169" s="1007"/>
      <c r="CV169" s="1007"/>
      <c r="CW169" s="1007"/>
      <c r="CX169" s="1007"/>
      <c r="CY169" s="1007"/>
      <c r="CZ169" s="1007"/>
      <c r="DA169" s="1007"/>
      <c r="DB169" s="1007"/>
      <c r="DC169" s="1007"/>
      <c r="DD169" s="1007"/>
      <c r="DE169" s="1007"/>
      <c r="DF169" s="1007"/>
      <c r="DG169" s="1007"/>
      <c r="DH169" s="1007">
        <f>+'[12]FEBRERO 2015'!$H$228</f>
        <v>3525240</v>
      </c>
      <c r="DI169" s="1010">
        <f t="shared" si="115"/>
        <v>0</v>
      </c>
      <c r="DJ169" s="1007">
        <f t="shared" si="177"/>
        <v>0</v>
      </c>
      <c r="DK169" s="1007"/>
      <c r="DL169" s="1007"/>
      <c r="DM169" s="1007"/>
      <c r="DN169" s="1007">
        <f t="shared" si="163"/>
        <v>0</v>
      </c>
      <c r="DO169" s="1007">
        <f t="shared" si="163"/>
        <v>0</v>
      </c>
      <c r="DP169" s="1007">
        <f t="shared" si="163"/>
        <v>0</v>
      </c>
      <c r="DQ169" s="1007">
        <f t="shared" si="163"/>
        <v>0</v>
      </c>
      <c r="DR169" s="1007"/>
      <c r="DS169" s="1007">
        <f t="shared" si="169"/>
        <v>0</v>
      </c>
      <c r="DT169" s="1007">
        <f t="shared" si="169"/>
        <v>0</v>
      </c>
      <c r="DU169" s="1007"/>
      <c r="DV169" s="1007">
        <f t="shared" si="170"/>
        <v>0</v>
      </c>
      <c r="DW169" s="1007">
        <f t="shared" si="170"/>
        <v>0</v>
      </c>
      <c r="DX169" s="1007">
        <f t="shared" si="170"/>
        <v>0</v>
      </c>
      <c r="DY169" s="1007">
        <f t="shared" si="171"/>
        <v>0</v>
      </c>
      <c r="DZ169" s="1007">
        <f t="shared" si="171"/>
        <v>0</v>
      </c>
      <c r="EA169" s="1007">
        <f t="shared" si="171"/>
        <v>0</v>
      </c>
      <c r="EB169" s="1007">
        <f t="shared" si="171"/>
        <v>0</v>
      </c>
      <c r="EC169" s="1007">
        <f t="shared" si="171"/>
        <v>0</v>
      </c>
      <c r="ED169" s="1007">
        <f t="shared" si="172"/>
        <v>0</v>
      </c>
    </row>
    <row r="170" spans="1:134" ht="29.25" customHeight="1" x14ac:dyDescent="0.25">
      <c r="A170" s="1590"/>
      <c r="B170" s="989"/>
      <c r="C170" s="852" t="s">
        <v>4531</v>
      </c>
      <c r="D170" s="1018" t="s">
        <v>4511</v>
      </c>
      <c r="E170" s="994">
        <v>211</v>
      </c>
      <c r="F170" s="1094" t="s">
        <v>4482</v>
      </c>
      <c r="G170" s="1429"/>
      <c r="H170" s="1060">
        <f t="shared" si="143"/>
        <v>293993067</v>
      </c>
      <c r="I170" s="1060">
        <f t="shared" si="144"/>
        <v>21537385</v>
      </c>
      <c r="J170" s="1428">
        <v>60</v>
      </c>
      <c r="K170" s="1257">
        <v>117</v>
      </c>
      <c r="L170" s="1257">
        <v>117</v>
      </c>
      <c r="M170" s="1097">
        <v>56</v>
      </c>
      <c r="N170" s="1097">
        <v>0</v>
      </c>
      <c r="O170" s="1097">
        <v>0</v>
      </c>
      <c r="P170" s="1097">
        <v>49</v>
      </c>
      <c r="Q170" s="1097">
        <v>51</v>
      </c>
      <c r="R170" s="1097">
        <v>25</v>
      </c>
      <c r="S170" s="1094"/>
      <c r="T170" s="1094"/>
      <c r="U170" s="1094"/>
      <c r="V170" s="1094"/>
      <c r="W170" s="1094"/>
      <c r="X170" s="1094"/>
      <c r="Y170" s="1007">
        <f t="shared" si="173"/>
        <v>315530452</v>
      </c>
      <c r="Z170" s="944"/>
      <c r="AA170" s="944"/>
      <c r="AB170" s="944"/>
      <c r="AC170" s="1007">
        <v>80000000</v>
      </c>
      <c r="AD170" s="944"/>
      <c r="AE170" s="1007">
        <v>210000000</v>
      </c>
      <c r="AF170" s="1007"/>
      <c r="AG170" s="1007"/>
      <c r="AH170" s="1007"/>
      <c r="AI170" s="1007"/>
      <c r="AJ170" s="1007"/>
      <c r="AK170" s="1007"/>
      <c r="AL170" s="1007"/>
      <c r="AM170" s="1007"/>
      <c r="AN170" s="1007"/>
      <c r="AO170" s="1007">
        <v>25530452</v>
      </c>
      <c r="AP170" s="1007"/>
      <c r="AQ170" s="1007"/>
      <c r="AR170" s="1007"/>
      <c r="AS170" s="1007"/>
      <c r="AT170" s="1007"/>
      <c r="AU170" s="1010">
        <f t="shared" si="103"/>
        <v>0.99152227627145162</v>
      </c>
      <c r="AV170" s="1007">
        <f t="shared" si="174"/>
        <v>312855472</v>
      </c>
      <c r="AW170" s="1007"/>
      <c r="AX170" s="1007"/>
      <c r="AY170" s="1007"/>
      <c r="AZ170" s="1007">
        <f>+'[8]SEPTIEMBRE 2015'!$M$371</f>
        <v>77325020</v>
      </c>
      <c r="BA170" s="1007"/>
      <c r="BB170" s="1007">
        <f>+'[13]JUNIO 2015'!$O$297</f>
        <v>210000000</v>
      </c>
      <c r="BC170" s="1007"/>
      <c r="BD170" s="1007"/>
      <c r="BE170" s="1007"/>
      <c r="BF170" s="1007"/>
      <c r="BG170" s="1007"/>
      <c r="BH170" s="1007"/>
      <c r="BI170" s="1007"/>
      <c r="BJ170" s="1007"/>
      <c r="BK170" s="1007"/>
      <c r="BL170" s="1007">
        <f>+'[13]JUNIO 2015'!$Y$297</f>
        <v>25530452</v>
      </c>
      <c r="BM170" s="1007"/>
      <c r="BN170" s="1007"/>
      <c r="BO170" s="1007"/>
      <c r="BP170" s="1007"/>
      <c r="BQ170" s="1010">
        <f t="shared" si="105"/>
        <v>8.4777237285483809E-3</v>
      </c>
      <c r="BR170" s="1007">
        <f t="shared" si="175"/>
        <v>2674980</v>
      </c>
      <c r="BS170" s="1007">
        <f t="shared" si="164"/>
        <v>0</v>
      </c>
      <c r="BT170" s="1007">
        <f t="shared" si="165"/>
        <v>0</v>
      </c>
      <c r="BU170" s="1007"/>
      <c r="BV170" s="1007">
        <f t="shared" si="162"/>
        <v>2674980</v>
      </c>
      <c r="BW170" s="1007">
        <f t="shared" si="162"/>
        <v>0</v>
      </c>
      <c r="BX170" s="1007">
        <f t="shared" si="166"/>
        <v>0</v>
      </c>
      <c r="BY170" s="1007">
        <f t="shared" si="166"/>
        <v>0</v>
      </c>
      <c r="BZ170" s="1007"/>
      <c r="CA170" s="1007">
        <f t="shared" si="167"/>
        <v>0</v>
      </c>
      <c r="CB170" s="1007">
        <f t="shared" si="167"/>
        <v>0</v>
      </c>
      <c r="CC170" s="1007">
        <f t="shared" si="167"/>
        <v>0</v>
      </c>
      <c r="CD170" s="1007">
        <f t="shared" si="167"/>
        <v>0</v>
      </c>
      <c r="CE170" s="1007">
        <f t="shared" si="167"/>
        <v>0</v>
      </c>
      <c r="CF170" s="1007">
        <f t="shared" si="167"/>
        <v>0</v>
      </c>
      <c r="CG170" s="1007">
        <f t="shared" si="167"/>
        <v>0</v>
      </c>
      <c r="CH170" s="1007">
        <f t="shared" si="167"/>
        <v>0</v>
      </c>
      <c r="CI170" s="1007">
        <f t="shared" si="167"/>
        <v>0</v>
      </c>
      <c r="CJ170" s="1007"/>
      <c r="CK170" s="1007">
        <f t="shared" si="168"/>
        <v>0</v>
      </c>
      <c r="CL170" s="1007">
        <f t="shared" si="168"/>
        <v>0</v>
      </c>
      <c r="CM170" s="1010">
        <f t="shared" si="113"/>
        <v>0.93174229345064929</v>
      </c>
      <c r="CN170" s="1007">
        <f t="shared" si="176"/>
        <v>293993067</v>
      </c>
      <c r="CO170" s="1007"/>
      <c r="CP170" s="1007"/>
      <c r="CQ170" s="1007"/>
      <c r="CR170" s="1007">
        <f>+'[8]SEPTIEMBRE 2015'!$H$400</f>
        <v>77280360</v>
      </c>
      <c r="CS170" s="1007"/>
      <c r="CT170" s="1007">
        <f>+'[10]JULIO 2015'!$H$332+'[10]JULIO 2015'!$H$347</f>
        <v>208736238</v>
      </c>
      <c r="CU170" s="1007"/>
      <c r="CV170" s="1007"/>
      <c r="CW170" s="1007"/>
      <c r="CX170" s="1007"/>
      <c r="CY170" s="1007"/>
      <c r="CZ170" s="1007"/>
      <c r="DA170" s="1007"/>
      <c r="DB170" s="1007"/>
      <c r="DC170" s="1007"/>
      <c r="DD170" s="1007">
        <f>+'[10]JULIO 2015'!$H$358</f>
        <v>7976469</v>
      </c>
      <c r="DE170" s="1007"/>
      <c r="DF170" s="1007"/>
      <c r="DG170" s="1007"/>
      <c r="DH170" s="1007"/>
      <c r="DI170" s="1010">
        <f t="shared" si="115"/>
        <v>6.8257706549350705E-2</v>
      </c>
      <c r="DJ170" s="1007">
        <f t="shared" si="177"/>
        <v>21537385</v>
      </c>
      <c r="DK170" s="1007"/>
      <c r="DL170" s="1007"/>
      <c r="DM170" s="1007"/>
      <c r="DN170" s="1007">
        <f t="shared" si="163"/>
        <v>2719640</v>
      </c>
      <c r="DO170" s="1007">
        <f t="shared" si="163"/>
        <v>0</v>
      </c>
      <c r="DP170" s="1007">
        <f t="shared" si="163"/>
        <v>1263762</v>
      </c>
      <c r="DQ170" s="1007">
        <f t="shared" si="163"/>
        <v>0</v>
      </c>
      <c r="DR170" s="1007"/>
      <c r="DS170" s="1007">
        <f t="shared" si="169"/>
        <v>0</v>
      </c>
      <c r="DT170" s="1007">
        <f t="shared" si="169"/>
        <v>0</v>
      </c>
      <c r="DU170" s="1007"/>
      <c r="DV170" s="1007">
        <f t="shared" si="170"/>
        <v>0</v>
      </c>
      <c r="DW170" s="1007">
        <f t="shared" si="170"/>
        <v>0</v>
      </c>
      <c r="DX170" s="1007">
        <f t="shared" si="170"/>
        <v>0</v>
      </c>
      <c r="DY170" s="1007">
        <f t="shared" si="171"/>
        <v>0</v>
      </c>
      <c r="DZ170" s="1007">
        <f t="shared" si="171"/>
        <v>17553983</v>
      </c>
      <c r="EA170" s="1007">
        <f t="shared" si="171"/>
        <v>0</v>
      </c>
      <c r="EB170" s="1007">
        <f t="shared" si="171"/>
        <v>0</v>
      </c>
      <c r="EC170" s="1007">
        <f t="shared" si="171"/>
        <v>0</v>
      </c>
      <c r="ED170" s="1007">
        <f t="shared" si="172"/>
        <v>0</v>
      </c>
    </row>
    <row r="171" spans="1:134" ht="50.25" customHeight="1" x14ac:dyDescent="0.25">
      <c r="A171" s="1590"/>
      <c r="B171" s="989"/>
      <c r="C171" s="852" t="s">
        <v>4532</v>
      </c>
      <c r="D171" s="1018" t="s">
        <v>4746</v>
      </c>
      <c r="E171" s="994">
        <v>211</v>
      </c>
      <c r="F171" s="1094" t="s">
        <v>4744</v>
      </c>
      <c r="G171" s="1429"/>
      <c r="H171" s="1060">
        <f t="shared" si="143"/>
        <v>0</v>
      </c>
      <c r="I171" s="1060">
        <f t="shared" si="144"/>
        <v>5000000</v>
      </c>
      <c r="J171" s="1429"/>
      <c r="K171" s="1562"/>
      <c r="L171" s="1562"/>
      <c r="M171" s="1097">
        <v>0</v>
      </c>
      <c r="N171" s="1097">
        <v>0</v>
      </c>
      <c r="O171" s="1097">
        <v>0</v>
      </c>
      <c r="P171" s="1097">
        <v>0</v>
      </c>
      <c r="Q171" s="1097">
        <v>0</v>
      </c>
      <c r="R171" s="1097">
        <v>0</v>
      </c>
      <c r="S171" s="1094"/>
      <c r="T171" s="1094"/>
      <c r="U171" s="1094"/>
      <c r="V171" s="1094"/>
      <c r="W171" s="1094"/>
      <c r="X171" s="1094"/>
      <c r="Y171" s="1007">
        <f t="shared" si="173"/>
        <v>5000000</v>
      </c>
      <c r="Z171" s="944"/>
      <c r="AA171" s="944"/>
      <c r="AB171" s="944"/>
      <c r="AC171" s="944">
        <f>97849888-97849888</f>
        <v>0</v>
      </c>
      <c r="AD171" s="944"/>
      <c r="AE171" s="1007"/>
      <c r="AF171" s="1007">
        <f>97849888-97849888</f>
        <v>0</v>
      </c>
      <c r="AG171" s="1007"/>
      <c r="AH171" s="1007"/>
      <c r="AI171" s="1007"/>
      <c r="AJ171" s="1007"/>
      <c r="AK171" s="1007"/>
      <c r="AL171" s="1007"/>
      <c r="AM171" s="1007"/>
      <c r="AN171" s="1007"/>
      <c r="AO171" s="1007"/>
      <c r="AP171" s="1007"/>
      <c r="AQ171" s="1007"/>
      <c r="AR171" s="1007"/>
      <c r="AS171" s="1007">
        <f>5000000</f>
        <v>5000000</v>
      </c>
      <c r="AT171" s="1007"/>
      <c r="AU171" s="1010">
        <f t="shared" si="103"/>
        <v>1</v>
      </c>
      <c r="AV171" s="1007">
        <f t="shared" si="174"/>
        <v>5000000</v>
      </c>
      <c r="AW171" s="1007"/>
      <c r="AX171" s="1007"/>
      <c r="AY171" s="1007"/>
      <c r="AZ171" s="1007"/>
      <c r="BA171" s="1007"/>
      <c r="BB171" s="1007"/>
      <c r="BC171" s="1007"/>
      <c r="BD171" s="1007"/>
      <c r="BE171" s="1007"/>
      <c r="BF171" s="1007"/>
      <c r="BG171" s="1007"/>
      <c r="BH171" s="1007"/>
      <c r="BI171" s="1007"/>
      <c r="BJ171" s="1007"/>
      <c r="BK171" s="1007"/>
      <c r="BL171" s="1007"/>
      <c r="BM171" s="1007"/>
      <c r="BN171" s="1007"/>
      <c r="BO171" s="1007"/>
      <c r="BP171" s="1007">
        <f>+'[10]JULIO 2015'!$AD$363</f>
        <v>5000000</v>
      </c>
      <c r="BQ171" s="1010">
        <f t="shared" si="105"/>
        <v>0</v>
      </c>
      <c r="BR171" s="1007">
        <f t="shared" si="175"/>
        <v>0</v>
      </c>
      <c r="BS171" s="1007">
        <f t="shared" si="164"/>
        <v>0</v>
      </c>
      <c r="BT171" s="1007">
        <f t="shared" si="165"/>
        <v>0</v>
      </c>
      <c r="BU171" s="1007"/>
      <c r="BV171" s="1007">
        <f t="shared" si="162"/>
        <v>0</v>
      </c>
      <c r="BW171" s="1007">
        <f t="shared" si="162"/>
        <v>0</v>
      </c>
      <c r="BX171" s="1007">
        <f t="shared" si="166"/>
        <v>0</v>
      </c>
      <c r="BY171" s="1007">
        <f t="shared" si="166"/>
        <v>0</v>
      </c>
      <c r="BZ171" s="1007"/>
      <c r="CA171" s="1007">
        <f t="shared" si="167"/>
        <v>0</v>
      </c>
      <c r="CB171" s="1007">
        <f t="shared" si="167"/>
        <v>0</v>
      </c>
      <c r="CC171" s="1007">
        <f t="shared" si="167"/>
        <v>0</v>
      </c>
      <c r="CD171" s="1007">
        <f t="shared" si="167"/>
        <v>0</v>
      </c>
      <c r="CE171" s="1007">
        <f t="shared" si="167"/>
        <v>0</v>
      </c>
      <c r="CF171" s="1007">
        <f t="shared" si="167"/>
        <v>0</v>
      </c>
      <c r="CG171" s="1007">
        <f t="shared" si="167"/>
        <v>0</v>
      </c>
      <c r="CH171" s="1007">
        <f t="shared" si="167"/>
        <v>0</v>
      </c>
      <c r="CI171" s="1007">
        <f t="shared" si="167"/>
        <v>0</v>
      </c>
      <c r="CJ171" s="1007"/>
      <c r="CK171" s="1007">
        <f t="shared" si="168"/>
        <v>0</v>
      </c>
      <c r="CL171" s="1007">
        <f t="shared" si="168"/>
        <v>0</v>
      </c>
      <c r="CM171" s="1010">
        <f t="shared" si="113"/>
        <v>0</v>
      </c>
      <c r="CN171" s="1007">
        <f t="shared" si="176"/>
        <v>0</v>
      </c>
      <c r="CO171" s="1007"/>
      <c r="CP171" s="1007"/>
      <c r="CQ171" s="1007"/>
      <c r="CR171" s="1007"/>
      <c r="CS171" s="1007"/>
      <c r="CT171" s="1007"/>
      <c r="CU171" s="1007"/>
      <c r="CV171" s="1007"/>
      <c r="CW171" s="1007"/>
      <c r="CX171" s="1007"/>
      <c r="CY171" s="1007"/>
      <c r="CZ171" s="1007"/>
      <c r="DA171" s="1007"/>
      <c r="DB171" s="1007"/>
      <c r="DC171" s="1007"/>
      <c r="DD171" s="1007"/>
      <c r="DE171" s="1007"/>
      <c r="DF171" s="1007"/>
      <c r="DG171" s="1007"/>
      <c r="DH171" s="1007"/>
      <c r="DI171" s="1010">
        <f t="shared" si="115"/>
        <v>1</v>
      </c>
      <c r="DJ171" s="1007">
        <f t="shared" si="177"/>
        <v>5000000</v>
      </c>
      <c r="DK171" s="1007"/>
      <c r="DL171" s="1007"/>
      <c r="DM171" s="1007"/>
      <c r="DN171" s="1007">
        <f t="shared" si="163"/>
        <v>0</v>
      </c>
      <c r="DO171" s="1007">
        <f t="shared" si="163"/>
        <v>0</v>
      </c>
      <c r="DP171" s="1007">
        <f t="shared" si="163"/>
        <v>0</v>
      </c>
      <c r="DQ171" s="1007">
        <f t="shared" si="163"/>
        <v>0</v>
      </c>
      <c r="DR171" s="1007"/>
      <c r="DS171" s="1007">
        <f t="shared" si="169"/>
        <v>0</v>
      </c>
      <c r="DT171" s="1007">
        <f t="shared" si="169"/>
        <v>0</v>
      </c>
      <c r="DU171" s="1007"/>
      <c r="DV171" s="1007">
        <f t="shared" si="170"/>
        <v>0</v>
      </c>
      <c r="DW171" s="1007">
        <f t="shared" si="170"/>
        <v>0</v>
      </c>
      <c r="DX171" s="1007">
        <f t="shared" si="170"/>
        <v>0</v>
      </c>
      <c r="DY171" s="1007">
        <f t="shared" si="171"/>
        <v>0</v>
      </c>
      <c r="DZ171" s="1007">
        <f t="shared" si="171"/>
        <v>0</v>
      </c>
      <c r="EA171" s="1007">
        <f t="shared" si="171"/>
        <v>0</v>
      </c>
      <c r="EB171" s="1007">
        <f t="shared" si="171"/>
        <v>0</v>
      </c>
      <c r="EC171" s="1007">
        <f t="shared" si="171"/>
        <v>0</v>
      </c>
      <c r="ED171" s="1007">
        <f t="shared" si="172"/>
        <v>5000000</v>
      </c>
    </row>
    <row r="172" spans="1:134" ht="51.75" customHeight="1" x14ac:dyDescent="0.25">
      <c r="A172" s="1590"/>
      <c r="B172" s="989"/>
      <c r="C172" s="852" t="s">
        <v>4533</v>
      </c>
      <c r="D172" s="1018" t="s">
        <v>4537</v>
      </c>
      <c r="E172" s="994">
        <v>211</v>
      </c>
      <c r="F172" s="1094" t="s">
        <v>4512</v>
      </c>
      <c r="G172" s="1429"/>
      <c r="H172" s="1060">
        <f t="shared" si="143"/>
        <v>14364850</v>
      </c>
      <c r="I172" s="1060">
        <f t="shared" si="144"/>
        <v>27985262</v>
      </c>
      <c r="J172" s="1430"/>
      <c r="K172" s="1258"/>
      <c r="L172" s="1258"/>
      <c r="M172" s="1097">
        <v>21</v>
      </c>
      <c r="N172" s="1097">
        <v>0</v>
      </c>
      <c r="O172" s="1097">
        <v>0</v>
      </c>
      <c r="P172" s="1097">
        <v>10</v>
      </c>
      <c r="Q172" s="1097">
        <v>20</v>
      </c>
      <c r="R172" s="1097">
        <v>2</v>
      </c>
      <c r="S172" s="1094"/>
      <c r="T172" s="1094"/>
      <c r="U172" s="1094"/>
      <c r="V172" s="1094"/>
      <c r="W172" s="1094"/>
      <c r="X172" s="1094"/>
      <c r="Y172" s="1007">
        <f t="shared" si="173"/>
        <v>42350112</v>
      </c>
      <c r="Z172" s="944"/>
      <c r="AA172" s="1007"/>
      <c r="AB172" s="1007"/>
      <c r="AC172" s="1007"/>
      <c r="AD172" s="1007"/>
      <c r="AE172" s="1007"/>
      <c r="AF172" s="1007"/>
      <c r="AG172" s="1007"/>
      <c r="AH172" s="1007"/>
      <c r="AI172" s="1007"/>
      <c r="AJ172" s="1007"/>
      <c r="AK172" s="1007"/>
      <c r="AL172" s="1007"/>
      <c r="AM172" s="1007"/>
      <c r="AN172" s="1007"/>
      <c r="AO172" s="1007"/>
      <c r="AP172" s="1007"/>
      <c r="AQ172" s="1007"/>
      <c r="AR172" s="1007"/>
      <c r="AS172" s="1007">
        <f>8134775+1015337+11000000+21000000+1200000</f>
        <v>42350112</v>
      </c>
      <c r="AT172" s="1007"/>
      <c r="AU172" s="1010">
        <f t="shared" si="103"/>
        <v>0.57491994354111742</v>
      </c>
      <c r="AV172" s="1007">
        <f t="shared" si="174"/>
        <v>24347924</v>
      </c>
      <c r="AW172" s="1007"/>
      <c r="AX172" s="1007"/>
      <c r="AY172" s="1007"/>
      <c r="AZ172" s="1007"/>
      <c r="BA172" s="1007"/>
      <c r="BB172" s="1007"/>
      <c r="BC172" s="1007"/>
      <c r="BD172" s="1007"/>
      <c r="BE172" s="1007"/>
      <c r="BF172" s="1007"/>
      <c r="BG172" s="1007"/>
      <c r="BH172" s="1007"/>
      <c r="BI172" s="1007"/>
      <c r="BJ172" s="1007"/>
      <c r="BK172" s="1007"/>
      <c r="BL172" s="1007"/>
      <c r="BM172" s="1007"/>
      <c r="BN172" s="1007"/>
      <c r="BO172" s="1007"/>
      <c r="BP172" s="1007">
        <f>+'[8]SEPTIEMBRE 2015'!$AD$411</f>
        <v>24347924</v>
      </c>
      <c r="BQ172" s="1010">
        <f t="shared" si="105"/>
        <v>0.42508005645888258</v>
      </c>
      <c r="BR172" s="1007">
        <f t="shared" si="175"/>
        <v>18002188</v>
      </c>
      <c r="BS172" s="1007">
        <f t="shared" si="164"/>
        <v>0</v>
      </c>
      <c r="BT172" s="1007">
        <f t="shared" si="165"/>
        <v>0</v>
      </c>
      <c r="BU172" s="1007"/>
      <c r="BV172" s="1007">
        <f t="shared" si="162"/>
        <v>0</v>
      </c>
      <c r="BW172" s="1007">
        <f t="shared" si="162"/>
        <v>0</v>
      </c>
      <c r="BX172" s="1007">
        <f t="shared" si="166"/>
        <v>0</v>
      </c>
      <c r="BY172" s="1007">
        <f t="shared" si="166"/>
        <v>0</v>
      </c>
      <c r="BZ172" s="1007"/>
      <c r="CA172" s="1007">
        <f t="shared" si="167"/>
        <v>0</v>
      </c>
      <c r="CB172" s="1007">
        <f t="shared" si="167"/>
        <v>0</v>
      </c>
      <c r="CC172" s="1007">
        <f t="shared" si="167"/>
        <v>0</v>
      </c>
      <c r="CD172" s="1007">
        <f t="shared" si="167"/>
        <v>0</v>
      </c>
      <c r="CE172" s="1007">
        <f t="shared" si="167"/>
        <v>0</v>
      </c>
      <c r="CF172" s="1007">
        <f t="shared" si="167"/>
        <v>0</v>
      </c>
      <c r="CG172" s="1007">
        <f t="shared" si="167"/>
        <v>0</v>
      </c>
      <c r="CH172" s="1007">
        <f t="shared" si="167"/>
        <v>0</v>
      </c>
      <c r="CI172" s="1007">
        <f t="shared" si="167"/>
        <v>0</v>
      </c>
      <c r="CJ172" s="1007"/>
      <c r="CK172" s="1007">
        <f t="shared" si="168"/>
        <v>0</v>
      </c>
      <c r="CL172" s="1007">
        <f t="shared" si="168"/>
        <v>18002188</v>
      </c>
      <c r="CM172" s="1010">
        <f t="shared" si="113"/>
        <v>0.33919272751864271</v>
      </c>
      <c r="CN172" s="1007">
        <f t="shared" si="176"/>
        <v>14364850</v>
      </c>
      <c r="CO172" s="1007"/>
      <c r="CP172" s="1007"/>
      <c r="CQ172" s="1007"/>
      <c r="CR172" s="1007"/>
      <c r="CS172" s="1007"/>
      <c r="CT172" s="1007"/>
      <c r="CU172" s="1007"/>
      <c r="CV172" s="1007"/>
      <c r="CW172" s="1007"/>
      <c r="CX172" s="1007"/>
      <c r="CY172" s="1007"/>
      <c r="CZ172" s="1007"/>
      <c r="DA172" s="1007"/>
      <c r="DB172" s="1007"/>
      <c r="DC172" s="1007"/>
      <c r="DD172" s="1007"/>
      <c r="DE172" s="1007"/>
      <c r="DF172" s="1007"/>
      <c r="DG172" s="1007"/>
      <c r="DH172" s="1007">
        <f>+'[8]SEPTIEMBRE 2015'!$H$409</f>
        <v>14364850</v>
      </c>
      <c r="DI172" s="1010">
        <f t="shared" si="115"/>
        <v>0.66080727248135729</v>
      </c>
      <c r="DJ172" s="1007">
        <f t="shared" si="177"/>
        <v>27985262</v>
      </c>
      <c r="DK172" s="1007"/>
      <c r="DL172" s="1007"/>
      <c r="DM172" s="1007"/>
      <c r="DN172" s="1007">
        <f t="shared" si="163"/>
        <v>0</v>
      </c>
      <c r="DO172" s="1007">
        <f t="shared" si="163"/>
        <v>0</v>
      </c>
      <c r="DP172" s="1007">
        <f t="shared" si="163"/>
        <v>0</v>
      </c>
      <c r="DQ172" s="1007">
        <f t="shared" si="163"/>
        <v>0</v>
      </c>
      <c r="DR172" s="1007"/>
      <c r="DS172" s="1007">
        <f t="shared" si="169"/>
        <v>0</v>
      </c>
      <c r="DT172" s="1007">
        <f t="shared" si="169"/>
        <v>0</v>
      </c>
      <c r="DU172" s="1007"/>
      <c r="DV172" s="1007">
        <f t="shared" si="170"/>
        <v>0</v>
      </c>
      <c r="DW172" s="1007">
        <f t="shared" si="170"/>
        <v>0</v>
      </c>
      <c r="DX172" s="1007">
        <f t="shared" si="170"/>
        <v>0</v>
      </c>
      <c r="DY172" s="1007">
        <f t="shared" si="171"/>
        <v>0</v>
      </c>
      <c r="DZ172" s="1007">
        <f t="shared" si="171"/>
        <v>0</v>
      </c>
      <c r="EA172" s="1007">
        <f t="shared" si="171"/>
        <v>0</v>
      </c>
      <c r="EB172" s="1007">
        <f t="shared" si="171"/>
        <v>0</v>
      </c>
      <c r="EC172" s="1007">
        <f t="shared" si="171"/>
        <v>0</v>
      </c>
      <c r="ED172" s="1007">
        <f t="shared" si="172"/>
        <v>27985262</v>
      </c>
    </row>
    <row r="173" spans="1:134" ht="51.75" customHeight="1" x14ac:dyDescent="0.25">
      <c r="A173" s="1590"/>
      <c r="B173" s="989"/>
      <c r="C173" s="852" t="s">
        <v>4679</v>
      </c>
      <c r="D173" s="1018" t="s">
        <v>4682</v>
      </c>
      <c r="E173" s="994">
        <v>211</v>
      </c>
      <c r="F173" s="1094" t="s">
        <v>4482</v>
      </c>
      <c r="G173" s="1429"/>
      <c r="H173" s="1060">
        <f t="shared" si="143"/>
        <v>0</v>
      </c>
      <c r="I173" s="1060">
        <f t="shared" si="144"/>
        <v>92524043</v>
      </c>
      <c r="J173" s="1428">
        <v>0</v>
      </c>
      <c r="K173" s="1606">
        <v>1</v>
      </c>
      <c r="L173" s="1257">
        <v>100</v>
      </c>
      <c r="M173" s="1097">
        <v>0</v>
      </c>
      <c r="N173" s="1097">
        <v>0</v>
      </c>
      <c r="O173" s="1097">
        <v>0</v>
      </c>
      <c r="P173" s="1097">
        <v>0</v>
      </c>
      <c r="Q173" s="1097">
        <v>0</v>
      </c>
      <c r="R173" s="1097">
        <v>0</v>
      </c>
      <c r="S173" s="1094"/>
      <c r="T173" s="1094"/>
      <c r="U173" s="1094"/>
      <c r="V173" s="1094"/>
      <c r="W173" s="1094"/>
      <c r="X173" s="1094"/>
      <c r="Y173" s="1007">
        <f t="shared" si="173"/>
        <v>92524043</v>
      </c>
      <c r="Z173" s="944"/>
      <c r="AA173" s="1007"/>
      <c r="AB173" s="1007"/>
      <c r="AC173" s="1007"/>
      <c r="AD173" s="1007"/>
      <c r="AE173" s="1007"/>
      <c r="AF173" s="1007"/>
      <c r="AG173" s="1007"/>
      <c r="AH173" s="1007"/>
      <c r="AI173" s="1007"/>
      <c r="AJ173" s="1007"/>
      <c r="AK173" s="1007"/>
      <c r="AL173" s="1007"/>
      <c r="AM173" s="1007"/>
      <c r="AN173" s="1007"/>
      <c r="AO173" s="1007"/>
      <c r="AP173" s="1007"/>
      <c r="AQ173" s="1007"/>
      <c r="AR173" s="1007">
        <v>92524043</v>
      </c>
      <c r="AS173" s="1007"/>
      <c r="AT173" s="1007"/>
      <c r="AU173" s="1010">
        <f t="shared" si="103"/>
        <v>1</v>
      </c>
      <c r="AV173" s="1007">
        <f t="shared" si="174"/>
        <v>92524043</v>
      </c>
      <c r="AW173" s="1007"/>
      <c r="AX173" s="1007"/>
      <c r="AY173" s="1007"/>
      <c r="AZ173" s="1007"/>
      <c r="BA173" s="1007"/>
      <c r="BB173" s="1007"/>
      <c r="BC173" s="1007"/>
      <c r="BD173" s="1007"/>
      <c r="BE173" s="1007"/>
      <c r="BF173" s="1007"/>
      <c r="BG173" s="1007"/>
      <c r="BH173" s="1007"/>
      <c r="BI173" s="1007"/>
      <c r="BJ173" s="1007"/>
      <c r="BK173" s="1007"/>
      <c r="BL173" s="1007"/>
      <c r="BM173" s="1007"/>
      <c r="BN173" s="1007"/>
      <c r="BO173" s="1007">
        <f>+'[7]AGOSTO 2015'!$AC$401</f>
        <v>92524043</v>
      </c>
      <c r="BP173" s="1007"/>
      <c r="BQ173" s="1010">
        <f t="shared" si="105"/>
        <v>0</v>
      </c>
      <c r="BR173" s="1007">
        <f t="shared" si="175"/>
        <v>0</v>
      </c>
      <c r="BS173" s="1007">
        <f t="shared" si="164"/>
        <v>0</v>
      </c>
      <c r="BT173" s="1007">
        <f t="shared" si="165"/>
        <v>0</v>
      </c>
      <c r="BU173" s="1007"/>
      <c r="BV173" s="1007">
        <f t="shared" si="162"/>
        <v>0</v>
      </c>
      <c r="BW173" s="1007">
        <f t="shared" si="162"/>
        <v>0</v>
      </c>
      <c r="BX173" s="1007">
        <f t="shared" si="166"/>
        <v>0</v>
      </c>
      <c r="BY173" s="1007">
        <f t="shared" si="166"/>
        <v>0</v>
      </c>
      <c r="BZ173" s="1007"/>
      <c r="CA173" s="1007">
        <f t="shared" si="167"/>
        <v>0</v>
      </c>
      <c r="CB173" s="1007">
        <f t="shared" si="167"/>
        <v>0</v>
      </c>
      <c r="CC173" s="1007">
        <f t="shared" si="167"/>
        <v>0</v>
      </c>
      <c r="CD173" s="1007">
        <f t="shared" si="167"/>
        <v>0</v>
      </c>
      <c r="CE173" s="1007">
        <f t="shared" si="167"/>
        <v>0</v>
      </c>
      <c r="CF173" s="1007">
        <f t="shared" si="167"/>
        <v>0</v>
      </c>
      <c r="CG173" s="1007">
        <f t="shared" si="167"/>
        <v>0</v>
      </c>
      <c r="CH173" s="1007">
        <f t="shared" si="167"/>
        <v>0</v>
      </c>
      <c r="CI173" s="1007">
        <f t="shared" si="167"/>
        <v>0</v>
      </c>
      <c r="CJ173" s="1007"/>
      <c r="CK173" s="1007">
        <f t="shared" si="168"/>
        <v>0</v>
      </c>
      <c r="CL173" s="1007">
        <f t="shared" si="168"/>
        <v>0</v>
      </c>
      <c r="CM173" s="1010">
        <f t="shared" si="113"/>
        <v>0</v>
      </c>
      <c r="CN173" s="1007">
        <f t="shared" si="176"/>
        <v>0</v>
      </c>
      <c r="CO173" s="1007"/>
      <c r="CP173" s="1007"/>
      <c r="CQ173" s="1007"/>
      <c r="CR173" s="1007"/>
      <c r="CS173" s="1007"/>
      <c r="CT173" s="1007"/>
      <c r="CU173" s="1007"/>
      <c r="CV173" s="1007"/>
      <c r="CW173" s="1007"/>
      <c r="CX173" s="1007"/>
      <c r="CY173" s="1007"/>
      <c r="CZ173" s="1007"/>
      <c r="DA173" s="1007"/>
      <c r="DB173" s="1007"/>
      <c r="DC173" s="1007"/>
      <c r="DD173" s="1007"/>
      <c r="DE173" s="1007"/>
      <c r="DF173" s="1007"/>
      <c r="DG173" s="1007"/>
      <c r="DH173" s="1007"/>
      <c r="DI173" s="1010">
        <f t="shared" si="115"/>
        <v>1</v>
      </c>
      <c r="DJ173" s="1007">
        <f t="shared" si="177"/>
        <v>92524043</v>
      </c>
      <c r="DK173" s="1007"/>
      <c r="DL173" s="1007"/>
      <c r="DM173" s="1007"/>
      <c r="DN173" s="1007">
        <f t="shared" si="163"/>
        <v>0</v>
      </c>
      <c r="DO173" s="1007">
        <f t="shared" si="163"/>
        <v>0</v>
      </c>
      <c r="DP173" s="1007">
        <f t="shared" si="163"/>
        <v>0</v>
      </c>
      <c r="DQ173" s="1007">
        <f t="shared" si="163"/>
        <v>0</v>
      </c>
      <c r="DR173" s="1007"/>
      <c r="DS173" s="1007">
        <f t="shared" si="169"/>
        <v>0</v>
      </c>
      <c r="DT173" s="1007">
        <f t="shared" si="169"/>
        <v>0</v>
      </c>
      <c r="DU173" s="1007"/>
      <c r="DV173" s="1007">
        <f t="shared" si="170"/>
        <v>0</v>
      </c>
      <c r="DW173" s="1007">
        <f t="shared" si="170"/>
        <v>0</v>
      </c>
      <c r="DX173" s="1007">
        <f t="shared" si="170"/>
        <v>0</v>
      </c>
      <c r="DY173" s="1007">
        <f t="shared" si="171"/>
        <v>0</v>
      </c>
      <c r="DZ173" s="1007">
        <f t="shared" si="171"/>
        <v>0</v>
      </c>
      <c r="EA173" s="1007">
        <f t="shared" si="171"/>
        <v>0</v>
      </c>
      <c r="EB173" s="1007">
        <f t="shared" si="171"/>
        <v>0</v>
      </c>
      <c r="EC173" s="1007">
        <f t="shared" si="171"/>
        <v>92524043</v>
      </c>
      <c r="ED173" s="1007">
        <f t="shared" si="172"/>
        <v>0</v>
      </c>
    </row>
    <row r="174" spans="1:134" s="203" customFormat="1" ht="36" customHeight="1" x14ac:dyDescent="0.25">
      <c r="A174" s="1590"/>
      <c r="B174" s="989"/>
      <c r="C174" s="1080" t="s">
        <v>4708</v>
      </c>
      <c r="D174" s="1018" t="s">
        <v>4709</v>
      </c>
      <c r="E174" s="996">
        <v>211</v>
      </c>
      <c r="F174" s="1094" t="s">
        <v>4482</v>
      </c>
      <c r="G174" s="1429"/>
      <c r="H174" s="1060">
        <f t="shared" si="143"/>
        <v>0</v>
      </c>
      <c r="I174" s="1060">
        <f t="shared" si="144"/>
        <v>0</v>
      </c>
      <c r="J174" s="1429"/>
      <c r="K174" s="1607"/>
      <c r="L174" s="1562"/>
      <c r="M174" s="1074">
        <v>0</v>
      </c>
      <c r="N174" s="1074">
        <v>0</v>
      </c>
      <c r="O174" s="1074">
        <v>0</v>
      </c>
      <c r="P174" s="1074"/>
      <c r="Q174" s="1074"/>
      <c r="R174" s="1074"/>
      <c r="S174" s="1094"/>
      <c r="T174" s="1094"/>
      <c r="U174" s="1094"/>
      <c r="V174" s="1094"/>
      <c r="W174" s="1094"/>
      <c r="X174" s="1094"/>
      <c r="Y174" s="1066">
        <f t="shared" si="173"/>
        <v>0</v>
      </c>
      <c r="Z174" s="149"/>
      <c r="AA174" s="1066"/>
      <c r="AB174" s="1066"/>
      <c r="AC174" s="1066">
        <f>31000000-31000000</f>
        <v>0</v>
      </c>
      <c r="AD174" s="1066"/>
      <c r="AE174" s="1066"/>
      <c r="AF174" s="1066"/>
      <c r="AG174" s="1066"/>
      <c r="AH174" s="1066"/>
      <c r="AI174" s="1066"/>
      <c r="AJ174" s="1066"/>
      <c r="AK174" s="1066"/>
      <c r="AL174" s="1066"/>
      <c r="AM174" s="1066"/>
      <c r="AN174" s="1066"/>
      <c r="AO174" s="1066"/>
      <c r="AP174" s="1066"/>
      <c r="AQ174" s="1066"/>
      <c r="AR174" s="1066"/>
      <c r="AS174" s="1066"/>
      <c r="AT174" s="1066"/>
      <c r="AU174" s="1081" t="e">
        <f t="shared" si="103"/>
        <v>#DIV/0!</v>
      </c>
      <c r="AV174" s="1066">
        <f t="shared" si="174"/>
        <v>0</v>
      </c>
      <c r="AW174" s="1066"/>
      <c r="AX174" s="1066"/>
      <c r="AY174" s="1066"/>
      <c r="AZ174" s="1066"/>
      <c r="BA174" s="1066"/>
      <c r="BB174" s="1066"/>
      <c r="BC174" s="1066"/>
      <c r="BD174" s="1066"/>
      <c r="BE174" s="1066"/>
      <c r="BF174" s="1066"/>
      <c r="BG174" s="1066"/>
      <c r="BH174" s="1066"/>
      <c r="BI174" s="1066"/>
      <c r="BJ174" s="1066"/>
      <c r="BK174" s="1066"/>
      <c r="BL174" s="1066"/>
      <c r="BM174" s="1066"/>
      <c r="BN174" s="1066"/>
      <c r="BO174" s="1066"/>
      <c r="BP174" s="1066"/>
      <c r="BQ174" s="1081" t="e">
        <f t="shared" si="105"/>
        <v>#DIV/0!</v>
      </c>
      <c r="BR174" s="1066">
        <f t="shared" si="175"/>
        <v>0</v>
      </c>
      <c r="BS174" s="1066"/>
      <c r="BT174" s="1066"/>
      <c r="BU174" s="1066"/>
      <c r="BV174" s="1066">
        <f t="shared" si="162"/>
        <v>0</v>
      </c>
      <c r="BW174" s="1066"/>
      <c r="BX174" s="1066"/>
      <c r="BY174" s="1066"/>
      <c r="BZ174" s="1066"/>
      <c r="CA174" s="1066"/>
      <c r="CB174" s="1066"/>
      <c r="CC174" s="1066"/>
      <c r="CD174" s="1066"/>
      <c r="CE174" s="1066"/>
      <c r="CF174" s="1066"/>
      <c r="CG174" s="1066"/>
      <c r="CH174" s="1066"/>
      <c r="CI174" s="1066"/>
      <c r="CJ174" s="1066"/>
      <c r="CK174" s="1066"/>
      <c r="CL174" s="1066"/>
      <c r="CM174" s="1081" t="e">
        <f t="shared" si="113"/>
        <v>#DIV/0!</v>
      </c>
      <c r="CN174" s="1066">
        <f t="shared" si="176"/>
        <v>0</v>
      </c>
      <c r="CO174" s="1066"/>
      <c r="CP174" s="1066"/>
      <c r="CQ174" s="1066"/>
      <c r="CR174" s="1066"/>
      <c r="CS174" s="1066"/>
      <c r="CT174" s="1066"/>
      <c r="CU174" s="1066"/>
      <c r="CV174" s="1066"/>
      <c r="CW174" s="1066"/>
      <c r="CX174" s="1066"/>
      <c r="CY174" s="1066"/>
      <c r="CZ174" s="1066"/>
      <c r="DA174" s="1066"/>
      <c r="DB174" s="1066"/>
      <c r="DC174" s="1066"/>
      <c r="DD174" s="1066"/>
      <c r="DE174" s="1066"/>
      <c r="DF174" s="1066"/>
      <c r="DG174" s="1066"/>
      <c r="DH174" s="1066"/>
      <c r="DI174" s="1081" t="e">
        <f t="shared" si="115"/>
        <v>#DIV/0!</v>
      </c>
      <c r="DJ174" s="1066">
        <f t="shared" si="177"/>
        <v>0</v>
      </c>
      <c r="DK174" s="1066"/>
      <c r="DL174" s="1066"/>
      <c r="DM174" s="1066"/>
      <c r="DN174" s="1066">
        <f t="shared" si="163"/>
        <v>0</v>
      </c>
      <c r="DO174" s="1066"/>
      <c r="DP174" s="1066"/>
      <c r="DQ174" s="1066"/>
      <c r="DR174" s="1066"/>
      <c r="DS174" s="1066"/>
      <c r="DT174" s="1066"/>
      <c r="DU174" s="1066"/>
      <c r="DV174" s="1066"/>
      <c r="DW174" s="1066"/>
      <c r="DX174" s="1066"/>
      <c r="DY174" s="1066"/>
      <c r="DZ174" s="1066"/>
      <c r="EA174" s="1066"/>
      <c r="EB174" s="1066"/>
      <c r="EC174" s="1066"/>
      <c r="ED174" s="1066"/>
    </row>
    <row r="175" spans="1:134" s="203" customFormat="1" ht="31.5" customHeight="1" x14ac:dyDescent="0.25">
      <c r="A175" s="1590"/>
      <c r="B175" s="989"/>
      <c r="C175" s="1080" t="s">
        <v>4712</v>
      </c>
      <c r="D175" s="1018" t="s">
        <v>4713</v>
      </c>
      <c r="E175" s="996">
        <v>211</v>
      </c>
      <c r="F175" s="1094" t="s">
        <v>4482</v>
      </c>
      <c r="G175" s="1429"/>
      <c r="H175" s="1060">
        <f t="shared" si="143"/>
        <v>0</v>
      </c>
      <c r="I175" s="1060">
        <f t="shared" si="144"/>
        <v>0</v>
      </c>
      <c r="J175" s="1429"/>
      <c r="K175" s="1607"/>
      <c r="L175" s="1562"/>
      <c r="M175" s="1074">
        <v>0</v>
      </c>
      <c r="N175" s="1074">
        <v>0</v>
      </c>
      <c r="O175" s="1074">
        <v>0</v>
      </c>
      <c r="P175" s="1074"/>
      <c r="Q175" s="1074"/>
      <c r="R175" s="1074"/>
      <c r="S175" s="1094"/>
      <c r="T175" s="1094"/>
      <c r="U175" s="1094"/>
      <c r="V175" s="1094"/>
      <c r="W175" s="1094"/>
      <c r="X175" s="1094"/>
      <c r="Y175" s="1066">
        <f t="shared" si="173"/>
        <v>0</v>
      </c>
      <c r="Z175" s="149"/>
      <c r="AA175" s="1066"/>
      <c r="AB175" s="1066"/>
      <c r="AC175" s="1066">
        <f>100000000-100000000</f>
        <v>0</v>
      </c>
      <c r="AD175" s="1066"/>
      <c r="AE175" s="1066"/>
      <c r="AF175" s="1066"/>
      <c r="AG175" s="1066"/>
      <c r="AH175" s="1066"/>
      <c r="AI175" s="1066"/>
      <c r="AJ175" s="1066"/>
      <c r="AK175" s="1066"/>
      <c r="AL175" s="1066"/>
      <c r="AM175" s="1066"/>
      <c r="AN175" s="1066"/>
      <c r="AO175" s="1066"/>
      <c r="AP175" s="1066"/>
      <c r="AQ175" s="1066"/>
      <c r="AR175" s="1066"/>
      <c r="AS175" s="1066"/>
      <c r="AT175" s="1066"/>
      <c r="AU175" s="1081" t="e">
        <f t="shared" si="103"/>
        <v>#DIV/0!</v>
      </c>
      <c r="AV175" s="1066">
        <f t="shared" si="174"/>
        <v>0</v>
      </c>
      <c r="AW175" s="1066"/>
      <c r="AX175" s="1066"/>
      <c r="AY175" s="1066"/>
      <c r="AZ175" s="1066"/>
      <c r="BA175" s="1066"/>
      <c r="BB175" s="1066"/>
      <c r="BC175" s="1066"/>
      <c r="BD175" s="1066"/>
      <c r="BE175" s="1066"/>
      <c r="BF175" s="1066"/>
      <c r="BG175" s="1066"/>
      <c r="BH175" s="1066"/>
      <c r="BI175" s="1066"/>
      <c r="BJ175" s="1066"/>
      <c r="BK175" s="1066"/>
      <c r="BL175" s="1066"/>
      <c r="BM175" s="1066"/>
      <c r="BN175" s="1066"/>
      <c r="BO175" s="1066"/>
      <c r="BP175" s="1066"/>
      <c r="BQ175" s="1081" t="e">
        <f t="shared" si="105"/>
        <v>#DIV/0!</v>
      </c>
      <c r="BR175" s="1066">
        <f t="shared" si="175"/>
        <v>0</v>
      </c>
      <c r="BS175" s="1066"/>
      <c r="BT175" s="1066"/>
      <c r="BU175" s="1066"/>
      <c r="BV175" s="1066">
        <f t="shared" si="162"/>
        <v>0</v>
      </c>
      <c r="BW175" s="1066"/>
      <c r="BX175" s="1066"/>
      <c r="BY175" s="1066"/>
      <c r="BZ175" s="1066"/>
      <c r="CA175" s="1066"/>
      <c r="CB175" s="1066"/>
      <c r="CC175" s="1066"/>
      <c r="CD175" s="1066"/>
      <c r="CE175" s="1066"/>
      <c r="CF175" s="1066"/>
      <c r="CG175" s="1066"/>
      <c r="CH175" s="1066"/>
      <c r="CI175" s="1066"/>
      <c r="CJ175" s="1066"/>
      <c r="CK175" s="1066"/>
      <c r="CL175" s="1066"/>
      <c r="CM175" s="1081" t="e">
        <f t="shared" si="113"/>
        <v>#DIV/0!</v>
      </c>
      <c r="CN175" s="1066">
        <f t="shared" si="176"/>
        <v>0</v>
      </c>
      <c r="CO175" s="1066"/>
      <c r="CP175" s="1066"/>
      <c r="CQ175" s="1066"/>
      <c r="CR175" s="1066"/>
      <c r="CS175" s="1066"/>
      <c r="CT175" s="1066"/>
      <c r="CU175" s="1066"/>
      <c r="CV175" s="1066"/>
      <c r="CW175" s="1066"/>
      <c r="CX175" s="1066"/>
      <c r="CY175" s="1066"/>
      <c r="CZ175" s="1066"/>
      <c r="DA175" s="1066"/>
      <c r="DB175" s="1066"/>
      <c r="DC175" s="1066"/>
      <c r="DD175" s="1066"/>
      <c r="DE175" s="1066"/>
      <c r="DF175" s="1066"/>
      <c r="DG175" s="1066"/>
      <c r="DH175" s="1066"/>
      <c r="DI175" s="1081" t="e">
        <f t="shared" si="115"/>
        <v>#DIV/0!</v>
      </c>
      <c r="DJ175" s="1066">
        <f t="shared" si="177"/>
        <v>0</v>
      </c>
      <c r="DK175" s="1066"/>
      <c r="DL175" s="1066"/>
      <c r="DM175" s="1066"/>
      <c r="DN175" s="1066">
        <f t="shared" si="163"/>
        <v>0</v>
      </c>
      <c r="DO175" s="1066"/>
      <c r="DP175" s="1066"/>
      <c r="DQ175" s="1066"/>
      <c r="DR175" s="1066"/>
      <c r="DS175" s="1066"/>
      <c r="DT175" s="1066"/>
      <c r="DU175" s="1066"/>
      <c r="DV175" s="1066"/>
      <c r="DW175" s="1066"/>
      <c r="DX175" s="1066"/>
      <c r="DY175" s="1066"/>
      <c r="DZ175" s="1066"/>
      <c r="EA175" s="1066"/>
      <c r="EB175" s="1066"/>
      <c r="EC175" s="1066"/>
      <c r="ED175" s="1066"/>
    </row>
    <row r="176" spans="1:134" s="203" customFormat="1" ht="24" customHeight="1" x14ac:dyDescent="0.25">
      <c r="A176" s="1590"/>
      <c r="B176" s="989"/>
      <c r="C176" s="1080" t="s">
        <v>4717</v>
      </c>
      <c r="D176" s="1018" t="s">
        <v>4722</v>
      </c>
      <c r="E176" s="996">
        <v>211</v>
      </c>
      <c r="F176" s="1094" t="s">
        <v>4482</v>
      </c>
      <c r="G176" s="1430"/>
      <c r="H176" s="1060">
        <f t="shared" si="143"/>
        <v>0</v>
      </c>
      <c r="I176" s="1060">
        <f t="shared" si="144"/>
        <v>0</v>
      </c>
      <c r="J176" s="1430"/>
      <c r="K176" s="1608"/>
      <c r="L176" s="1258"/>
      <c r="M176" s="1074"/>
      <c r="N176" s="1074"/>
      <c r="O176" s="1074"/>
      <c r="P176" s="1074">
        <v>0</v>
      </c>
      <c r="Q176" s="1074">
        <v>0</v>
      </c>
      <c r="R176" s="1074">
        <v>0</v>
      </c>
      <c r="S176" s="1094"/>
      <c r="T176" s="1094"/>
      <c r="U176" s="1094"/>
      <c r="V176" s="1094"/>
      <c r="W176" s="1094"/>
      <c r="X176" s="1094"/>
      <c r="Y176" s="1066">
        <f t="shared" si="173"/>
        <v>0</v>
      </c>
      <c r="Z176" s="149"/>
      <c r="AA176" s="1066"/>
      <c r="AB176" s="1066"/>
      <c r="AC176" s="1066">
        <f>1000000000-710000000-290000000</f>
        <v>0</v>
      </c>
      <c r="AD176" s="1066"/>
      <c r="AE176" s="1066"/>
      <c r="AF176" s="1066"/>
      <c r="AG176" s="1066"/>
      <c r="AH176" s="1066"/>
      <c r="AI176" s="1066"/>
      <c r="AJ176" s="1066"/>
      <c r="AK176" s="1066"/>
      <c r="AL176" s="1066"/>
      <c r="AM176" s="1066"/>
      <c r="AN176" s="1066"/>
      <c r="AO176" s="1066"/>
      <c r="AP176" s="1066"/>
      <c r="AQ176" s="1066"/>
      <c r="AR176" s="1066"/>
      <c r="AS176" s="1066"/>
      <c r="AT176" s="1066"/>
      <c r="AU176" s="1081"/>
      <c r="AV176" s="1066">
        <f t="shared" si="174"/>
        <v>0</v>
      </c>
      <c r="AW176" s="1066"/>
      <c r="AX176" s="1066"/>
      <c r="AY176" s="1066"/>
      <c r="AZ176" s="1066"/>
      <c r="BA176" s="1066"/>
      <c r="BB176" s="1066"/>
      <c r="BC176" s="1066"/>
      <c r="BD176" s="1066"/>
      <c r="BE176" s="1066"/>
      <c r="BF176" s="1066"/>
      <c r="BG176" s="1066"/>
      <c r="BH176" s="1066"/>
      <c r="BI176" s="1066"/>
      <c r="BJ176" s="1066"/>
      <c r="BK176" s="1066"/>
      <c r="BL176" s="1066"/>
      <c r="BM176" s="1066"/>
      <c r="BN176" s="1066"/>
      <c r="BO176" s="1066"/>
      <c r="BP176" s="1066"/>
      <c r="BQ176" s="1081"/>
      <c r="BR176" s="1066">
        <f t="shared" si="175"/>
        <v>0</v>
      </c>
      <c r="BS176" s="1066"/>
      <c r="BT176" s="1066"/>
      <c r="BU176" s="1066"/>
      <c r="BV176" s="1066">
        <f t="shared" si="162"/>
        <v>0</v>
      </c>
      <c r="BW176" s="1066"/>
      <c r="BX176" s="1066"/>
      <c r="BY176" s="1066"/>
      <c r="BZ176" s="1066"/>
      <c r="CA176" s="1066"/>
      <c r="CB176" s="1066"/>
      <c r="CC176" s="1066"/>
      <c r="CD176" s="1066"/>
      <c r="CE176" s="1066"/>
      <c r="CF176" s="1066"/>
      <c r="CG176" s="1066"/>
      <c r="CH176" s="1066"/>
      <c r="CI176" s="1066"/>
      <c r="CJ176" s="1066"/>
      <c r="CK176" s="1066"/>
      <c r="CL176" s="1066"/>
      <c r="CM176" s="1081" t="e">
        <f t="shared" si="113"/>
        <v>#DIV/0!</v>
      </c>
      <c r="CN176" s="1066">
        <f t="shared" si="176"/>
        <v>0</v>
      </c>
      <c r="CO176" s="1066"/>
      <c r="CP176" s="1066"/>
      <c r="CQ176" s="1066"/>
      <c r="CR176" s="1066"/>
      <c r="CS176" s="1066"/>
      <c r="CT176" s="1066"/>
      <c r="CU176" s="1066"/>
      <c r="CV176" s="1066"/>
      <c r="CW176" s="1066"/>
      <c r="CX176" s="1066"/>
      <c r="CY176" s="1066"/>
      <c r="CZ176" s="1066"/>
      <c r="DA176" s="1066"/>
      <c r="DB176" s="1066"/>
      <c r="DC176" s="1066"/>
      <c r="DD176" s="1066"/>
      <c r="DE176" s="1066"/>
      <c r="DF176" s="1066"/>
      <c r="DG176" s="1066"/>
      <c r="DH176" s="1066"/>
      <c r="DI176" s="1081"/>
      <c r="DJ176" s="1066">
        <f t="shared" si="177"/>
        <v>0</v>
      </c>
      <c r="DK176" s="1066"/>
      <c r="DL176" s="1066"/>
      <c r="DM176" s="1066"/>
      <c r="DN176" s="1066">
        <f t="shared" si="163"/>
        <v>0</v>
      </c>
      <c r="DO176" s="1066"/>
      <c r="DP176" s="1066"/>
      <c r="DQ176" s="1066"/>
      <c r="DR176" s="1066"/>
      <c r="DS176" s="1066"/>
      <c r="DT176" s="1066"/>
      <c r="DU176" s="1066"/>
      <c r="DV176" s="1066"/>
      <c r="DW176" s="1066"/>
      <c r="DX176" s="1066"/>
      <c r="DY176" s="1066"/>
      <c r="DZ176" s="1066"/>
      <c r="EA176" s="1066"/>
      <c r="EB176" s="1066"/>
      <c r="EC176" s="1066"/>
      <c r="ED176" s="1066"/>
    </row>
    <row r="177" spans="1:134" ht="47.25" customHeight="1" x14ac:dyDescent="0.25">
      <c r="A177" s="1590"/>
      <c r="B177" s="989" t="s">
        <v>4451</v>
      </c>
      <c r="C177" s="852" t="s">
        <v>4534</v>
      </c>
      <c r="D177" s="1018" t="s">
        <v>4538</v>
      </c>
      <c r="E177" s="994">
        <v>510</v>
      </c>
      <c r="F177" s="1094" t="s">
        <v>4536</v>
      </c>
      <c r="G177" s="1428">
        <v>260000000</v>
      </c>
      <c r="H177" s="1060">
        <f t="shared" si="143"/>
        <v>83465123</v>
      </c>
      <c r="I177" s="1060">
        <f t="shared" si="144"/>
        <v>3034877</v>
      </c>
      <c r="J177" s="1609">
        <v>1</v>
      </c>
      <c r="K177" s="1606">
        <v>1</v>
      </c>
      <c r="L177" s="1257">
        <v>100</v>
      </c>
      <c r="M177" s="1097">
        <v>63</v>
      </c>
      <c r="N177" s="1097">
        <v>30</v>
      </c>
      <c r="O177" s="1097">
        <v>19</v>
      </c>
      <c r="P177" s="1097">
        <v>58</v>
      </c>
      <c r="Q177" s="1097">
        <v>50</v>
      </c>
      <c r="R177" s="1097">
        <v>29</v>
      </c>
      <c r="S177" s="1094"/>
      <c r="T177" s="1094"/>
      <c r="U177" s="1094"/>
      <c r="V177" s="1094"/>
      <c r="W177" s="1094"/>
      <c r="X177" s="1094"/>
      <c r="Y177" s="1007">
        <f t="shared" si="173"/>
        <v>86500000</v>
      </c>
      <c r="Z177" s="944"/>
      <c r="AA177" s="1007"/>
      <c r="AB177" s="1007"/>
      <c r="AC177" s="1007"/>
      <c r="AD177" s="1007"/>
      <c r="AE177" s="1007">
        <f>85000000-16000000+16000000</f>
        <v>85000000</v>
      </c>
      <c r="AF177" s="1007"/>
      <c r="AG177" s="1007"/>
      <c r="AH177" s="1007"/>
      <c r="AI177" s="1007"/>
      <c r="AJ177" s="1007"/>
      <c r="AK177" s="1007"/>
      <c r="AL177" s="1007"/>
      <c r="AM177" s="1007"/>
      <c r="AN177" s="1007"/>
      <c r="AO177" s="1007">
        <v>1500000</v>
      </c>
      <c r="AP177" s="1007"/>
      <c r="AQ177" s="1007"/>
      <c r="AR177" s="1007"/>
      <c r="AS177" s="1007"/>
      <c r="AT177" s="1007"/>
      <c r="AU177" s="1010">
        <f t="shared" ref="AU177:AU195" si="178">+AV177/Y177</f>
        <v>1</v>
      </c>
      <c r="AV177" s="1007">
        <f t="shared" si="174"/>
        <v>86500000</v>
      </c>
      <c r="AW177" s="1007"/>
      <c r="AX177" s="1007"/>
      <c r="AY177" s="1007"/>
      <c r="AZ177" s="1007"/>
      <c r="BA177" s="1007"/>
      <c r="BB177" s="1007">
        <f>+'[13]JUNIO 2015'!$O$1705</f>
        <v>85000000</v>
      </c>
      <c r="BC177" s="1007"/>
      <c r="BD177" s="1007"/>
      <c r="BE177" s="1007"/>
      <c r="BF177" s="1007"/>
      <c r="BG177" s="1007"/>
      <c r="BH177" s="1007"/>
      <c r="BI177" s="1007"/>
      <c r="BJ177" s="1007"/>
      <c r="BK177" s="1007"/>
      <c r="BL177" s="1007">
        <f>+'[13]JUNIO 2015'!$Y$1705</f>
        <v>1500000</v>
      </c>
      <c r="BM177" s="1007"/>
      <c r="BN177" s="1007"/>
      <c r="BO177" s="1007"/>
      <c r="BP177" s="1007"/>
      <c r="BQ177" s="1010">
        <f t="shared" ref="BQ177:BQ195" si="179">1-AU177</f>
        <v>0</v>
      </c>
      <c r="BR177" s="1007">
        <f t="shared" si="175"/>
        <v>0</v>
      </c>
      <c r="BS177" s="1007">
        <f t="shared" ref="BS177:BS194" si="180">+Z177-AW177</f>
        <v>0</v>
      </c>
      <c r="BT177" s="1007">
        <f t="shared" ref="BT177:BT194" si="181">AA177-AX177</f>
        <v>0</v>
      </c>
      <c r="BU177" s="1007"/>
      <c r="BV177" s="1007">
        <f t="shared" si="162"/>
        <v>0</v>
      </c>
      <c r="BW177" s="1007">
        <f t="shared" si="162"/>
        <v>0</v>
      </c>
      <c r="BX177" s="1007">
        <f t="shared" ref="BX177:BY194" si="182">+AE177-BB177</f>
        <v>0</v>
      </c>
      <c r="BY177" s="1007">
        <f t="shared" si="182"/>
        <v>0</v>
      </c>
      <c r="BZ177" s="1007"/>
      <c r="CA177" s="1007">
        <f t="shared" ref="CA177:CI194" si="183">+AH177-BE177</f>
        <v>0</v>
      </c>
      <c r="CB177" s="1007">
        <f t="shared" si="183"/>
        <v>0</v>
      </c>
      <c r="CC177" s="1007">
        <f t="shared" si="183"/>
        <v>0</v>
      </c>
      <c r="CD177" s="1007">
        <f t="shared" si="183"/>
        <v>0</v>
      </c>
      <c r="CE177" s="1007">
        <f t="shared" si="183"/>
        <v>0</v>
      </c>
      <c r="CF177" s="1007">
        <f t="shared" si="183"/>
        <v>0</v>
      </c>
      <c r="CG177" s="1007">
        <f t="shared" si="183"/>
        <v>0</v>
      </c>
      <c r="CH177" s="1007">
        <f t="shared" si="183"/>
        <v>0</v>
      </c>
      <c r="CI177" s="1007">
        <f t="shared" si="183"/>
        <v>0</v>
      </c>
      <c r="CJ177" s="1007"/>
      <c r="CK177" s="1007">
        <f t="shared" ref="CK177:CL192" si="184">+AR177-BO177</f>
        <v>0</v>
      </c>
      <c r="CL177" s="1007">
        <f t="shared" si="184"/>
        <v>0</v>
      </c>
      <c r="CM177" s="1010">
        <f t="shared" ref="CM177:CM195" si="185">+CN177/Y177</f>
        <v>0.96491471676300578</v>
      </c>
      <c r="CN177" s="1007">
        <f t="shared" si="176"/>
        <v>83465123</v>
      </c>
      <c r="CO177" s="1007"/>
      <c r="CP177" s="1007"/>
      <c r="CQ177" s="1007"/>
      <c r="CR177" s="1007"/>
      <c r="CS177" s="1007"/>
      <c r="CT177" s="1007">
        <f>+'[10]JULIO 2015'!$H$1989+'[10]JULIO 2015'!$H$1995+'[10]JULIO 2015'!$H$1997</f>
        <v>83465123</v>
      </c>
      <c r="CU177" s="1007"/>
      <c r="CV177" s="1007"/>
      <c r="CW177" s="1007"/>
      <c r="CX177" s="1007"/>
      <c r="CY177" s="1007"/>
      <c r="CZ177" s="1007"/>
      <c r="DA177" s="1007"/>
      <c r="DB177" s="1007"/>
      <c r="DC177" s="1007"/>
      <c r="DD177" s="1007"/>
      <c r="DE177" s="1007"/>
      <c r="DF177" s="1007"/>
      <c r="DG177" s="1007"/>
      <c r="DH177" s="1007"/>
      <c r="DI177" s="1010">
        <f t="shared" ref="DI177:DI195" si="186">1-CM177</f>
        <v>3.5085283236994225E-2</v>
      </c>
      <c r="DJ177" s="1007">
        <f t="shared" si="177"/>
        <v>3034877</v>
      </c>
      <c r="DK177" s="1007"/>
      <c r="DL177" s="1007">
        <f>AA177-CP177</f>
        <v>0</v>
      </c>
      <c r="DM177" s="1007"/>
      <c r="DN177" s="1007">
        <f t="shared" si="163"/>
        <v>0</v>
      </c>
      <c r="DO177" s="1007">
        <f t="shared" si="163"/>
        <v>0</v>
      </c>
      <c r="DP177" s="1007">
        <f t="shared" si="163"/>
        <v>1534877</v>
      </c>
      <c r="DQ177" s="1007">
        <f t="shared" si="163"/>
        <v>0</v>
      </c>
      <c r="DR177" s="1007"/>
      <c r="DS177" s="1007">
        <f t="shared" ref="DS177:DT194" si="187">+AH177-CW177</f>
        <v>0</v>
      </c>
      <c r="DT177" s="1007">
        <f t="shared" si="187"/>
        <v>0</v>
      </c>
      <c r="DU177" s="1007"/>
      <c r="DV177" s="1007">
        <f t="shared" ref="DV177:DX194" si="188">AK177-CZ177</f>
        <v>0</v>
      </c>
      <c r="DW177" s="1007">
        <f t="shared" si="188"/>
        <v>0</v>
      </c>
      <c r="DX177" s="1007">
        <f t="shared" si="188"/>
        <v>0</v>
      </c>
      <c r="DY177" s="1007">
        <f t="shared" ref="DY177:ED194" si="189">+AN177-DC177</f>
        <v>0</v>
      </c>
      <c r="DZ177" s="1007">
        <f t="shared" si="189"/>
        <v>1500000</v>
      </c>
      <c r="EA177" s="1007">
        <f t="shared" si="189"/>
        <v>0</v>
      </c>
      <c r="EB177" s="1007">
        <f t="shared" si="189"/>
        <v>0</v>
      </c>
      <c r="EC177" s="1007">
        <f t="shared" si="189"/>
        <v>0</v>
      </c>
      <c r="ED177" s="1007">
        <f t="shared" si="189"/>
        <v>0</v>
      </c>
    </row>
    <row r="178" spans="1:134" ht="50.25" customHeight="1" x14ac:dyDescent="0.25">
      <c r="A178" s="1590"/>
      <c r="B178" s="989"/>
      <c r="C178" s="852" t="s">
        <v>4540</v>
      </c>
      <c r="D178" s="1018" t="s">
        <v>4539</v>
      </c>
      <c r="E178" s="994">
        <v>510</v>
      </c>
      <c r="F178" s="1094" t="s">
        <v>4536</v>
      </c>
      <c r="G178" s="1429"/>
      <c r="H178" s="1060">
        <f t="shared" si="143"/>
        <v>5703720</v>
      </c>
      <c r="I178" s="1060">
        <f t="shared" si="144"/>
        <v>4296280</v>
      </c>
      <c r="J178" s="1610"/>
      <c r="K178" s="1607"/>
      <c r="L178" s="1562"/>
      <c r="M178" s="1097">
        <v>0</v>
      </c>
      <c r="N178" s="1097">
        <v>14</v>
      </c>
      <c r="O178" s="1097">
        <v>0</v>
      </c>
      <c r="P178" s="1097">
        <v>0</v>
      </c>
      <c r="Q178" s="1097">
        <v>35</v>
      </c>
      <c r="R178" s="1097">
        <v>0</v>
      </c>
      <c r="S178" s="1094"/>
      <c r="T178" s="1094"/>
      <c r="U178" s="1094"/>
      <c r="V178" s="1094"/>
      <c r="W178" s="1094"/>
      <c r="X178" s="1094"/>
      <c r="Y178" s="1007">
        <f t="shared" si="173"/>
        <v>10000000</v>
      </c>
      <c r="Z178" s="944"/>
      <c r="AA178" s="1007"/>
      <c r="AB178" s="1007"/>
      <c r="AC178" s="1007">
        <f>16000000-16000000</f>
        <v>0</v>
      </c>
      <c r="AD178" s="1007"/>
      <c r="AE178" s="1007">
        <f>16000000-16000000</f>
        <v>0</v>
      </c>
      <c r="AF178" s="1007"/>
      <c r="AG178" s="1007"/>
      <c r="AH178" s="1007"/>
      <c r="AI178" s="1007"/>
      <c r="AJ178" s="1007"/>
      <c r="AK178" s="1007"/>
      <c r="AL178" s="1007"/>
      <c r="AM178" s="1007"/>
      <c r="AN178" s="1007"/>
      <c r="AO178" s="1007">
        <v>10000000</v>
      </c>
      <c r="AP178" s="1007"/>
      <c r="AQ178" s="1007"/>
      <c r="AR178" s="1007"/>
      <c r="AS178" s="1007"/>
      <c r="AU178" s="1010">
        <f t="shared" si="178"/>
        <v>0.57037199999999999</v>
      </c>
      <c r="AV178" s="1007">
        <f t="shared" si="174"/>
        <v>5703720</v>
      </c>
      <c r="AW178" s="1007"/>
      <c r="AX178" s="1007"/>
      <c r="AY178" s="1007"/>
      <c r="AZ178" s="1007"/>
      <c r="BA178" s="1007"/>
      <c r="BB178" s="1007"/>
      <c r="BC178" s="1007"/>
      <c r="BD178" s="1007"/>
      <c r="BE178" s="1007"/>
      <c r="BF178" s="1007"/>
      <c r="BG178" s="1007"/>
      <c r="BH178" s="1007"/>
      <c r="BI178" s="1007"/>
      <c r="BJ178" s="1007"/>
      <c r="BK178" s="1007"/>
      <c r="BL178" s="1007">
        <f>+'[7]AGOSTO 2015'!$Y$2243</f>
        <v>5703720</v>
      </c>
      <c r="BM178" s="1007"/>
      <c r="BN178" s="1007"/>
      <c r="BO178" s="1007"/>
      <c r="BP178" s="1007"/>
      <c r="BQ178" s="1010">
        <f t="shared" si="179"/>
        <v>0.42962800000000001</v>
      </c>
      <c r="BR178" s="1007">
        <f t="shared" si="175"/>
        <v>4296280</v>
      </c>
      <c r="BS178" s="1007">
        <f t="shared" si="180"/>
        <v>0</v>
      </c>
      <c r="BT178" s="1007">
        <f t="shared" si="181"/>
        <v>0</v>
      </c>
      <c r="BU178" s="1007"/>
      <c r="BV178" s="1007">
        <f t="shared" si="162"/>
        <v>0</v>
      </c>
      <c r="BW178" s="1007">
        <f t="shared" si="162"/>
        <v>0</v>
      </c>
      <c r="BX178" s="1007">
        <f t="shared" si="182"/>
        <v>0</v>
      </c>
      <c r="BY178" s="1007">
        <f t="shared" si="182"/>
        <v>0</v>
      </c>
      <c r="BZ178" s="1007"/>
      <c r="CA178" s="1007">
        <f t="shared" si="183"/>
        <v>0</v>
      </c>
      <c r="CB178" s="1007">
        <f t="shared" si="183"/>
        <v>0</v>
      </c>
      <c r="CC178" s="1007">
        <f t="shared" si="183"/>
        <v>0</v>
      </c>
      <c r="CD178" s="1007">
        <f t="shared" si="183"/>
        <v>0</v>
      </c>
      <c r="CE178" s="1007">
        <f t="shared" si="183"/>
        <v>0</v>
      </c>
      <c r="CF178" s="1007">
        <f t="shared" si="183"/>
        <v>0</v>
      </c>
      <c r="CG178" s="1007">
        <f t="shared" si="183"/>
        <v>0</v>
      </c>
      <c r="CH178" s="1007">
        <f t="shared" si="183"/>
        <v>4296280</v>
      </c>
      <c r="CI178" s="1007">
        <f t="shared" si="183"/>
        <v>0</v>
      </c>
      <c r="CJ178" s="1007"/>
      <c r="CK178" s="1007">
        <f t="shared" si="184"/>
        <v>0</v>
      </c>
      <c r="CL178" s="1007">
        <f t="shared" si="184"/>
        <v>0</v>
      </c>
      <c r="CM178" s="1010">
        <f t="shared" si="185"/>
        <v>0.57037199999999999</v>
      </c>
      <c r="CN178" s="1007">
        <f t="shared" si="176"/>
        <v>5703720</v>
      </c>
      <c r="CO178" s="1007"/>
      <c r="CP178" s="1007"/>
      <c r="CQ178" s="1007"/>
      <c r="CR178" s="1007"/>
      <c r="CS178" s="1007"/>
      <c r="CT178" s="1007"/>
      <c r="CU178" s="1007"/>
      <c r="CV178" s="1007"/>
      <c r="CW178" s="1007"/>
      <c r="CX178" s="1007"/>
      <c r="CY178" s="1007"/>
      <c r="CZ178" s="1007"/>
      <c r="DA178" s="1007"/>
      <c r="DB178" s="1007"/>
      <c r="DC178" s="1007"/>
      <c r="DD178" s="1007">
        <f>+'[8]SEPTIEMBRE 2015'!$H$2748</f>
        <v>5703720</v>
      </c>
      <c r="DE178" s="1007"/>
      <c r="DF178" s="1007"/>
      <c r="DG178" s="1007"/>
      <c r="DH178" s="1007"/>
      <c r="DI178" s="1010">
        <f t="shared" si="186"/>
        <v>0.42962800000000001</v>
      </c>
      <c r="DJ178" s="1007">
        <f t="shared" si="177"/>
        <v>4296280</v>
      </c>
      <c r="DK178" s="1007"/>
      <c r="DL178" s="1007"/>
      <c r="DM178" s="1007"/>
      <c r="DN178" s="1007">
        <f t="shared" si="163"/>
        <v>0</v>
      </c>
      <c r="DO178" s="1007">
        <f t="shared" si="163"/>
        <v>0</v>
      </c>
      <c r="DP178" s="1007">
        <f t="shared" si="163"/>
        <v>0</v>
      </c>
      <c r="DQ178" s="1007">
        <f t="shared" si="163"/>
        <v>0</v>
      </c>
      <c r="DR178" s="1007"/>
      <c r="DS178" s="1007">
        <f t="shared" si="187"/>
        <v>0</v>
      </c>
      <c r="DT178" s="1007">
        <f t="shared" si="187"/>
        <v>0</v>
      </c>
      <c r="DU178" s="1007"/>
      <c r="DV178" s="1007">
        <f t="shared" si="188"/>
        <v>0</v>
      </c>
      <c r="DW178" s="1007">
        <f t="shared" si="188"/>
        <v>0</v>
      </c>
      <c r="DX178" s="1007">
        <f t="shared" si="188"/>
        <v>0</v>
      </c>
      <c r="DY178" s="1007">
        <f t="shared" si="189"/>
        <v>0</v>
      </c>
      <c r="DZ178" s="1007">
        <f t="shared" si="189"/>
        <v>4296280</v>
      </c>
      <c r="EA178" s="1007">
        <f t="shared" si="189"/>
        <v>0</v>
      </c>
      <c r="EB178" s="1007">
        <f t="shared" si="189"/>
        <v>0</v>
      </c>
      <c r="EC178" s="1007">
        <f t="shared" si="189"/>
        <v>0</v>
      </c>
      <c r="ED178" s="1007">
        <f t="shared" si="189"/>
        <v>0</v>
      </c>
    </row>
    <row r="179" spans="1:134" ht="41.25" customHeight="1" x14ac:dyDescent="0.25">
      <c r="A179" s="1590"/>
      <c r="B179" s="989"/>
      <c r="C179" s="852" t="s">
        <v>4541</v>
      </c>
      <c r="D179" s="1018" t="s">
        <v>4696</v>
      </c>
      <c r="E179" s="994">
        <v>510</v>
      </c>
      <c r="F179" s="1094" t="s">
        <v>4669</v>
      </c>
      <c r="G179" s="1429"/>
      <c r="H179" s="1060">
        <f t="shared" si="143"/>
        <v>0</v>
      </c>
      <c r="I179" s="1060">
        <f t="shared" si="144"/>
        <v>8000000</v>
      </c>
      <c r="J179" s="1610"/>
      <c r="K179" s="1607"/>
      <c r="L179" s="1562"/>
      <c r="M179" s="1097">
        <v>0</v>
      </c>
      <c r="N179" s="1097">
        <v>0</v>
      </c>
      <c r="O179" s="1097">
        <v>0</v>
      </c>
      <c r="P179" s="1097">
        <v>0</v>
      </c>
      <c r="Q179" s="1097">
        <v>55</v>
      </c>
      <c r="R179" s="1097">
        <v>0</v>
      </c>
      <c r="S179" s="1094"/>
      <c r="T179" s="1094"/>
      <c r="U179" s="1094"/>
      <c r="V179" s="1094"/>
      <c r="W179" s="1094"/>
      <c r="X179" s="1094"/>
      <c r="Y179" s="1007">
        <f t="shared" si="173"/>
        <v>8000000</v>
      </c>
      <c r="Z179" s="944"/>
      <c r="AA179" s="1007"/>
      <c r="AB179" s="1007"/>
      <c r="AC179" s="1007"/>
      <c r="AD179" s="1007"/>
      <c r="AE179" s="1007">
        <v>8000000</v>
      </c>
      <c r="AF179" s="1007"/>
      <c r="AG179" s="1007"/>
      <c r="AH179" s="1007"/>
      <c r="AI179" s="1007"/>
      <c r="AJ179" s="1007"/>
      <c r="AK179" s="1007"/>
      <c r="AL179" s="1007"/>
      <c r="AM179" s="1007"/>
      <c r="AN179" s="1007"/>
      <c r="AO179" s="1007"/>
      <c r="AP179" s="1007"/>
      <c r="AQ179" s="1007"/>
      <c r="AR179" s="1007"/>
      <c r="AS179" s="1007"/>
      <c r="AU179" s="1010">
        <f t="shared" si="178"/>
        <v>0</v>
      </c>
      <c r="AV179" s="1007">
        <f t="shared" si="174"/>
        <v>0</v>
      </c>
      <c r="AW179" s="1007"/>
      <c r="AX179" s="1007"/>
      <c r="AY179" s="1007"/>
      <c r="AZ179" s="1007"/>
      <c r="BA179" s="1007"/>
      <c r="BB179" s="1007"/>
      <c r="BC179" s="1007"/>
      <c r="BD179" s="1007"/>
      <c r="BE179" s="1007"/>
      <c r="BF179" s="1007"/>
      <c r="BG179" s="1007"/>
      <c r="BH179" s="1007"/>
      <c r="BI179" s="1007"/>
      <c r="BJ179" s="1007"/>
      <c r="BK179" s="1007"/>
      <c r="BL179" s="1007"/>
      <c r="BM179" s="1007"/>
      <c r="BN179" s="1007"/>
      <c r="BO179" s="1007"/>
      <c r="BP179" s="1007"/>
      <c r="BQ179" s="1010">
        <f t="shared" si="179"/>
        <v>1</v>
      </c>
      <c r="BR179" s="1007">
        <f t="shared" si="175"/>
        <v>8000000</v>
      </c>
      <c r="BS179" s="1007">
        <f t="shared" si="180"/>
        <v>0</v>
      </c>
      <c r="BT179" s="1007">
        <f t="shared" si="181"/>
        <v>0</v>
      </c>
      <c r="BU179" s="1007"/>
      <c r="BV179" s="1007">
        <f t="shared" si="162"/>
        <v>0</v>
      </c>
      <c r="BW179" s="1007">
        <f t="shared" si="162"/>
        <v>0</v>
      </c>
      <c r="BX179" s="1007">
        <f t="shared" si="182"/>
        <v>8000000</v>
      </c>
      <c r="BY179" s="1007">
        <f t="shared" si="182"/>
        <v>0</v>
      </c>
      <c r="BZ179" s="1007"/>
      <c r="CA179" s="1007">
        <f t="shared" si="183"/>
        <v>0</v>
      </c>
      <c r="CB179" s="1007">
        <f t="shared" si="183"/>
        <v>0</v>
      </c>
      <c r="CC179" s="1007">
        <f t="shared" si="183"/>
        <v>0</v>
      </c>
      <c r="CD179" s="1007">
        <f t="shared" si="183"/>
        <v>0</v>
      </c>
      <c r="CE179" s="1007">
        <f t="shared" si="183"/>
        <v>0</v>
      </c>
      <c r="CF179" s="1007">
        <f t="shared" si="183"/>
        <v>0</v>
      </c>
      <c r="CG179" s="1007">
        <f t="shared" si="183"/>
        <v>0</v>
      </c>
      <c r="CH179" s="1007">
        <f t="shared" si="183"/>
        <v>0</v>
      </c>
      <c r="CI179" s="1007">
        <f t="shared" si="183"/>
        <v>0</v>
      </c>
      <c r="CJ179" s="1007"/>
      <c r="CK179" s="1007">
        <f t="shared" si="184"/>
        <v>0</v>
      </c>
      <c r="CL179" s="1007">
        <f t="shared" si="184"/>
        <v>0</v>
      </c>
      <c r="CM179" s="1010">
        <f t="shared" si="185"/>
        <v>0</v>
      </c>
      <c r="CN179" s="1007">
        <f t="shared" si="176"/>
        <v>0</v>
      </c>
      <c r="CO179" s="1007"/>
      <c r="CP179" s="1007"/>
      <c r="CQ179" s="1007"/>
      <c r="CR179" s="1007"/>
      <c r="CS179" s="1007"/>
      <c r="CT179" s="1007"/>
      <c r="CU179" s="1007"/>
      <c r="CV179" s="1007"/>
      <c r="CW179" s="1007"/>
      <c r="CX179" s="1007"/>
      <c r="CY179" s="1007"/>
      <c r="CZ179" s="1007"/>
      <c r="DA179" s="1007"/>
      <c r="DB179" s="1007"/>
      <c r="DC179" s="1007"/>
      <c r="DD179" s="1007"/>
      <c r="DE179" s="1007"/>
      <c r="DF179" s="1007"/>
      <c r="DG179" s="1007"/>
      <c r="DH179" s="1007"/>
      <c r="DI179" s="1010">
        <f t="shared" si="186"/>
        <v>1</v>
      </c>
      <c r="DJ179" s="1007">
        <f t="shared" si="177"/>
        <v>8000000</v>
      </c>
      <c r="DK179" s="1007"/>
      <c r="DL179" s="1007"/>
      <c r="DM179" s="1007"/>
      <c r="DN179" s="1007">
        <f t="shared" si="163"/>
        <v>0</v>
      </c>
      <c r="DO179" s="1007">
        <f t="shared" si="163"/>
        <v>0</v>
      </c>
      <c r="DP179" s="1007">
        <f t="shared" si="163"/>
        <v>8000000</v>
      </c>
      <c r="DQ179" s="1007">
        <f t="shared" si="163"/>
        <v>0</v>
      </c>
      <c r="DR179" s="1007"/>
      <c r="DS179" s="1007">
        <f t="shared" si="187"/>
        <v>0</v>
      </c>
      <c r="DT179" s="1007">
        <f t="shared" si="187"/>
        <v>0</v>
      </c>
      <c r="DU179" s="1007"/>
      <c r="DV179" s="1007">
        <f t="shared" si="188"/>
        <v>0</v>
      </c>
      <c r="DW179" s="1007">
        <f t="shared" si="188"/>
        <v>0</v>
      </c>
      <c r="DX179" s="1007">
        <f t="shared" si="188"/>
        <v>0</v>
      </c>
      <c r="DY179" s="1007">
        <f t="shared" si="189"/>
        <v>0</v>
      </c>
      <c r="DZ179" s="1007">
        <f t="shared" si="189"/>
        <v>0</v>
      </c>
      <c r="EA179" s="1007">
        <f t="shared" si="189"/>
        <v>0</v>
      </c>
      <c r="EB179" s="1007">
        <f t="shared" si="189"/>
        <v>0</v>
      </c>
      <c r="EC179" s="1007">
        <f t="shared" si="189"/>
        <v>0</v>
      </c>
      <c r="ED179" s="1007">
        <f t="shared" si="189"/>
        <v>0</v>
      </c>
    </row>
    <row r="180" spans="1:134" s="203" customFormat="1" ht="51" customHeight="1" x14ac:dyDescent="0.25">
      <c r="A180" s="1590"/>
      <c r="B180" s="989"/>
      <c r="C180" s="1080" t="s">
        <v>4542</v>
      </c>
      <c r="D180" s="1018" t="s">
        <v>4535</v>
      </c>
      <c r="E180" s="996">
        <v>510</v>
      </c>
      <c r="F180" s="1094" t="s">
        <v>4536</v>
      </c>
      <c r="G180" s="1429"/>
      <c r="H180" s="1060">
        <f t="shared" si="143"/>
        <v>0</v>
      </c>
      <c r="I180" s="1060">
        <f t="shared" si="144"/>
        <v>0</v>
      </c>
      <c r="J180" s="1610"/>
      <c r="K180" s="1607"/>
      <c r="L180" s="1562"/>
      <c r="M180" s="1074">
        <v>0</v>
      </c>
      <c r="N180" s="1074">
        <v>20</v>
      </c>
      <c r="O180" s="1074">
        <v>0</v>
      </c>
      <c r="P180" s="1074"/>
      <c r="Q180" s="1074"/>
      <c r="R180" s="1074"/>
      <c r="S180" s="1094"/>
      <c r="T180" s="1094"/>
      <c r="U180" s="1094"/>
      <c r="V180" s="1094"/>
      <c r="W180" s="1094"/>
      <c r="X180" s="1094"/>
      <c r="Y180" s="1066">
        <f t="shared" si="173"/>
        <v>0</v>
      </c>
      <c r="Z180" s="149"/>
      <c r="AA180" s="1066"/>
      <c r="AB180" s="1066"/>
      <c r="AC180" s="1066">
        <f>16000000-16000000</f>
        <v>0</v>
      </c>
      <c r="AD180" s="1066"/>
      <c r="AE180" s="1066"/>
      <c r="AF180" s="1066"/>
      <c r="AG180" s="1066"/>
      <c r="AH180" s="1066"/>
      <c r="AI180" s="1066"/>
      <c r="AJ180" s="1066"/>
      <c r="AK180" s="1066"/>
      <c r="AL180" s="1066"/>
      <c r="AM180" s="1066"/>
      <c r="AN180" s="1066"/>
      <c r="AO180" s="1066"/>
      <c r="AP180" s="1066"/>
      <c r="AQ180" s="1066"/>
      <c r="AR180" s="1066"/>
      <c r="AS180" s="1066"/>
      <c r="AU180" s="1081" t="e">
        <f t="shared" si="178"/>
        <v>#DIV/0!</v>
      </c>
      <c r="AV180" s="1066">
        <f t="shared" si="174"/>
        <v>0</v>
      </c>
      <c r="AW180" s="1066"/>
      <c r="AX180" s="1066"/>
      <c r="AY180" s="1066"/>
      <c r="AZ180" s="1066"/>
      <c r="BA180" s="1066"/>
      <c r="BB180" s="1066"/>
      <c r="BC180" s="1066"/>
      <c r="BD180" s="1066"/>
      <c r="BE180" s="1066"/>
      <c r="BF180" s="1066"/>
      <c r="BG180" s="1066"/>
      <c r="BH180" s="1066"/>
      <c r="BI180" s="1066"/>
      <c r="BJ180" s="1066"/>
      <c r="BK180" s="1066"/>
      <c r="BL180" s="1066"/>
      <c r="BM180" s="1066"/>
      <c r="BN180" s="1066"/>
      <c r="BO180" s="1066"/>
      <c r="BP180" s="1066"/>
      <c r="BQ180" s="1081" t="e">
        <f t="shared" si="179"/>
        <v>#DIV/0!</v>
      </c>
      <c r="BR180" s="1066">
        <f t="shared" si="175"/>
        <v>0</v>
      </c>
      <c r="BS180" s="1066">
        <f t="shared" si="180"/>
        <v>0</v>
      </c>
      <c r="BT180" s="1066">
        <f t="shared" si="181"/>
        <v>0</v>
      </c>
      <c r="BU180" s="1066"/>
      <c r="BV180" s="1066">
        <f t="shared" si="162"/>
        <v>0</v>
      </c>
      <c r="BW180" s="1066">
        <f t="shared" si="162"/>
        <v>0</v>
      </c>
      <c r="BX180" s="1066">
        <f t="shared" si="182"/>
        <v>0</v>
      </c>
      <c r="BY180" s="1066">
        <f t="shared" si="182"/>
        <v>0</v>
      </c>
      <c r="BZ180" s="1066"/>
      <c r="CA180" s="1066">
        <f t="shared" si="183"/>
        <v>0</v>
      </c>
      <c r="CB180" s="1066">
        <f t="shared" si="183"/>
        <v>0</v>
      </c>
      <c r="CC180" s="1066">
        <f t="shared" si="183"/>
        <v>0</v>
      </c>
      <c r="CD180" s="1066">
        <f t="shared" si="183"/>
        <v>0</v>
      </c>
      <c r="CE180" s="1066">
        <f t="shared" si="183"/>
        <v>0</v>
      </c>
      <c r="CF180" s="1066">
        <f t="shared" si="183"/>
        <v>0</v>
      </c>
      <c r="CG180" s="1066">
        <f t="shared" si="183"/>
        <v>0</v>
      </c>
      <c r="CH180" s="1066">
        <f t="shared" si="183"/>
        <v>0</v>
      </c>
      <c r="CI180" s="1066">
        <f t="shared" si="183"/>
        <v>0</v>
      </c>
      <c r="CJ180" s="1066"/>
      <c r="CK180" s="1066">
        <f t="shared" si="184"/>
        <v>0</v>
      </c>
      <c r="CL180" s="1066">
        <f t="shared" si="184"/>
        <v>0</v>
      </c>
      <c r="CM180" s="1081" t="e">
        <f t="shared" si="185"/>
        <v>#DIV/0!</v>
      </c>
      <c r="CN180" s="1066">
        <f t="shared" si="176"/>
        <v>0</v>
      </c>
      <c r="CO180" s="1066"/>
      <c r="CP180" s="1066"/>
      <c r="CQ180" s="1066"/>
      <c r="CR180" s="1066"/>
      <c r="CS180" s="1066"/>
      <c r="CT180" s="1066"/>
      <c r="CU180" s="1066"/>
      <c r="CV180" s="1066"/>
      <c r="CW180" s="1066"/>
      <c r="CX180" s="1066"/>
      <c r="CY180" s="1066"/>
      <c r="CZ180" s="1066"/>
      <c r="DA180" s="1066"/>
      <c r="DB180" s="1066"/>
      <c r="DC180" s="1066"/>
      <c r="DD180" s="1066"/>
      <c r="DE180" s="1066"/>
      <c r="DF180" s="1066"/>
      <c r="DG180" s="1066"/>
      <c r="DH180" s="1066"/>
      <c r="DI180" s="1081" t="e">
        <f t="shared" si="186"/>
        <v>#DIV/0!</v>
      </c>
      <c r="DJ180" s="1066">
        <f t="shared" si="177"/>
        <v>0</v>
      </c>
      <c r="DK180" s="1066"/>
      <c r="DL180" s="1066"/>
      <c r="DM180" s="1066"/>
      <c r="DN180" s="1066">
        <f t="shared" si="163"/>
        <v>0</v>
      </c>
      <c r="DO180" s="1066">
        <f t="shared" si="163"/>
        <v>0</v>
      </c>
      <c r="DP180" s="1066">
        <f t="shared" si="163"/>
        <v>0</v>
      </c>
      <c r="DQ180" s="1066">
        <f t="shared" si="163"/>
        <v>0</v>
      </c>
      <c r="DR180" s="1066"/>
      <c r="DS180" s="1066">
        <f t="shared" si="187"/>
        <v>0</v>
      </c>
      <c r="DT180" s="1066">
        <f t="shared" si="187"/>
        <v>0</v>
      </c>
      <c r="DU180" s="1066"/>
      <c r="DV180" s="1066">
        <f t="shared" si="188"/>
        <v>0</v>
      </c>
      <c r="DW180" s="1066">
        <f t="shared" si="188"/>
        <v>0</v>
      </c>
      <c r="DX180" s="1066">
        <f t="shared" si="188"/>
        <v>0</v>
      </c>
      <c r="DY180" s="1066">
        <f t="shared" si="189"/>
        <v>0</v>
      </c>
      <c r="DZ180" s="1066">
        <f t="shared" si="189"/>
        <v>0</v>
      </c>
      <c r="EA180" s="1066">
        <f t="shared" si="189"/>
        <v>0</v>
      </c>
      <c r="EB180" s="1066">
        <f t="shared" si="189"/>
        <v>0</v>
      </c>
      <c r="EC180" s="1066">
        <f t="shared" si="189"/>
        <v>0</v>
      </c>
      <c r="ED180" s="1066">
        <f t="shared" si="189"/>
        <v>0</v>
      </c>
    </row>
    <row r="181" spans="1:134" s="203" customFormat="1" ht="48.75" customHeight="1" x14ac:dyDescent="0.25">
      <c r="A181" s="1590"/>
      <c r="B181" s="989"/>
      <c r="C181" s="1080" t="s">
        <v>4543</v>
      </c>
      <c r="D181" s="1018" t="s">
        <v>4691</v>
      </c>
      <c r="E181" s="996">
        <v>510</v>
      </c>
      <c r="F181" s="1094" t="s">
        <v>4536</v>
      </c>
      <c r="G181" s="1429"/>
      <c r="H181" s="1060">
        <f t="shared" si="143"/>
        <v>0</v>
      </c>
      <c r="I181" s="1060">
        <f t="shared" si="144"/>
        <v>0</v>
      </c>
      <c r="J181" s="1610"/>
      <c r="K181" s="1607"/>
      <c r="L181" s="1562"/>
      <c r="M181" s="1074">
        <v>0</v>
      </c>
      <c r="N181" s="1074">
        <v>0</v>
      </c>
      <c r="O181" s="1074">
        <v>0</v>
      </c>
      <c r="P181" s="1074"/>
      <c r="Q181" s="1074"/>
      <c r="R181" s="1074"/>
      <c r="S181" s="1094"/>
      <c r="T181" s="1094"/>
      <c r="U181" s="1094"/>
      <c r="V181" s="1094"/>
      <c r="W181" s="1094"/>
      <c r="X181" s="1094"/>
      <c r="Y181" s="1066">
        <f t="shared" si="173"/>
        <v>0</v>
      </c>
      <c r="Z181" s="149"/>
      <c r="AA181" s="1066"/>
      <c r="AB181" s="1066"/>
      <c r="AC181" s="1066">
        <f>5000000-5000000</f>
        <v>0</v>
      </c>
      <c r="AD181" s="1066"/>
      <c r="AE181" s="1066"/>
      <c r="AF181" s="1066"/>
      <c r="AG181" s="1066"/>
      <c r="AH181" s="1066"/>
      <c r="AI181" s="1066"/>
      <c r="AJ181" s="1066"/>
      <c r="AK181" s="1066"/>
      <c r="AL181" s="1066"/>
      <c r="AM181" s="1066"/>
      <c r="AN181" s="1066"/>
      <c r="AO181" s="1066"/>
      <c r="AP181" s="1066"/>
      <c r="AQ181" s="1066"/>
      <c r="AR181" s="1066"/>
      <c r="AS181" s="1066"/>
      <c r="AU181" s="1081" t="e">
        <f t="shared" si="178"/>
        <v>#DIV/0!</v>
      </c>
      <c r="AV181" s="1066">
        <f t="shared" si="174"/>
        <v>0</v>
      </c>
      <c r="AW181" s="1066"/>
      <c r="AX181" s="1066"/>
      <c r="AY181" s="1066"/>
      <c r="AZ181" s="1066"/>
      <c r="BA181" s="1066"/>
      <c r="BB181" s="1066"/>
      <c r="BC181" s="1066"/>
      <c r="BD181" s="1066"/>
      <c r="BE181" s="1066"/>
      <c r="BF181" s="1066"/>
      <c r="BG181" s="1066"/>
      <c r="BH181" s="1066"/>
      <c r="BI181" s="1066"/>
      <c r="BJ181" s="1066"/>
      <c r="BK181" s="1066"/>
      <c r="BL181" s="1066"/>
      <c r="BM181" s="1066"/>
      <c r="BN181" s="1066"/>
      <c r="BO181" s="1066"/>
      <c r="BP181" s="1066"/>
      <c r="BQ181" s="1081" t="e">
        <f t="shared" si="179"/>
        <v>#DIV/0!</v>
      </c>
      <c r="BR181" s="1066">
        <f t="shared" si="175"/>
        <v>0</v>
      </c>
      <c r="BS181" s="1066">
        <f t="shared" si="180"/>
        <v>0</v>
      </c>
      <c r="BT181" s="1066">
        <f t="shared" si="181"/>
        <v>0</v>
      </c>
      <c r="BU181" s="1066"/>
      <c r="BV181" s="1066">
        <f t="shared" si="162"/>
        <v>0</v>
      </c>
      <c r="BW181" s="1066">
        <f t="shared" si="162"/>
        <v>0</v>
      </c>
      <c r="BX181" s="1066">
        <f t="shared" si="182"/>
        <v>0</v>
      </c>
      <c r="BY181" s="1066">
        <f t="shared" si="182"/>
        <v>0</v>
      </c>
      <c r="BZ181" s="1066"/>
      <c r="CA181" s="1066">
        <f t="shared" si="183"/>
        <v>0</v>
      </c>
      <c r="CB181" s="1066">
        <f t="shared" si="183"/>
        <v>0</v>
      </c>
      <c r="CC181" s="1066">
        <f t="shared" si="183"/>
        <v>0</v>
      </c>
      <c r="CD181" s="1066">
        <f t="shared" si="183"/>
        <v>0</v>
      </c>
      <c r="CE181" s="1066">
        <f t="shared" si="183"/>
        <v>0</v>
      </c>
      <c r="CF181" s="1066">
        <f t="shared" si="183"/>
        <v>0</v>
      </c>
      <c r="CG181" s="1066">
        <f t="shared" si="183"/>
        <v>0</v>
      </c>
      <c r="CH181" s="1066">
        <f t="shared" si="183"/>
        <v>0</v>
      </c>
      <c r="CI181" s="1066">
        <f t="shared" si="183"/>
        <v>0</v>
      </c>
      <c r="CJ181" s="1066"/>
      <c r="CK181" s="1066">
        <f t="shared" si="184"/>
        <v>0</v>
      </c>
      <c r="CL181" s="1066">
        <f t="shared" si="184"/>
        <v>0</v>
      </c>
      <c r="CM181" s="1081" t="e">
        <f t="shared" si="185"/>
        <v>#DIV/0!</v>
      </c>
      <c r="CN181" s="1066">
        <f t="shared" si="176"/>
        <v>0</v>
      </c>
      <c r="CO181" s="1066"/>
      <c r="CP181" s="1066"/>
      <c r="CQ181" s="1066"/>
      <c r="CR181" s="1066"/>
      <c r="CS181" s="1066"/>
      <c r="CT181" s="1066"/>
      <c r="CU181" s="1066"/>
      <c r="CV181" s="1066"/>
      <c r="CW181" s="1066"/>
      <c r="CX181" s="1066"/>
      <c r="CY181" s="1066"/>
      <c r="CZ181" s="1066"/>
      <c r="DA181" s="1066"/>
      <c r="DB181" s="1066"/>
      <c r="DC181" s="1066"/>
      <c r="DD181" s="1066"/>
      <c r="DE181" s="1066"/>
      <c r="DF181" s="1066"/>
      <c r="DG181" s="1066"/>
      <c r="DH181" s="1066"/>
      <c r="DI181" s="1081" t="e">
        <f t="shared" si="186"/>
        <v>#DIV/0!</v>
      </c>
      <c r="DJ181" s="1066">
        <f t="shared" si="177"/>
        <v>0</v>
      </c>
      <c r="DK181" s="1066"/>
      <c r="DL181" s="1066"/>
      <c r="DM181" s="1066"/>
      <c r="DN181" s="1066">
        <f t="shared" si="163"/>
        <v>0</v>
      </c>
      <c r="DO181" s="1066">
        <f t="shared" si="163"/>
        <v>0</v>
      </c>
      <c r="DP181" s="1066">
        <f t="shared" si="163"/>
        <v>0</v>
      </c>
      <c r="DQ181" s="1066">
        <f t="shared" si="163"/>
        <v>0</v>
      </c>
      <c r="DR181" s="1066"/>
      <c r="DS181" s="1066">
        <f t="shared" si="187"/>
        <v>0</v>
      </c>
      <c r="DT181" s="1066">
        <f t="shared" si="187"/>
        <v>0</v>
      </c>
      <c r="DU181" s="1066"/>
      <c r="DV181" s="1066">
        <f t="shared" si="188"/>
        <v>0</v>
      </c>
      <c r="DW181" s="1066">
        <f t="shared" si="188"/>
        <v>0</v>
      </c>
      <c r="DX181" s="1066">
        <f t="shared" si="188"/>
        <v>0</v>
      </c>
      <c r="DY181" s="1066">
        <f t="shared" si="189"/>
        <v>0</v>
      </c>
      <c r="DZ181" s="1066">
        <f t="shared" si="189"/>
        <v>0</v>
      </c>
      <c r="EA181" s="1066">
        <f t="shared" si="189"/>
        <v>0</v>
      </c>
      <c r="EB181" s="1066">
        <f t="shared" si="189"/>
        <v>0</v>
      </c>
      <c r="EC181" s="1066">
        <f t="shared" si="189"/>
        <v>0</v>
      </c>
      <c r="ED181" s="1066">
        <f t="shared" si="189"/>
        <v>0</v>
      </c>
    </row>
    <row r="182" spans="1:134" ht="49.5" customHeight="1" x14ac:dyDescent="0.25">
      <c r="A182" s="1590"/>
      <c r="B182" s="989"/>
      <c r="C182" s="852" t="s">
        <v>4544</v>
      </c>
      <c r="D182" s="1018" t="s">
        <v>4692</v>
      </c>
      <c r="E182" s="994">
        <v>510</v>
      </c>
      <c r="F182" s="1094" t="s">
        <v>4536</v>
      </c>
      <c r="G182" s="1429"/>
      <c r="H182" s="1060">
        <f t="shared" si="143"/>
        <v>0</v>
      </c>
      <c r="I182" s="1060">
        <f t="shared" si="144"/>
        <v>8000000</v>
      </c>
      <c r="J182" s="1610"/>
      <c r="K182" s="1607"/>
      <c r="L182" s="1562"/>
      <c r="M182" s="1097">
        <v>0</v>
      </c>
      <c r="N182" s="1097">
        <v>0</v>
      </c>
      <c r="O182" s="1097">
        <v>0</v>
      </c>
      <c r="P182" s="1097">
        <v>0</v>
      </c>
      <c r="Q182" s="1097">
        <v>0</v>
      </c>
      <c r="R182" s="1097">
        <v>0</v>
      </c>
      <c r="S182" s="1094"/>
      <c r="T182" s="1094"/>
      <c r="U182" s="1094"/>
      <c r="V182" s="1094"/>
      <c r="W182" s="1094"/>
      <c r="X182" s="1094"/>
      <c r="Y182" s="1007">
        <f t="shared" si="173"/>
        <v>8000000</v>
      </c>
      <c r="Z182" s="944"/>
      <c r="AA182" s="1007"/>
      <c r="AB182" s="1007"/>
      <c r="AC182" s="1007">
        <f>8000000-8000000</f>
        <v>0</v>
      </c>
      <c r="AD182" s="1007"/>
      <c r="AE182" s="1007"/>
      <c r="AF182" s="1007"/>
      <c r="AG182" s="1007"/>
      <c r="AH182" s="1007"/>
      <c r="AI182" s="1007"/>
      <c r="AJ182" s="1007"/>
      <c r="AK182" s="1007"/>
      <c r="AL182" s="1007"/>
      <c r="AM182" s="1007"/>
      <c r="AN182" s="1007"/>
      <c r="AO182" s="1007">
        <v>8000000</v>
      </c>
      <c r="AP182" s="1007"/>
      <c r="AQ182" s="1007"/>
      <c r="AR182" s="1007"/>
      <c r="AS182" s="1007"/>
      <c r="AU182" s="1010">
        <f t="shared" si="178"/>
        <v>0</v>
      </c>
      <c r="AV182" s="1007">
        <f t="shared" si="174"/>
        <v>0</v>
      </c>
      <c r="AW182" s="1007"/>
      <c r="AX182" s="1007"/>
      <c r="AY182" s="1007"/>
      <c r="AZ182" s="1007"/>
      <c r="BA182" s="1007"/>
      <c r="BB182" s="1007"/>
      <c r="BC182" s="1007"/>
      <c r="BD182" s="1007"/>
      <c r="BE182" s="1007"/>
      <c r="BF182" s="1007"/>
      <c r="BG182" s="1007"/>
      <c r="BH182" s="1007"/>
      <c r="BI182" s="1007"/>
      <c r="BJ182" s="1007"/>
      <c r="BK182" s="1007"/>
      <c r="BL182" s="1007"/>
      <c r="BM182" s="1007"/>
      <c r="BN182" s="1007"/>
      <c r="BO182" s="1007"/>
      <c r="BP182" s="1007"/>
      <c r="BQ182" s="1010">
        <f t="shared" si="179"/>
        <v>1</v>
      </c>
      <c r="BR182" s="1007">
        <f t="shared" si="175"/>
        <v>8000000</v>
      </c>
      <c r="BS182" s="1007">
        <f t="shared" si="180"/>
        <v>0</v>
      </c>
      <c r="BT182" s="1007">
        <f t="shared" si="181"/>
        <v>0</v>
      </c>
      <c r="BU182" s="1007"/>
      <c r="BV182" s="1007">
        <f t="shared" si="162"/>
        <v>0</v>
      </c>
      <c r="BW182" s="1007">
        <f t="shared" si="162"/>
        <v>0</v>
      </c>
      <c r="BX182" s="1007">
        <f t="shared" si="182"/>
        <v>0</v>
      </c>
      <c r="BY182" s="1007">
        <f t="shared" si="182"/>
        <v>0</v>
      </c>
      <c r="BZ182" s="1007"/>
      <c r="CA182" s="1007">
        <f t="shared" si="183"/>
        <v>0</v>
      </c>
      <c r="CB182" s="1007">
        <f t="shared" si="183"/>
        <v>0</v>
      </c>
      <c r="CC182" s="1007">
        <f t="shared" si="183"/>
        <v>0</v>
      </c>
      <c r="CD182" s="1007">
        <f t="shared" si="183"/>
        <v>0</v>
      </c>
      <c r="CE182" s="1007">
        <f t="shared" si="183"/>
        <v>0</v>
      </c>
      <c r="CF182" s="1007">
        <f t="shared" si="183"/>
        <v>0</v>
      </c>
      <c r="CG182" s="1007">
        <f t="shared" si="183"/>
        <v>0</v>
      </c>
      <c r="CH182" s="1007">
        <f t="shared" si="183"/>
        <v>8000000</v>
      </c>
      <c r="CI182" s="1007">
        <f t="shared" si="183"/>
        <v>0</v>
      </c>
      <c r="CJ182" s="1007"/>
      <c r="CK182" s="1007">
        <f t="shared" si="184"/>
        <v>0</v>
      </c>
      <c r="CL182" s="1007">
        <f t="shared" si="184"/>
        <v>0</v>
      </c>
      <c r="CM182" s="1010">
        <f t="shared" si="185"/>
        <v>0</v>
      </c>
      <c r="CN182" s="1007">
        <f t="shared" si="176"/>
        <v>0</v>
      </c>
      <c r="CO182" s="1007"/>
      <c r="CP182" s="1007"/>
      <c r="CQ182" s="1007"/>
      <c r="CR182" s="1007"/>
      <c r="CS182" s="1007"/>
      <c r="CT182" s="1007"/>
      <c r="CU182" s="1007"/>
      <c r="CV182" s="1007"/>
      <c r="CW182" s="1007"/>
      <c r="CX182" s="1007"/>
      <c r="CY182" s="1007"/>
      <c r="CZ182" s="1007"/>
      <c r="DA182" s="1007"/>
      <c r="DB182" s="1007"/>
      <c r="DC182" s="1007"/>
      <c r="DD182" s="1007"/>
      <c r="DE182" s="1007"/>
      <c r="DF182" s="1007"/>
      <c r="DG182" s="1007"/>
      <c r="DH182" s="1007"/>
      <c r="DI182" s="1010">
        <f t="shared" si="186"/>
        <v>1</v>
      </c>
      <c r="DJ182" s="1007">
        <f t="shared" si="177"/>
        <v>8000000</v>
      </c>
      <c r="DK182" s="1007"/>
      <c r="DL182" s="1007"/>
      <c r="DM182" s="1007"/>
      <c r="DN182" s="1007">
        <f t="shared" si="163"/>
        <v>0</v>
      </c>
      <c r="DO182" s="1007">
        <f t="shared" si="163"/>
        <v>0</v>
      </c>
      <c r="DP182" s="1007">
        <f t="shared" si="163"/>
        <v>0</v>
      </c>
      <c r="DQ182" s="1007">
        <f t="shared" si="163"/>
        <v>0</v>
      </c>
      <c r="DR182" s="1007"/>
      <c r="DS182" s="1007">
        <f t="shared" si="187"/>
        <v>0</v>
      </c>
      <c r="DT182" s="1007">
        <f t="shared" si="187"/>
        <v>0</v>
      </c>
      <c r="DU182" s="1007"/>
      <c r="DV182" s="1007">
        <f t="shared" si="188"/>
        <v>0</v>
      </c>
      <c r="DW182" s="1007">
        <f t="shared" si="188"/>
        <v>0</v>
      </c>
      <c r="DX182" s="1007">
        <f t="shared" si="188"/>
        <v>0</v>
      </c>
      <c r="DY182" s="1007">
        <f t="shared" si="189"/>
        <v>0</v>
      </c>
      <c r="DZ182" s="1007">
        <f t="shared" si="189"/>
        <v>8000000</v>
      </c>
      <c r="EA182" s="1007">
        <f t="shared" si="189"/>
        <v>0</v>
      </c>
      <c r="EB182" s="1007">
        <f t="shared" si="189"/>
        <v>0</v>
      </c>
      <c r="EC182" s="1007">
        <f t="shared" si="189"/>
        <v>0</v>
      </c>
      <c r="ED182" s="1007">
        <f t="shared" si="189"/>
        <v>0</v>
      </c>
    </row>
    <row r="183" spans="1:134" ht="36" customHeight="1" x14ac:dyDescent="0.25">
      <c r="A183" s="1590"/>
      <c r="B183" s="989"/>
      <c r="C183" s="852" t="s">
        <v>4545</v>
      </c>
      <c r="D183" s="1018" t="s">
        <v>4693</v>
      </c>
      <c r="E183" s="994">
        <v>510</v>
      </c>
      <c r="F183" s="1094" t="s">
        <v>4536</v>
      </c>
      <c r="G183" s="1429"/>
      <c r="H183" s="1060">
        <f t="shared" si="143"/>
        <v>74061157</v>
      </c>
      <c r="I183" s="1060">
        <f t="shared" si="144"/>
        <v>32938843</v>
      </c>
      <c r="J183" s="1610"/>
      <c r="K183" s="1607"/>
      <c r="L183" s="1562"/>
      <c r="M183" s="1097">
        <v>30</v>
      </c>
      <c r="N183" s="1097">
        <v>30</v>
      </c>
      <c r="O183" s="1097">
        <v>9</v>
      </c>
      <c r="P183" s="1097">
        <v>30</v>
      </c>
      <c r="Q183" s="1097">
        <v>60</v>
      </c>
      <c r="R183" s="1097">
        <v>18</v>
      </c>
      <c r="S183" s="1094"/>
      <c r="T183" s="1094"/>
      <c r="U183" s="1094"/>
      <c r="V183" s="1094"/>
      <c r="W183" s="1094"/>
      <c r="X183" s="1094"/>
      <c r="Y183" s="1007">
        <f t="shared" si="173"/>
        <v>107000000</v>
      </c>
      <c r="Z183" s="944"/>
      <c r="AA183" s="1007"/>
      <c r="AB183" s="1007"/>
      <c r="AC183" s="1007"/>
      <c r="AD183" s="1007"/>
      <c r="AE183" s="1007">
        <v>107000000</v>
      </c>
      <c r="AF183" s="1007"/>
      <c r="AG183" s="1007"/>
      <c r="AH183" s="1007"/>
      <c r="AI183" s="1007"/>
      <c r="AJ183" s="1007"/>
      <c r="AK183" s="1007"/>
      <c r="AL183" s="1007"/>
      <c r="AM183" s="1007"/>
      <c r="AN183" s="1007"/>
      <c r="AO183" s="1007"/>
      <c r="AP183" s="1007"/>
      <c r="AQ183" s="1007"/>
      <c r="AR183" s="1007"/>
      <c r="AS183" s="1007"/>
      <c r="AU183" s="1010">
        <f t="shared" si="178"/>
        <v>0.69216034579439256</v>
      </c>
      <c r="AV183" s="1007">
        <f t="shared" si="174"/>
        <v>74061157</v>
      </c>
      <c r="AW183" s="1007"/>
      <c r="AX183" s="1007"/>
      <c r="AY183" s="1007"/>
      <c r="AZ183" s="1007"/>
      <c r="BA183" s="1007"/>
      <c r="BB183" s="1007">
        <f>+'[7]AGOSTO 2015'!$O$2267</f>
        <v>74061157</v>
      </c>
      <c r="BC183" s="1007"/>
      <c r="BD183" s="1007"/>
      <c r="BE183" s="1007"/>
      <c r="BF183" s="1007"/>
      <c r="BG183" s="1007"/>
      <c r="BH183" s="1007"/>
      <c r="BI183" s="1007"/>
      <c r="BJ183" s="1007"/>
      <c r="BK183" s="1007"/>
      <c r="BL183" s="1007"/>
      <c r="BM183" s="1007"/>
      <c r="BN183" s="1007"/>
      <c r="BO183" s="1007"/>
      <c r="BP183" s="1007"/>
      <c r="BQ183" s="1010">
        <f t="shared" si="179"/>
        <v>0.30783965420560744</v>
      </c>
      <c r="BR183" s="1007">
        <f t="shared" si="175"/>
        <v>32938843</v>
      </c>
      <c r="BS183" s="1007">
        <f t="shared" si="180"/>
        <v>0</v>
      </c>
      <c r="BT183" s="1007">
        <f t="shared" si="181"/>
        <v>0</v>
      </c>
      <c r="BU183" s="1007"/>
      <c r="BV183" s="1007">
        <f t="shared" si="162"/>
        <v>0</v>
      </c>
      <c r="BW183" s="1007">
        <f t="shared" si="162"/>
        <v>0</v>
      </c>
      <c r="BX183" s="1007">
        <f t="shared" si="182"/>
        <v>32938843</v>
      </c>
      <c r="BY183" s="1007">
        <f t="shared" si="182"/>
        <v>0</v>
      </c>
      <c r="BZ183" s="1007"/>
      <c r="CA183" s="1007">
        <f t="shared" si="183"/>
        <v>0</v>
      </c>
      <c r="CB183" s="1007">
        <f t="shared" si="183"/>
        <v>0</v>
      </c>
      <c r="CC183" s="1007">
        <f t="shared" si="183"/>
        <v>0</v>
      </c>
      <c r="CD183" s="1007">
        <f t="shared" si="183"/>
        <v>0</v>
      </c>
      <c r="CE183" s="1007">
        <f t="shared" si="183"/>
        <v>0</v>
      </c>
      <c r="CF183" s="1007">
        <f t="shared" si="183"/>
        <v>0</v>
      </c>
      <c r="CG183" s="1007">
        <f t="shared" si="183"/>
        <v>0</v>
      </c>
      <c r="CH183" s="1007">
        <f t="shared" si="183"/>
        <v>0</v>
      </c>
      <c r="CI183" s="1007">
        <f t="shared" si="183"/>
        <v>0</v>
      </c>
      <c r="CJ183" s="1007"/>
      <c r="CK183" s="1007"/>
      <c r="CL183" s="1007">
        <f t="shared" si="184"/>
        <v>0</v>
      </c>
      <c r="CM183" s="1010">
        <f t="shared" si="185"/>
        <v>0.69216034579439256</v>
      </c>
      <c r="CN183" s="1007">
        <f t="shared" si="176"/>
        <v>74061157</v>
      </c>
      <c r="CO183" s="1007"/>
      <c r="CP183" s="1007"/>
      <c r="CQ183" s="1007"/>
      <c r="CR183" s="1007"/>
      <c r="CS183" s="1007"/>
      <c r="CT183" s="1007">
        <f>+'[7]AGOSTO 2015'!$H$2265</f>
        <v>74061157</v>
      </c>
      <c r="CU183" s="1007"/>
      <c r="CV183" s="1007"/>
      <c r="CW183" s="1007"/>
      <c r="CX183" s="1007"/>
      <c r="CY183" s="1007"/>
      <c r="CZ183" s="1007"/>
      <c r="DA183" s="1007"/>
      <c r="DB183" s="1007"/>
      <c r="DC183" s="1007"/>
      <c r="DD183" s="1007"/>
      <c r="DE183" s="1007"/>
      <c r="DF183" s="1007"/>
      <c r="DG183" s="1007"/>
      <c r="DH183" s="1007"/>
      <c r="DI183" s="1010">
        <f t="shared" si="186"/>
        <v>0.30783965420560744</v>
      </c>
      <c r="DJ183" s="1007">
        <f t="shared" si="177"/>
        <v>32938843</v>
      </c>
      <c r="DK183" s="1007"/>
      <c r="DL183" s="1007"/>
      <c r="DM183" s="1007"/>
      <c r="DN183" s="1007">
        <f t="shared" si="163"/>
        <v>0</v>
      </c>
      <c r="DO183" s="1007">
        <f t="shared" si="163"/>
        <v>0</v>
      </c>
      <c r="DP183" s="1007">
        <f t="shared" si="163"/>
        <v>32938843</v>
      </c>
      <c r="DQ183" s="1007">
        <f t="shared" si="163"/>
        <v>0</v>
      </c>
      <c r="DR183" s="1007"/>
      <c r="DS183" s="1007">
        <f t="shared" si="187"/>
        <v>0</v>
      </c>
      <c r="DT183" s="1007">
        <f t="shared" si="187"/>
        <v>0</v>
      </c>
      <c r="DU183" s="1007"/>
      <c r="DV183" s="1007">
        <f t="shared" si="188"/>
        <v>0</v>
      </c>
      <c r="DW183" s="1007">
        <f t="shared" si="188"/>
        <v>0</v>
      </c>
      <c r="DX183" s="1007">
        <f t="shared" si="188"/>
        <v>0</v>
      </c>
      <c r="DY183" s="1007">
        <f t="shared" si="189"/>
        <v>0</v>
      </c>
      <c r="DZ183" s="1007">
        <f t="shared" si="189"/>
        <v>0</v>
      </c>
      <c r="EA183" s="1007">
        <f t="shared" si="189"/>
        <v>0</v>
      </c>
      <c r="EB183" s="1007">
        <f t="shared" si="189"/>
        <v>0</v>
      </c>
      <c r="EC183" s="1007">
        <f t="shared" si="189"/>
        <v>0</v>
      </c>
      <c r="ED183" s="1007">
        <f t="shared" si="189"/>
        <v>0</v>
      </c>
    </row>
    <row r="184" spans="1:134" s="203" customFormat="1" ht="33" customHeight="1" x14ac:dyDescent="0.25">
      <c r="A184" s="1590"/>
      <c r="B184" s="989"/>
      <c r="C184" s="1080" t="s">
        <v>4668</v>
      </c>
      <c r="D184" s="1018" t="s">
        <v>4655</v>
      </c>
      <c r="E184" s="996">
        <v>510</v>
      </c>
      <c r="F184" s="1094" t="s">
        <v>4536</v>
      </c>
      <c r="G184" s="1430"/>
      <c r="H184" s="1060">
        <f t="shared" si="143"/>
        <v>0</v>
      </c>
      <c r="I184" s="1060">
        <f t="shared" si="144"/>
        <v>0</v>
      </c>
      <c r="J184" s="1611"/>
      <c r="K184" s="1608"/>
      <c r="L184" s="1258"/>
      <c r="M184" s="1074">
        <v>0</v>
      </c>
      <c r="N184" s="1074">
        <v>0</v>
      </c>
      <c r="O184" s="1074">
        <v>0</v>
      </c>
      <c r="P184" s="1074"/>
      <c r="Q184" s="1074"/>
      <c r="R184" s="1074"/>
      <c r="S184" s="1094"/>
      <c r="T184" s="1094"/>
      <c r="U184" s="1094"/>
      <c r="V184" s="1094"/>
      <c r="W184" s="1094"/>
      <c r="X184" s="1094"/>
      <c r="Y184" s="1066">
        <f t="shared" si="173"/>
        <v>0</v>
      </c>
      <c r="Z184" s="149"/>
      <c r="AA184" s="1066"/>
      <c r="AB184" s="1066"/>
      <c r="AC184" s="1066">
        <f>15000000-15000000</f>
        <v>0</v>
      </c>
      <c r="AD184" s="1066"/>
      <c r="AE184" s="1066"/>
      <c r="AF184" s="1066"/>
      <c r="AG184" s="1066"/>
      <c r="AH184" s="1066"/>
      <c r="AI184" s="1066"/>
      <c r="AJ184" s="1066"/>
      <c r="AK184" s="1066"/>
      <c r="AL184" s="1066"/>
      <c r="AM184" s="1066"/>
      <c r="AN184" s="1066"/>
      <c r="AO184" s="1066"/>
      <c r="AP184" s="1066"/>
      <c r="AQ184" s="1066"/>
      <c r="AR184" s="1066"/>
      <c r="AS184" s="1066"/>
      <c r="AU184" s="1081" t="e">
        <f t="shared" si="178"/>
        <v>#DIV/0!</v>
      </c>
      <c r="AV184" s="1066">
        <f t="shared" si="174"/>
        <v>0</v>
      </c>
      <c r="AW184" s="1066"/>
      <c r="AX184" s="1066"/>
      <c r="AY184" s="1066"/>
      <c r="AZ184" s="1066"/>
      <c r="BA184" s="1066"/>
      <c r="BB184" s="1066"/>
      <c r="BC184" s="1066"/>
      <c r="BD184" s="1066"/>
      <c r="BE184" s="1066"/>
      <c r="BF184" s="1066"/>
      <c r="BG184" s="1066"/>
      <c r="BH184" s="1066"/>
      <c r="BI184" s="1066"/>
      <c r="BJ184" s="1066"/>
      <c r="BK184" s="1066"/>
      <c r="BL184" s="1066"/>
      <c r="BM184" s="1066"/>
      <c r="BN184" s="1066"/>
      <c r="BO184" s="1066"/>
      <c r="BP184" s="1066"/>
      <c r="BQ184" s="1081" t="e">
        <f t="shared" si="179"/>
        <v>#DIV/0!</v>
      </c>
      <c r="BR184" s="1066">
        <f t="shared" si="175"/>
        <v>0</v>
      </c>
      <c r="BS184" s="1066">
        <f t="shared" si="180"/>
        <v>0</v>
      </c>
      <c r="BT184" s="1066">
        <f t="shared" si="181"/>
        <v>0</v>
      </c>
      <c r="BU184" s="1066"/>
      <c r="BV184" s="1066">
        <f t="shared" si="162"/>
        <v>0</v>
      </c>
      <c r="BW184" s="1066">
        <f t="shared" si="162"/>
        <v>0</v>
      </c>
      <c r="BX184" s="1066">
        <f t="shared" si="182"/>
        <v>0</v>
      </c>
      <c r="BY184" s="1066">
        <f t="shared" si="182"/>
        <v>0</v>
      </c>
      <c r="BZ184" s="1066"/>
      <c r="CA184" s="1066">
        <f t="shared" si="183"/>
        <v>0</v>
      </c>
      <c r="CB184" s="1066">
        <f t="shared" si="183"/>
        <v>0</v>
      </c>
      <c r="CC184" s="1066">
        <f t="shared" si="183"/>
        <v>0</v>
      </c>
      <c r="CD184" s="1066">
        <f t="shared" si="183"/>
        <v>0</v>
      </c>
      <c r="CE184" s="1066">
        <f t="shared" si="183"/>
        <v>0</v>
      </c>
      <c r="CF184" s="1066">
        <f t="shared" si="183"/>
        <v>0</v>
      </c>
      <c r="CG184" s="1066">
        <f t="shared" si="183"/>
        <v>0</v>
      </c>
      <c r="CH184" s="1066">
        <f t="shared" si="183"/>
        <v>0</v>
      </c>
      <c r="CI184" s="1066">
        <f t="shared" si="183"/>
        <v>0</v>
      </c>
      <c r="CJ184" s="1066"/>
      <c r="CK184" s="1066"/>
      <c r="CL184" s="1066">
        <f t="shared" si="184"/>
        <v>0</v>
      </c>
      <c r="CM184" s="1081" t="e">
        <f t="shared" si="185"/>
        <v>#DIV/0!</v>
      </c>
      <c r="CN184" s="1066">
        <f t="shared" si="176"/>
        <v>0</v>
      </c>
      <c r="CO184" s="1066"/>
      <c r="CP184" s="1066"/>
      <c r="CQ184" s="1066"/>
      <c r="CR184" s="1066"/>
      <c r="CS184" s="1066"/>
      <c r="CT184" s="1066"/>
      <c r="CU184" s="1066"/>
      <c r="CV184" s="1066"/>
      <c r="CW184" s="1066"/>
      <c r="CX184" s="1066"/>
      <c r="CY184" s="1066"/>
      <c r="CZ184" s="1066"/>
      <c r="DA184" s="1066"/>
      <c r="DB184" s="1066"/>
      <c r="DC184" s="1066"/>
      <c r="DD184" s="1066"/>
      <c r="DE184" s="1066"/>
      <c r="DF184" s="1066"/>
      <c r="DG184" s="1066"/>
      <c r="DH184" s="1066"/>
      <c r="DI184" s="1081" t="e">
        <f t="shared" si="186"/>
        <v>#DIV/0!</v>
      </c>
      <c r="DJ184" s="1066">
        <f t="shared" si="177"/>
        <v>0</v>
      </c>
      <c r="DK184" s="1066"/>
      <c r="DL184" s="1066"/>
      <c r="DM184" s="1066"/>
      <c r="DN184" s="1066">
        <f t="shared" si="163"/>
        <v>0</v>
      </c>
      <c r="DO184" s="1066">
        <f t="shared" si="163"/>
        <v>0</v>
      </c>
      <c r="DP184" s="1066">
        <f t="shared" si="163"/>
        <v>0</v>
      </c>
      <c r="DQ184" s="1066">
        <f t="shared" si="163"/>
        <v>0</v>
      </c>
      <c r="DR184" s="1066"/>
      <c r="DS184" s="1066">
        <f t="shared" si="187"/>
        <v>0</v>
      </c>
      <c r="DT184" s="1066">
        <f t="shared" si="187"/>
        <v>0</v>
      </c>
      <c r="DU184" s="1066"/>
      <c r="DV184" s="1066">
        <f t="shared" si="188"/>
        <v>0</v>
      </c>
      <c r="DW184" s="1066">
        <f t="shared" si="188"/>
        <v>0</v>
      </c>
      <c r="DX184" s="1066">
        <f t="shared" si="188"/>
        <v>0</v>
      </c>
      <c r="DY184" s="1066">
        <f t="shared" si="189"/>
        <v>0</v>
      </c>
      <c r="DZ184" s="1066">
        <f t="shared" si="189"/>
        <v>0</v>
      </c>
      <c r="EA184" s="1066">
        <f t="shared" si="189"/>
        <v>0</v>
      </c>
      <c r="EB184" s="1066">
        <f t="shared" si="189"/>
        <v>0</v>
      </c>
      <c r="EC184" s="1066">
        <f t="shared" si="189"/>
        <v>0</v>
      </c>
      <c r="ED184" s="1066">
        <f t="shared" si="189"/>
        <v>0</v>
      </c>
    </row>
    <row r="185" spans="1:134" ht="39" customHeight="1" x14ac:dyDescent="0.25">
      <c r="A185" s="1590"/>
      <c r="B185" s="989" t="s">
        <v>4452</v>
      </c>
      <c r="C185" s="852" t="s">
        <v>4643</v>
      </c>
      <c r="D185" s="1018" t="s">
        <v>4705</v>
      </c>
      <c r="E185" s="994">
        <v>510</v>
      </c>
      <c r="F185" s="1094" t="s">
        <v>4591</v>
      </c>
      <c r="G185" s="1094">
        <v>80000000</v>
      </c>
      <c r="H185" s="1060">
        <f t="shared" si="143"/>
        <v>61291800</v>
      </c>
      <c r="I185" s="1060">
        <f t="shared" si="144"/>
        <v>18708200</v>
      </c>
      <c r="J185" s="1068">
        <v>0</v>
      </c>
      <c r="K185" s="1110">
        <v>1</v>
      </c>
      <c r="L185" s="1097">
        <v>30</v>
      </c>
      <c r="M185" s="1097">
        <v>7</v>
      </c>
      <c r="N185" s="1097">
        <v>100</v>
      </c>
      <c r="O185" s="1097">
        <v>7</v>
      </c>
      <c r="P185" s="1097">
        <v>64</v>
      </c>
      <c r="Q185" s="1097">
        <v>100</v>
      </c>
      <c r="R185" s="1097">
        <v>64</v>
      </c>
      <c r="S185" s="1094"/>
      <c r="T185" s="1094"/>
      <c r="U185" s="1094"/>
      <c r="V185" s="1094"/>
      <c r="W185" s="1094"/>
      <c r="X185" s="1094"/>
      <c r="Y185" s="1007">
        <f t="shared" si="173"/>
        <v>80000000</v>
      </c>
      <c r="Z185" s="944"/>
      <c r="AA185" s="1007"/>
      <c r="AB185" s="1007"/>
      <c r="AC185" s="1007"/>
      <c r="AD185" s="1007"/>
      <c r="AE185" s="1007">
        <v>80000000</v>
      </c>
      <c r="AF185" s="1007"/>
      <c r="AG185" s="1007"/>
      <c r="AH185" s="1007"/>
      <c r="AI185" s="1007"/>
      <c r="AJ185" s="1007"/>
      <c r="AK185" s="1007"/>
      <c r="AL185" s="1007"/>
      <c r="AM185" s="1007"/>
      <c r="AN185" s="1007"/>
      <c r="AO185" s="1007"/>
      <c r="AP185" s="1007"/>
      <c r="AQ185" s="1007"/>
      <c r="AR185" s="1007"/>
      <c r="AS185" s="1007"/>
      <c r="AU185" s="1010">
        <f t="shared" si="178"/>
        <v>0.88364750000000003</v>
      </c>
      <c r="AV185" s="1007">
        <f t="shared" si="174"/>
        <v>70691800</v>
      </c>
      <c r="AW185" s="1007"/>
      <c r="AX185" s="1007"/>
      <c r="AY185" s="1007"/>
      <c r="AZ185" s="1007"/>
      <c r="BA185" s="1007"/>
      <c r="BB185" s="1007">
        <f>+'[8]SEPTIEMBRE 2015'!$O$2797</f>
        <v>70691800</v>
      </c>
      <c r="BC185" s="1007"/>
      <c r="BD185" s="1007"/>
      <c r="BE185" s="1007"/>
      <c r="BF185" s="1007"/>
      <c r="BG185" s="1007"/>
      <c r="BH185" s="1007"/>
      <c r="BI185" s="1007"/>
      <c r="BJ185" s="1007"/>
      <c r="BK185" s="1007"/>
      <c r="BL185" s="1007"/>
      <c r="BM185" s="1007"/>
      <c r="BN185" s="1007"/>
      <c r="BO185" s="1007"/>
      <c r="BP185" s="1007"/>
      <c r="BQ185" s="1010">
        <f t="shared" si="179"/>
        <v>0.11635249999999997</v>
      </c>
      <c r="BR185" s="1007">
        <f t="shared" si="175"/>
        <v>9308200</v>
      </c>
      <c r="BS185" s="1007">
        <f t="shared" si="180"/>
        <v>0</v>
      </c>
      <c r="BT185" s="1007">
        <f t="shared" si="181"/>
        <v>0</v>
      </c>
      <c r="BU185" s="1007"/>
      <c r="BV185" s="1007">
        <f t="shared" si="162"/>
        <v>0</v>
      </c>
      <c r="BW185" s="1007">
        <f t="shared" si="162"/>
        <v>0</v>
      </c>
      <c r="BX185" s="1007">
        <f t="shared" si="182"/>
        <v>9308200</v>
      </c>
      <c r="BY185" s="1007">
        <f t="shared" si="182"/>
        <v>0</v>
      </c>
      <c r="BZ185" s="1007"/>
      <c r="CA185" s="1007">
        <f t="shared" si="183"/>
        <v>0</v>
      </c>
      <c r="CB185" s="1007">
        <f t="shared" si="183"/>
        <v>0</v>
      </c>
      <c r="CC185" s="1007">
        <f t="shared" si="183"/>
        <v>0</v>
      </c>
      <c r="CD185" s="1007">
        <f t="shared" si="183"/>
        <v>0</v>
      </c>
      <c r="CE185" s="1007">
        <f t="shared" si="183"/>
        <v>0</v>
      </c>
      <c r="CF185" s="1007">
        <f t="shared" si="183"/>
        <v>0</v>
      </c>
      <c r="CG185" s="1007">
        <f t="shared" si="183"/>
        <v>0</v>
      </c>
      <c r="CH185" s="1007">
        <f t="shared" si="183"/>
        <v>0</v>
      </c>
      <c r="CI185" s="1007">
        <f t="shared" si="183"/>
        <v>0</v>
      </c>
      <c r="CJ185" s="1007"/>
      <c r="CK185" s="1007"/>
      <c r="CL185" s="1007">
        <f t="shared" si="184"/>
        <v>0</v>
      </c>
      <c r="CM185" s="1010">
        <f t="shared" si="185"/>
        <v>0.76614749999999998</v>
      </c>
      <c r="CN185" s="1007">
        <f t="shared" si="176"/>
        <v>61291800</v>
      </c>
      <c r="CO185" s="1007"/>
      <c r="CP185" s="1007"/>
      <c r="CQ185" s="1007"/>
      <c r="CR185" s="1007"/>
      <c r="CS185" s="1007"/>
      <c r="CT185" s="1007">
        <f>+'[8]SEPTIEMBRE 2015'!$H$2795</f>
        <v>61291800</v>
      </c>
      <c r="CU185" s="1007"/>
      <c r="CV185" s="1007"/>
      <c r="CW185" s="1007"/>
      <c r="CX185" s="1007"/>
      <c r="CY185" s="1007"/>
      <c r="CZ185" s="1007"/>
      <c r="DA185" s="1007"/>
      <c r="DB185" s="1007"/>
      <c r="DC185" s="1007"/>
      <c r="DD185" s="1007"/>
      <c r="DE185" s="1007"/>
      <c r="DF185" s="1007"/>
      <c r="DG185" s="1007"/>
      <c r="DH185" s="1007"/>
      <c r="DI185" s="1010">
        <f t="shared" si="186"/>
        <v>0.23385250000000002</v>
      </c>
      <c r="DJ185" s="1007">
        <f t="shared" si="177"/>
        <v>18708200</v>
      </c>
      <c r="DK185" s="1007"/>
      <c r="DL185" s="1007"/>
      <c r="DM185" s="1007"/>
      <c r="DN185" s="1007">
        <f t="shared" si="163"/>
        <v>0</v>
      </c>
      <c r="DO185" s="1007">
        <f t="shared" si="163"/>
        <v>0</v>
      </c>
      <c r="DP185" s="1007">
        <f t="shared" si="163"/>
        <v>18708200</v>
      </c>
      <c r="DQ185" s="1007">
        <f t="shared" si="163"/>
        <v>0</v>
      </c>
      <c r="DR185" s="1007"/>
      <c r="DS185" s="1007">
        <f t="shared" si="187"/>
        <v>0</v>
      </c>
      <c r="DT185" s="1007">
        <f t="shared" si="187"/>
        <v>0</v>
      </c>
      <c r="DU185" s="1007"/>
      <c r="DV185" s="1007">
        <f t="shared" si="188"/>
        <v>0</v>
      </c>
      <c r="DW185" s="1007">
        <f t="shared" si="188"/>
        <v>0</v>
      </c>
      <c r="DX185" s="1007">
        <f t="shared" si="188"/>
        <v>0</v>
      </c>
      <c r="DY185" s="1007">
        <f t="shared" si="189"/>
        <v>0</v>
      </c>
      <c r="DZ185" s="1007">
        <f t="shared" si="189"/>
        <v>0</v>
      </c>
      <c r="EA185" s="1007">
        <f t="shared" si="189"/>
        <v>0</v>
      </c>
      <c r="EB185" s="1007">
        <f t="shared" si="189"/>
        <v>0</v>
      </c>
      <c r="EC185" s="1007">
        <f t="shared" si="189"/>
        <v>0</v>
      </c>
      <c r="ED185" s="1007">
        <f t="shared" si="189"/>
        <v>0</v>
      </c>
    </row>
    <row r="186" spans="1:134" ht="45" customHeight="1" x14ac:dyDescent="0.25">
      <c r="A186" s="1590"/>
      <c r="B186" s="989" t="s">
        <v>4453</v>
      </c>
      <c r="C186" s="852" t="s">
        <v>4647</v>
      </c>
      <c r="D186" s="1018" t="s">
        <v>4694</v>
      </c>
      <c r="E186" s="994">
        <v>510</v>
      </c>
      <c r="F186" s="1094" t="s">
        <v>4482</v>
      </c>
      <c r="G186" s="1428">
        <v>120000000</v>
      </c>
      <c r="H186" s="1060">
        <f t="shared" si="143"/>
        <v>0</v>
      </c>
      <c r="I186" s="1060">
        <f t="shared" si="144"/>
        <v>1000000</v>
      </c>
      <c r="J186" s="1094">
        <v>0</v>
      </c>
      <c r="K186" s="1110">
        <v>1</v>
      </c>
      <c r="L186" s="1097">
        <v>100</v>
      </c>
      <c r="M186" s="1097">
        <v>0</v>
      </c>
      <c r="N186" s="1097">
        <v>0</v>
      </c>
      <c r="O186" s="1097">
        <v>0</v>
      </c>
      <c r="P186" s="1097">
        <v>0</v>
      </c>
      <c r="Q186" s="1097">
        <v>0</v>
      </c>
      <c r="R186" s="1097">
        <v>0</v>
      </c>
      <c r="S186" s="1094"/>
      <c r="T186" s="1094"/>
      <c r="U186" s="1094"/>
      <c r="V186" s="1094"/>
      <c r="W186" s="1094"/>
      <c r="X186" s="1094"/>
      <c r="Y186" s="1007">
        <f t="shared" si="173"/>
        <v>1000000</v>
      </c>
      <c r="Z186" s="944"/>
      <c r="AA186" s="1007"/>
      <c r="AB186" s="1007"/>
      <c r="AC186" s="1007"/>
      <c r="AD186" s="1007"/>
      <c r="AE186" s="1007">
        <v>1000000</v>
      </c>
      <c r="AF186" s="1007"/>
      <c r="AG186" s="1007"/>
      <c r="AH186" s="1007"/>
      <c r="AI186" s="1007"/>
      <c r="AJ186" s="1007"/>
      <c r="AK186" s="1007"/>
      <c r="AL186" s="1007"/>
      <c r="AM186" s="1007"/>
      <c r="AN186" s="1007"/>
      <c r="AO186" s="1007"/>
      <c r="AP186" s="1007"/>
      <c r="AQ186" s="1007"/>
      <c r="AR186" s="1007"/>
      <c r="AS186" s="1007"/>
      <c r="AU186" s="1010">
        <f t="shared" si="178"/>
        <v>0</v>
      </c>
      <c r="AV186" s="1007">
        <f t="shared" si="174"/>
        <v>0</v>
      </c>
      <c r="AW186" s="1007"/>
      <c r="AX186" s="1007"/>
      <c r="AY186" s="1007"/>
      <c r="AZ186" s="1007"/>
      <c r="BA186" s="1007"/>
      <c r="BB186" s="1007"/>
      <c r="BC186" s="1007"/>
      <c r="BD186" s="1007"/>
      <c r="BE186" s="1007"/>
      <c r="BF186" s="1007"/>
      <c r="BG186" s="1007"/>
      <c r="BH186" s="1007"/>
      <c r="BI186" s="1007"/>
      <c r="BJ186" s="1007"/>
      <c r="BK186" s="1007"/>
      <c r="BL186" s="1007"/>
      <c r="BM186" s="1007"/>
      <c r="BN186" s="1007"/>
      <c r="BO186" s="1007"/>
      <c r="BP186" s="1007"/>
      <c r="BQ186" s="1010">
        <f t="shared" si="179"/>
        <v>1</v>
      </c>
      <c r="BR186" s="1007">
        <f t="shared" si="175"/>
        <v>1000000</v>
      </c>
      <c r="BS186" s="1007">
        <f t="shared" si="180"/>
        <v>0</v>
      </c>
      <c r="BT186" s="1007">
        <f t="shared" si="181"/>
        <v>0</v>
      </c>
      <c r="BU186" s="1007"/>
      <c r="BV186" s="1007">
        <f t="shared" si="162"/>
        <v>0</v>
      </c>
      <c r="BW186" s="1007">
        <f t="shared" si="162"/>
        <v>0</v>
      </c>
      <c r="BX186" s="1007">
        <f t="shared" si="182"/>
        <v>1000000</v>
      </c>
      <c r="BY186" s="1007">
        <f t="shared" si="182"/>
        <v>0</v>
      </c>
      <c r="BZ186" s="1007"/>
      <c r="CA186" s="1007">
        <f t="shared" si="183"/>
        <v>0</v>
      </c>
      <c r="CB186" s="1007">
        <f t="shared" si="183"/>
        <v>0</v>
      </c>
      <c r="CC186" s="1007">
        <f t="shared" si="183"/>
        <v>0</v>
      </c>
      <c r="CD186" s="1007">
        <f t="shared" si="183"/>
        <v>0</v>
      </c>
      <c r="CE186" s="1007">
        <f t="shared" si="183"/>
        <v>0</v>
      </c>
      <c r="CF186" s="1007">
        <f t="shared" si="183"/>
        <v>0</v>
      </c>
      <c r="CG186" s="1007">
        <f t="shared" si="183"/>
        <v>0</v>
      </c>
      <c r="CH186" s="1007">
        <f t="shared" si="183"/>
        <v>0</v>
      </c>
      <c r="CI186" s="1007">
        <f t="shared" si="183"/>
        <v>0</v>
      </c>
      <c r="CJ186" s="1007"/>
      <c r="CK186" s="1007"/>
      <c r="CL186" s="1007">
        <f t="shared" si="184"/>
        <v>0</v>
      </c>
      <c r="CM186" s="1010">
        <f t="shared" si="185"/>
        <v>0</v>
      </c>
      <c r="CN186" s="1007">
        <f t="shared" si="176"/>
        <v>0</v>
      </c>
      <c r="CO186" s="1007"/>
      <c r="CP186" s="1007"/>
      <c r="CQ186" s="1007"/>
      <c r="CR186" s="1007"/>
      <c r="CS186" s="1007"/>
      <c r="CT186" s="1007"/>
      <c r="CU186" s="1007"/>
      <c r="CV186" s="1007"/>
      <c r="CW186" s="1007"/>
      <c r="CX186" s="1007"/>
      <c r="CY186" s="1007"/>
      <c r="CZ186" s="1007"/>
      <c r="DA186" s="1007"/>
      <c r="DB186" s="1007"/>
      <c r="DC186" s="1007"/>
      <c r="DD186" s="1007"/>
      <c r="DE186" s="1007"/>
      <c r="DF186" s="1007"/>
      <c r="DG186" s="1007"/>
      <c r="DH186" s="1007"/>
      <c r="DI186" s="1010">
        <f t="shared" si="186"/>
        <v>1</v>
      </c>
      <c r="DJ186" s="1007">
        <f t="shared" si="177"/>
        <v>1000000</v>
      </c>
      <c r="DK186" s="1007"/>
      <c r="DL186" s="1007"/>
      <c r="DM186" s="1007"/>
      <c r="DN186" s="1007">
        <f t="shared" si="163"/>
        <v>0</v>
      </c>
      <c r="DO186" s="1007">
        <f t="shared" si="163"/>
        <v>0</v>
      </c>
      <c r="DP186" s="1007">
        <f t="shared" si="163"/>
        <v>1000000</v>
      </c>
      <c r="DQ186" s="1007">
        <f t="shared" si="163"/>
        <v>0</v>
      </c>
      <c r="DR186" s="1007"/>
      <c r="DS186" s="1007">
        <f t="shared" si="187"/>
        <v>0</v>
      </c>
      <c r="DT186" s="1007">
        <f t="shared" si="187"/>
        <v>0</v>
      </c>
      <c r="DU186" s="1007"/>
      <c r="DV186" s="1007">
        <f t="shared" si="188"/>
        <v>0</v>
      </c>
      <c r="DW186" s="1007">
        <f t="shared" si="188"/>
        <v>0</v>
      </c>
      <c r="DX186" s="1007">
        <f t="shared" si="188"/>
        <v>0</v>
      </c>
      <c r="DY186" s="1007">
        <f t="shared" si="189"/>
        <v>0</v>
      </c>
      <c r="DZ186" s="1007">
        <f t="shared" si="189"/>
        <v>0</v>
      </c>
      <c r="EA186" s="1007">
        <f t="shared" si="189"/>
        <v>0</v>
      </c>
      <c r="EB186" s="1007">
        <f t="shared" si="189"/>
        <v>0</v>
      </c>
      <c r="EC186" s="1007">
        <f t="shared" si="189"/>
        <v>0</v>
      </c>
      <c r="ED186" s="1007">
        <f t="shared" si="189"/>
        <v>0</v>
      </c>
    </row>
    <row r="187" spans="1:134" ht="24" customHeight="1" x14ac:dyDescent="0.25">
      <c r="A187" s="1590"/>
      <c r="B187" s="989"/>
      <c r="C187" s="852" t="s">
        <v>4648</v>
      </c>
      <c r="D187" s="1018" t="s">
        <v>4695</v>
      </c>
      <c r="E187" s="994">
        <v>510</v>
      </c>
      <c r="F187" s="1094" t="s">
        <v>4482</v>
      </c>
      <c r="G187" s="1429"/>
      <c r="H187" s="1060">
        <f t="shared" si="143"/>
        <v>0</v>
      </c>
      <c r="I187" s="1060">
        <f t="shared" si="144"/>
        <v>5000000</v>
      </c>
      <c r="J187" s="1283">
        <v>0</v>
      </c>
      <c r="K187" s="1605">
        <v>1</v>
      </c>
      <c r="L187" s="1198">
        <v>100</v>
      </c>
      <c r="M187" s="1097">
        <v>0</v>
      </c>
      <c r="N187" s="1097">
        <v>0</v>
      </c>
      <c r="O187" s="1097">
        <v>0</v>
      </c>
      <c r="P187" s="1097">
        <v>0</v>
      </c>
      <c r="Q187" s="1097">
        <v>0</v>
      </c>
      <c r="R187" s="1097">
        <v>0</v>
      </c>
      <c r="S187" s="1094"/>
      <c r="T187" s="1094"/>
      <c r="U187" s="1094"/>
      <c r="V187" s="1094"/>
      <c r="W187" s="1094"/>
      <c r="X187" s="1094"/>
      <c r="Y187" s="1007">
        <f t="shared" si="173"/>
        <v>5000000</v>
      </c>
      <c r="Z187" s="944"/>
      <c r="AA187" s="1007"/>
      <c r="AB187" s="1007"/>
      <c r="AC187" s="1007"/>
      <c r="AD187" s="1007"/>
      <c r="AE187" s="1007">
        <v>5000000</v>
      </c>
      <c r="AF187" s="1007"/>
      <c r="AG187" s="1007"/>
      <c r="AH187" s="1007"/>
      <c r="AI187" s="1007"/>
      <c r="AJ187" s="1007"/>
      <c r="AK187" s="1007"/>
      <c r="AL187" s="1007"/>
      <c r="AM187" s="1007"/>
      <c r="AN187" s="1007"/>
      <c r="AO187" s="1007"/>
      <c r="AP187" s="1007"/>
      <c r="AQ187" s="1007"/>
      <c r="AR187" s="1007"/>
      <c r="AS187" s="1007"/>
      <c r="AU187" s="1010">
        <f t="shared" si="178"/>
        <v>0</v>
      </c>
      <c r="AV187" s="1007">
        <f t="shared" si="174"/>
        <v>0</v>
      </c>
      <c r="AW187" s="1007"/>
      <c r="AX187" s="1007"/>
      <c r="AY187" s="1007"/>
      <c r="AZ187" s="1007"/>
      <c r="BA187" s="1007"/>
      <c r="BB187" s="1007"/>
      <c r="BC187" s="1007"/>
      <c r="BD187" s="1007"/>
      <c r="BE187" s="1007"/>
      <c r="BF187" s="1007"/>
      <c r="BG187" s="1007"/>
      <c r="BH187" s="1007"/>
      <c r="BI187" s="1007"/>
      <c r="BJ187" s="1007"/>
      <c r="BK187" s="1007"/>
      <c r="BL187" s="1007"/>
      <c r="BM187" s="1007"/>
      <c r="BN187" s="1007"/>
      <c r="BO187" s="1007"/>
      <c r="BP187" s="1007"/>
      <c r="BQ187" s="1010">
        <f t="shared" si="179"/>
        <v>1</v>
      </c>
      <c r="BR187" s="1007">
        <f t="shared" si="175"/>
        <v>5000000</v>
      </c>
      <c r="BS187" s="1007">
        <f t="shared" si="180"/>
        <v>0</v>
      </c>
      <c r="BT187" s="1007">
        <f t="shared" si="181"/>
        <v>0</v>
      </c>
      <c r="BU187" s="1007"/>
      <c r="BV187" s="1007">
        <f t="shared" si="162"/>
        <v>0</v>
      </c>
      <c r="BW187" s="1007">
        <f t="shared" si="162"/>
        <v>0</v>
      </c>
      <c r="BX187" s="1007">
        <f t="shared" si="182"/>
        <v>5000000</v>
      </c>
      <c r="BY187" s="1007">
        <f t="shared" si="182"/>
        <v>0</v>
      </c>
      <c r="BZ187" s="1007"/>
      <c r="CA187" s="1007">
        <f t="shared" si="183"/>
        <v>0</v>
      </c>
      <c r="CB187" s="1007">
        <f t="shared" si="183"/>
        <v>0</v>
      </c>
      <c r="CC187" s="1007">
        <f t="shared" si="183"/>
        <v>0</v>
      </c>
      <c r="CD187" s="1007">
        <f t="shared" si="183"/>
        <v>0</v>
      </c>
      <c r="CE187" s="1007">
        <f t="shared" si="183"/>
        <v>0</v>
      </c>
      <c r="CF187" s="1007">
        <f t="shared" si="183"/>
        <v>0</v>
      </c>
      <c r="CG187" s="1007">
        <f t="shared" si="183"/>
        <v>0</v>
      </c>
      <c r="CH187" s="1007">
        <f t="shared" si="183"/>
        <v>0</v>
      </c>
      <c r="CI187" s="1007">
        <f t="shared" si="183"/>
        <v>0</v>
      </c>
      <c r="CJ187" s="1007"/>
      <c r="CK187" s="1007"/>
      <c r="CL187" s="1007">
        <f t="shared" si="184"/>
        <v>0</v>
      </c>
      <c r="CM187" s="1010">
        <f t="shared" si="185"/>
        <v>0</v>
      </c>
      <c r="CN187" s="1007">
        <f t="shared" si="176"/>
        <v>0</v>
      </c>
      <c r="CO187" s="1007"/>
      <c r="CP187" s="1007"/>
      <c r="CQ187" s="1007"/>
      <c r="CR187" s="1007"/>
      <c r="CS187" s="1007"/>
      <c r="CT187" s="1007"/>
      <c r="CU187" s="1007"/>
      <c r="CV187" s="1007"/>
      <c r="CW187" s="1007"/>
      <c r="CX187" s="1007"/>
      <c r="CY187" s="1007"/>
      <c r="CZ187" s="1007"/>
      <c r="DA187" s="1007"/>
      <c r="DB187" s="1007"/>
      <c r="DC187" s="1007"/>
      <c r="DD187" s="1007"/>
      <c r="DE187" s="1007"/>
      <c r="DF187" s="1007"/>
      <c r="DG187" s="1007"/>
      <c r="DH187" s="1007"/>
      <c r="DI187" s="1010">
        <f t="shared" si="186"/>
        <v>1</v>
      </c>
      <c r="DJ187" s="1007">
        <f t="shared" si="177"/>
        <v>5000000</v>
      </c>
      <c r="DK187" s="1007"/>
      <c r="DL187" s="1007"/>
      <c r="DM187" s="1007"/>
      <c r="DN187" s="1007">
        <f t="shared" si="163"/>
        <v>0</v>
      </c>
      <c r="DO187" s="1007">
        <f t="shared" si="163"/>
        <v>0</v>
      </c>
      <c r="DP187" s="1007">
        <f t="shared" si="163"/>
        <v>5000000</v>
      </c>
      <c r="DQ187" s="1007">
        <f t="shared" si="163"/>
        <v>0</v>
      </c>
      <c r="DR187" s="1007"/>
      <c r="DS187" s="1007">
        <f t="shared" si="187"/>
        <v>0</v>
      </c>
      <c r="DT187" s="1007">
        <f t="shared" si="187"/>
        <v>0</v>
      </c>
      <c r="DU187" s="1007"/>
      <c r="DV187" s="1007">
        <f t="shared" si="188"/>
        <v>0</v>
      </c>
      <c r="DW187" s="1007">
        <f t="shared" si="188"/>
        <v>0</v>
      </c>
      <c r="DX187" s="1007">
        <f t="shared" si="188"/>
        <v>0</v>
      </c>
      <c r="DY187" s="1007">
        <f t="shared" si="189"/>
        <v>0</v>
      </c>
      <c r="DZ187" s="1007">
        <f t="shared" si="189"/>
        <v>0</v>
      </c>
      <c r="EA187" s="1007">
        <f t="shared" si="189"/>
        <v>0</v>
      </c>
      <c r="EB187" s="1007">
        <f t="shared" si="189"/>
        <v>0</v>
      </c>
      <c r="EC187" s="1007">
        <f t="shared" si="189"/>
        <v>0</v>
      </c>
      <c r="ED187" s="1007">
        <f t="shared" si="189"/>
        <v>0</v>
      </c>
    </row>
    <row r="188" spans="1:134" ht="51" customHeight="1" x14ac:dyDescent="0.25">
      <c r="A188" s="1590"/>
      <c r="B188" s="989"/>
      <c r="C188" s="852" t="s">
        <v>4649</v>
      </c>
      <c r="D188" s="1018" t="s">
        <v>4645</v>
      </c>
      <c r="E188" s="994">
        <v>510</v>
      </c>
      <c r="F188" s="1094" t="s">
        <v>4482</v>
      </c>
      <c r="G188" s="1429"/>
      <c r="H188" s="1060">
        <f t="shared" si="143"/>
        <v>23930000</v>
      </c>
      <c r="I188" s="1060">
        <f t="shared" si="144"/>
        <v>87070000</v>
      </c>
      <c r="J188" s="1283"/>
      <c r="K188" s="1605"/>
      <c r="L188" s="1198"/>
      <c r="M188" s="1097">
        <v>0</v>
      </c>
      <c r="N188" s="1097">
        <v>0</v>
      </c>
      <c r="O188" s="1097">
        <v>0</v>
      </c>
      <c r="P188" s="1097">
        <v>0</v>
      </c>
      <c r="Q188" s="1097">
        <v>0</v>
      </c>
      <c r="R188" s="1097">
        <v>0</v>
      </c>
      <c r="S188" s="1094"/>
      <c r="T188" s="1094"/>
      <c r="U188" s="1094"/>
      <c r="V188" s="1094"/>
      <c r="W188" s="1094"/>
      <c r="X188" s="1094"/>
      <c r="Y188" s="1007">
        <f t="shared" si="173"/>
        <v>111000000</v>
      </c>
      <c r="Z188" s="944"/>
      <c r="AA188" s="1007"/>
      <c r="AB188" s="1007"/>
      <c r="AC188" s="1007"/>
      <c r="AD188" s="1007"/>
      <c r="AE188" s="1007">
        <v>111000000</v>
      </c>
      <c r="AF188" s="1007"/>
      <c r="AG188" s="1007"/>
      <c r="AH188" s="1007"/>
      <c r="AI188" s="1007"/>
      <c r="AJ188" s="1007"/>
      <c r="AK188" s="1007"/>
      <c r="AL188" s="1007"/>
      <c r="AM188" s="1007"/>
      <c r="AN188" s="1007"/>
      <c r="AO188" s="1007"/>
      <c r="AP188" s="1007"/>
      <c r="AQ188" s="1007"/>
      <c r="AR188" s="1007"/>
      <c r="AS188" s="1007"/>
      <c r="AU188" s="1010">
        <f t="shared" si="178"/>
        <v>0.27027027027027029</v>
      </c>
      <c r="AV188" s="1007">
        <f t="shared" si="174"/>
        <v>30000000</v>
      </c>
      <c r="AW188" s="1007"/>
      <c r="AX188" s="1007"/>
      <c r="AY188" s="1007"/>
      <c r="AZ188" s="1007"/>
      <c r="BA188" s="1007"/>
      <c r="BB188" s="1007">
        <f>+'[7]AGOSTO 2015'!$O$2319</f>
        <v>30000000</v>
      </c>
      <c r="BC188" s="1007"/>
      <c r="BD188" s="1007"/>
      <c r="BE188" s="1007"/>
      <c r="BF188" s="1007"/>
      <c r="BG188" s="1007"/>
      <c r="BH188" s="1007"/>
      <c r="BI188" s="1007"/>
      <c r="BJ188" s="1007"/>
      <c r="BK188" s="1007"/>
      <c r="BL188" s="1007"/>
      <c r="BM188" s="1007"/>
      <c r="BN188" s="1007"/>
      <c r="BO188" s="1007"/>
      <c r="BP188" s="1007"/>
      <c r="BQ188" s="1010">
        <f t="shared" si="179"/>
        <v>0.72972972972972971</v>
      </c>
      <c r="BR188" s="1007">
        <f t="shared" si="175"/>
        <v>81000000</v>
      </c>
      <c r="BS188" s="1007">
        <f t="shared" si="180"/>
        <v>0</v>
      </c>
      <c r="BT188" s="1007">
        <f t="shared" si="181"/>
        <v>0</v>
      </c>
      <c r="BU188" s="1007"/>
      <c r="BV188" s="1007">
        <f t="shared" si="162"/>
        <v>0</v>
      </c>
      <c r="BW188" s="1007">
        <f t="shared" si="162"/>
        <v>0</v>
      </c>
      <c r="BX188" s="1007">
        <f t="shared" si="182"/>
        <v>81000000</v>
      </c>
      <c r="BY188" s="1007">
        <f t="shared" si="182"/>
        <v>0</v>
      </c>
      <c r="BZ188" s="1007"/>
      <c r="CA188" s="1007">
        <f t="shared" si="183"/>
        <v>0</v>
      </c>
      <c r="CB188" s="1007">
        <f t="shared" si="183"/>
        <v>0</v>
      </c>
      <c r="CC188" s="1007">
        <f t="shared" si="183"/>
        <v>0</v>
      </c>
      <c r="CD188" s="1007">
        <f t="shared" si="183"/>
        <v>0</v>
      </c>
      <c r="CE188" s="1007">
        <f t="shared" si="183"/>
        <v>0</v>
      </c>
      <c r="CF188" s="1007">
        <f t="shared" si="183"/>
        <v>0</v>
      </c>
      <c r="CG188" s="1007">
        <f t="shared" si="183"/>
        <v>0</v>
      </c>
      <c r="CH188" s="1007">
        <f t="shared" si="183"/>
        <v>0</v>
      </c>
      <c r="CI188" s="1007">
        <f t="shared" si="183"/>
        <v>0</v>
      </c>
      <c r="CJ188" s="1007"/>
      <c r="CK188" s="1007"/>
      <c r="CL188" s="1007">
        <f t="shared" si="184"/>
        <v>0</v>
      </c>
      <c r="CM188" s="1010">
        <f t="shared" si="185"/>
        <v>0.21558558558558558</v>
      </c>
      <c r="CN188" s="1007">
        <f t="shared" si="176"/>
        <v>23930000</v>
      </c>
      <c r="CO188" s="1007"/>
      <c r="CP188" s="1007"/>
      <c r="CQ188" s="1007"/>
      <c r="CR188" s="1007"/>
      <c r="CS188" s="1007"/>
      <c r="CT188" s="1007">
        <f>+'[7]AGOSTO 2015'!$H$2317</f>
        <v>23930000</v>
      </c>
      <c r="CU188" s="1007"/>
      <c r="CV188" s="1007"/>
      <c r="CW188" s="1007"/>
      <c r="CX188" s="1007"/>
      <c r="CY188" s="1007"/>
      <c r="CZ188" s="1007"/>
      <c r="DA188" s="1007"/>
      <c r="DB188" s="1007"/>
      <c r="DC188" s="1007"/>
      <c r="DD188" s="1007"/>
      <c r="DE188" s="1007"/>
      <c r="DF188" s="1007"/>
      <c r="DG188" s="1007"/>
      <c r="DH188" s="1007"/>
      <c r="DI188" s="1010">
        <f t="shared" si="186"/>
        <v>0.7844144144144144</v>
      </c>
      <c r="DJ188" s="1007">
        <f t="shared" si="177"/>
        <v>87070000</v>
      </c>
      <c r="DK188" s="1007"/>
      <c r="DL188" s="1007"/>
      <c r="DM188" s="1007"/>
      <c r="DN188" s="1007">
        <f t="shared" si="163"/>
        <v>0</v>
      </c>
      <c r="DO188" s="1007">
        <f t="shared" si="163"/>
        <v>0</v>
      </c>
      <c r="DP188" s="1007">
        <f t="shared" si="163"/>
        <v>87070000</v>
      </c>
      <c r="DQ188" s="1007">
        <f t="shared" si="163"/>
        <v>0</v>
      </c>
      <c r="DR188" s="1007"/>
      <c r="DS188" s="1007">
        <f t="shared" si="187"/>
        <v>0</v>
      </c>
      <c r="DT188" s="1007">
        <f t="shared" si="187"/>
        <v>0</v>
      </c>
      <c r="DU188" s="1007"/>
      <c r="DV188" s="1007">
        <f t="shared" si="188"/>
        <v>0</v>
      </c>
      <c r="DW188" s="1007">
        <f t="shared" si="188"/>
        <v>0</v>
      </c>
      <c r="DX188" s="1007">
        <f t="shared" si="188"/>
        <v>0</v>
      </c>
      <c r="DY188" s="1007">
        <f t="shared" si="189"/>
        <v>0</v>
      </c>
      <c r="DZ188" s="1007">
        <f t="shared" si="189"/>
        <v>0</v>
      </c>
      <c r="EA188" s="1007">
        <f t="shared" si="189"/>
        <v>0</v>
      </c>
      <c r="EB188" s="1007">
        <f t="shared" si="189"/>
        <v>0</v>
      </c>
      <c r="EC188" s="1007">
        <f t="shared" si="189"/>
        <v>0</v>
      </c>
      <c r="ED188" s="1007">
        <f t="shared" si="189"/>
        <v>0</v>
      </c>
    </row>
    <row r="189" spans="1:134" ht="34.5" customHeight="1" x14ac:dyDescent="0.25">
      <c r="A189" s="1590"/>
      <c r="B189" s="989"/>
      <c r="C189" s="852" t="s">
        <v>4650</v>
      </c>
      <c r="D189" s="1018" t="s">
        <v>4646</v>
      </c>
      <c r="E189" s="994">
        <v>510</v>
      </c>
      <c r="F189" s="1094" t="s">
        <v>4482</v>
      </c>
      <c r="G189" s="1429"/>
      <c r="H189" s="1060">
        <f t="shared" si="143"/>
        <v>0</v>
      </c>
      <c r="I189" s="1060">
        <f t="shared" si="144"/>
        <v>3000000</v>
      </c>
      <c r="J189" s="1283">
        <v>0</v>
      </c>
      <c r="K189" s="1605">
        <v>1</v>
      </c>
      <c r="L189" s="1198">
        <v>50</v>
      </c>
      <c r="M189" s="1097">
        <v>0</v>
      </c>
      <c r="N189" s="1097">
        <v>0</v>
      </c>
      <c r="O189" s="1097">
        <v>0</v>
      </c>
      <c r="P189" s="1097">
        <v>0</v>
      </c>
      <c r="Q189" s="1097">
        <v>0</v>
      </c>
      <c r="R189" s="1097">
        <v>0</v>
      </c>
      <c r="S189" s="1094"/>
      <c r="T189" s="1094"/>
      <c r="U189" s="1094"/>
      <c r="V189" s="1094"/>
      <c r="W189" s="1094"/>
      <c r="X189" s="1094"/>
      <c r="Y189" s="1007">
        <f t="shared" si="173"/>
        <v>3000000</v>
      </c>
      <c r="Z189" s="944"/>
      <c r="AA189" s="1007"/>
      <c r="AB189" s="1007"/>
      <c r="AC189" s="1007"/>
      <c r="AD189" s="1007"/>
      <c r="AE189" s="1007">
        <v>3000000</v>
      </c>
      <c r="AF189" s="1007"/>
      <c r="AG189" s="1007"/>
      <c r="AH189" s="1007"/>
      <c r="AI189" s="1007"/>
      <c r="AJ189" s="1007"/>
      <c r="AK189" s="1007"/>
      <c r="AL189" s="1007"/>
      <c r="AM189" s="1007"/>
      <c r="AN189" s="1007"/>
      <c r="AO189" s="1007"/>
      <c r="AP189" s="1007"/>
      <c r="AQ189" s="1007"/>
      <c r="AR189" s="1007"/>
      <c r="AS189" s="1007"/>
      <c r="AU189" s="1010">
        <f t="shared" si="178"/>
        <v>0</v>
      </c>
      <c r="AV189" s="1007">
        <f t="shared" si="174"/>
        <v>0</v>
      </c>
      <c r="AW189" s="1007"/>
      <c r="AX189" s="1007"/>
      <c r="AY189" s="1007"/>
      <c r="AZ189" s="1007"/>
      <c r="BA189" s="1007"/>
      <c r="BB189" s="1007"/>
      <c r="BC189" s="1007"/>
      <c r="BD189" s="1007"/>
      <c r="BE189" s="1007"/>
      <c r="BF189" s="1007"/>
      <c r="BG189" s="1007"/>
      <c r="BH189" s="1007"/>
      <c r="BI189" s="1007"/>
      <c r="BJ189" s="1007"/>
      <c r="BK189" s="1007"/>
      <c r="BL189" s="1007"/>
      <c r="BM189" s="1007"/>
      <c r="BN189" s="1007"/>
      <c r="BO189" s="1007"/>
      <c r="BP189" s="1007"/>
      <c r="BQ189" s="1010">
        <f t="shared" si="179"/>
        <v>1</v>
      </c>
      <c r="BR189" s="1007">
        <f t="shared" si="175"/>
        <v>3000000</v>
      </c>
      <c r="BS189" s="1007">
        <f t="shared" si="180"/>
        <v>0</v>
      </c>
      <c r="BT189" s="1007">
        <f t="shared" si="181"/>
        <v>0</v>
      </c>
      <c r="BU189" s="1007"/>
      <c r="BV189" s="1007">
        <f t="shared" si="162"/>
        <v>0</v>
      </c>
      <c r="BW189" s="1007">
        <f t="shared" si="162"/>
        <v>0</v>
      </c>
      <c r="BX189" s="1007">
        <f t="shared" si="182"/>
        <v>3000000</v>
      </c>
      <c r="BY189" s="1007">
        <f t="shared" si="182"/>
        <v>0</v>
      </c>
      <c r="BZ189" s="1007"/>
      <c r="CA189" s="1007">
        <f t="shared" si="183"/>
        <v>0</v>
      </c>
      <c r="CB189" s="1007">
        <f t="shared" si="183"/>
        <v>0</v>
      </c>
      <c r="CC189" s="1007">
        <f t="shared" si="183"/>
        <v>0</v>
      </c>
      <c r="CD189" s="1007">
        <f t="shared" si="183"/>
        <v>0</v>
      </c>
      <c r="CE189" s="1007">
        <f t="shared" si="183"/>
        <v>0</v>
      </c>
      <c r="CF189" s="1007">
        <f t="shared" si="183"/>
        <v>0</v>
      </c>
      <c r="CG189" s="1007">
        <f t="shared" si="183"/>
        <v>0</v>
      </c>
      <c r="CH189" s="1007">
        <f t="shared" si="183"/>
        <v>0</v>
      </c>
      <c r="CI189" s="1007">
        <f t="shared" si="183"/>
        <v>0</v>
      </c>
      <c r="CJ189" s="1007"/>
      <c r="CK189" s="1007"/>
      <c r="CL189" s="1007">
        <f t="shared" si="184"/>
        <v>0</v>
      </c>
      <c r="CM189" s="1010">
        <f t="shared" si="185"/>
        <v>0</v>
      </c>
      <c r="CN189" s="1007">
        <f t="shared" si="176"/>
        <v>0</v>
      </c>
      <c r="CO189" s="1007"/>
      <c r="CP189" s="1007"/>
      <c r="CQ189" s="1007"/>
      <c r="CR189" s="1007"/>
      <c r="CS189" s="1007"/>
      <c r="CT189" s="1007"/>
      <c r="CU189" s="1007"/>
      <c r="CV189" s="1007"/>
      <c r="CW189" s="1007"/>
      <c r="CX189" s="1007"/>
      <c r="CY189" s="1007"/>
      <c r="CZ189" s="1007"/>
      <c r="DA189" s="1007"/>
      <c r="DB189" s="1007"/>
      <c r="DC189" s="1007"/>
      <c r="DD189" s="1007"/>
      <c r="DE189" s="1007"/>
      <c r="DF189" s="1007"/>
      <c r="DG189" s="1007"/>
      <c r="DH189" s="1007"/>
      <c r="DI189" s="1010">
        <f t="shared" si="186"/>
        <v>1</v>
      </c>
      <c r="DJ189" s="1007">
        <f t="shared" si="177"/>
        <v>3000000</v>
      </c>
      <c r="DK189" s="1007"/>
      <c r="DL189" s="1007"/>
      <c r="DM189" s="1007"/>
      <c r="DN189" s="1007">
        <f t="shared" si="163"/>
        <v>0</v>
      </c>
      <c r="DO189" s="1007">
        <f t="shared" si="163"/>
        <v>0</v>
      </c>
      <c r="DP189" s="1007">
        <f t="shared" si="163"/>
        <v>3000000</v>
      </c>
      <c r="DQ189" s="1007">
        <f t="shared" si="163"/>
        <v>0</v>
      </c>
      <c r="DR189" s="1007"/>
      <c r="DS189" s="1007">
        <f t="shared" si="187"/>
        <v>0</v>
      </c>
      <c r="DT189" s="1007">
        <f t="shared" si="187"/>
        <v>0</v>
      </c>
      <c r="DU189" s="1007"/>
      <c r="DV189" s="1007">
        <f t="shared" si="188"/>
        <v>0</v>
      </c>
      <c r="DW189" s="1007">
        <f t="shared" si="188"/>
        <v>0</v>
      </c>
      <c r="DX189" s="1007">
        <f t="shared" si="188"/>
        <v>0</v>
      </c>
      <c r="DY189" s="1007">
        <f t="shared" si="189"/>
        <v>0</v>
      </c>
      <c r="DZ189" s="1007">
        <f t="shared" si="189"/>
        <v>0</v>
      </c>
      <c r="EA189" s="1007">
        <f t="shared" si="189"/>
        <v>0</v>
      </c>
      <c r="EB189" s="1007">
        <f t="shared" si="189"/>
        <v>0</v>
      </c>
      <c r="EC189" s="1007">
        <f t="shared" si="189"/>
        <v>0</v>
      </c>
      <c r="ED189" s="1007">
        <f t="shared" si="189"/>
        <v>0</v>
      </c>
    </row>
    <row r="190" spans="1:134" ht="23.25" customHeight="1" x14ac:dyDescent="0.25">
      <c r="A190" s="1590"/>
      <c r="B190" s="989"/>
      <c r="C190" s="852" t="s">
        <v>4678</v>
      </c>
      <c r="D190" s="1018" t="s">
        <v>4677</v>
      </c>
      <c r="E190" s="994">
        <v>510</v>
      </c>
      <c r="F190" s="1094" t="s">
        <v>4482</v>
      </c>
      <c r="G190" s="1430"/>
      <c r="H190" s="1060">
        <f t="shared" si="143"/>
        <v>80640865</v>
      </c>
      <c r="I190" s="1060">
        <f t="shared" si="144"/>
        <v>19359135</v>
      </c>
      <c r="J190" s="1283"/>
      <c r="K190" s="1605"/>
      <c r="L190" s="1198"/>
      <c r="M190" s="1097">
        <v>9</v>
      </c>
      <c r="N190" s="1097"/>
      <c r="O190" s="1097">
        <v>0</v>
      </c>
      <c r="P190" s="1097">
        <v>56</v>
      </c>
      <c r="Q190" s="1097">
        <v>60</v>
      </c>
      <c r="R190" s="1097">
        <v>33</v>
      </c>
      <c r="S190" s="1094"/>
      <c r="T190" s="1094"/>
      <c r="U190" s="1094"/>
      <c r="V190" s="1094"/>
      <c r="W190" s="1094"/>
      <c r="X190" s="1094"/>
      <c r="Y190" s="1007">
        <f t="shared" si="173"/>
        <v>100000000</v>
      </c>
      <c r="Z190" s="944"/>
      <c r="AA190" s="1007"/>
      <c r="AB190" s="1007"/>
      <c r="AC190" s="1007"/>
      <c r="AD190" s="1007"/>
      <c r="AE190" s="1007"/>
      <c r="AF190" s="1007"/>
      <c r="AG190" s="1007"/>
      <c r="AH190" s="1007"/>
      <c r="AI190" s="1007"/>
      <c r="AJ190" s="1007"/>
      <c r="AK190" s="1007"/>
      <c r="AL190" s="1007"/>
      <c r="AM190" s="1007"/>
      <c r="AN190" s="1007">
        <v>100000000</v>
      </c>
      <c r="AO190" s="1007"/>
      <c r="AP190" s="1007"/>
      <c r="AQ190" s="1007"/>
      <c r="AR190" s="1007"/>
      <c r="AS190" s="1007"/>
      <c r="AU190" s="1010">
        <f t="shared" si="178"/>
        <v>0.99939999999999996</v>
      </c>
      <c r="AV190" s="1007">
        <f t="shared" si="174"/>
        <v>99940000</v>
      </c>
      <c r="AW190" s="1007"/>
      <c r="AX190" s="1007"/>
      <c r="AY190" s="1007"/>
      <c r="AZ190" s="1007"/>
      <c r="BA190" s="1007"/>
      <c r="BB190" s="1007"/>
      <c r="BC190" s="1007"/>
      <c r="BD190" s="1007"/>
      <c r="BE190" s="1007"/>
      <c r="BF190" s="1007"/>
      <c r="BG190" s="1007"/>
      <c r="BH190" s="1007"/>
      <c r="BI190" s="1007"/>
      <c r="BJ190" s="1007"/>
      <c r="BK190" s="1007">
        <f>+'[7]AGOSTO 2015'!$G$2329</f>
        <v>99940000</v>
      </c>
      <c r="BL190" s="1007"/>
      <c r="BM190" s="1007"/>
      <c r="BN190" s="1007"/>
      <c r="BO190" s="1007"/>
      <c r="BP190" s="1007"/>
      <c r="BQ190" s="1010">
        <f t="shared" si="179"/>
        <v>6.0000000000004494E-4</v>
      </c>
      <c r="BR190" s="1007">
        <f t="shared" si="175"/>
        <v>60000</v>
      </c>
      <c r="BS190" s="1007">
        <f t="shared" si="180"/>
        <v>0</v>
      </c>
      <c r="BT190" s="1007">
        <f t="shared" si="181"/>
        <v>0</v>
      </c>
      <c r="BU190" s="1007"/>
      <c r="BV190" s="1007">
        <f t="shared" si="162"/>
        <v>0</v>
      </c>
      <c r="BW190" s="1007">
        <f t="shared" si="162"/>
        <v>0</v>
      </c>
      <c r="BX190" s="1007">
        <f t="shared" si="182"/>
        <v>0</v>
      </c>
      <c r="BY190" s="1007">
        <f t="shared" si="182"/>
        <v>0</v>
      </c>
      <c r="BZ190" s="1007"/>
      <c r="CA190" s="1007">
        <f t="shared" si="183"/>
        <v>0</v>
      </c>
      <c r="CB190" s="1007">
        <f t="shared" si="183"/>
        <v>0</v>
      </c>
      <c r="CC190" s="1007">
        <f t="shared" si="183"/>
        <v>0</v>
      </c>
      <c r="CD190" s="1007">
        <f t="shared" si="183"/>
        <v>0</v>
      </c>
      <c r="CE190" s="1007">
        <f t="shared" si="183"/>
        <v>0</v>
      </c>
      <c r="CF190" s="1007">
        <f t="shared" si="183"/>
        <v>0</v>
      </c>
      <c r="CG190" s="1007">
        <f t="shared" si="183"/>
        <v>60000</v>
      </c>
      <c r="CH190" s="1007">
        <f t="shared" si="183"/>
        <v>0</v>
      </c>
      <c r="CI190" s="1007">
        <f t="shared" si="183"/>
        <v>0</v>
      </c>
      <c r="CJ190" s="1007"/>
      <c r="CK190" s="1007"/>
      <c r="CL190" s="1007">
        <f t="shared" si="184"/>
        <v>0</v>
      </c>
      <c r="CM190" s="1010">
        <f t="shared" si="185"/>
        <v>0.80640864999999995</v>
      </c>
      <c r="CN190" s="1007">
        <f t="shared" si="176"/>
        <v>80640865</v>
      </c>
      <c r="CO190" s="1007"/>
      <c r="CP190" s="1007"/>
      <c r="CQ190" s="1007"/>
      <c r="CR190" s="1007"/>
      <c r="CS190" s="1007"/>
      <c r="CT190" s="1007"/>
      <c r="CU190" s="1007"/>
      <c r="CV190" s="1007"/>
      <c r="CW190" s="1007"/>
      <c r="CX190" s="1007"/>
      <c r="CY190" s="1007"/>
      <c r="CZ190" s="1007"/>
      <c r="DA190" s="1007"/>
      <c r="DB190" s="1007"/>
      <c r="DC190" s="1007">
        <f>+'[8]SEPTIEMBRE 2015'!$H$2839</f>
        <v>80640865</v>
      </c>
      <c r="DD190" s="1007"/>
      <c r="DE190" s="1007"/>
      <c r="DF190" s="1007"/>
      <c r="DG190" s="1007"/>
      <c r="DH190" s="1007"/>
      <c r="DI190" s="1010">
        <f t="shared" si="186"/>
        <v>0.19359135000000005</v>
      </c>
      <c r="DJ190" s="1007">
        <f t="shared" si="177"/>
        <v>19359135</v>
      </c>
      <c r="DK190" s="1007"/>
      <c r="DL190" s="1007"/>
      <c r="DM190" s="1007"/>
      <c r="DN190" s="1007">
        <f t="shared" si="163"/>
        <v>0</v>
      </c>
      <c r="DO190" s="1007">
        <f t="shared" si="163"/>
        <v>0</v>
      </c>
      <c r="DP190" s="1007">
        <f t="shared" si="163"/>
        <v>0</v>
      </c>
      <c r="DQ190" s="1007">
        <f t="shared" si="163"/>
        <v>0</v>
      </c>
      <c r="DR190" s="1007"/>
      <c r="DS190" s="1007">
        <f t="shared" si="187"/>
        <v>0</v>
      </c>
      <c r="DT190" s="1007">
        <f t="shared" si="187"/>
        <v>0</v>
      </c>
      <c r="DU190" s="1007"/>
      <c r="DV190" s="1007">
        <f t="shared" si="188"/>
        <v>0</v>
      </c>
      <c r="DW190" s="1007">
        <f t="shared" si="188"/>
        <v>0</v>
      </c>
      <c r="DX190" s="1007">
        <f t="shared" si="188"/>
        <v>0</v>
      </c>
      <c r="DY190" s="1007">
        <f t="shared" si="189"/>
        <v>19359135</v>
      </c>
      <c r="DZ190" s="1007">
        <f t="shared" si="189"/>
        <v>0</v>
      </c>
      <c r="EA190" s="1007">
        <f t="shared" si="189"/>
        <v>0</v>
      </c>
      <c r="EB190" s="1007">
        <f t="shared" si="189"/>
        <v>0</v>
      </c>
      <c r="EC190" s="1007">
        <f t="shared" si="189"/>
        <v>0</v>
      </c>
      <c r="ED190" s="1007">
        <f t="shared" si="189"/>
        <v>0</v>
      </c>
    </row>
    <row r="191" spans="1:134" s="203" customFormat="1" ht="54" customHeight="1" x14ac:dyDescent="0.25">
      <c r="A191" s="1590"/>
      <c r="B191" s="989" t="s">
        <v>4454</v>
      </c>
      <c r="C191" s="1080" t="s">
        <v>4667</v>
      </c>
      <c r="D191" s="1018" t="s">
        <v>4666</v>
      </c>
      <c r="E191" s="996">
        <v>510</v>
      </c>
      <c r="F191" s="1094" t="s">
        <v>4482</v>
      </c>
      <c r="G191" s="1094">
        <v>5000000</v>
      </c>
      <c r="H191" s="1060">
        <f t="shared" si="143"/>
        <v>0</v>
      </c>
      <c r="I191" s="1060">
        <f t="shared" si="144"/>
        <v>0</v>
      </c>
      <c r="J191" s="1094">
        <v>0</v>
      </c>
      <c r="K191" s="1110">
        <v>1</v>
      </c>
      <c r="L191" s="1097">
        <v>50</v>
      </c>
      <c r="M191" s="1074">
        <v>0</v>
      </c>
      <c r="N191" s="1074">
        <v>0</v>
      </c>
      <c r="O191" s="1074">
        <v>0</v>
      </c>
      <c r="P191" s="1074"/>
      <c r="Q191" s="1074"/>
      <c r="R191" s="1074"/>
      <c r="S191" s="1094"/>
      <c r="T191" s="1094"/>
      <c r="U191" s="1094"/>
      <c r="V191" s="1094"/>
      <c r="W191" s="1094"/>
      <c r="X191" s="1094"/>
      <c r="Y191" s="1066">
        <f t="shared" si="173"/>
        <v>0</v>
      </c>
      <c r="Z191" s="149"/>
      <c r="AA191" s="1066"/>
      <c r="AB191" s="1066"/>
      <c r="AC191" s="1066"/>
      <c r="AD191" s="1066"/>
      <c r="AE191" s="1066">
        <f>5000000-5000000</f>
        <v>0</v>
      </c>
      <c r="AF191" s="1066"/>
      <c r="AG191" s="1066"/>
      <c r="AH191" s="1066"/>
      <c r="AI191" s="1066"/>
      <c r="AJ191" s="1066"/>
      <c r="AK191" s="1066"/>
      <c r="AL191" s="1066"/>
      <c r="AM191" s="1066"/>
      <c r="AN191" s="1066"/>
      <c r="AO191" s="1066"/>
      <c r="AP191" s="1066"/>
      <c r="AQ191" s="1066"/>
      <c r="AR191" s="1066"/>
      <c r="AS191" s="1066"/>
      <c r="AU191" s="1081" t="e">
        <f t="shared" si="178"/>
        <v>#DIV/0!</v>
      </c>
      <c r="AV191" s="1066">
        <f t="shared" si="174"/>
        <v>0</v>
      </c>
      <c r="AW191" s="1066"/>
      <c r="AX191" s="1066"/>
      <c r="AY191" s="1066"/>
      <c r="AZ191" s="1066"/>
      <c r="BA191" s="1066"/>
      <c r="BB191" s="1066"/>
      <c r="BC191" s="1066"/>
      <c r="BD191" s="1066"/>
      <c r="BE191" s="1066"/>
      <c r="BF191" s="1066"/>
      <c r="BG191" s="1066"/>
      <c r="BH191" s="1066"/>
      <c r="BI191" s="1066"/>
      <c r="BJ191" s="1066"/>
      <c r="BK191" s="1066"/>
      <c r="BL191" s="1066"/>
      <c r="BM191" s="1066"/>
      <c r="BN191" s="1066"/>
      <c r="BO191" s="1066"/>
      <c r="BP191" s="1066"/>
      <c r="BQ191" s="1081" t="e">
        <f t="shared" si="179"/>
        <v>#DIV/0!</v>
      </c>
      <c r="BR191" s="1066">
        <f t="shared" si="175"/>
        <v>0</v>
      </c>
      <c r="BS191" s="1066">
        <f t="shared" si="180"/>
        <v>0</v>
      </c>
      <c r="BT191" s="1066">
        <f t="shared" si="181"/>
        <v>0</v>
      </c>
      <c r="BU191" s="1066"/>
      <c r="BV191" s="1066">
        <f t="shared" si="162"/>
        <v>0</v>
      </c>
      <c r="BW191" s="1066">
        <f t="shared" si="162"/>
        <v>0</v>
      </c>
      <c r="BX191" s="1066">
        <f t="shared" si="182"/>
        <v>0</v>
      </c>
      <c r="BY191" s="1066">
        <f t="shared" si="182"/>
        <v>0</v>
      </c>
      <c r="BZ191" s="1066"/>
      <c r="CA191" s="1066">
        <f t="shared" si="183"/>
        <v>0</v>
      </c>
      <c r="CB191" s="1066">
        <f t="shared" si="183"/>
        <v>0</v>
      </c>
      <c r="CC191" s="1066">
        <f t="shared" si="183"/>
        <v>0</v>
      </c>
      <c r="CD191" s="1066">
        <f t="shared" si="183"/>
        <v>0</v>
      </c>
      <c r="CE191" s="1066">
        <f t="shared" si="183"/>
        <v>0</v>
      </c>
      <c r="CF191" s="1066">
        <f t="shared" si="183"/>
        <v>0</v>
      </c>
      <c r="CG191" s="1066">
        <f t="shared" si="183"/>
        <v>0</v>
      </c>
      <c r="CH191" s="1066">
        <f t="shared" si="183"/>
        <v>0</v>
      </c>
      <c r="CI191" s="1066">
        <f t="shared" si="183"/>
        <v>0</v>
      </c>
      <c r="CJ191" s="1066"/>
      <c r="CK191" s="1066"/>
      <c r="CL191" s="1066">
        <f t="shared" si="184"/>
        <v>0</v>
      </c>
      <c r="CM191" s="1081" t="e">
        <f t="shared" si="185"/>
        <v>#DIV/0!</v>
      </c>
      <c r="CN191" s="1066">
        <f t="shared" si="176"/>
        <v>0</v>
      </c>
      <c r="CO191" s="1066"/>
      <c r="CP191" s="1066"/>
      <c r="CQ191" s="1066"/>
      <c r="CR191" s="1066"/>
      <c r="CS191" s="1066"/>
      <c r="CT191" s="1066"/>
      <c r="CU191" s="1066"/>
      <c r="CV191" s="1066"/>
      <c r="CW191" s="1066"/>
      <c r="CX191" s="1066"/>
      <c r="CY191" s="1066"/>
      <c r="CZ191" s="1066"/>
      <c r="DA191" s="1066"/>
      <c r="DB191" s="1066"/>
      <c r="DC191" s="1066"/>
      <c r="DD191" s="1066"/>
      <c r="DE191" s="1066"/>
      <c r="DF191" s="1066"/>
      <c r="DG191" s="1066"/>
      <c r="DH191" s="1066"/>
      <c r="DI191" s="1081" t="e">
        <f t="shared" si="186"/>
        <v>#DIV/0!</v>
      </c>
      <c r="DJ191" s="1066">
        <f t="shared" si="177"/>
        <v>0</v>
      </c>
      <c r="DK191" s="1066"/>
      <c r="DL191" s="1066"/>
      <c r="DM191" s="1066"/>
      <c r="DN191" s="1066">
        <f t="shared" si="163"/>
        <v>0</v>
      </c>
      <c r="DO191" s="1066">
        <f t="shared" si="163"/>
        <v>0</v>
      </c>
      <c r="DP191" s="1066">
        <f t="shared" si="163"/>
        <v>0</v>
      </c>
      <c r="DQ191" s="1066">
        <f t="shared" si="163"/>
        <v>0</v>
      </c>
      <c r="DR191" s="1066"/>
      <c r="DS191" s="1066">
        <f t="shared" si="187"/>
        <v>0</v>
      </c>
      <c r="DT191" s="1066">
        <f t="shared" si="187"/>
        <v>0</v>
      </c>
      <c r="DU191" s="1066"/>
      <c r="DV191" s="1066">
        <f t="shared" si="188"/>
        <v>0</v>
      </c>
      <c r="DW191" s="1066">
        <f t="shared" si="188"/>
        <v>0</v>
      </c>
      <c r="DX191" s="1066">
        <f t="shared" si="188"/>
        <v>0</v>
      </c>
      <c r="DY191" s="1066">
        <f t="shared" si="189"/>
        <v>0</v>
      </c>
      <c r="DZ191" s="1066">
        <f t="shared" si="189"/>
        <v>0</v>
      </c>
      <c r="EA191" s="1066">
        <f t="shared" si="189"/>
        <v>0</v>
      </c>
      <c r="EB191" s="1066">
        <f t="shared" si="189"/>
        <v>0</v>
      </c>
      <c r="EC191" s="1066">
        <f t="shared" si="189"/>
        <v>0</v>
      </c>
      <c r="ED191" s="1066">
        <f t="shared" si="189"/>
        <v>0</v>
      </c>
    </row>
    <row r="192" spans="1:134" ht="48.75" customHeight="1" x14ac:dyDescent="0.25">
      <c r="A192" s="1590"/>
      <c r="B192" s="989" t="s">
        <v>4455</v>
      </c>
      <c r="C192" s="1092" t="s">
        <v>4664</v>
      </c>
      <c r="D192" s="1018" t="s">
        <v>4663</v>
      </c>
      <c r="E192" s="994">
        <v>310</v>
      </c>
      <c r="F192" s="1094" t="s">
        <v>4482</v>
      </c>
      <c r="G192" s="1428">
        <v>287000000</v>
      </c>
      <c r="H192" s="1060">
        <f t="shared" si="143"/>
        <v>180676074</v>
      </c>
      <c r="I192" s="1060">
        <f t="shared" si="144"/>
        <v>92668347</v>
      </c>
      <c r="J192" s="1283">
        <v>180</v>
      </c>
      <c r="K192" s="1198">
        <v>206</v>
      </c>
      <c r="L192" s="1198">
        <v>206</v>
      </c>
      <c r="M192" s="1097">
        <v>18</v>
      </c>
      <c r="N192" s="1097">
        <v>32</v>
      </c>
      <c r="O192" s="1097">
        <v>6</v>
      </c>
      <c r="P192" s="1097">
        <v>53</v>
      </c>
      <c r="Q192" s="1097">
        <v>32</v>
      </c>
      <c r="R192" s="1097">
        <v>17</v>
      </c>
      <c r="S192" s="1094"/>
      <c r="T192" s="1094"/>
      <c r="U192" s="1094"/>
      <c r="V192" s="1094"/>
      <c r="W192" s="1094"/>
      <c r="X192" s="1094"/>
      <c r="Y192" s="1007">
        <f t="shared" si="173"/>
        <v>273344421</v>
      </c>
      <c r="Z192" s="944"/>
      <c r="AA192" s="1007"/>
      <c r="AB192" s="1007"/>
      <c r="AC192" s="1007"/>
      <c r="AD192" s="1007"/>
      <c r="AE192" s="1007"/>
      <c r="AF192" s="1007"/>
      <c r="AG192" s="1007"/>
      <c r="AH192" s="1007"/>
      <c r="AI192" s="1007"/>
      <c r="AJ192" s="1007"/>
      <c r="AK192" s="1007"/>
      <c r="AL192" s="1007"/>
      <c r="AM192" s="1007"/>
      <c r="AN192" s="1007"/>
      <c r="AO192" s="1007">
        <f>273344421</f>
        <v>273344421</v>
      </c>
      <c r="AP192" s="1007"/>
      <c r="AQ192" s="1007"/>
      <c r="AR192" s="1007"/>
      <c r="AS192" s="1007"/>
      <c r="AU192" s="1010">
        <f t="shared" si="178"/>
        <v>1</v>
      </c>
      <c r="AV192" s="1007">
        <f t="shared" si="174"/>
        <v>273344421</v>
      </c>
      <c r="AW192" s="1007"/>
      <c r="AX192" s="1007"/>
      <c r="AY192" s="1007"/>
      <c r="AZ192" s="1007"/>
      <c r="BA192" s="1007"/>
      <c r="BB192" s="1007"/>
      <c r="BC192" s="1007"/>
      <c r="BD192" s="1007"/>
      <c r="BE192" s="1007"/>
      <c r="BF192" s="1007"/>
      <c r="BG192" s="1007"/>
      <c r="BH192" s="1007"/>
      <c r="BI192" s="1007"/>
      <c r="BJ192" s="1007"/>
      <c r="BK192" s="1007"/>
      <c r="BL192" s="1007">
        <f>+'[12]FEBRERO 2015'!$X$334</f>
        <v>273344421</v>
      </c>
      <c r="BM192" s="1007"/>
      <c r="BN192" s="1007"/>
      <c r="BO192" s="1007"/>
      <c r="BP192" s="1007"/>
      <c r="BQ192" s="1010">
        <f t="shared" si="179"/>
        <v>0</v>
      </c>
      <c r="BR192" s="1007">
        <f t="shared" si="175"/>
        <v>0</v>
      </c>
      <c r="BS192" s="1007">
        <f t="shared" si="180"/>
        <v>0</v>
      </c>
      <c r="BT192" s="1007">
        <f t="shared" si="181"/>
        <v>0</v>
      </c>
      <c r="BU192" s="1007"/>
      <c r="BV192" s="1007">
        <f t="shared" si="162"/>
        <v>0</v>
      </c>
      <c r="BW192" s="1007">
        <f t="shared" si="162"/>
        <v>0</v>
      </c>
      <c r="BX192" s="1007">
        <f t="shared" si="182"/>
        <v>0</v>
      </c>
      <c r="BY192" s="1007">
        <f t="shared" si="182"/>
        <v>0</v>
      </c>
      <c r="BZ192" s="1007"/>
      <c r="CA192" s="1007">
        <f t="shared" si="183"/>
        <v>0</v>
      </c>
      <c r="CB192" s="1007">
        <f t="shared" si="183"/>
        <v>0</v>
      </c>
      <c r="CC192" s="1007">
        <f t="shared" si="183"/>
        <v>0</v>
      </c>
      <c r="CD192" s="1007">
        <f t="shared" si="183"/>
        <v>0</v>
      </c>
      <c r="CE192" s="1007">
        <f t="shared" si="183"/>
        <v>0</v>
      </c>
      <c r="CF192" s="1007">
        <f t="shared" si="183"/>
        <v>0</v>
      </c>
      <c r="CG192" s="1007">
        <f t="shared" si="183"/>
        <v>0</v>
      </c>
      <c r="CH192" s="1007">
        <f t="shared" si="183"/>
        <v>0</v>
      </c>
      <c r="CI192" s="1007">
        <f t="shared" si="183"/>
        <v>0</v>
      </c>
      <c r="CJ192" s="1007"/>
      <c r="CK192" s="1007"/>
      <c r="CL192" s="1007">
        <f t="shared" si="184"/>
        <v>0</v>
      </c>
      <c r="CM192" s="1010">
        <f t="shared" si="185"/>
        <v>0.66098321428700391</v>
      </c>
      <c r="CN192" s="1007">
        <f t="shared" si="176"/>
        <v>180676074</v>
      </c>
      <c r="CO192" s="1007"/>
      <c r="CP192" s="1007"/>
      <c r="CQ192" s="1007"/>
      <c r="CR192" s="1007"/>
      <c r="CS192" s="1007"/>
      <c r="CT192" s="1007"/>
      <c r="CU192" s="1007"/>
      <c r="CV192" s="1007"/>
      <c r="CW192" s="1007"/>
      <c r="CX192" s="1007"/>
      <c r="CY192" s="1007"/>
      <c r="CZ192" s="1007"/>
      <c r="DA192" s="1007"/>
      <c r="DB192" s="1007"/>
      <c r="DC192" s="1007"/>
      <c r="DD192" s="1007">
        <f>+'[8]SEPTIEMBRE 2015'!$H$807</f>
        <v>180676074</v>
      </c>
      <c r="DE192" s="1007"/>
      <c r="DF192" s="1007"/>
      <c r="DG192" s="1007"/>
      <c r="DH192" s="1007"/>
      <c r="DI192" s="1010">
        <f t="shared" si="186"/>
        <v>0.33901678571299609</v>
      </c>
      <c r="DJ192" s="1007">
        <f t="shared" si="177"/>
        <v>92668347</v>
      </c>
      <c r="DK192" s="1007"/>
      <c r="DL192" s="1007"/>
      <c r="DM192" s="1007"/>
      <c r="DN192" s="1007">
        <f t="shared" si="163"/>
        <v>0</v>
      </c>
      <c r="DO192" s="1007">
        <f t="shared" si="163"/>
        <v>0</v>
      </c>
      <c r="DP192" s="1007">
        <f t="shared" si="163"/>
        <v>0</v>
      </c>
      <c r="DQ192" s="1007">
        <f t="shared" si="163"/>
        <v>0</v>
      </c>
      <c r="DR192" s="1007"/>
      <c r="DS192" s="1007">
        <f t="shared" si="187"/>
        <v>0</v>
      </c>
      <c r="DT192" s="1007">
        <f t="shared" si="187"/>
        <v>0</v>
      </c>
      <c r="DU192" s="1007"/>
      <c r="DV192" s="1007">
        <f t="shared" si="188"/>
        <v>0</v>
      </c>
      <c r="DW192" s="1007">
        <f t="shared" si="188"/>
        <v>0</v>
      </c>
      <c r="DX192" s="1007">
        <f t="shared" si="188"/>
        <v>0</v>
      </c>
      <c r="DY192" s="1007">
        <f t="shared" si="189"/>
        <v>0</v>
      </c>
      <c r="DZ192" s="1007">
        <f t="shared" si="189"/>
        <v>92668347</v>
      </c>
      <c r="EA192" s="1007">
        <f t="shared" si="189"/>
        <v>0</v>
      </c>
      <c r="EB192" s="1007">
        <f t="shared" si="189"/>
        <v>0</v>
      </c>
      <c r="EC192" s="1007">
        <f t="shared" si="189"/>
        <v>0</v>
      </c>
      <c r="ED192" s="1007">
        <f t="shared" si="189"/>
        <v>0</v>
      </c>
    </row>
    <row r="193" spans="1:134" ht="45" customHeight="1" x14ac:dyDescent="0.25">
      <c r="A193" s="1590"/>
      <c r="B193" s="1006"/>
      <c r="C193" s="1092" t="s">
        <v>4665</v>
      </c>
      <c r="D193" s="1018" t="s">
        <v>4546</v>
      </c>
      <c r="E193" s="1049">
        <v>310</v>
      </c>
      <c r="F193" s="1094" t="s">
        <v>4547</v>
      </c>
      <c r="G193" s="1430"/>
      <c r="H193" s="1060">
        <f t="shared" si="143"/>
        <v>11972498</v>
      </c>
      <c r="I193" s="1060">
        <f t="shared" si="144"/>
        <v>18027502</v>
      </c>
      <c r="J193" s="1283"/>
      <c r="K193" s="1198"/>
      <c r="L193" s="1198"/>
      <c r="M193" s="1097">
        <v>13</v>
      </c>
      <c r="N193" s="1097">
        <v>0</v>
      </c>
      <c r="O193" s="1097">
        <v>0</v>
      </c>
      <c r="P193" s="1097">
        <v>16</v>
      </c>
      <c r="Q193" s="1097">
        <v>0</v>
      </c>
      <c r="R193" s="1097">
        <v>0</v>
      </c>
      <c r="S193" s="1094"/>
      <c r="T193" s="1094"/>
      <c r="U193" s="1094"/>
      <c r="V193" s="1094"/>
      <c r="W193" s="1094"/>
      <c r="X193" s="1094"/>
      <c r="Y193" s="1007">
        <f t="shared" si="173"/>
        <v>30000000</v>
      </c>
      <c r="Z193" s="995"/>
      <c r="AA193" s="995"/>
      <c r="AB193" s="995"/>
      <c r="AC193" s="995"/>
      <c r="AD193" s="995"/>
      <c r="AE193" s="995"/>
      <c r="AF193" s="995"/>
      <c r="AG193" s="995"/>
      <c r="AH193" s="995"/>
      <c r="AI193" s="241"/>
      <c r="AJ193" s="241"/>
      <c r="AK193" s="241"/>
      <c r="AL193" s="241"/>
      <c r="AM193" s="241"/>
      <c r="AN193" s="995"/>
      <c r="AO193" s="995"/>
      <c r="AP193" s="995"/>
      <c r="AQ193" s="995"/>
      <c r="AR193" s="995"/>
      <c r="AS193" s="1007">
        <f>10000000+4000000+16000000</f>
        <v>30000000</v>
      </c>
      <c r="AU193" s="1010">
        <f t="shared" si="178"/>
        <v>0.66666666666666663</v>
      </c>
      <c r="AV193" s="1007">
        <f t="shared" si="174"/>
        <v>20000000</v>
      </c>
      <c r="AW193" s="1007"/>
      <c r="AX193" s="1007"/>
      <c r="AY193" s="1007"/>
      <c r="AZ193" s="1007"/>
      <c r="BA193" s="1007"/>
      <c r="BB193" s="1007"/>
      <c r="BC193" s="1007"/>
      <c r="BD193" s="1007"/>
      <c r="BE193" s="1007"/>
      <c r="BF193" s="1007"/>
      <c r="BG193" s="1007"/>
      <c r="BH193" s="1007"/>
      <c r="BI193" s="1007"/>
      <c r="BJ193" s="1007"/>
      <c r="BK193" s="1007"/>
      <c r="BL193" s="1007"/>
      <c r="BM193" s="1007"/>
      <c r="BN193" s="1007"/>
      <c r="BO193" s="1007"/>
      <c r="BP193" s="1007">
        <f>+'[10]JULIO 2015'!$G$716</f>
        <v>20000000</v>
      </c>
      <c r="BQ193" s="1010">
        <f t="shared" si="179"/>
        <v>0.33333333333333337</v>
      </c>
      <c r="BR193" s="1007">
        <f t="shared" si="175"/>
        <v>10000000</v>
      </c>
      <c r="BS193" s="1007">
        <f t="shared" si="180"/>
        <v>0</v>
      </c>
      <c r="BT193" s="1007">
        <f t="shared" si="181"/>
        <v>0</v>
      </c>
      <c r="BU193" s="1007"/>
      <c r="BV193" s="1007">
        <f t="shared" si="162"/>
        <v>0</v>
      </c>
      <c r="BW193" s="1007">
        <f t="shared" si="162"/>
        <v>0</v>
      </c>
      <c r="BX193" s="1007">
        <f t="shared" si="182"/>
        <v>0</v>
      </c>
      <c r="BY193" s="1007">
        <f t="shared" si="182"/>
        <v>0</v>
      </c>
      <c r="BZ193" s="1007"/>
      <c r="CA193" s="1007">
        <f t="shared" si="183"/>
        <v>0</v>
      </c>
      <c r="CB193" s="1007">
        <f t="shared" si="183"/>
        <v>0</v>
      </c>
      <c r="CC193" s="1007">
        <f t="shared" si="183"/>
        <v>0</v>
      </c>
      <c r="CD193" s="1007">
        <f t="shared" si="183"/>
        <v>0</v>
      </c>
      <c r="CE193" s="1007">
        <f t="shared" si="183"/>
        <v>0</v>
      </c>
      <c r="CF193" s="1007">
        <f t="shared" si="183"/>
        <v>0</v>
      </c>
      <c r="CG193" s="1007">
        <f t="shared" si="183"/>
        <v>0</v>
      </c>
      <c r="CH193" s="1007">
        <f t="shared" si="183"/>
        <v>0</v>
      </c>
      <c r="CI193" s="1007">
        <f t="shared" si="183"/>
        <v>0</v>
      </c>
      <c r="CJ193" s="1007"/>
      <c r="CK193" s="1007"/>
      <c r="CL193" s="1007">
        <f t="shared" ref="CL193:CL194" si="190">+AS193-BP193</f>
        <v>10000000</v>
      </c>
      <c r="CM193" s="1010">
        <f t="shared" si="185"/>
        <v>0.39908326666666666</v>
      </c>
      <c r="CN193" s="1007">
        <f t="shared" si="176"/>
        <v>11972498</v>
      </c>
      <c r="CO193" s="1007"/>
      <c r="CP193" s="1007"/>
      <c r="CQ193" s="1007"/>
      <c r="CR193" s="1007"/>
      <c r="CS193" s="1007"/>
      <c r="CT193" s="1007"/>
      <c r="CU193" s="1007"/>
      <c r="CV193" s="1007"/>
      <c r="CW193" s="1007"/>
      <c r="CX193" s="1007"/>
      <c r="CY193" s="1007"/>
      <c r="CZ193" s="1007"/>
      <c r="DA193" s="1007"/>
      <c r="DB193" s="1007"/>
      <c r="DC193" s="1007"/>
      <c r="DD193" s="1007"/>
      <c r="DE193" s="1007"/>
      <c r="DF193" s="1007"/>
      <c r="DG193" s="1007"/>
      <c r="DH193" s="1007">
        <f>+'[8]SEPTIEMBRE 2015'!$H$938</f>
        <v>11972498</v>
      </c>
      <c r="DI193" s="1010">
        <f t="shared" si="186"/>
        <v>0.6009167333333334</v>
      </c>
      <c r="DJ193" s="1007">
        <f t="shared" si="177"/>
        <v>18027502</v>
      </c>
      <c r="DK193" s="1007"/>
      <c r="DL193" s="1007"/>
      <c r="DM193" s="1007"/>
      <c r="DN193" s="1007">
        <f t="shared" si="163"/>
        <v>0</v>
      </c>
      <c r="DO193" s="1007">
        <f t="shared" si="163"/>
        <v>0</v>
      </c>
      <c r="DP193" s="1007">
        <f t="shared" si="163"/>
        <v>0</v>
      </c>
      <c r="DQ193" s="1007">
        <f t="shared" si="163"/>
        <v>0</v>
      </c>
      <c r="DR193" s="1007"/>
      <c r="DS193" s="1007">
        <f t="shared" si="187"/>
        <v>0</v>
      </c>
      <c r="DT193" s="1007">
        <f t="shared" si="187"/>
        <v>0</v>
      </c>
      <c r="DU193" s="1007"/>
      <c r="DV193" s="1007">
        <f t="shared" si="188"/>
        <v>0</v>
      </c>
      <c r="DW193" s="1007">
        <f t="shared" si="188"/>
        <v>0</v>
      </c>
      <c r="DX193" s="1007">
        <f t="shared" si="188"/>
        <v>0</v>
      </c>
      <c r="DY193" s="1007">
        <f t="shared" si="189"/>
        <v>0</v>
      </c>
      <c r="DZ193" s="1007">
        <f t="shared" si="189"/>
        <v>0</v>
      </c>
      <c r="EA193" s="1007">
        <f t="shared" si="189"/>
        <v>0</v>
      </c>
      <c r="EB193" s="1007">
        <f t="shared" si="189"/>
        <v>0</v>
      </c>
      <c r="EC193" s="1007">
        <f t="shared" si="189"/>
        <v>0</v>
      </c>
      <c r="ED193" s="1007">
        <f t="shared" si="189"/>
        <v>18027502</v>
      </c>
    </row>
    <row r="194" spans="1:134" s="203" customFormat="1" ht="24" customHeight="1" x14ac:dyDescent="0.25">
      <c r="A194" s="1590"/>
      <c r="B194" s="1006"/>
      <c r="C194" s="1080" t="s">
        <v>4680</v>
      </c>
      <c r="D194" s="1018" t="s">
        <v>4681</v>
      </c>
      <c r="E194" s="996">
        <v>111</v>
      </c>
      <c r="F194" s="1094" t="s">
        <v>4482</v>
      </c>
      <c r="G194" s="1094"/>
      <c r="H194" s="1060">
        <f t="shared" ref="H194" si="191">+CN194</f>
        <v>0</v>
      </c>
      <c r="I194" s="1060">
        <f t="shared" ref="I194" si="192">Y194-H194</f>
        <v>0</v>
      </c>
      <c r="J194" s="771"/>
      <c r="K194" s="1094"/>
      <c r="L194" s="1094"/>
      <c r="M194" s="1070"/>
      <c r="N194" s="1070"/>
      <c r="O194" s="1070"/>
      <c r="P194" s="1070"/>
      <c r="Q194" s="1070"/>
      <c r="R194" s="1070"/>
      <c r="S194" s="1094"/>
      <c r="T194" s="1094"/>
      <c r="U194" s="1094"/>
      <c r="V194" s="1094"/>
      <c r="W194" s="1094"/>
      <c r="X194" s="1094"/>
      <c r="Y194" s="1066">
        <f>SUM(AA194:AS194)</f>
        <v>0</v>
      </c>
      <c r="Z194" s="241"/>
      <c r="AA194" s="241"/>
      <c r="AB194" s="241"/>
      <c r="AC194" s="241">
        <f>417803755-417803755</f>
        <v>0</v>
      </c>
      <c r="AD194" s="241"/>
      <c r="AE194" s="241"/>
      <c r="AF194" s="241"/>
      <c r="AG194" s="241"/>
      <c r="AH194" s="241"/>
      <c r="AI194" s="241"/>
      <c r="AJ194" s="241"/>
      <c r="AK194" s="241"/>
      <c r="AL194" s="241"/>
      <c r="AM194" s="241"/>
      <c r="AN194" s="241"/>
      <c r="AO194" s="241"/>
      <c r="AP194" s="241"/>
      <c r="AQ194" s="241"/>
      <c r="AR194" s="241"/>
      <c r="AS194" s="1066"/>
      <c r="AU194" s="1081" t="e">
        <f t="shared" si="178"/>
        <v>#DIV/0!</v>
      </c>
      <c r="AV194" s="1066">
        <f t="shared" ref="AV194" si="193">SUM(AW194:BP194)</f>
        <v>0</v>
      </c>
      <c r="AW194" s="1066"/>
      <c r="AX194" s="1066"/>
      <c r="AY194" s="1066"/>
      <c r="AZ194" s="1066"/>
      <c r="BA194" s="1066"/>
      <c r="BB194" s="1066"/>
      <c r="BC194" s="1066"/>
      <c r="BD194" s="1066"/>
      <c r="BE194" s="1066"/>
      <c r="BF194" s="1066"/>
      <c r="BG194" s="1066"/>
      <c r="BH194" s="1066"/>
      <c r="BI194" s="1066"/>
      <c r="BJ194" s="1066"/>
      <c r="BK194" s="1066"/>
      <c r="BL194" s="1066"/>
      <c r="BM194" s="1066"/>
      <c r="BN194" s="1066"/>
      <c r="BO194" s="1066"/>
      <c r="BP194" s="1066"/>
      <c r="BQ194" s="1081" t="e">
        <f t="shared" si="179"/>
        <v>#DIV/0!</v>
      </c>
      <c r="BR194" s="1066">
        <f t="shared" si="175"/>
        <v>0</v>
      </c>
      <c r="BS194" s="1066">
        <f t="shared" si="180"/>
        <v>0</v>
      </c>
      <c r="BT194" s="1066">
        <f t="shared" si="181"/>
        <v>0</v>
      </c>
      <c r="BU194" s="1066"/>
      <c r="BV194" s="1066">
        <f t="shared" si="162"/>
        <v>0</v>
      </c>
      <c r="BW194" s="1066">
        <f t="shared" si="162"/>
        <v>0</v>
      </c>
      <c r="BX194" s="1066">
        <f t="shared" si="182"/>
        <v>0</v>
      </c>
      <c r="BY194" s="1066">
        <f t="shared" si="182"/>
        <v>0</v>
      </c>
      <c r="BZ194" s="1066"/>
      <c r="CA194" s="1066">
        <f t="shared" si="183"/>
        <v>0</v>
      </c>
      <c r="CB194" s="1066">
        <f t="shared" si="183"/>
        <v>0</v>
      </c>
      <c r="CC194" s="1066">
        <f t="shared" si="183"/>
        <v>0</v>
      </c>
      <c r="CD194" s="1066">
        <f t="shared" si="183"/>
        <v>0</v>
      </c>
      <c r="CE194" s="1066">
        <f t="shared" si="183"/>
        <v>0</v>
      </c>
      <c r="CF194" s="1066">
        <f t="shared" si="183"/>
        <v>0</v>
      </c>
      <c r="CG194" s="1066">
        <f t="shared" si="183"/>
        <v>0</v>
      </c>
      <c r="CH194" s="1066">
        <f t="shared" si="183"/>
        <v>0</v>
      </c>
      <c r="CI194" s="1066">
        <f t="shared" si="183"/>
        <v>0</v>
      </c>
      <c r="CJ194" s="1066"/>
      <c r="CK194" s="1066"/>
      <c r="CL194" s="1066">
        <f t="shared" si="190"/>
        <v>0</v>
      </c>
      <c r="CM194" s="1081" t="e">
        <f t="shared" si="185"/>
        <v>#DIV/0!</v>
      </c>
      <c r="CN194" s="1066">
        <f t="shared" si="176"/>
        <v>0</v>
      </c>
      <c r="CO194" s="1066"/>
      <c r="CP194" s="1066"/>
      <c r="CQ194" s="1066"/>
      <c r="CR194" s="1066"/>
      <c r="CS194" s="1066"/>
      <c r="CT194" s="1066"/>
      <c r="CU194" s="1066"/>
      <c r="CV194" s="1066"/>
      <c r="CW194" s="1066"/>
      <c r="CX194" s="1066"/>
      <c r="CY194" s="1066"/>
      <c r="CZ194" s="1066"/>
      <c r="DA194" s="1066"/>
      <c r="DB194" s="1066"/>
      <c r="DC194" s="1066"/>
      <c r="DD194" s="1066"/>
      <c r="DE194" s="1066"/>
      <c r="DF194" s="1066"/>
      <c r="DG194" s="1066"/>
      <c r="DH194" s="1066"/>
      <c r="DI194" s="1081" t="e">
        <f t="shared" si="186"/>
        <v>#DIV/0!</v>
      </c>
      <c r="DJ194" s="1066">
        <f t="shared" si="177"/>
        <v>0</v>
      </c>
      <c r="DK194" s="1066"/>
      <c r="DL194" s="1066"/>
      <c r="DM194" s="1066"/>
      <c r="DN194" s="1066">
        <f t="shared" si="163"/>
        <v>0</v>
      </c>
      <c r="DO194" s="1066">
        <f t="shared" si="163"/>
        <v>0</v>
      </c>
      <c r="DP194" s="1066">
        <f t="shared" si="163"/>
        <v>0</v>
      </c>
      <c r="DQ194" s="1066">
        <f t="shared" si="163"/>
        <v>0</v>
      </c>
      <c r="DR194" s="1066"/>
      <c r="DS194" s="1066">
        <f t="shared" si="187"/>
        <v>0</v>
      </c>
      <c r="DT194" s="1066">
        <f t="shared" si="187"/>
        <v>0</v>
      </c>
      <c r="DU194" s="1066"/>
      <c r="DV194" s="1066">
        <f t="shared" si="188"/>
        <v>0</v>
      </c>
      <c r="DW194" s="1066">
        <f t="shared" si="188"/>
        <v>0</v>
      </c>
      <c r="DX194" s="1066">
        <f t="shared" si="188"/>
        <v>0</v>
      </c>
      <c r="DY194" s="1066">
        <f t="shared" si="189"/>
        <v>0</v>
      </c>
      <c r="DZ194" s="1066">
        <f t="shared" si="189"/>
        <v>0</v>
      </c>
      <c r="EA194" s="1066">
        <f t="shared" si="189"/>
        <v>0</v>
      </c>
      <c r="EB194" s="1066">
        <f t="shared" si="189"/>
        <v>0</v>
      </c>
      <c r="EC194" s="1066">
        <f t="shared" si="189"/>
        <v>0</v>
      </c>
      <c r="ED194" s="1066">
        <f t="shared" si="189"/>
        <v>0</v>
      </c>
    </row>
    <row r="195" spans="1:134" s="948" customFormat="1" ht="25.5" customHeight="1" thickBot="1" x14ac:dyDescent="0.3">
      <c r="A195" s="1058"/>
      <c r="B195" s="1602" t="s">
        <v>4456</v>
      </c>
      <c r="C195" s="1603"/>
      <c r="D195" s="1604"/>
      <c r="E195" s="1002"/>
      <c r="F195" s="1003"/>
      <c r="G195" s="1063">
        <f>SUM(G130:G194)</f>
        <v>20835000000</v>
      </c>
      <c r="H195" s="1063">
        <f>SUM(H130:H194)</f>
        <v>4709181432</v>
      </c>
      <c r="I195" s="1063">
        <f>SUM(I130:I194)</f>
        <v>6422532308</v>
      </c>
      <c r="J195" s="1003"/>
      <c r="K195" s="1003"/>
      <c r="L195" s="1003"/>
      <c r="M195" s="1003"/>
      <c r="N195" s="1003"/>
      <c r="O195" s="1003"/>
      <c r="P195" s="1003"/>
      <c r="Q195" s="1003"/>
      <c r="R195" s="1003"/>
      <c r="S195" s="1003"/>
      <c r="T195" s="1003"/>
      <c r="U195" s="1003"/>
      <c r="V195" s="1003"/>
      <c r="W195" s="1003"/>
      <c r="X195" s="1003"/>
      <c r="Y195" s="1008">
        <f t="shared" ref="Y195:AS195" si="194">SUM(Y130:Y194)</f>
        <v>11131713740</v>
      </c>
      <c r="Z195" s="1008">
        <f t="shared" si="194"/>
        <v>0</v>
      </c>
      <c r="AA195" s="1008">
        <f t="shared" si="194"/>
        <v>0</v>
      </c>
      <c r="AB195" s="1008">
        <f t="shared" si="194"/>
        <v>0</v>
      </c>
      <c r="AC195" s="1008">
        <f t="shared" si="194"/>
        <v>9036421581</v>
      </c>
      <c r="AD195" s="1008">
        <f t="shared" si="194"/>
        <v>20011334</v>
      </c>
      <c r="AE195" s="1008">
        <f t="shared" si="194"/>
        <v>625000000</v>
      </c>
      <c r="AF195" s="1008">
        <f t="shared" si="194"/>
        <v>0</v>
      </c>
      <c r="AG195" s="1008">
        <f t="shared" si="194"/>
        <v>0</v>
      </c>
      <c r="AH195" s="1008">
        <f t="shared" si="194"/>
        <v>0</v>
      </c>
      <c r="AI195" s="1008">
        <f t="shared" si="194"/>
        <v>1940856</v>
      </c>
      <c r="AJ195" s="1008">
        <f t="shared" si="194"/>
        <v>3438802</v>
      </c>
      <c r="AK195" s="1008">
        <f t="shared" si="194"/>
        <v>318664514</v>
      </c>
      <c r="AL195" s="1008">
        <f t="shared" si="194"/>
        <v>0</v>
      </c>
      <c r="AM195" s="1008">
        <f t="shared" si="194"/>
        <v>0</v>
      </c>
      <c r="AN195" s="1008">
        <f t="shared" si="194"/>
        <v>214719551</v>
      </c>
      <c r="AO195" s="1008">
        <f t="shared" si="194"/>
        <v>347080402</v>
      </c>
      <c r="AP195" s="1008">
        <f t="shared" si="194"/>
        <v>0</v>
      </c>
      <c r="AQ195" s="1008">
        <f t="shared" si="194"/>
        <v>0</v>
      </c>
      <c r="AR195" s="1008">
        <f t="shared" si="194"/>
        <v>92524043</v>
      </c>
      <c r="AS195" s="1008">
        <f t="shared" si="194"/>
        <v>471912657</v>
      </c>
      <c r="AU195" s="1011">
        <f t="shared" si="178"/>
        <v>0.54607256815786565</v>
      </c>
      <c r="AV195" s="1008">
        <f>SUM(AV130:AV194)</f>
        <v>6078723510</v>
      </c>
      <c r="AW195" s="1008">
        <f>SUM(AW130:AW194)</f>
        <v>0</v>
      </c>
      <c r="AX195" s="1008">
        <f>SUM(AX130:AX194)</f>
        <v>0</v>
      </c>
      <c r="AY195" s="1008"/>
      <c r="AZ195" s="1008">
        <f t="shared" ref="AZ195:BP195" si="195">SUM(AZ130:AZ194)</f>
        <v>4720183661</v>
      </c>
      <c r="BA195" s="1008">
        <f t="shared" si="195"/>
        <v>17503290</v>
      </c>
      <c r="BB195" s="1008">
        <f t="shared" si="195"/>
        <v>479581957</v>
      </c>
      <c r="BC195" s="1008">
        <f t="shared" si="195"/>
        <v>0</v>
      </c>
      <c r="BD195" s="1008">
        <f t="shared" si="195"/>
        <v>0</v>
      </c>
      <c r="BE195" s="1008">
        <f t="shared" si="195"/>
        <v>0</v>
      </c>
      <c r="BF195" s="1008">
        <f t="shared" si="195"/>
        <v>0</v>
      </c>
      <c r="BG195" s="1008">
        <f t="shared" si="195"/>
        <v>0</v>
      </c>
      <c r="BH195" s="1008">
        <f t="shared" si="195"/>
        <v>50855038</v>
      </c>
      <c r="BI195" s="1008">
        <f t="shared" si="195"/>
        <v>0</v>
      </c>
      <c r="BJ195" s="1008">
        <f t="shared" si="195"/>
        <v>0</v>
      </c>
      <c r="BK195" s="1008">
        <f t="shared" si="195"/>
        <v>99940000</v>
      </c>
      <c r="BL195" s="1008">
        <f t="shared" si="195"/>
        <v>328740287</v>
      </c>
      <c r="BM195" s="1008">
        <f t="shared" si="195"/>
        <v>0</v>
      </c>
      <c r="BN195" s="1008">
        <f t="shared" si="195"/>
        <v>0</v>
      </c>
      <c r="BO195" s="1008">
        <f t="shared" si="195"/>
        <v>92524043</v>
      </c>
      <c r="BP195" s="1008">
        <f t="shared" si="195"/>
        <v>289395234</v>
      </c>
      <c r="BQ195" s="1011">
        <f t="shared" si="179"/>
        <v>0.45392743184213435</v>
      </c>
      <c r="BR195" s="1008">
        <f>SUM(BR130:BR194)</f>
        <v>5052990230</v>
      </c>
      <c r="BS195" s="1008">
        <f>SUM(BS130:BS194)</f>
        <v>0</v>
      </c>
      <c r="BT195" s="1008">
        <f>SUM(BT130:BT194)</f>
        <v>0</v>
      </c>
      <c r="BU195" s="1008"/>
      <c r="BV195" s="1008">
        <f t="shared" ref="BV195:CL195" si="196">SUM(BV130:BV194)</f>
        <v>4316237920</v>
      </c>
      <c r="BW195" s="1008">
        <f t="shared" si="196"/>
        <v>2508044</v>
      </c>
      <c r="BX195" s="1008">
        <f t="shared" si="196"/>
        <v>145418043</v>
      </c>
      <c r="BY195" s="1008">
        <f t="shared" si="196"/>
        <v>0</v>
      </c>
      <c r="BZ195" s="1008">
        <f t="shared" si="196"/>
        <v>0</v>
      </c>
      <c r="CA195" s="1008">
        <f t="shared" si="196"/>
        <v>0</v>
      </c>
      <c r="CB195" s="1008">
        <f t="shared" si="196"/>
        <v>1940856</v>
      </c>
      <c r="CC195" s="1008">
        <f t="shared" si="196"/>
        <v>3438802</v>
      </c>
      <c r="CD195" s="1008">
        <f t="shared" si="196"/>
        <v>267809476</v>
      </c>
      <c r="CE195" s="1008">
        <f t="shared" si="196"/>
        <v>0</v>
      </c>
      <c r="CF195" s="1008">
        <f t="shared" si="196"/>
        <v>0</v>
      </c>
      <c r="CG195" s="1008">
        <f t="shared" si="196"/>
        <v>114779551</v>
      </c>
      <c r="CH195" s="1008">
        <f t="shared" si="196"/>
        <v>18340115</v>
      </c>
      <c r="CI195" s="1008">
        <f t="shared" si="196"/>
        <v>0</v>
      </c>
      <c r="CJ195" s="1008">
        <f t="shared" si="196"/>
        <v>0</v>
      </c>
      <c r="CK195" s="1008">
        <f t="shared" si="196"/>
        <v>0</v>
      </c>
      <c r="CL195" s="1008">
        <f t="shared" si="196"/>
        <v>182517423</v>
      </c>
      <c r="CM195" s="1011">
        <f t="shared" si="185"/>
        <v>0.4230419090888336</v>
      </c>
      <c r="CN195" s="1008">
        <f>SUM(CN130:CN194)</f>
        <v>4709181432</v>
      </c>
      <c r="CO195" s="1008">
        <f>SUM(CO130:CO194)</f>
        <v>0</v>
      </c>
      <c r="CP195" s="1008">
        <f>SUM(CP130:CP194)</f>
        <v>0</v>
      </c>
      <c r="CQ195" s="1008"/>
      <c r="CR195" s="1008">
        <f t="shared" ref="CR195:DH195" si="197">SUM(CR130:CR194)</f>
        <v>3736197573</v>
      </c>
      <c r="CS195" s="1008">
        <f t="shared" si="197"/>
        <v>12550540</v>
      </c>
      <c r="CT195" s="1008">
        <f t="shared" si="197"/>
        <v>461313282</v>
      </c>
      <c r="CU195" s="1008">
        <f t="shared" si="197"/>
        <v>0</v>
      </c>
      <c r="CV195" s="1008">
        <f t="shared" si="197"/>
        <v>0</v>
      </c>
      <c r="CW195" s="1008">
        <f t="shared" si="197"/>
        <v>0</v>
      </c>
      <c r="CX195" s="1008">
        <f t="shared" si="197"/>
        <v>0</v>
      </c>
      <c r="CY195" s="1008">
        <f t="shared" si="197"/>
        <v>0</v>
      </c>
      <c r="CZ195" s="1008">
        <f t="shared" si="197"/>
        <v>40655038</v>
      </c>
      <c r="DA195" s="1008">
        <f t="shared" si="197"/>
        <v>0</v>
      </c>
      <c r="DB195" s="1008">
        <f t="shared" si="197"/>
        <v>0</v>
      </c>
      <c r="DC195" s="1008">
        <f t="shared" si="197"/>
        <v>80640865</v>
      </c>
      <c r="DD195" s="1008">
        <f t="shared" si="197"/>
        <v>217017957</v>
      </c>
      <c r="DE195" s="1008">
        <f t="shared" si="197"/>
        <v>0</v>
      </c>
      <c r="DF195" s="1008">
        <f t="shared" si="197"/>
        <v>0</v>
      </c>
      <c r="DG195" s="1008">
        <f t="shared" si="197"/>
        <v>0</v>
      </c>
      <c r="DH195" s="1008">
        <f t="shared" si="197"/>
        <v>160806177</v>
      </c>
      <c r="DI195" s="1011">
        <f t="shared" si="186"/>
        <v>0.57695809091116645</v>
      </c>
      <c r="DJ195" s="1008">
        <f t="shared" ref="DJ195:ED195" si="198">SUM(DJ130:DJ194)</f>
        <v>6422532308</v>
      </c>
      <c r="DK195" s="1008">
        <f t="shared" si="198"/>
        <v>0</v>
      </c>
      <c r="DL195" s="1008">
        <f t="shared" si="198"/>
        <v>0</v>
      </c>
      <c r="DM195" s="1008">
        <f t="shared" si="198"/>
        <v>0</v>
      </c>
      <c r="DN195" s="1008">
        <f t="shared" si="198"/>
        <v>5300224008</v>
      </c>
      <c r="DO195" s="1008">
        <f t="shared" si="198"/>
        <v>7460794</v>
      </c>
      <c r="DP195" s="1008">
        <f t="shared" si="198"/>
        <v>163686718</v>
      </c>
      <c r="DQ195" s="1008">
        <f t="shared" si="198"/>
        <v>0</v>
      </c>
      <c r="DR195" s="1008">
        <f t="shared" si="198"/>
        <v>0</v>
      </c>
      <c r="DS195" s="1008">
        <f t="shared" si="198"/>
        <v>0</v>
      </c>
      <c r="DT195" s="1008">
        <f t="shared" si="198"/>
        <v>1940856</v>
      </c>
      <c r="DU195" s="1008">
        <f t="shared" si="198"/>
        <v>3438802</v>
      </c>
      <c r="DV195" s="1008">
        <f t="shared" si="198"/>
        <v>278009476</v>
      </c>
      <c r="DW195" s="1008">
        <f t="shared" si="198"/>
        <v>0</v>
      </c>
      <c r="DX195" s="1008">
        <f t="shared" si="198"/>
        <v>0</v>
      </c>
      <c r="DY195" s="1008">
        <f t="shared" si="198"/>
        <v>134078686</v>
      </c>
      <c r="DZ195" s="1008">
        <f t="shared" si="198"/>
        <v>130062445</v>
      </c>
      <c r="EA195" s="1008">
        <f t="shared" si="198"/>
        <v>0</v>
      </c>
      <c r="EB195" s="1008">
        <f t="shared" si="198"/>
        <v>0</v>
      </c>
      <c r="EC195" s="1008">
        <f t="shared" si="198"/>
        <v>92524043</v>
      </c>
      <c r="ED195" s="1008">
        <f t="shared" si="198"/>
        <v>311106480</v>
      </c>
    </row>
    <row r="196" spans="1:134" ht="12" customHeight="1" thickTop="1" x14ac:dyDescent="0.25">
      <c r="C196" s="963"/>
      <c r="D196" s="963"/>
      <c r="E196" s="963"/>
      <c r="F196" s="963"/>
      <c r="G196" s="963"/>
      <c r="H196" s="963"/>
      <c r="I196" s="963"/>
      <c r="J196" s="963"/>
      <c r="K196" s="963"/>
      <c r="L196" s="963"/>
      <c r="M196" s="963"/>
      <c r="N196" s="963"/>
      <c r="O196" s="963"/>
      <c r="P196" s="963"/>
      <c r="Q196" s="963"/>
      <c r="R196" s="963"/>
      <c r="S196" s="963"/>
      <c r="T196" s="963"/>
      <c r="U196" s="963"/>
      <c r="V196" s="963"/>
      <c r="W196" s="963"/>
      <c r="X196" s="963"/>
      <c r="Y196" s="992"/>
      <c r="Z196" s="992"/>
      <c r="AA196" s="992"/>
      <c r="AB196" s="992"/>
      <c r="AC196" s="993"/>
      <c r="AD196" s="992"/>
      <c r="AE196" s="686"/>
      <c r="AF196" s="686"/>
      <c r="AG196" s="686"/>
      <c r="AH196" s="686"/>
      <c r="AI196" s="686"/>
      <c r="AJ196" s="686"/>
      <c r="AK196" s="686"/>
      <c r="AL196" s="686"/>
      <c r="AM196" s="686"/>
      <c r="AN196" s="686"/>
      <c r="AO196" s="686"/>
      <c r="AP196" s="686"/>
      <c r="AQ196" s="686"/>
      <c r="AR196" s="686"/>
      <c r="AS196" s="686"/>
      <c r="AU196" s="1004"/>
      <c r="AV196" s="875"/>
      <c r="AW196" s="875"/>
      <c r="AX196" s="875"/>
      <c r="AY196" s="875"/>
      <c r="AZ196" s="875"/>
      <c r="BA196" s="875"/>
      <c r="BB196" s="875"/>
      <c r="BC196" s="875"/>
      <c r="BD196" s="875"/>
      <c r="BE196" s="875"/>
      <c r="BF196" s="875"/>
      <c r="BG196" s="875"/>
      <c r="BH196" s="875"/>
      <c r="BI196" s="875"/>
      <c r="BJ196" s="875"/>
      <c r="BK196" s="875"/>
      <c r="BL196" s="875"/>
      <c r="BM196" s="875"/>
      <c r="BN196" s="875"/>
      <c r="BO196" s="875"/>
      <c r="BP196" s="875"/>
      <c r="BQ196" s="1004"/>
      <c r="BR196" s="875"/>
      <c r="BS196" s="875"/>
      <c r="BT196" s="875"/>
      <c r="BU196" s="875"/>
      <c r="BV196" s="875"/>
      <c r="BW196" s="875"/>
      <c r="BX196" s="875"/>
      <c r="BY196" s="875"/>
      <c r="BZ196" s="875"/>
      <c r="CA196" s="875"/>
      <c r="CB196" s="875"/>
      <c r="CC196" s="875"/>
      <c r="CD196" s="875"/>
      <c r="CE196" s="875"/>
      <c r="CF196" s="875"/>
      <c r="CG196" s="875"/>
      <c r="CH196" s="875"/>
      <c r="CI196" s="875"/>
      <c r="CJ196" s="875"/>
      <c r="CK196" s="875"/>
      <c r="CL196" s="875"/>
      <c r="CM196" s="1004"/>
      <c r="CN196" s="1044"/>
      <c r="CO196" s="875"/>
      <c r="CP196" s="875"/>
      <c r="CQ196" s="875"/>
      <c r="CR196" s="875"/>
      <c r="CS196" s="875"/>
      <c r="CT196" s="875"/>
      <c r="CU196" s="875"/>
      <c r="CV196" s="875"/>
      <c r="CW196" s="875"/>
      <c r="CX196" s="875"/>
      <c r="CY196" s="875"/>
      <c r="CZ196" s="875"/>
      <c r="DA196" s="875"/>
      <c r="DB196" s="875"/>
      <c r="DC196" s="875"/>
      <c r="DD196" s="875"/>
      <c r="DE196" s="875"/>
      <c r="DF196" s="875"/>
      <c r="DG196" s="875"/>
      <c r="DH196" s="875"/>
      <c r="DI196" s="1004"/>
      <c r="DJ196" s="875"/>
      <c r="DK196" s="875"/>
      <c r="DL196" s="875"/>
      <c r="DM196" s="875"/>
      <c r="DN196" s="875"/>
      <c r="DO196" s="875"/>
      <c r="DP196" s="875"/>
      <c r="DQ196" s="875"/>
      <c r="DR196" s="875"/>
      <c r="DS196" s="875"/>
      <c r="DT196" s="875"/>
      <c r="DU196" s="875"/>
      <c r="DV196" s="875"/>
      <c r="DW196" s="875"/>
      <c r="DX196" s="875"/>
      <c r="DY196" s="875"/>
      <c r="DZ196" s="875"/>
      <c r="EA196" s="875"/>
      <c r="EB196" s="875"/>
      <c r="EC196" s="875"/>
      <c r="ED196" s="875"/>
    </row>
    <row r="197" spans="1:134" ht="19.5" customHeight="1" x14ac:dyDescent="0.25">
      <c r="C197" s="1207" t="s">
        <v>622</v>
      </c>
      <c r="D197" s="1208"/>
      <c r="E197" s="1217"/>
      <c r="F197" s="242"/>
      <c r="G197" s="875">
        <f>G34+G67+G104+G129+G195</f>
        <v>31953000000</v>
      </c>
      <c r="H197" s="1059">
        <f>H34+H67+H104+H129+H195</f>
        <v>13002235707</v>
      </c>
      <c r="I197" s="1059">
        <f>I34+I67+I104+I129+I195</f>
        <v>12086857596</v>
      </c>
      <c r="J197" s="242"/>
      <c r="K197" s="242"/>
      <c r="L197" s="242"/>
      <c r="M197" s="242"/>
      <c r="N197" s="242"/>
      <c r="O197" s="242"/>
      <c r="P197" s="242"/>
      <c r="Q197" s="242"/>
      <c r="R197" s="242"/>
      <c r="S197" s="242"/>
      <c r="T197" s="242"/>
      <c r="U197" s="242"/>
      <c r="V197" s="242"/>
      <c r="W197" s="242"/>
      <c r="X197" s="242"/>
      <c r="Y197" s="875">
        <f t="shared" ref="Y197:AS197" si="199">Y34+Y67+Y104+Y129+Y195</f>
        <v>25089093303</v>
      </c>
      <c r="Z197" s="875">
        <f t="shared" si="199"/>
        <v>104079469</v>
      </c>
      <c r="AA197" s="875">
        <f t="shared" si="199"/>
        <v>134533656</v>
      </c>
      <c r="AB197" s="875">
        <f t="shared" si="199"/>
        <v>396726534</v>
      </c>
      <c r="AC197" s="875">
        <f t="shared" si="199"/>
        <v>9862143612</v>
      </c>
      <c r="AD197" s="875">
        <f t="shared" si="199"/>
        <v>92895874</v>
      </c>
      <c r="AE197" s="875">
        <f t="shared" si="199"/>
        <v>2509180877</v>
      </c>
      <c r="AF197" s="875">
        <f t="shared" si="199"/>
        <v>1300000000</v>
      </c>
      <c r="AG197" s="875">
        <f t="shared" si="199"/>
        <v>102810569</v>
      </c>
      <c r="AH197" s="875">
        <f t="shared" si="199"/>
        <v>219471348</v>
      </c>
      <c r="AI197" s="875">
        <f t="shared" si="199"/>
        <v>1940856</v>
      </c>
      <c r="AJ197" s="875">
        <f t="shared" si="199"/>
        <v>3438802</v>
      </c>
      <c r="AK197" s="875">
        <f t="shared" si="199"/>
        <v>318664514</v>
      </c>
      <c r="AL197" s="875">
        <f t="shared" si="199"/>
        <v>4114878115</v>
      </c>
      <c r="AM197" s="875">
        <f t="shared" si="199"/>
        <v>1077016006</v>
      </c>
      <c r="AN197" s="875">
        <f t="shared" si="199"/>
        <v>1074256830</v>
      </c>
      <c r="AO197" s="875">
        <f t="shared" si="199"/>
        <v>999377331</v>
      </c>
      <c r="AP197" s="875">
        <f t="shared" si="199"/>
        <v>1181607989</v>
      </c>
      <c r="AQ197" s="875">
        <f t="shared" si="199"/>
        <v>80844085</v>
      </c>
      <c r="AR197" s="875">
        <f t="shared" si="199"/>
        <v>92524043</v>
      </c>
      <c r="AS197" s="875">
        <f t="shared" si="199"/>
        <v>1422702793</v>
      </c>
      <c r="AU197" s="238">
        <f>+AV197/Y197</f>
        <v>0.69682194361760907</v>
      </c>
      <c r="AV197" s="875">
        <f t="shared" ref="AV197:BP197" si="200">AV34+AV67+AV104+AV129+AV195</f>
        <v>17482630759</v>
      </c>
      <c r="AW197" s="875">
        <f t="shared" si="200"/>
        <v>103245422</v>
      </c>
      <c r="AX197" s="875">
        <f t="shared" si="200"/>
        <v>133268976</v>
      </c>
      <c r="AY197" s="875">
        <f t="shared" si="200"/>
        <v>396726534</v>
      </c>
      <c r="AZ197" s="875">
        <f t="shared" si="200"/>
        <v>5545905692</v>
      </c>
      <c r="BA197" s="875">
        <f t="shared" si="200"/>
        <v>17503290</v>
      </c>
      <c r="BB197" s="875">
        <f t="shared" si="200"/>
        <v>2038364580</v>
      </c>
      <c r="BC197" s="875">
        <f t="shared" si="200"/>
        <v>1199755531</v>
      </c>
      <c r="BD197" s="875">
        <f t="shared" si="200"/>
        <v>102810569</v>
      </c>
      <c r="BE197" s="875">
        <f t="shared" si="200"/>
        <v>219471348</v>
      </c>
      <c r="BF197" s="875">
        <f t="shared" si="200"/>
        <v>0</v>
      </c>
      <c r="BG197" s="875">
        <f t="shared" si="200"/>
        <v>0</v>
      </c>
      <c r="BH197" s="875">
        <f t="shared" si="200"/>
        <v>50855038</v>
      </c>
      <c r="BI197" s="875">
        <f t="shared" si="200"/>
        <v>2645702520</v>
      </c>
      <c r="BJ197" s="875">
        <f t="shared" si="200"/>
        <v>911709578</v>
      </c>
      <c r="BK197" s="875">
        <f t="shared" si="200"/>
        <v>749094856</v>
      </c>
      <c r="BL197" s="875">
        <f t="shared" si="200"/>
        <v>915082987</v>
      </c>
      <c r="BM197" s="875">
        <f t="shared" si="200"/>
        <v>1157607989</v>
      </c>
      <c r="BN197" s="875">
        <f t="shared" si="200"/>
        <v>80844085</v>
      </c>
      <c r="BO197" s="875">
        <f t="shared" si="200"/>
        <v>92524043</v>
      </c>
      <c r="BP197" s="875">
        <f t="shared" si="200"/>
        <v>1122157721</v>
      </c>
      <c r="BQ197" s="950">
        <f>1-AU197</f>
        <v>0.30317805638239093</v>
      </c>
      <c r="BR197" s="875">
        <f t="shared" ref="BR197:CL197" si="201">BR34+BR67+BR104+BR129+BR195</f>
        <v>7606462544</v>
      </c>
      <c r="BS197" s="875">
        <f t="shared" si="201"/>
        <v>834047</v>
      </c>
      <c r="BT197" s="875">
        <f t="shared" si="201"/>
        <v>1264680</v>
      </c>
      <c r="BU197" s="875">
        <f t="shared" si="201"/>
        <v>0</v>
      </c>
      <c r="BV197" s="875">
        <f t="shared" si="201"/>
        <v>4316237920</v>
      </c>
      <c r="BW197" s="875">
        <f t="shared" si="201"/>
        <v>75392584</v>
      </c>
      <c r="BX197" s="875">
        <f t="shared" si="201"/>
        <v>470816297</v>
      </c>
      <c r="BY197" s="875">
        <f t="shared" si="201"/>
        <v>100244469</v>
      </c>
      <c r="BZ197" s="875">
        <f t="shared" si="201"/>
        <v>0</v>
      </c>
      <c r="CA197" s="875">
        <f t="shared" si="201"/>
        <v>0</v>
      </c>
      <c r="CB197" s="875">
        <f t="shared" si="201"/>
        <v>1940856</v>
      </c>
      <c r="CC197" s="875">
        <f t="shared" si="201"/>
        <v>3438802</v>
      </c>
      <c r="CD197" s="875">
        <f t="shared" si="201"/>
        <v>267809476</v>
      </c>
      <c r="CE197" s="875">
        <f t="shared" si="201"/>
        <v>1469175595</v>
      </c>
      <c r="CF197" s="875">
        <f t="shared" si="201"/>
        <v>165306428</v>
      </c>
      <c r="CG197" s="875">
        <f t="shared" si="201"/>
        <v>325161974</v>
      </c>
      <c r="CH197" s="875">
        <f t="shared" si="201"/>
        <v>84294344</v>
      </c>
      <c r="CI197" s="875">
        <f t="shared" si="201"/>
        <v>24000000</v>
      </c>
      <c r="CJ197" s="875">
        <f t="shared" si="201"/>
        <v>0</v>
      </c>
      <c r="CK197" s="875">
        <f t="shared" si="201"/>
        <v>0</v>
      </c>
      <c r="CL197" s="875">
        <f t="shared" si="201"/>
        <v>300545072</v>
      </c>
      <c r="CM197" s="950">
        <f>+CN197/Y197</f>
        <v>0.51824255065627556</v>
      </c>
      <c r="CN197" s="875">
        <f t="shared" ref="CN197:ED197" si="202">CN34+CN67+CN104+CN129+CN195</f>
        <v>13002235707</v>
      </c>
      <c r="CO197" s="875">
        <f t="shared" si="202"/>
        <v>57672466</v>
      </c>
      <c r="CP197" s="875">
        <f t="shared" si="202"/>
        <v>133268976</v>
      </c>
      <c r="CQ197" s="875">
        <f t="shared" si="202"/>
        <v>396726534</v>
      </c>
      <c r="CR197" s="875">
        <f t="shared" si="202"/>
        <v>4337667454</v>
      </c>
      <c r="CS197" s="875">
        <f t="shared" si="202"/>
        <v>12550540</v>
      </c>
      <c r="CT197" s="875">
        <f t="shared" si="202"/>
        <v>1755841308</v>
      </c>
      <c r="CU197" s="875">
        <f t="shared" si="202"/>
        <v>942943109</v>
      </c>
      <c r="CV197" s="875">
        <f t="shared" si="202"/>
        <v>102810569</v>
      </c>
      <c r="CW197" s="875">
        <f t="shared" si="202"/>
        <v>129471348</v>
      </c>
      <c r="CX197" s="875">
        <f t="shared" si="202"/>
        <v>0</v>
      </c>
      <c r="CY197" s="875">
        <f t="shared" si="202"/>
        <v>0</v>
      </c>
      <c r="CZ197" s="875">
        <f t="shared" si="202"/>
        <v>40655038</v>
      </c>
      <c r="DA197" s="875">
        <f t="shared" si="202"/>
        <v>1399823494</v>
      </c>
      <c r="DB197" s="875">
        <f t="shared" si="202"/>
        <v>605846601</v>
      </c>
      <c r="DC197" s="875">
        <f t="shared" si="202"/>
        <v>632155275</v>
      </c>
      <c r="DD197" s="875">
        <f t="shared" si="202"/>
        <v>570906811</v>
      </c>
      <c r="DE197" s="875">
        <f t="shared" si="202"/>
        <v>1046363025</v>
      </c>
      <c r="DF197" s="875">
        <f t="shared" si="202"/>
        <v>30228561</v>
      </c>
      <c r="DG197" s="875">
        <f t="shared" si="202"/>
        <v>0</v>
      </c>
      <c r="DH197" s="875">
        <f t="shared" si="202"/>
        <v>807304598</v>
      </c>
      <c r="DI197" s="875">
        <f t="shared" si="202"/>
        <v>15.014959124690225</v>
      </c>
      <c r="DJ197" s="875">
        <f t="shared" si="202"/>
        <v>12086857596</v>
      </c>
      <c r="DK197" s="875">
        <f t="shared" si="202"/>
        <v>46407003</v>
      </c>
      <c r="DL197" s="875">
        <f t="shared" si="202"/>
        <v>1264680</v>
      </c>
      <c r="DM197" s="875">
        <f t="shared" si="202"/>
        <v>0</v>
      </c>
      <c r="DN197" s="875">
        <f t="shared" si="202"/>
        <v>5524476158</v>
      </c>
      <c r="DO197" s="875">
        <f t="shared" si="202"/>
        <v>80345334</v>
      </c>
      <c r="DP197" s="875">
        <f t="shared" si="202"/>
        <v>753339569</v>
      </c>
      <c r="DQ197" s="875">
        <f t="shared" si="202"/>
        <v>357056891</v>
      </c>
      <c r="DR197" s="875">
        <f t="shared" si="202"/>
        <v>0</v>
      </c>
      <c r="DS197" s="875">
        <f t="shared" si="202"/>
        <v>90000000</v>
      </c>
      <c r="DT197" s="875">
        <f t="shared" si="202"/>
        <v>1940856</v>
      </c>
      <c r="DU197" s="875">
        <f t="shared" si="202"/>
        <v>3438802</v>
      </c>
      <c r="DV197" s="875">
        <f t="shared" si="202"/>
        <v>278009476</v>
      </c>
      <c r="DW197" s="875">
        <f t="shared" si="202"/>
        <v>2715054621</v>
      </c>
      <c r="DX197" s="875">
        <f t="shared" si="202"/>
        <v>471169405</v>
      </c>
      <c r="DY197" s="875">
        <f t="shared" si="202"/>
        <v>442101555</v>
      </c>
      <c r="DZ197" s="875">
        <f t="shared" si="202"/>
        <v>428470520</v>
      </c>
      <c r="EA197" s="875">
        <f t="shared" si="202"/>
        <v>135244964</v>
      </c>
      <c r="EB197" s="875">
        <f t="shared" si="202"/>
        <v>50615524</v>
      </c>
      <c r="EC197" s="875">
        <f t="shared" si="202"/>
        <v>92524043</v>
      </c>
      <c r="ED197" s="875">
        <f t="shared" si="202"/>
        <v>615398195</v>
      </c>
    </row>
    <row r="198" spans="1:134" ht="10.5" customHeight="1" x14ac:dyDescent="0.25">
      <c r="C198" s="118"/>
      <c r="D198" s="118"/>
      <c r="E198" s="123"/>
      <c r="F198" s="123"/>
      <c r="G198" s="1091"/>
      <c r="H198" s="123"/>
      <c r="I198" s="123"/>
      <c r="J198" s="123"/>
      <c r="K198" s="123"/>
      <c r="L198" s="123"/>
      <c r="M198" s="123"/>
      <c r="N198" s="123"/>
      <c r="O198" s="123"/>
      <c r="P198" s="123"/>
      <c r="Q198" s="123"/>
      <c r="R198" s="123"/>
      <c r="S198" s="123"/>
      <c r="T198" s="123"/>
      <c r="U198" s="123"/>
      <c r="V198" s="123"/>
      <c r="W198" s="123"/>
      <c r="X198" s="123"/>
      <c r="Y198" s="961"/>
      <c r="Z198" s="961"/>
      <c r="AA198" s="961"/>
      <c r="AB198" s="961"/>
      <c r="AC198" s="979"/>
      <c r="AD198" s="961"/>
      <c r="AE198" s="122"/>
      <c r="AF198" s="122"/>
      <c r="AG198" s="122"/>
      <c r="AH198" s="122"/>
      <c r="AI198" s="122"/>
      <c r="AJ198" s="122"/>
      <c r="AK198" s="122"/>
      <c r="AL198" s="122"/>
      <c r="AM198" s="122"/>
      <c r="AN198" s="122"/>
      <c r="AO198" s="122"/>
      <c r="AP198" s="122"/>
      <c r="AQ198" s="122"/>
      <c r="AR198" s="122"/>
      <c r="AS198" s="122"/>
      <c r="AU198" s="239"/>
      <c r="AV198" s="148"/>
      <c r="AW198" s="148"/>
      <c r="AX198" s="148"/>
      <c r="AY198" s="148"/>
      <c r="AZ198" s="148"/>
      <c r="BA198" s="148"/>
      <c r="BB198" s="122"/>
      <c r="BC198" s="122"/>
      <c r="BD198" s="122"/>
      <c r="BE198" s="122"/>
      <c r="BF198" s="122"/>
      <c r="BG198" s="122"/>
      <c r="BH198" s="122"/>
      <c r="BI198" s="122"/>
      <c r="BJ198" s="122"/>
      <c r="BK198" s="122"/>
      <c r="BL198" s="122"/>
      <c r="BM198" s="122"/>
      <c r="BN198" s="122"/>
      <c r="BO198" s="122"/>
      <c r="BP198" s="122"/>
      <c r="BQ198" s="239"/>
      <c r="BR198" s="148"/>
      <c r="BS198" s="148"/>
      <c r="BT198" s="148"/>
      <c r="BU198" s="148"/>
      <c r="BV198" s="148"/>
      <c r="BW198" s="148"/>
      <c r="BX198" s="207"/>
      <c r="BY198" s="207"/>
      <c r="BZ198" s="207"/>
      <c r="CA198" s="207"/>
      <c r="CB198" s="207"/>
      <c r="CC198" s="207"/>
      <c r="CD198" s="207"/>
      <c r="CE198" s="207"/>
      <c r="CF198" s="207"/>
      <c r="CG198" s="207"/>
      <c r="CH198" s="207"/>
      <c r="CI198" s="207"/>
      <c r="CJ198" s="207"/>
      <c r="CK198" s="207"/>
      <c r="CL198" s="207"/>
      <c r="CM198" s="239"/>
      <c r="CN198" s="1045"/>
      <c r="CO198" s="169"/>
      <c r="CP198" s="169"/>
      <c r="CQ198" s="169"/>
      <c r="CR198" s="169"/>
      <c r="CS198" s="169"/>
      <c r="CT198" s="122"/>
      <c r="CU198" s="122"/>
      <c r="CV198" s="122"/>
      <c r="CW198" s="122"/>
      <c r="CX198" s="122"/>
      <c r="CY198" s="122"/>
      <c r="CZ198" s="122"/>
      <c r="DA198" s="122"/>
      <c r="DB198" s="122"/>
      <c r="DC198" s="122"/>
      <c r="DD198" s="122"/>
      <c r="DE198" s="122"/>
      <c r="DF198" s="122"/>
      <c r="DG198" s="122"/>
      <c r="DH198" s="122"/>
      <c r="DI198" s="1010"/>
      <c r="DJ198" s="1038"/>
      <c r="DK198" s="148"/>
      <c r="DL198" s="148"/>
      <c r="DM198" s="148"/>
      <c r="DN198" s="148"/>
      <c r="DO198" s="148"/>
      <c r="DP198" s="207"/>
      <c r="DQ198" s="207"/>
      <c r="DR198" s="207"/>
      <c r="DS198" s="207"/>
      <c r="DT198" s="207"/>
      <c r="DU198" s="207"/>
      <c r="DV198" s="207"/>
      <c r="DW198" s="207"/>
      <c r="DX198" s="207"/>
      <c r="DY198" s="207"/>
      <c r="DZ198" s="207"/>
      <c r="EA198" s="207"/>
      <c r="EB198" s="207"/>
      <c r="EC198" s="207"/>
      <c r="ED198" s="207"/>
    </row>
    <row r="199" spans="1:134" ht="16.5" customHeight="1" x14ac:dyDescent="0.25">
      <c r="C199" s="1047"/>
      <c r="D199" s="1093" t="s">
        <v>3753</v>
      </c>
      <c r="E199" s="239">
        <v>111</v>
      </c>
      <c r="F199" s="133"/>
      <c r="G199" s="875">
        <f>SUMIF($E$4:$E$194,"111",$G$4:$G$194)</f>
        <v>20073000000</v>
      </c>
      <c r="H199" s="1059">
        <f>SUMIF($E$4:$E$194,"111",$H$4:$H$194)</f>
        <v>2279061974</v>
      </c>
      <c r="I199" s="1059">
        <f>SUMIF($E$4:$E$194,"111",$I$4:$I$194)</f>
        <v>4378535555</v>
      </c>
      <c r="J199" s="133"/>
      <c r="K199" s="133"/>
      <c r="L199" s="133"/>
      <c r="M199" s="133"/>
      <c r="N199" s="133"/>
      <c r="O199" s="133"/>
      <c r="P199" s="133"/>
      <c r="Q199" s="133"/>
      <c r="R199" s="133"/>
      <c r="S199" s="133"/>
      <c r="T199" s="133"/>
      <c r="U199" s="133"/>
      <c r="V199" s="133"/>
      <c r="W199" s="133"/>
      <c r="X199" s="133"/>
      <c r="Y199" s="951">
        <f>SUMIF($E$4:$E$194,"111",$Y$4:$Y$194)</f>
        <v>6657597529</v>
      </c>
      <c r="Z199" s="951">
        <f>SUMIF($E$4:$E$194,"111",$Z$4:$Z$194)</f>
        <v>0</v>
      </c>
      <c r="AA199" s="216">
        <f>SUMIF($E$4:$E$195,"111",$AA$4:$AA$195)</f>
        <v>0</v>
      </c>
      <c r="AB199" s="216">
        <f>SUMIF($E$4:$E$195,"111",$AB$4:$AB$195)</f>
        <v>0</v>
      </c>
      <c r="AC199" s="216">
        <f>SUMIF($E$4:$E$195,"111",$AC$4:$AC$195)</f>
        <v>6143356148</v>
      </c>
      <c r="AD199" s="951">
        <f>SUMIF($E$4:$E$194,"111",$AD$4:$AD$194)</f>
        <v>20011334</v>
      </c>
      <c r="AE199" s="133">
        <f>SUMIF($E$4:$E$195,"111",$AE$4:$AE$195)</f>
        <v>5000000</v>
      </c>
      <c r="AF199" s="133">
        <f>SUMIF($E$4:$E$192,"111",$AF$4:$AF$192)</f>
        <v>0</v>
      </c>
      <c r="AG199" s="133">
        <f>SUMIF($E$4:$E$192,"111",$AG$4:$AG$192)</f>
        <v>0</v>
      </c>
      <c r="AH199" s="133">
        <f>SUMIF($E$4:$E$192,"111",$AH$4:$AH$192)</f>
        <v>0</v>
      </c>
      <c r="AI199" s="133">
        <f>SUMIF($E$4:$E$192,"111",$AI$4:$AI$192)</f>
        <v>1940856</v>
      </c>
      <c r="AJ199" s="133">
        <f>SUMIF($E$4:$E$192,"111",$AJ$4:$AJ$192)</f>
        <v>3438802</v>
      </c>
      <c r="AK199" s="133">
        <f>SUMIF($E$4:$E$192,"111",$AK$4:$AK$192)</f>
        <v>186380309</v>
      </c>
      <c r="AL199" s="133">
        <f>SUMIF($E$4:$E$192,"111",$AL$4:$AL$192)</f>
        <v>0</v>
      </c>
      <c r="AM199" s="133">
        <f>SUMIF($E$4:$E$192,"111",$AM$4:$AM$192)</f>
        <v>0</v>
      </c>
      <c r="AN199" s="133">
        <f>SUMIF($E$4:$E$192,"111",$AN$4:$AN$192)</f>
        <v>75649551</v>
      </c>
      <c r="AO199" s="133">
        <f>SUMIF($E$4:$E$192,"111",$AO$4:$AO$192)</f>
        <v>28705529</v>
      </c>
      <c r="AP199" s="133">
        <f>SUMIF($E$4:$E$192,"111",$AP$4:$AP$192)</f>
        <v>0</v>
      </c>
      <c r="AQ199" s="133">
        <f>SUMIF($E$4:$E$192,"111",$AQ$4:$AQ$192)</f>
        <v>0</v>
      </c>
      <c r="AR199" s="133">
        <f>SUMIF($E$4:$E$192,"111",$AR$4:$AR$192)</f>
        <v>0</v>
      </c>
      <c r="AS199" s="133">
        <f>SUMIF($E$4:$E$194,"111",$AS$4:$AS$194)</f>
        <v>193115000</v>
      </c>
      <c r="AU199" s="946">
        <f t="shared" ref="AU199:AU207" si="203">+AV199/Y199</f>
        <v>0.34670527843498306</v>
      </c>
      <c r="AV199" s="218">
        <f t="shared" ref="AV199:AV204" si="204">SUM(AW199:BP199)</f>
        <v>2308224205</v>
      </c>
      <c r="AW199" s="951">
        <f>SUMIF($E$4:$E$194,"111",$AW$4:$AW$194)</f>
        <v>0</v>
      </c>
      <c r="AX199" s="951">
        <f>SUMIF($E$4:$E$194,"111",$AX$4:$AX$194)</f>
        <v>0</v>
      </c>
      <c r="AY199" s="951">
        <f>SUMIF($E$4:$E$194,"111",$AY$4:$AY$194)</f>
        <v>0</v>
      </c>
      <c r="AZ199" s="951">
        <f>SUMIF($E$4:$E$194,"111",$AZ$4:$AZ$194)</f>
        <v>2195944221</v>
      </c>
      <c r="BA199" s="951">
        <f>SUMIF($E$4:$E$194,"111",$BA$4:$BA$194)</f>
        <v>17503290</v>
      </c>
      <c r="BB199" s="951">
        <f>SUMIF($E$4:$E$194,"111",$BB$4:$BB$194)</f>
        <v>0</v>
      </c>
      <c r="BC199" s="951">
        <f>SUMIF($E$4:$E$194,"111",$BC$4:$BC$194)</f>
        <v>0</v>
      </c>
      <c r="BD199" s="951">
        <f>SUMIF($E$4:$E$194,"111",$BD$4:$BD$194)</f>
        <v>0</v>
      </c>
      <c r="BE199" s="951">
        <f>SUMIF($E$4:$E$194,"111",$BE$4:$BE$194)</f>
        <v>0</v>
      </c>
      <c r="BF199" s="951">
        <f>SUMIF($E$4:$E$194,"111",$BF$4:$BF$194)</f>
        <v>0</v>
      </c>
      <c r="BG199" s="951">
        <f>SUMIF($E$4:$E$192,"111",$BG$4:$BG$192)</f>
        <v>0</v>
      </c>
      <c r="BH199" s="951">
        <f>SUMIF($E$4:$E$192,"111",$BH$4:$BH$192)</f>
        <v>0</v>
      </c>
      <c r="BI199" s="951">
        <f>SUMIF($E$4:$E$192,"111",$BI$4:$BI$192)</f>
        <v>0</v>
      </c>
      <c r="BJ199" s="951">
        <f>SUMIF($E$4:$E$192,"111",$BJ$4:$BJ$192)</f>
        <v>0</v>
      </c>
      <c r="BK199" s="951">
        <f>SUMIF($E$4:$E$194,"111",$BK$4:$BK$194)</f>
        <v>0</v>
      </c>
      <c r="BL199" s="951">
        <f>SUMIF($E$4:$E$192,"111",$BL$4:$BL$192)</f>
        <v>22661694</v>
      </c>
      <c r="BM199" s="951">
        <f>SUMIF($E$4:$E$194,"111",$AY$4:$AY$194)</f>
        <v>0</v>
      </c>
      <c r="BN199" s="951">
        <f>SUMIF($E$4:$E$192,"111",$BN$4:$BN$192)</f>
        <v>0</v>
      </c>
      <c r="BO199" s="951">
        <f>SUMIF($E$4:$E$192,"111",$BO$4:$BO$192)</f>
        <v>0</v>
      </c>
      <c r="BP199" s="951">
        <f>SUMIF($E$4:$E$194,"111",$BP$4:$BP$194)</f>
        <v>72115000</v>
      </c>
      <c r="BQ199" s="950">
        <f t="shared" ref="BQ199:BQ207" si="205">1-AU199</f>
        <v>0.65329472156501689</v>
      </c>
      <c r="BR199" s="149">
        <f t="shared" ref="BR199:BR204" si="206">SUM(BS199:CL199)</f>
        <v>4349373324</v>
      </c>
      <c r="BS199" s="951">
        <f>SUMIF($E$4:$E$194,"111",$AY$4:$AY$194)</f>
        <v>0</v>
      </c>
      <c r="BT199" s="953">
        <f>SUMIF($E$4:$E$192,"111",$BT$4:$BT$192)</f>
        <v>0</v>
      </c>
      <c r="BU199" s="953">
        <f>SUMIF($E$4:$E$192,"111",$BU$4:$BU$192)</f>
        <v>0</v>
      </c>
      <c r="BV199" s="953">
        <f>SUMIF($E$4:$E$194,"111",$BV$4:$BV$194)</f>
        <v>3947411927</v>
      </c>
      <c r="BW199" s="953">
        <f>SUMIF($E$4:$E$194,"111",$BW$4:$BW$194)</f>
        <v>2508044</v>
      </c>
      <c r="BX199" s="953">
        <f>SUMIF($E$4:$E$194,"111",$BX$4:$BX$194)</f>
        <v>5000000</v>
      </c>
      <c r="BY199" s="953">
        <f>SUMIF($E$4:$E$194,"111",$BY$4:$BY$194)</f>
        <v>0</v>
      </c>
      <c r="BZ199" s="953">
        <f>SUMIF($E$4:$E$192,"111",$BZ$4:$BZ$192)</f>
        <v>0</v>
      </c>
      <c r="CA199" s="953">
        <f>SUMIF($E$4:$E$195,"111",$CA$4:$CA$195)</f>
        <v>0</v>
      </c>
      <c r="CB199" s="953">
        <f>SUMIF($E$4:$E$192,"111",$CB$4:$CB$192)</f>
        <v>1940856</v>
      </c>
      <c r="CC199" s="953">
        <f>SUMIF($E$4:$E$192,"111",$CC$4:$CC$192)</f>
        <v>3438802</v>
      </c>
      <c r="CD199" s="953">
        <f>SUMIF($E$4:$E$192,"111",$CD$4:$CD$192)</f>
        <v>186380309</v>
      </c>
      <c r="CE199" s="953">
        <f>SUMIF($E$4:$E$192,"111",$CE$4:$CE$192)</f>
        <v>0</v>
      </c>
      <c r="CF199" s="953">
        <f>SUMIF($E$4:$E$192,"111",$CF$4:$CF$192)</f>
        <v>0</v>
      </c>
      <c r="CG199" s="953">
        <f>SUMIF($E$4:$E$192,"111",$CG$4:$CG$192)</f>
        <v>75649551</v>
      </c>
      <c r="CH199" s="953">
        <f>SUMIF($E$4:$E$192,"111",$CH$4:$CH$192)</f>
        <v>6043835</v>
      </c>
      <c r="CI199" s="953">
        <f>SUMIF($E$4:$E$192,"111",$CI$4:$CI$192)</f>
        <v>0</v>
      </c>
      <c r="CJ199" s="953">
        <f>SUMIF($E$4:$E$192,"111",$CJ$4:$CJ$192)</f>
        <v>0</v>
      </c>
      <c r="CK199" s="953">
        <f>SUMIF($E$4:$E$192,"111",$CK$4:$CK$192)</f>
        <v>0</v>
      </c>
      <c r="CL199" s="956">
        <f>SUMIF($E$4:$E$194,"111",$CL$4:$CL$194)</f>
        <v>121000000</v>
      </c>
      <c r="CM199" s="959">
        <f t="shared" ref="CM199:CM207" si="207">+CN199/Y199</f>
        <v>0.3423249849623044</v>
      </c>
      <c r="CN199" s="944">
        <f t="shared" ref="CN199:CN204" si="208">SUM(CO199:DH199)</f>
        <v>2279061974</v>
      </c>
      <c r="CO199" s="951">
        <f>SUMIF($E$4:$E$194,"111",$CO$4:$CO$194)</f>
        <v>0</v>
      </c>
      <c r="CP199" s="951">
        <f>SUMIF($E$4:$E$192,"111",$CP$4:$CP$192)</f>
        <v>0</v>
      </c>
      <c r="CQ199" s="951">
        <f>SUMIF($E$4:$E$192,"111",$CQ$4:$CQ$192)</f>
        <v>0</v>
      </c>
      <c r="CR199" s="951">
        <f>SUMIF($E$4:$E$192,"111",$CR$4:$CR$192)</f>
        <v>2190694555</v>
      </c>
      <c r="CS199" s="951">
        <f>SUMIF($E$4:$E$194,"111",$CS$4:$CS$194)</f>
        <v>12550540</v>
      </c>
      <c r="CT199" s="951">
        <f>SUMIF($E$4:$E$192,"111",$CT$4:$CT$192)</f>
        <v>0</v>
      </c>
      <c r="CU199" s="951">
        <f>SUMIF($E$4:$E$192,"111",$CU$4:$CU$192)</f>
        <v>0</v>
      </c>
      <c r="CV199" s="951">
        <f>SUMIF($E$4:$E$194,"111",$CV$4:$CV$194)</f>
        <v>0</v>
      </c>
      <c r="CW199" s="951">
        <f>SUMIF($E$4:$E$192,"111",$CW$4:$CW$192)</f>
        <v>0</v>
      </c>
      <c r="CX199" s="951">
        <f>SUMIF($E$4:$E$192,"111",$CX$4:$CX$192)</f>
        <v>0</v>
      </c>
      <c r="CY199" s="951">
        <f>SUMIF($E$4:$E$192,"111",$CY$4:$CY$192)</f>
        <v>0</v>
      </c>
      <c r="CZ199" s="951">
        <f>SUMIF($E$4:$E$192,"111",$CZ$4:$CZ$192)</f>
        <v>0</v>
      </c>
      <c r="DA199" s="951">
        <f>SUMIF($E$4:$E$192,"111",$DA$4:$DA$192)</f>
        <v>0</v>
      </c>
      <c r="DB199" s="951">
        <f>SUMIF($E$4:$E$192,"111",$DB$4:$DB$192)</f>
        <v>0</v>
      </c>
      <c r="DC199" s="951">
        <f>SUMIF($E$4:$E$192,"111",$DC$4:$DC$192)</f>
        <v>0</v>
      </c>
      <c r="DD199" s="951">
        <f>SUMIF($E$4:$E$192,"111",$DD$4:$DD$192)</f>
        <v>22661694</v>
      </c>
      <c r="DE199" s="951">
        <f>SUMIF($E$4:$E$192,"111",$DE$4:$DE$192)</f>
        <v>0</v>
      </c>
      <c r="DF199" s="951">
        <f>SUMIF($E$4:$E$192,"111",$DF$4:$DF$192)</f>
        <v>0</v>
      </c>
      <c r="DG199" s="951">
        <f>SUMIF($E$4:$E$192,"111",$DG$4:$DG$192)</f>
        <v>0</v>
      </c>
      <c r="DH199" s="952">
        <f>SUMIF($E$4:$E$192,"111",$DH$4:$DH$192)</f>
        <v>53155185</v>
      </c>
      <c r="DI199" s="1010">
        <f t="shared" ref="DI199:DI207" si="209">1-CM199</f>
        <v>0.65767501503769554</v>
      </c>
      <c r="DJ199" s="149">
        <f t="shared" ref="DJ199:DJ204" si="210">SUM(DK199:ED199)</f>
        <v>4378535555</v>
      </c>
      <c r="DK199" s="1039">
        <f>SUMIF($E$4:$E$194,"111",$DK$4:$DK$194)</f>
        <v>0</v>
      </c>
      <c r="DL199" s="953">
        <f>SUMIF($E$4:$E$194,"111",$DL$4:$DL$194)</f>
        <v>0</v>
      </c>
      <c r="DM199" s="953">
        <f>SUMIF($E$4:$E$194,"111",$DM$4:$DM$194)</f>
        <v>0</v>
      </c>
      <c r="DN199" s="953">
        <f>SUMIF($E$4:$E$194,"111",$DN$4:$DN$194)</f>
        <v>3952661593</v>
      </c>
      <c r="DO199" s="953">
        <f>SUMIF($E$4:$E$194,"111",$DO$4:$DO$194)</f>
        <v>7460794</v>
      </c>
      <c r="DP199" s="953">
        <f>SUMIF($E$4:$E$194,"111",$DP$4:$DP$194)</f>
        <v>5000000</v>
      </c>
      <c r="DQ199" s="953">
        <f>SUMIF($E$4:$E$194,"111",$DQ$4:$DQ$194)</f>
        <v>0</v>
      </c>
      <c r="DR199" s="953">
        <f>SUMIF($E$4:$E$194,"111",$DR$4:$DR$194)</f>
        <v>0</v>
      </c>
      <c r="DS199" s="208">
        <f>SUMIF($E$4:$E$192,"111",$DS$4:$DS$192)</f>
        <v>0</v>
      </c>
      <c r="DT199" s="208">
        <f>SUMIF($E$4:$E$192,"111",$DT$4:$DT$192)</f>
        <v>1940856</v>
      </c>
      <c r="DU199" s="208">
        <f>SUMIF($E$4:$E$194,"111",$DU$4:$DU$194)</f>
        <v>3438802</v>
      </c>
      <c r="DV199" s="208">
        <f>SUMIF($E$4:$E$192,"111",$DV$4:$DV$192)</f>
        <v>186380309</v>
      </c>
      <c r="DW199" s="208">
        <f>SUMIF($E$4:$E$192,"111",$DW$4:$DW$192)</f>
        <v>0</v>
      </c>
      <c r="DX199" s="208">
        <f>SUMIF($E$4:$E$194,"111",$DX$4:$DX$194)</f>
        <v>0</v>
      </c>
      <c r="DY199" s="208">
        <f>SUMIF($E$4:$E$194,"111",$DY$4:$DY$194)</f>
        <v>75649551</v>
      </c>
      <c r="DZ199" s="208">
        <f>SUMIF($E$4:$E$192,"111",$DZ$4:$DZ$192)</f>
        <v>6043835</v>
      </c>
      <c r="EA199" s="208">
        <f>SUMIF($E$4:$E$192,"111",$EA$4:$EA$192)</f>
        <v>0</v>
      </c>
      <c r="EB199" s="208">
        <f>SUMIF($E$4:$E$192,"111",$EB$4:$EB$192)</f>
        <v>0</v>
      </c>
      <c r="EC199" s="208">
        <f>SUMIF($E$4:$E$192,"111",$EC$4:$EC$192)</f>
        <v>0</v>
      </c>
      <c r="ED199" s="208">
        <f>SUMIF($E$4:$E$194,"111",$ED$4:$ED$194)</f>
        <v>139959815</v>
      </c>
    </row>
    <row r="200" spans="1:134" ht="18" customHeight="1" x14ac:dyDescent="0.25">
      <c r="C200" s="987"/>
      <c r="D200" s="1093" t="s">
        <v>4589</v>
      </c>
      <c r="E200" s="239">
        <v>211</v>
      </c>
      <c r="F200" s="133"/>
      <c r="G200" s="875">
        <f>SUMIF($E$4:$E$194,"211",$G$4:$G$194)</f>
        <v>0</v>
      </c>
      <c r="H200" s="1059">
        <f>SUMIF($E$4:$E$194,"211",$H$4:$H$194)</f>
        <v>1898549257</v>
      </c>
      <c r="I200" s="1059">
        <f>SUMIF($E$4:$E$194,"211",$I$4:$I$194)</f>
        <v>1742722533</v>
      </c>
      <c r="J200" s="133"/>
      <c r="K200" s="133"/>
      <c r="L200" s="133"/>
      <c r="M200" s="133"/>
      <c r="N200" s="133"/>
      <c r="O200" s="133"/>
      <c r="P200" s="133"/>
      <c r="Q200" s="133"/>
      <c r="R200" s="133"/>
      <c r="S200" s="133"/>
      <c r="T200" s="133"/>
      <c r="U200" s="133"/>
      <c r="V200" s="133"/>
      <c r="W200" s="133"/>
      <c r="X200" s="133"/>
      <c r="Y200" s="951">
        <f>SUMIF($E$4:$E$194,"211",$Y$4:$Y$194)</f>
        <v>3641271790</v>
      </c>
      <c r="Z200" s="951">
        <f>SUMIF($E$4:$E$194,"211",$Z$4:$Z$194)</f>
        <v>0</v>
      </c>
      <c r="AA200" s="216">
        <f>SUMIF($E$4:$E$195,"211",$AA$4:$AA$195)</f>
        <v>0</v>
      </c>
      <c r="AB200" s="216">
        <f>SUMIF($E$4:$E$195,"211",$AB$4:$AB$195)</f>
        <v>0</v>
      </c>
      <c r="AC200" s="216">
        <f>SUMIF($E$4:$E$195,"211",$AC$4:$AC$195)</f>
        <v>2893065433</v>
      </c>
      <c r="AD200" s="951">
        <f>SUMIF($E$4:$E$194,"211",$AD$4:$AD$194)</f>
        <v>0</v>
      </c>
      <c r="AE200" s="133">
        <f>SUMIF($E$4:$E$192,"211",$AE$4:$AE$192)</f>
        <v>210000000</v>
      </c>
      <c r="AF200" s="133">
        <f>SUMIF($E$4:$E$192,"211",$AF$4:$AF$192)</f>
        <v>0</v>
      </c>
      <c r="AG200" s="133">
        <f>SUMIF($E$4:$E$192,"211",$AG$4:$AG$192)</f>
        <v>0</v>
      </c>
      <c r="AH200" s="133">
        <f>SUMIF($E$4:$E$192,"211",$AH$4:$AH$192)</f>
        <v>0</v>
      </c>
      <c r="AI200" s="133">
        <f>SUMIF($E$4:$E$192,"211",$AI$4:$AI$192)</f>
        <v>0</v>
      </c>
      <c r="AJ200" s="133">
        <f>SUMIF($E$4:$E$192,"211",$AJ$4:$AJ$192)</f>
        <v>0</v>
      </c>
      <c r="AK200" s="133">
        <f>SUMIF($E$4:$E$192,"211",$AK$4:$AK$192)</f>
        <v>132284205</v>
      </c>
      <c r="AL200" s="133">
        <f>SUMIF($E$4:$E$192,"211",$AL$4:$AL$192)</f>
        <v>0</v>
      </c>
      <c r="AM200" s="133">
        <f>SUMIF($E$4:$E$192,"211",$AM$4:$AM$192)</f>
        <v>0</v>
      </c>
      <c r="AN200" s="133">
        <f>SUMIF($E$4:$E$192,"211",$AN$4:$AN$192)</f>
        <v>39070000</v>
      </c>
      <c r="AO200" s="133">
        <f>SUMIF($E$4:$E$192,"211",$AO$4:$AO$192)</f>
        <v>25530452</v>
      </c>
      <c r="AP200" s="133">
        <f>SUMIF($E$4:$E$192,"211",$AP$4:$AP$192)</f>
        <v>0</v>
      </c>
      <c r="AQ200" s="133">
        <f>SUMIF($E$4:$E$192,"211",$AQ$4:$AQ$192)</f>
        <v>0</v>
      </c>
      <c r="AR200" s="133">
        <f>SUMIF($E$4:$E$192,"211",$AR$4:$AR$192)</f>
        <v>92524043</v>
      </c>
      <c r="AS200" s="133">
        <f>SUMIF($E$4:$E$194,"211",$AS$4:$AS$194)</f>
        <v>248797657</v>
      </c>
      <c r="AU200" s="946">
        <f t="shared" si="203"/>
        <v>0.85146876855352782</v>
      </c>
      <c r="AV200" s="218">
        <f t="shared" si="204"/>
        <v>3100429207</v>
      </c>
      <c r="AW200" s="951">
        <f>SUMIF($E$4:$E$192,"211",$AW$4:$AW$192)</f>
        <v>0</v>
      </c>
      <c r="AX200" s="951">
        <f>SUMIF($E$4:$E$194,"211",$AX$4:$AX$194)</f>
        <v>0</v>
      </c>
      <c r="AY200" s="951">
        <f>SUMIF($E$4:$E$194,"211",$AY$4:$AY$194)</f>
        <v>0</v>
      </c>
      <c r="AZ200" s="951">
        <f>SUMIF($E$4:$E$194,"211",$AZ$4:$AZ$194)</f>
        <v>2524239440</v>
      </c>
      <c r="BA200" s="951">
        <f>SUMIF($E$4:$E$192,"211",$BA$4:$BA$192)</f>
        <v>0</v>
      </c>
      <c r="BB200" s="951">
        <f>SUMIF($E$4:$E$192,"211",$BB$4:$BB$192)</f>
        <v>210000000</v>
      </c>
      <c r="BC200" s="951">
        <f>SUMIF($E$4:$E$194,"211",$BC$4:$BC$194)</f>
        <v>0</v>
      </c>
      <c r="BD200" s="951">
        <f>SUMIF($E$4:$E$194,"211",$BD$4:$BD$194)</f>
        <v>0</v>
      </c>
      <c r="BE200" s="951">
        <f>SUMIF($E$4:$E$192,"211",$BE$4:$BE$192)</f>
        <v>0</v>
      </c>
      <c r="BF200" s="951">
        <f>SUMIF($E$4:$E$192,"211",$BF$4:$BF$192)</f>
        <v>0</v>
      </c>
      <c r="BG200" s="951">
        <f>SUMIF($E$4:$E$192,"211",$BG$4:$BG$192)</f>
        <v>0</v>
      </c>
      <c r="BH200" s="951">
        <f>SUMIF($E$4:$E$192,"211",$BH$4:$BH$192)</f>
        <v>50855038</v>
      </c>
      <c r="BI200" s="951">
        <f>SUMIF($E$4:$E$192,"211",$BI$4:$BI$192)</f>
        <v>0</v>
      </c>
      <c r="BJ200" s="951">
        <f>SUMIF($E$4:$E$192,"211",$BJ$4:$BJ$192)</f>
        <v>0</v>
      </c>
      <c r="BK200" s="951">
        <f>SUMIF($E$4:$E$194,"211",$BK$4:$BK$194)</f>
        <v>0</v>
      </c>
      <c r="BL200" s="951">
        <f>SUMIF($E$4:$E$192,"211",$BL$4:$BL$192)</f>
        <v>25530452</v>
      </c>
      <c r="BM200" s="951">
        <f>SUMIF($E$4:$E$192,"211",$BM$4:$BM$192)</f>
        <v>0</v>
      </c>
      <c r="BN200" s="951">
        <f>SUMIF($E$4:$E$192,"211",$BN$4:$BN$192)</f>
        <v>0</v>
      </c>
      <c r="BO200" s="951">
        <f>SUMIF($E$4:$E$192,"211",$BO$4:$BO$192)</f>
        <v>92524043</v>
      </c>
      <c r="BP200" s="951">
        <f>SUMIF($E$4:$E$194,"211",$BP$4:$BP$194)</f>
        <v>197280234</v>
      </c>
      <c r="BQ200" s="950">
        <f t="shared" si="205"/>
        <v>0.14853123144647218</v>
      </c>
      <c r="BR200" s="149">
        <f t="shared" si="206"/>
        <v>540842583</v>
      </c>
      <c r="BS200" s="953">
        <f>SUMIF($E$4:$E$192,"211",$BS$4:$BS$192)</f>
        <v>0</v>
      </c>
      <c r="BT200" s="953">
        <f>SUMIF($E$4:$E$192,"211",$BT$4:$BT$192)</f>
        <v>0</v>
      </c>
      <c r="BU200" s="953">
        <f>SUMIF($E$4:$E$192,"211",$BU$4:$BU$192)</f>
        <v>0</v>
      </c>
      <c r="BV200" s="953">
        <f>SUMIF($E$4:$E$194,"211",$BV$4:$BV$194)</f>
        <v>368825993</v>
      </c>
      <c r="BW200" s="953">
        <f>SUMIF($E$4:$E$194,"211",$BW$4:$BW$194)</f>
        <v>0</v>
      </c>
      <c r="BX200" s="953">
        <f>SUMIF($E$4:$E$194,"211",$BX$4:$BX$194)</f>
        <v>0</v>
      </c>
      <c r="BY200" s="953">
        <f>SUMIF($E$4:$E$194,"211",$BY$4:$BY$194)</f>
        <v>0</v>
      </c>
      <c r="BZ200" s="953">
        <f>SUMIF($E$4:$E$192,"211",$BZ$4:$BZ$192)</f>
        <v>0</v>
      </c>
      <c r="CA200" s="953">
        <f>SUMIF($E$4:$E$192,"211",$CA$4:$CA$192)</f>
        <v>0</v>
      </c>
      <c r="CB200" s="953">
        <f>SUMIF($E$4:$E$192,"211",$CB$4:$CB$192)</f>
        <v>0</v>
      </c>
      <c r="CC200" s="953">
        <f>SUMIF($E$4:$E$192,"211",$CC$4:$CC$192)</f>
        <v>0</v>
      </c>
      <c r="CD200" s="953">
        <f>SUMIF($E$4:$E$192,"211",$CD$4:$CD$192)</f>
        <v>81429167</v>
      </c>
      <c r="CE200" s="953">
        <f>SUMIF($E$4:$E$192,"211",$CE$4:$CE$192)</f>
        <v>0</v>
      </c>
      <c r="CF200" s="953">
        <f>SUMIF($E$4:$E$192,"211",$CF$4:$CF$192)</f>
        <v>0</v>
      </c>
      <c r="CG200" s="953">
        <f>SUMIF($E$4:$E$192,"211",$CG$4:$CG$192)</f>
        <v>39070000</v>
      </c>
      <c r="CH200" s="953">
        <f>SUMIF($E$4:$E$192,"211",$CH$4:$CH$192)</f>
        <v>0</v>
      </c>
      <c r="CI200" s="953">
        <f>SUMIF($E$4:$E$192,"211",$CI$4:$CI$192)</f>
        <v>0</v>
      </c>
      <c r="CJ200" s="953">
        <f>SUMIF($E$4:$E$192,"211",$CJ$4:$CJ$192)</f>
        <v>0</v>
      </c>
      <c r="CK200" s="953">
        <f>SUMIF($E$4:$E$192,"211",$CK$4:$CK$192)</f>
        <v>0</v>
      </c>
      <c r="CL200" s="956">
        <f>SUMIF($E$4:$E$194,"211",$CL$4:$CL$194)</f>
        <v>51517423</v>
      </c>
      <c r="CM200" s="959">
        <f t="shared" si="207"/>
        <v>0.5213972937186323</v>
      </c>
      <c r="CN200" s="944">
        <f t="shared" si="208"/>
        <v>1898549257</v>
      </c>
      <c r="CO200" s="951">
        <f>SUMIF($E$4:$E$194,"211",$CO$4:$CO$194)</f>
        <v>0</v>
      </c>
      <c r="CP200" s="951">
        <f>SUMIF($E$4:$E$192,"211",$CP$4:$CP$192)</f>
        <v>0</v>
      </c>
      <c r="CQ200" s="951">
        <f>SUMIF($E$4:$E$192,"211",$CQ$4:$CQ$192)</f>
        <v>0</v>
      </c>
      <c r="CR200" s="951">
        <f>SUMIF($E$4:$E$192,"211",$CR$4:$CR$192)</f>
        <v>1545503018</v>
      </c>
      <c r="CS200" s="951">
        <f>SUMIF($E$4:$E$194,"211",$CS$4:$CS$194)</f>
        <v>0</v>
      </c>
      <c r="CT200" s="951">
        <f>SUMIF($E$4:$E$192,"211",$CT$4:$CT$192)</f>
        <v>208736238</v>
      </c>
      <c r="CU200" s="951">
        <f>SUMIF($E$4:$E$192,"211",$CU$4:$CU$192)</f>
        <v>0</v>
      </c>
      <c r="CV200" s="951">
        <f>SUMIF($E$4:$E$194,"211",$CV$4:$CV$194)</f>
        <v>0</v>
      </c>
      <c r="CW200" s="951">
        <f>SUMIF($E$4:$E$192,"211",$CW$4:$CW$192)</f>
        <v>0</v>
      </c>
      <c r="CX200" s="951">
        <f>SUMIF($E$4:$E$192,"211",$CX$4:$CX$192)</f>
        <v>0</v>
      </c>
      <c r="CY200" s="951">
        <f>SUMIF($E$4:$E$192,"211",$CY$4:$CY$192)</f>
        <v>0</v>
      </c>
      <c r="CZ200" s="951">
        <f>SUMIF($E$4:$E$192,"211",$CZ$4:$CZ$192)</f>
        <v>40655038</v>
      </c>
      <c r="DA200" s="951">
        <f>SUMIF($E$4:$E$192,"211",$DA$4:$DA$192)</f>
        <v>0</v>
      </c>
      <c r="DB200" s="951">
        <f>SUMIF($E$4:$E$192,"211",$DB$4:$DB$192)</f>
        <v>0</v>
      </c>
      <c r="DC200" s="951">
        <f>SUMIF($E$4:$E$192,"211",$DC$4:$DC$192)</f>
        <v>0</v>
      </c>
      <c r="DD200" s="951">
        <f>SUMIF($E$4:$E$192,"211",$DD$4:$DD$192)</f>
        <v>7976469</v>
      </c>
      <c r="DE200" s="951">
        <f>SUMIF($E$4:$E$192,"211",$DE$4:$DE$192)</f>
        <v>0</v>
      </c>
      <c r="DF200" s="951">
        <f>SUMIF($E$4:$E$192,"211",$DF$4:$DF$192)</f>
        <v>0</v>
      </c>
      <c r="DG200" s="951">
        <f>SUMIF($E$4:$E$192,"211",$DG$4:$DG$192)</f>
        <v>0</v>
      </c>
      <c r="DH200" s="952">
        <f>SUMIF($E$4:$E$192,"211",$DH$4:$DH$192)</f>
        <v>95678494</v>
      </c>
      <c r="DI200" s="1010">
        <f t="shared" si="209"/>
        <v>0.4786027062813677</v>
      </c>
      <c r="DJ200" s="149">
        <f t="shared" ca="1" si="210"/>
        <v>1742722533</v>
      </c>
      <c r="DK200" s="1039">
        <f>SUMIF($E$4:$E$194,"211",$DK$4:$DK$194)</f>
        <v>0</v>
      </c>
      <c r="DL200" s="953">
        <f ca="1">SUMIF($E$4:$E$195,"211",$DL$4:$DL$194)</f>
        <v>0</v>
      </c>
      <c r="DM200" s="953">
        <f>SUMIF($E$4:$E$194,"211",$DM$4:$DM$194)</f>
        <v>0</v>
      </c>
      <c r="DN200" s="953">
        <f>SUMIF($E$4:$E$194,"211",$DN$4:$DN$194)</f>
        <v>1347562415</v>
      </c>
      <c r="DO200" s="953">
        <f>SUMIF($E$4:$E$194,"211",$DO$4:$DO$194)</f>
        <v>0</v>
      </c>
      <c r="DP200" s="953">
        <f>SUMIF($E$4:$E$194,"211",$DP$4:$DP$194)</f>
        <v>1263762</v>
      </c>
      <c r="DQ200" s="953">
        <f>SUMIF($E$4:$E$194,"211",$DQ$4:$DQ$194)</f>
        <v>0</v>
      </c>
      <c r="DR200" s="953">
        <f>SUMIF($E$4:$E$194,"211",$DR$4:$DR$194)</f>
        <v>0</v>
      </c>
      <c r="DS200" s="208">
        <f>SUMIF($E$4:$E$192,"211",$DS$4:$DS$192)</f>
        <v>0</v>
      </c>
      <c r="DT200" s="208">
        <f>SUMIF($E$4:$E$192,"211",$DT$4:$DT$192)</f>
        <v>0</v>
      </c>
      <c r="DU200" s="208">
        <f>SUMIF($E$4:$E$194,"211",$DU$4:$DU$194)</f>
        <v>0</v>
      </c>
      <c r="DV200" s="208">
        <f>SUMIF($E$4:$E$192,"211",$DV$4:$DV$192)</f>
        <v>91629167</v>
      </c>
      <c r="DW200" s="208">
        <f>SUMIF($E$4:$E$192,"211",$DW$4:$DW$192)</f>
        <v>0</v>
      </c>
      <c r="DX200" s="208">
        <f>SUMIF($E$4:$E$194,"211",$DX$4:$DX$194)</f>
        <v>0</v>
      </c>
      <c r="DY200" s="208">
        <f>SUMIF($E$4:$E$194,"211",$DY$4:$DY$194)</f>
        <v>39070000</v>
      </c>
      <c r="DZ200" s="208">
        <f>SUMIF($E$4:$E$192,"211",$DZ$4:$DZ$192)</f>
        <v>17553983</v>
      </c>
      <c r="EA200" s="208">
        <f>SUMIF($E$4:$E$192,"211",$EA$4:$EA$192)</f>
        <v>0</v>
      </c>
      <c r="EB200" s="208">
        <f>SUMIF($E$4:$E$192,"211",$EB$4:$EB$192)</f>
        <v>0</v>
      </c>
      <c r="EC200" s="208">
        <f>SUMIF($E$4:$E$192,"211",$EC$4:$EC$192)</f>
        <v>92524043</v>
      </c>
      <c r="ED200" s="208">
        <f>SUMIF($E$4:$E$194,"211",$ED$4:$ED$194)</f>
        <v>153119163</v>
      </c>
    </row>
    <row r="201" spans="1:134" ht="16.5" customHeight="1" x14ac:dyDescent="0.25">
      <c r="C201" s="987"/>
      <c r="D201" s="1093" t="s">
        <v>674</v>
      </c>
      <c r="E201" s="239">
        <v>310</v>
      </c>
      <c r="F201" s="133"/>
      <c r="G201" s="875">
        <f>SUMIF($E$4:$E$194,"310",$G$4:$G$194)</f>
        <v>1203000000</v>
      </c>
      <c r="H201" s="1059">
        <f>SUMIF($E$4:$E$194,"310",$H$4:$H$194)</f>
        <v>734185185</v>
      </c>
      <c r="I201" s="1059">
        <f>SUMIF($E$4:$E$194,"310",$I$4:$I$194)</f>
        <v>442067999</v>
      </c>
      <c r="J201" s="133"/>
      <c r="K201" s="133"/>
      <c r="L201" s="133"/>
      <c r="M201" s="133"/>
      <c r="N201" s="133"/>
      <c r="O201" s="133"/>
      <c r="P201" s="133"/>
      <c r="Q201" s="133"/>
      <c r="R201" s="133"/>
      <c r="S201" s="133"/>
      <c r="T201" s="133"/>
      <c r="U201" s="133"/>
      <c r="V201" s="133"/>
      <c r="W201" s="133"/>
      <c r="X201" s="133"/>
      <c r="Y201" s="951">
        <f>SUMIF($E$4:$E$194,"310",$Y$4:$Y$195)</f>
        <v>1176253184</v>
      </c>
      <c r="Z201" s="951">
        <f>SUMIF($E$4:$E$194,"310",$Z$4:$Z$194)</f>
        <v>0</v>
      </c>
      <c r="AA201" s="216">
        <f>SUMIF($E$4:$E$192,"310",$AA$4:$AA$192)</f>
        <v>0</v>
      </c>
      <c r="AB201" s="216">
        <f>SUMIF($E$4:$E$195,"310",$AB$4:$AB$195)</f>
        <v>0</v>
      </c>
      <c r="AC201" s="216">
        <f>SUMIF($E$4:$E$192,"310",$AC$4:$AC$192)</f>
        <v>0</v>
      </c>
      <c r="AD201" s="951">
        <f>SUMIF($E$4:$E$194,"310",$AD$4:$AD$194)</f>
        <v>0</v>
      </c>
      <c r="AE201" s="133">
        <f>SUMIF($E$4:$E$192,"310",$AE$4:$AE$192)</f>
        <v>420000000</v>
      </c>
      <c r="AF201" s="133">
        <f>SUMIF($E$4:$E$192,"310",$AF$4:$AF$192)</f>
        <v>321985144</v>
      </c>
      <c r="AG201" s="133">
        <f>SUMIF($E$4:$E$192,"310",$AG$4:$AG$192)</f>
        <v>0</v>
      </c>
      <c r="AH201" s="133">
        <f>SUMIF($E$4:$E$192,"310",$AH$4:$AH$192)</f>
        <v>0</v>
      </c>
      <c r="AI201" s="133">
        <f>SUMIF($E$4:$E$192,"310",$AI$4:$AI$192)</f>
        <v>0</v>
      </c>
      <c r="AJ201" s="133">
        <f>SUMIF($E$4:$E$192,"310",$AJ$4:$AJ$192)</f>
        <v>0</v>
      </c>
      <c r="AK201" s="133">
        <f>SUMIF($E$4:$E$192,"310",$AK$4:$AK$192)</f>
        <v>0</v>
      </c>
      <c r="AL201" s="133">
        <f>SUMIF($E$4:$E$192,"310",$AL$4:$AL$192)</f>
        <v>0</v>
      </c>
      <c r="AM201" s="133">
        <f>SUMIF($E$4:$E$192,"310",$AM$4:$AM$192)</f>
        <v>0</v>
      </c>
      <c r="AN201" s="133">
        <f>SUMIF($E$4:$E$192,"310",$AN$4:$AN$192)</f>
        <v>36000000</v>
      </c>
      <c r="AO201" s="133">
        <f>SUMIF($E$4:$E$192,"310",$AO$4:$AO$192)</f>
        <v>273344421</v>
      </c>
      <c r="AP201" s="133">
        <f>SUMIF($E$4:$E$163,"310",$AP$4:$AP$163)</f>
        <v>0</v>
      </c>
      <c r="AQ201" s="133">
        <f>SUMIF($E$4:$E$192,"310",$AQ$4:$AQ$192)</f>
        <v>0</v>
      </c>
      <c r="AR201" s="133">
        <f>SUMIF($E$4:$E$192,"310",$AR$4:$AR$192)</f>
        <v>0</v>
      </c>
      <c r="AS201" s="133">
        <f>SUMIF($E$4:$E$194,"310",$AS$4:$AS$194)</f>
        <v>124923619</v>
      </c>
      <c r="AU201" s="946">
        <f t="shared" si="203"/>
        <v>0.74741284015941933</v>
      </c>
      <c r="AV201" s="943">
        <f t="shared" si="204"/>
        <v>879146733</v>
      </c>
      <c r="AW201" s="951">
        <f>SUMIF($E$4:$E$192,"310",$AW$4:$AW$192)</f>
        <v>0</v>
      </c>
      <c r="AX201" s="951">
        <f>SUMIF($E$4:$E$194,"310",$AX$4:$AX$194)</f>
        <v>0</v>
      </c>
      <c r="AY201" s="951">
        <f>SUMIF($E$4:$E$194,"310",$AY$4:$AY$194)</f>
        <v>0</v>
      </c>
      <c r="AZ201" s="951">
        <f>SUMIF($E$4:$E$194,"310",$AZ$4:$AZ$194)</f>
        <v>0</v>
      </c>
      <c r="BA201" s="951">
        <f>SUMIF($E$4:$E$192,"310",$BA$4:$BA$192)</f>
        <v>0</v>
      </c>
      <c r="BB201" s="951">
        <f>SUMIF($E$4:$E$192,"310",$BB$4:$BB$192)</f>
        <v>247044496</v>
      </c>
      <c r="BC201" s="951">
        <f>SUMIF($E$4:$E$194,"310",$BC$4:$BC$194)</f>
        <v>246740675</v>
      </c>
      <c r="BD201" s="951">
        <f>SUMIF($E$4:$E$194,"310",$BD$4:$BD$194)</f>
        <v>0</v>
      </c>
      <c r="BE201" s="951">
        <f>SUMIF($E$4:$E$192,"310",$BE$4:$BE$192)</f>
        <v>0</v>
      </c>
      <c r="BF201" s="951">
        <f>SUMIF($E$4:$E$192,"310",$BF$4:$BF$192)</f>
        <v>0</v>
      </c>
      <c r="BG201" s="951">
        <f>SUMIF($E$4:$E$163,"310",$BG$4:$BG$163)</f>
        <v>0</v>
      </c>
      <c r="BH201" s="951">
        <f>SUMIF($E$4:$E$192,"310",$BH$4:$BH$192)</f>
        <v>0</v>
      </c>
      <c r="BI201" s="951">
        <f>SUMIF($E$4:$E$192,"310",$BI$4:$BI$192)</f>
        <v>0</v>
      </c>
      <c r="BJ201" s="951">
        <f>SUMIF($E$4:$E$192,"310",$BJ$4:$BJ$192)</f>
        <v>0</v>
      </c>
      <c r="BK201" s="951">
        <f>SUMIF($E$4:$E$194,"310",$BK$4:$BK$194)</f>
        <v>0</v>
      </c>
      <c r="BL201" s="951">
        <f>SUMIF($E$4:$E$192,"310",$BL$4:$BL$192)</f>
        <v>273344421</v>
      </c>
      <c r="BM201" s="951">
        <f>SUMIF($E$4:$E$192,"310",$BM$4:$BM$192)</f>
        <v>0</v>
      </c>
      <c r="BN201" s="951">
        <f>SUMIF($E$4:$E$192,"310",$BN$4:$BN$192)</f>
        <v>0</v>
      </c>
      <c r="BO201" s="951">
        <f>SUMIF($E$4:$E$192,"310",$BO$4:$BO$192)</f>
        <v>0</v>
      </c>
      <c r="BP201" s="951">
        <f>SUMIF($E$4:$E$194,"310",$BP$4:$BP$194)</f>
        <v>112017141</v>
      </c>
      <c r="BQ201" s="950">
        <f t="shared" si="205"/>
        <v>0.25258715984058067</v>
      </c>
      <c r="BR201" s="149">
        <f t="shared" si="206"/>
        <v>297106451</v>
      </c>
      <c r="BS201" s="953">
        <f>SUMIF($E$4:$E$192,"310",$BS$4:$BS$192)</f>
        <v>0</v>
      </c>
      <c r="BT201" s="953">
        <f>SUMIF($E$4:$E$192,"310",$BT$4:$BT$192)</f>
        <v>0</v>
      </c>
      <c r="BU201" s="953">
        <f>SUMIF($E$4:$E$192,"310",$BU$4:$BU$192)</f>
        <v>0</v>
      </c>
      <c r="BV201" s="953">
        <f>SUMIF($E$4:$E$194,"310",$BV$4:$BV$194)</f>
        <v>0</v>
      </c>
      <c r="BW201" s="953">
        <f>SUMIF($E$4:$E$194,"310",$BW$4:$BW$194)</f>
        <v>0</v>
      </c>
      <c r="BX201" s="953">
        <f>SUMIF($E$4:$E$194,"310",$BX$4:$BX$194)</f>
        <v>172955504</v>
      </c>
      <c r="BY201" s="953">
        <f>SUMIF($E$4:$E$194,"310",$BY$4:$BY$194)</f>
        <v>75244469</v>
      </c>
      <c r="BZ201" s="953">
        <f>SUMIF($E$4:$E$192,"310",$BZ$4:$BZ$192)</f>
        <v>0</v>
      </c>
      <c r="CA201" s="953">
        <f>SUMIF($E$4:$E$192,"310",$CA$4:$CA$192)</f>
        <v>0</v>
      </c>
      <c r="CB201" s="953">
        <f>SUMIF($E$4:$E$192,"310",$CB$4:$CB$192)</f>
        <v>0</v>
      </c>
      <c r="CC201" s="953">
        <f>SUMIF($E$4:$E$192,"310",$CC$4:$CC$192)</f>
        <v>0</v>
      </c>
      <c r="CD201" s="953">
        <f>SUMIF($E$4:$E$192,"310",$CD$4:$CD$192)</f>
        <v>0</v>
      </c>
      <c r="CE201" s="953">
        <f>SUMIF($E$4:$E$192,"310",$CE$4:$CE$192)</f>
        <v>0</v>
      </c>
      <c r="CF201" s="953">
        <f>SUMIF($E$4:$E$192,"310",$CF$4:$CF$192)</f>
        <v>0</v>
      </c>
      <c r="CG201" s="953">
        <f>SUMIF($E$4:$E$192,"310",$CG$4:$CG$192)</f>
        <v>36000000</v>
      </c>
      <c r="CH201" s="953">
        <f>SUMIF($E$4:$E$192,"310",$CH$4:$CH$192)</f>
        <v>0</v>
      </c>
      <c r="CI201" s="953">
        <f>SUMIF($E$4:$E$192,"310",$CI$4:$CI$192)</f>
        <v>0</v>
      </c>
      <c r="CJ201" s="953">
        <f>SUMIF($E$4:$E$192,"310",$CJ$4:$CJ$192)</f>
        <v>0</v>
      </c>
      <c r="CK201" s="953">
        <f>SUMIF($E$4:$E$192,"310",$CK$4:$CK$192)</f>
        <v>0</v>
      </c>
      <c r="CL201" s="956">
        <f>SUMIF($E$4:$E$194,"310",$CL$4:$CL$194)</f>
        <v>12906478</v>
      </c>
      <c r="CM201" s="959">
        <f t="shared" si="207"/>
        <v>0.62417275037956454</v>
      </c>
      <c r="CN201" s="944">
        <f t="shared" si="208"/>
        <v>734185185</v>
      </c>
      <c r="CO201" s="951">
        <f>SUMIF($E$4:$E$194,"310",$CO$4:$CO$194)</f>
        <v>0</v>
      </c>
      <c r="CP201" s="951">
        <f>SUMIF($E$4:$E$192,"310",$CP$4:$CP$192)</f>
        <v>0</v>
      </c>
      <c r="CQ201" s="951">
        <f>SUMIF($E$4:$E$192,"310",$CQ$4:$CQ$192)</f>
        <v>0</v>
      </c>
      <c r="CR201" s="951">
        <f>SUMIF($E$4:$E$192,"310",$CR$4:$CR$192)</f>
        <v>0</v>
      </c>
      <c r="CS201" s="951">
        <f>SUMIF($E$4:$E$194,"310",$CS$4:$CS$194)</f>
        <v>0</v>
      </c>
      <c r="CT201" s="951">
        <f>SUMIF($E$4:$E$194,"310",$CT$4:$CT$194)</f>
        <v>243222246</v>
      </c>
      <c r="CU201" s="951">
        <f>SUMIF($E$4:$E$194,"310",$CU$4:$CU$194)</f>
        <v>233991109</v>
      </c>
      <c r="CV201" s="951">
        <f>SUMIF($E$4:$E$194,"310",$CV$4:$CV$194)</f>
        <v>0</v>
      </c>
      <c r="CW201" s="951">
        <f>SUMIF($E$4:$E$192,"310",$CW$4:$CW$192)</f>
        <v>0</v>
      </c>
      <c r="CX201" s="951">
        <f>SUMIF($E$4:$E$192,"310",$CX$4:$CX$192)</f>
        <v>0</v>
      </c>
      <c r="CY201" s="951">
        <f>SUMIF($E$4:$E$192,"310",$CY$4:$CY$192)</f>
        <v>0</v>
      </c>
      <c r="CZ201" s="951">
        <f>SUMIF($E$4:$E$192,"310",$CZ$4:$CZ$192)</f>
        <v>0</v>
      </c>
      <c r="DA201" s="951">
        <f>SUMIF($E$4:$E$192,"310",$DA$4:$DA$192)</f>
        <v>0</v>
      </c>
      <c r="DB201" s="951">
        <f>SUMIF($E$4:$E$192,"310",$DB$4:$DB$192)</f>
        <v>0</v>
      </c>
      <c r="DC201" s="951">
        <f>SUMIF($E$4:$E$192,"310",$DC$4:$DC$192)</f>
        <v>0</v>
      </c>
      <c r="DD201" s="951">
        <f>SUMIF($E$4:$E$194,"310",$DD$4:$DD$194)</f>
        <v>180676074</v>
      </c>
      <c r="DE201" s="951">
        <f>SUMIF($E$4:$E$192,"310",$DE$4:$DE$192)</f>
        <v>0</v>
      </c>
      <c r="DF201" s="951">
        <f>SUMIF($E$4:$E$192,"310",$DF$4:$DF$192)</f>
        <v>0</v>
      </c>
      <c r="DG201" s="951">
        <f>SUMIF($E$4:$E$192,"310",$DG$4:$DG$192)</f>
        <v>0</v>
      </c>
      <c r="DH201" s="952">
        <f>SUMIF($E$4:$E$194,"310",$DH$4:$DH$194)</f>
        <v>76295756</v>
      </c>
      <c r="DI201" s="1010">
        <f t="shared" si="209"/>
        <v>0.37582724962043546</v>
      </c>
      <c r="DJ201" s="149">
        <f t="shared" si="210"/>
        <v>442067999</v>
      </c>
      <c r="DK201" s="1039">
        <f>SUMIF($E$4:$E$194,"310",$DK$4:$DK$194)</f>
        <v>0</v>
      </c>
      <c r="DL201" s="953">
        <f>SUMIF($E$4:$E$192,"310",$DL$4:$DL$192)</f>
        <v>0</v>
      </c>
      <c r="DM201" s="953">
        <f>SUMIF($E$4:$E$194,"310",$DM$4:$DM$194)</f>
        <v>0</v>
      </c>
      <c r="DN201" s="953">
        <f>SUMIF($E$4:$E$194,"310",$DN$4:$DN$194)</f>
        <v>0</v>
      </c>
      <c r="DO201" s="953">
        <f>SUMIF($E$4:$E$194,"310",$DO$4:$DO$194)</f>
        <v>0</v>
      </c>
      <c r="DP201" s="953">
        <f>SUMIF($E$4:$E$194,"310",$DP$4:$DP$194)</f>
        <v>176777754</v>
      </c>
      <c r="DQ201" s="953">
        <f>SUMIF($E$4:$E$194,"310",$DQ$4:$DQ$194)</f>
        <v>87994035</v>
      </c>
      <c r="DR201" s="953">
        <f>SUMIF($E$4:$E$194,"310",$DR$4:$DR$194)</f>
        <v>0</v>
      </c>
      <c r="DS201" s="208">
        <f>SUMIF($E$4:$E$192,"310",$DS$4:$DS$192)</f>
        <v>0</v>
      </c>
      <c r="DT201" s="208">
        <f>SUMIF($E$4:$E$192,"310",$DT$4:$DT$192)</f>
        <v>0</v>
      </c>
      <c r="DU201" s="208">
        <f>SUMIF($E$4:$E$194,"310",$DU$4:$DU$194)</f>
        <v>0</v>
      </c>
      <c r="DV201" s="208">
        <f>SUMIF($E$4:$E$192,"310",$DV$4:$DV$192)</f>
        <v>0</v>
      </c>
      <c r="DW201" s="208">
        <f>SUMIF($E$4:$E$192,"310",$DW$4:$DW$192)</f>
        <v>0</v>
      </c>
      <c r="DX201" s="208">
        <f>SUMIF($E$4:$E$194,"310",$DX$4:$DX$194)</f>
        <v>0</v>
      </c>
      <c r="DY201" s="208">
        <f>SUMIF($E$4:$E$194,"310",$DY$4:$DY$194)</f>
        <v>36000000</v>
      </c>
      <c r="DZ201" s="208">
        <f>SUMIF($E$4:$E$194,"310",$DZ$4:$DZ$194)</f>
        <v>92668347</v>
      </c>
      <c r="EA201" s="208">
        <f>SUMIF($E$4:$E$192,"310",$EA$4:$EA$192)</f>
        <v>0</v>
      </c>
      <c r="EB201" s="208">
        <f>SUMIF($E$4:$E$192,"310",$EB$4:$EB$192)</f>
        <v>0</v>
      </c>
      <c r="EC201" s="208">
        <f>SUMIF($E$4:$E$192,"310",$EC$4:$EC$192)</f>
        <v>0</v>
      </c>
      <c r="ED201" s="208">
        <f>SUMIF($E$4:$E$194,"310",$ED$4:$ED$194)</f>
        <v>48627863</v>
      </c>
    </row>
    <row r="202" spans="1:134" x14ac:dyDescent="0.25">
      <c r="C202" s="988"/>
      <c r="D202" s="1093" t="s">
        <v>443</v>
      </c>
      <c r="E202" s="239">
        <v>410</v>
      </c>
      <c r="F202" s="133"/>
      <c r="G202" s="875">
        <f>SUMIF($E$4:$E$194,"410",$G$4:$G$194)</f>
        <v>4593000000</v>
      </c>
      <c r="H202" s="1059">
        <f>SUMIF($E$4:$E$194,"410",$H$4:$H$194)</f>
        <v>3498022563</v>
      </c>
      <c r="I202" s="1059">
        <f>SUMIF($E$4:$E$194,"410",$I$4:$I$194)</f>
        <v>3037770166</v>
      </c>
      <c r="J202" s="133"/>
      <c r="K202" s="133"/>
      <c r="L202" s="133"/>
      <c r="M202" s="133"/>
      <c r="N202" s="133"/>
      <c r="O202" s="133"/>
      <c r="P202" s="133"/>
      <c r="Q202" s="133"/>
      <c r="R202" s="133"/>
      <c r="S202" s="133"/>
      <c r="T202" s="133"/>
      <c r="U202" s="133"/>
      <c r="V202" s="133"/>
      <c r="W202" s="133"/>
      <c r="X202" s="133"/>
      <c r="Y202" s="951">
        <f>SUMIF($E$4:$E$194,"410",$Y$4:$Y$194)</f>
        <v>6535792729</v>
      </c>
      <c r="Z202" s="951">
        <f>SUMIF($E$4:$E$194,"410",$Z$4:$Z$194)</f>
        <v>0</v>
      </c>
      <c r="AA202" s="216">
        <f>SUMIF($E$4:$E$192,"410",$AA$4:$AA$192)</f>
        <v>134533656</v>
      </c>
      <c r="AB202" s="216">
        <f>SUMIF($E$4:$E$195,"410",$AB$4:$AB$195)</f>
        <v>396726534</v>
      </c>
      <c r="AC202" s="216">
        <f>SUMIF($E$4:$E$195,"410",$AC$4:$AC$195)</f>
        <v>775722031</v>
      </c>
      <c r="AD202" s="951">
        <f>SUMIF($E$4:$E$194,"410",$AD$4:$AD$194)</f>
        <v>0</v>
      </c>
      <c r="AE202" s="133">
        <f>SUMIF($E$4:$E$192,"410",$AE$4:$AE$192)</f>
        <v>544180877</v>
      </c>
      <c r="AF202" s="133">
        <f>SUMIF($E$4:$E$192,"410",$AF$4:$AF$192)</f>
        <v>55000000</v>
      </c>
      <c r="AG202" s="133">
        <f>SUMIF($E$4:$E$192,"410",$AG$4:$AG$192)</f>
        <v>102810569</v>
      </c>
      <c r="AH202" s="133">
        <f>SUMIF($E$4:$E$192,"410",$AH$4:$AH$192)</f>
        <v>219471348</v>
      </c>
      <c r="AI202" s="133">
        <f>SUMIF($E$4:$E$192,"410",$AI$4:$AI$192)</f>
        <v>0</v>
      </c>
      <c r="AJ202" s="133">
        <f>SUMIF($E$4:$E$192,"410",$AJ$4:$AJ$192)</f>
        <v>0</v>
      </c>
      <c r="AK202" s="133">
        <f>SUMIF($E$4:$E$192,"410",$AK$4:$AK$192)</f>
        <v>0</v>
      </c>
      <c r="AL202" s="133">
        <f>SUMIF($E$4:$E$192,"410",$AL$4:$AL$192)</f>
        <v>3504013680</v>
      </c>
      <c r="AM202" s="133">
        <f>SUMIF($E$4:$E$192,"410",$AM$4:$AM$192)</f>
        <v>78609139</v>
      </c>
      <c r="AN202" s="133">
        <f>SUMIF($E$4:$E$192,"410",$AN$4:$AN$192)</f>
        <v>251718083</v>
      </c>
      <c r="AO202" s="133">
        <f>SUMIF($E$4:$E$163,"410",$AO$4:$AO$163)</f>
        <v>311973650</v>
      </c>
      <c r="AP202" s="133">
        <f>SUMIF($E$4:$E$163,"410",$AP$4:$AP$163)</f>
        <v>0</v>
      </c>
      <c r="AQ202" s="133">
        <f>SUMIF($E$4:$E$192,"410",$AQ$4:$AQ$192)</f>
        <v>80844085</v>
      </c>
      <c r="AR202" s="133">
        <f>SUMIF($E$4:$E$192,"410",$AR$4:$AR$192)</f>
        <v>0</v>
      </c>
      <c r="AS202" s="133">
        <f>SUMIF($E$4:$E$194,"410",$AS$4:$AS$194)</f>
        <v>80189077</v>
      </c>
      <c r="AU202" s="946">
        <f t="shared" si="203"/>
        <v>0.82290423426920767</v>
      </c>
      <c r="AV202" s="218">
        <f t="shared" si="204"/>
        <v>5378331511</v>
      </c>
      <c r="AW202" s="951">
        <f>SUMIF($E$4:$E$192,"410",$AW$4:$AW$192)</f>
        <v>0</v>
      </c>
      <c r="AX202" s="951">
        <f>SUMIF($E$4:$E$194,"410",$AX$4:$AX$194)</f>
        <v>133268976</v>
      </c>
      <c r="AY202" s="951">
        <f>SUMIF($E$4:$E$194,"410",$AY$4:$AY$194)</f>
        <v>396726534</v>
      </c>
      <c r="AZ202" s="951">
        <f>SUMIF($E$4:$E$194,"410",$AZ$4:$AZ$194)</f>
        <v>775722031</v>
      </c>
      <c r="BA202" s="951">
        <f>SUMIF($E$4:$E$192,"410",$BA$4:$BA$192)</f>
        <v>0</v>
      </c>
      <c r="BB202" s="951">
        <f>SUMIF($E$4:$E$192,"410",$BB$4:$BB$192)</f>
        <v>544180877</v>
      </c>
      <c r="BC202" s="951">
        <f>SUMIF($E$4:$E$194,"410",$BC$4:$BC$194)</f>
        <v>55000000</v>
      </c>
      <c r="BD202" s="951">
        <f>SUMIF($E$4:$E$194,"410",$BD$4:$BD$194)</f>
        <v>102810569</v>
      </c>
      <c r="BE202" s="951">
        <f>SUMIF($E$4:$E$192,"410",$BE$4:$BE$192)</f>
        <v>219471348</v>
      </c>
      <c r="BF202" s="951">
        <f>SUMIF($E$4:$E$192,"410",$BF$4:$BF$192)</f>
        <v>0</v>
      </c>
      <c r="BG202" s="951">
        <f>SUMIF($E$4:$E$163,"410",$BG$4:$BG$163)</f>
        <v>0</v>
      </c>
      <c r="BH202" s="951">
        <f>SUMIF($E$4:$E$192,"410",$BH$4:$BH$192)</f>
        <v>0</v>
      </c>
      <c r="BI202" s="951">
        <f>SUMIF($E$4:$E$192,"410",$BI$4:$BI$192)</f>
        <v>2406031294</v>
      </c>
      <c r="BJ202" s="951">
        <f>SUMIF($E$4:$E$192,"410",$BJ$4:$BJ$192)</f>
        <v>68609139</v>
      </c>
      <c r="BK202" s="951">
        <f>SUMIF($E$4:$E$194,"410",$BK$4:$BK$194)</f>
        <v>235765054</v>
      </c>
      <c r="BL202" s="951">
        <f>SUMIF($E$4:$E$192,"410",$BL$4:$BL$192)</f>
        <v>305692590</v>
      </c>
      <c r="BM202" s="951">
        <f>SUMIF($E$4:$E$192,"410",$BM$4:$BM$192)</f>
        <v>0</v>
      </c>
      <c r="BN202" s="951">
        <f>SUMIF($E$4:$E$192,"410",$BN$4:$BN$192)</f>
        <v>80844085</v>
      </c>
      <c r="BO202" s="951">
        <f>SUMIF($E$4:$E$192,"410",$BO$4:$BO$192)</f>
        <v>0</v>
      </c>
      <c r="BP202" s="951">
        <f>SUMIF($E$4:$E$194,"410",$BP$4:$BP$194)</f>
        <v>54209014</v>
      </c>
      <c r="BQ202" s="950">
        <f t="shared" si="205"/>
        <v>0.17709576573079233</v>
      </c>
      <c r="BR202" s="149">
        <f t="shared" si="206"/>
        <v>1157461218</v>
      </c>
      <c r="BS202" s="953">
        <f>SUMIF($E$4:$E$192,"410",$BS$4:$BS$192)</f>
        <v>0</v>
      </c>
      <c r="BT202" s="953">
        <f>SUMIF($E$4:$E$192,"410",$BT$4:$BT$192)</f>
        <v>1264680</v>
      </c>
      <c r="BU202" s="953">
        <f>SUMIF($E$4:$E$192,"410",$BU$4:$BU$192)</f>
        <v>0</v>
      </c>
      <c r="BV202" s="953">
        <f>SUMIF($E$4:$E$194,"410",$BV$4:$BV$194)</f>
        <v>0</v>
      </c>
      <c r="BW202" s="953">
        <f>SUMIF($E$4:$E$194,"410",$BW$4:$BW$194)</f>
        <v>0</v>
      </c>
      <c r="BX202" s="953">
        <f>SUMIF($E$4:$E$194,"410",$BX$4:$BX$194)</f>
        <v>0</v>
      </c>
      <c r="BY202" s="953">
        <f>SUMIF($E$4:$E$192,"410",$BY$4:$BY$192)</f>
        <v>0</v>
      </c>
      <c r="BZ202" s="953">
        <f>SUMIF($E$4:$E$192,"410",$BZ$4:$BZ$192)</f>
        <v>0</v>
      </c>
      <c r="CA202" s="953">
        <f>SUMIF($E$4:$E$192,"410",$CA$4:$CA$192)</f>
        <v>0</v>
      </c>
      <c r="CB202" s="953">
        <f>SUMIF($E$4:$E$192,"410",$CB$4:$CB$192)</f>
        <v>0</v>
      </c>
      <c r="CC202" s="953">
        <f>SUMIF($E$4:$E$192,"410",$CC$4:$CC$192)</f>
        <v>0</v>
      </c>
      <c r="CD202" s="953">
        <f>SUMIF($E$4:$E$192,"410",$CD$4:$CD$192)</f>
        <v>0</v>
      </c>
      <c r="CE202" s="953">
        <f>SUMIF($E$4:$E$192,"410",$CE$4:$CE$192)</f>
        <v>1097982386</v>
      </c>
      <c r="CF202" s="953">
        <f>SUMIF($E$4:$E$192,"410",$CF$4:$CF$192)</f>
        <v>10000000</v>
      </c>
      <c r="CG202" s="953">
        <f>SUMIF($E$4:$E$192,"410",$CG$4:$CG$192)</f>
        <v>15953029</v>
      </c>
      <c r="CH202" s="953">
        <f>SUMIF($E$4:$E$192,"410",$CH$4:$CH$192)</f>
        <v>6281060</v>
      </c>
      <c r="CI202" s="953">
        <f>SUMIF($E$4:$E$192,"510",$CI$4:$CI$192)</f>
        <v>0</v>
      </c>
      <c r="CJ202" s="953">
        <f>SUMIF($E$4:$E$192,"410",$CJ$4:$CJ$192)</f>
        <v>0</v>
      </c>
      <c r="CK202" s="953">
        <f>SUMIF($E$4:$E$192,"410",$CK$4:$CK$192)</f>
        <v>0</v>
      </c>
      <c r="CL202" s="956">
        <f>SUMIF($E$4:$E$194,"410",$CL$4:$CL$194)</f>
        <v>25980063</v>
      </c>
      <c r="CM202" s="959">
        <f t="shared" si="207"/>
        <v>0.53521014328971994</v>
      </c>
      <c r="CN202" s="149">
        <f t="shared" si="208"/>
        <v>3498022563</v>
      </c>
      <c r="CO202" s="951">
        <f>SUMIF($E$4:$E$194,"410",$CO$4:$CO$194)</f>
        <v>0</v>
      </c>
      <c r="CP202" s="951">
        <f>SUMIF($E$4:$E$192,"410",$CP$4:$CP$192)</f>
        <v>133268976</v>
      </c>
      <c r="CQ202" s="951">
        <f>SUMIF($E$4:$E$192,"410",$CQ$4:$CQ$192)</f>
        <v>396726534</v>
      </c>
      <c r="CR202" s="951">
        <f>SUMIF($E$4:$E$192,"410",$CR$4:$CR$192)</f>
        <v>561469881</v>
      </c>
      <c r="CS202" s="951">
        <f>SUMIF($E$4:$E$194,"410",$CS$4:$CS$194)</f>
        <v>0</v>
      </c>
      <c r="CT202" s="951">
        <f>SUMIF($E$4:$E$192,"410",$CT$4:$CT$192)</f>
        <v>457458840</v>
      </c>
      <c r="CU202" s="951">
        <f>SUMIF($E$4:$E$192,"410",$CU$4:$CU$192)</f>
        <v>54911458</v>
      </c>
      <c r="CV202" s="951">
        <f>SUMIF($E$4:$E$194,"410",$CV$4:$CV$194)</f>
        <v>102810569</v>
      </c>
      <c r="CW202" s="951">
        <f>SUMIF($E$4:$E$192,"410",$CW$4:$CW$192)</f>
        <v>129471348</v>
      </c>
      <c r="CX202" s="951">
        <f>SUMIF($E$4:$E$192,"410",$CX$4:$CX$192)</f>
        <v>0</v>
      </c>
      <c r="CY202" s="951">
        <f>SUMIF($E$4:$E$192,"410",$CY$4:$CY$192)</f>
        <v>0</v>
      </c>
      <c r="CZ202" s="951">
        <f>SUMIF($E$4:$E$192,"410",$CZ$4:$CZ$192)</f>
        <v>0</v>
      </c>
      <c r="DA202" s="951">
        <f>SUMIF($E$4:$E$192,"410",$DA$4:$DA$192)</f>
        <v>1255105656</v>
      </c>
      <c r="DB202" s="951">
        <f>SUMIF($E$4:$E$192,"410",$DB$4:$DB$192)</f>
        <v>53706082</v>
      </c>
      <c r="DC202" s="951">
        <f>SUMIF($E$4:$E$192,"410",$DC$4:$DC$192)</f>
        <v>173596038</v>
      </c>
      <c r="DD202" s="951">
        <f>SUMIF($E$4:$E$192,"410",$DD$4:$DD$192)</f>
        <v>123389828</v>
      </c>
      <c r="DE202" s="951">
        <f>SUMIF($E$4:$E$192,"410",$DE$4:$DE$192)</f>
        <v>0</v>
      </c>
      <c r="DF202" s="951">
        <f>SUMIF($E$4:$E$192,"410",$DF$4:$DF$192)</f>
        <v>30228561</v>
      </c>
      <c r="DG202" s="951">
        <f>SUMIF($E$4:$E$192,"410",$DG$4:$DG$192)</f>
        <v>0</v>
      </c>
      <c r="DH202" s="952">
        <f>SUMIF($E$4:$E$192,"410",$DH$4:$DH$192)</f>
        <v>25878792</v>
      </c>
      <c r="DI202" s="1010">
        <f t="shared" si="209"/>
        <v>0.46478985671028006</v>
      </c>
      <c r="DJ202" s="149">
        <f t="shared" si="210"/>
        <v>3037770166</v>
      </c>
      <c r="DK202" s="1039">
        <f>SUMIF($E$4:$E$194,"410",$DK$4:$DK$194)</f>
        <v>0</v>
      </c>
      <c r="DL202" s="953">
        <f>SUMIF($E$4:$E$192,"410",$DL$4:$DL$192)</f>
        <v>1264680</v>
      </c>
      <c r="DM202" s="953">
        <f>SUMIF($E$4:$E$194,"410",$DM$4:$DM$194)</f>
        <v>0</v>
      </c>
      <c r="DN202" s="953">
        <f>SUMIF($E$4:$E$194,"410",$DN$4:$DN$194)</f>
        <v>214252150</v>
      </c>
      <c r="DO202" s="953">
        <f>SUMIF($E$4:$E$194,"410",$DO$4:$DO$194)</f>
        <v>0</v>
      </c>
      <c r="DP202" s="953">
        <f>SUMIF($E$4:$E$194,"410",$DP$4:$DP$194)</f>
        <v>86722037</v>
      </c>
      <c r="DQ202" s="953">
        <f>SUMIF($E$4:$E$194,"410",$DQ$4:$DQ$194)</f>
        <v>88542</v>
      </c>
      <c r="DR202" s="953">
        <f>SUMIF($E$4:$E$194,"410",$DR$4:$DR$194)</f>
        <v>0</v>
      </c>
      <c r="DS202" s="208">
        <f>SUMIF($E$4:$E$192,"410",$DS$4:$DS$192)</f>
        <v>90000000</v>
      </c>
      <c r="DT202" s="208">
        <f>SUMIF($E$4:$E$192,"410",$DT$4:$DT$192)</f>
        <v>0</v>
      </c>
      <c r="DU202" s="208">
        <f>SUMIF($E$4:$E$194,"410",$DU$4:$DU$194)</f>
        <v>0</v>
      </c>
      <c r="DV202" s="208">
        <f>SUMIF($E$4:$E$192,"410",$DV$4:$DV$192)</f>
        <v>0</v>
      </c>
      <c r="DW202" s="208">
        <f>SUMIF($E$4:$E$192,"410",$DW$4:$DW$192)</f>
        <v>2248908024</v>
      </c>
      <c r="DX202" s="208">
        <f>SUMIF($E$4:$E$194,"410",$DX$4:$DX$194)</f>
        <v>24903057</v>
      </c>
      <c r="DY202" s="208">
        <f>SUMIF($E$4:$E$194,"410",$DY$4:$DY$194)</f>
        <v>78122045</v>
      </c>
      <c r="DZ202" s="208">
        <f>SUMIF($E$4:$E$192,"410",$DZ$4:$DZ$192)</f>
        <v>188583822</v>
      </c>
      <c r="EA202" s="208">
        <f>SUMIF($E$4:$E$192,"410",$EA$4:$EA$192)</f>
        <v>0</v>
      </c>
      <c r="EB202" s="208">
        <f>SUMIF($E$4:$E$192,"410",$EB$4:$EB$192)</f>
        <v>50615524</v>
      </c>
      <c r="EC202" s="208">
        <f>SUMIF($E$4:$E$192,"410",$EC$4:$EC$192)</f>
        <v>0</v>
      </c>
      <c r="ED202" s="208">
        <f>SUMIF($E$4:$E$194,"410",$ED$4:$ED$194)</f>
        <v>54310285</v>
      </c>
    </row>
    <row r="203" spans="1:134" ht="14.25" customHeight="1" x14ac:dyDescent="0.25">
      <c r="C203" s="988"/>
      <c r="D203" s="1093" t="s">
        <v>3755</v>
      </c>
      <c r="E203" s="239">
        <v>510</v>
      </c>
      <c r="F203" s="133"/>
      <c r="G203" s="875">
        <f>SUMIF($E$4:$E$194,"510",$G$4:$G$194)</f>
        <v>1300000000</v>
      </c>
      <c r="H203" s="1059">
        <f>SUMIF($E$4:$E$194,"510",$H$4:$H$194)</f>
        <v>752743047</v>
      </c>
      <c r="I203" s="1059">
        <f>SUMIF($E$4:$E$194,"510",$I$4:$I$194)</f>
        <v>780956953</v>
      </c>
      <c r="J203" s="133"/>
      <c r="K203" s="133"/>
      <c r="L203" s="133"/>
      <c r="M203" s="133"/>
      <c r="N203" s="133"/>
      <c r="O203" s="133"/>
      <c r="P203" s="133"/>
      <c r="Q203" s="133"/>
      <c r="R203" s="133"/>
      <c r="S203" s="133"/>
      <c r="T203" s="133"/>
      <c r="U203" s="133"/>
      <c r="V203" s="133"/>
      <c r="W203" s="133"/>
      <c r="X203" s="133"/>
      <c r="Y203" s="951">
        <f>SUMIF($E$4:$E$194,"510",$Y$4:$Y$194)</f>
        <v>1533700000</v>
      </c>
      <c r="Z203" s="951">
        <f>SUMIF($E$4:$E$194,"510",$Z$4:$Z$194)</f>
        <v>0</v>
      </c>
      <c r="AA203" s="216">
        <f>SUMIF($E$4:$E$192,"510",$AA$4:$AA$192)</f>
        <v>0</v>
      </c>
      <c r="AB203" s="216">
        <f>SUMIF($E$4:$E$195,"510",$AB$4:$AB$195)</f>
        <v>0</v>
      </c>
      <c r="AC203" s="216">
        <f>SUMIF($E$4:$E$195,"510",$AC$4:$AC$195)</f>
        <v>0</v>
      </c>
      <c r="AD203" s="951">
        <f>SUMIF($E$4:$E$194,"510",$AD$4:$AD$194)</f>
        <v>0</v>
      </c>
      <c r="AE203" s="133">
        <f>SUMIF($E$4:$E$192,"510",$AE$4:$AE$192)</f>
        <v>670000000</v>
      </c>
      <c r="AF203" s="133">
        <f>SUMIF($E$4:$E$192,"510",$AF$4:$AF$192)</f>
        <v>0</v>
      </c>
      <c r="AG203" s="133">
        <f>SUMIF($E$4:$E$192,"510",$AG$4:$AG$192)</f>
        <v>0</v>
      </c>
      <c r="AH203" s="133">
        <f>SUMIF($E$4:$E$192,"510",$AH$4:$AH$192)</f>
        <v>0</v>
      </c>
      <c r="AI203" s="133">
        <f>SUMIF($E$4:$E$192,"510",$AI$4:$AI$192)</f>
        <v>0</v>
      </c>
      <c r="AJ203" s="133">
        <f>SUMIF($E$4:$E$192,"510",$AJ$4:$AJ$192)</f>
        <v>0</v>
      </c>
      <c r="AK203" s="133">
        <f>SUMIF($E$4:$E$192,"510",$AK$4:$AK$192)</f>
        <v>0</v>
      </c>
      <c r="AL203" s="133">
        <f>SUMIF($E$4:$E$192,"510",$AL$4:$AL$192)</f>
        <v>0</v>
      </c>
      <c r="AM203" s="133">
        <f>SUMIF($E$4:$E$192,"510",$AM$4:$AM$192)</f>
        <v>270000000</v>
      </c>
      <c r="AN203" s="133">
        <f>SUMIF($E$4:$E$192,"510",$AN$4:$AN$192)</f>
        <v>250000000</v>
      </c>
      <c r="AO203" s="133">
        <f>SUMIF($E$4:$E$192,"510",$AO$4:$AO$192)</f>
        <v>239500000</v>
      </c>
      <c r="AP203" s="133">
        <f>SUMIF($E$4:$E$163,"510",$AP$4:$AP$163)</f>
        <v>0</v>
      </c>
      <c r="AQ203" s="133">
        <f>SUMIF($E$4:$E$192,"510",$AQ$4:$AQ$192)</f>
        <v>0</v>
      </c>
      <c r="AR203" s="133">
        <f>SUMIF($E$4:$E$192,"510",$AR$4:$AR$192)</f>
        <v>0</v>
      </c>
      <c r="AS203" s="133">
        <f>SUMIF($E$4:$E$194,"510",$AS$4:$AS$194)</f>
        <v>104200000</v>
      </c>
      <c r="AU203" s="946">
        <f t="shared" si="203"/>
        <v>0.61094694855578013</v>
      </c>
      <c r="AV203" s="218">
        <f t="shared" si="204"/>
        <v>937009335</v>
      </c>
      <c r="AW203" s="951">
        <f>SUMIF($E$4:$E$192,"510",$AW$4:$AW$192)</f>
        <v>0</v>
      </c>
      <c r="AX203" s="951">
        <f>SUMIF($E$4:$E$194,"510",$AX$4:$AX$194)</f>
        <v>0</v>
      </c>
      <c r="AY203" s="951">
        <f>SUMIF($E$4:$E$194,"510",$AY$4:$AY$194)</f>
        <v>0</v>
      </c>
      <c r="AZ203" s="951">
        <f>SUMIF($E$4:$E$194,"510",$AZ$4:$AZ$194)</f>
        <v>0</v>
      </c>
      <c r="BA203" s="951">
        <f>SUMIF($E$4:$E$192,"510",$BA$4:$BA$192)</f>
        <v>0</v>
      </c>
      <c r="BB203" s="951">
        <f>SUMIF($E$4:$E$192,"510",$BB$4:$BB$192)</f>
        <v>387958330</v>
      </c>
      <c r="BC203" s="951">
        <f>SUMIF($E$4:$E$194,"510",$BC$4:$BC$194)</f>
        <v>0</v>
      </c>
      <c r="BD203" s="951">
        <f>SUMIF($E$4:$E$194,"510",$BD$4:$BD$194)</f>
        <v>0</v>
      </c>
      <c r="BE203" s="951">
        <f>SUMIF($E$4:$E$192,"510",$BE$4:$BE$192)</f>
        <v>0</v>
      </c>
      <c r="BF203" s="951">
        <f>SUMIF($E$4:$E$192,"510",$BF$4:$BF$192)</f>
        <v>0</v>
      </c>
      <c r="BG203" s="951">
        <f>SUMIF($E$4:$E$163,"510",$BG$4:$BG$163)</f>
        <v>0</v>
      </c>
      <c r="BH203" s="951">
        <f>SUMIF($E$4:$E$192,"510",$BH$4:$BH$192)</f>
        <v>0</v>
      </c>
      <c r="BI203" s="951">
        <f>SUMIF($E$4:$E$192,"510",$BI$4:$BI$192)</f>
        <v>0</v>
      </c>
      <c r="BJ203" s="951">
        <f>SUMIF($E$4:$E$192,"510",$BJ$4:$BJ$192)</f>
        <v>133901272</v>
      </c>
      <c r="BK203" s="951">
        <f>SUMIF($E$4:$E$194,"510",$BK$4:$BK$194)</f>
        <v>109649906</v>
      </c>
      <c r="BL203" s="951">
        <f>SUMIF($E$4:$E$192,"510",$BL$4:$BL$192)</f>
        <v>227203720</v>
      </c>
      <c r="BM203" s="951">
        <f>SUMIF($E$4:$E$192,"510",$BM$4:$BM$192)</f>
        <v>0</v>
      </c>
      <c r="BN203" s="951">
        <f>SUMIF($E$4:$E$192,"510",$BN$4:$BN$192)</f>
        <v>0</v>
      </c>
      <c r="BO203" s="951">
        <f>SUMIF($E$4:$E$192," 510",$BO$4:$BO$192)</f>
        <v>0</v>
      </c>
      <c r="BP203" s="951">
        <f>SUMIF($E$4:$E$194,"510",$BP$4:$BP$194)</f>
        <v>78296107</v>
      </c>
      <c r="BQ203" s="950">
        <f t="shared" si="205"/>
        <v>0.38905305144421987</v>
      </c>
      <c r="BR203" s="149">
        <f t="shared" si="206"/>
        <v>596690665</v>
      </c>
      <c r="BS203" s="953">
        <f>SUMIF($E$4:$E$192,"510",$BS$4:$BS$192)</f>
        <v>0</v>
      </c>
      <c r="BT203" s="953">
        <f>SUMIF($E$4:$E$192,"510",$BT$4:$BT$192)</f>
        <v>0</v>
      </c>
      <c r="BU203" s="953">
        <f>SUMIF($E$4:$E$192,"510",$BU$4:$BU$192)</f>
        <v>0</v>
      </c>
      <c r="BV203" s="953">
        <f>SUMIF($E$4:$E$194,"510",$BV$4:$BV$194)</f>
        <v>0</v>
      </c>
      <c r="BW203" s="953">
        <f>SUMIF($E$4:$E$194,"510",$BW$4:$BW$194)</f>
        <v>0</v>
      </c>
      <c r="BX203" s="953">
        <f>SUMIF($E$4:$E$194,"510",$BX$4:$BX$194)</f>
        <v>282041670</v>
      </c>
      <c r="BY203" s="953">
        <f>SUMIF($E$4:$E$192,"510",$BY$4:$BY$192)</f>
        <v>0</v>
      </c>
      <c r="BZ203" s="953">
        <f>SUMIF($E$4:$E$192,"510",$BZ$4:$BZ$192)</f>
        <v>0</v>
      </c>
      <c r="CA203" s="953">
        <f>SUMIF($E$4:$E$192,"510",$CA$4:$CA$192)</f>
        <v>0</v>
      </c>
      <c r="CB203" s="953">
        <f>SUMIF($E$4:$E$192,"510",$CB$4:$CB$192)</f>
        <v>0</v>
      </c>
      <c r="CC203" s="953">
        <f>SUMIF($E$4:$E$192,"510",$CC$4:$CC$192)</f>
        <v>0</v>
      </c>
      <c r="CD203" s="953">
        <f>SUMIF($E$4:$E$192,"510",$CD$4:$CD$192)</f>
        <v>0</v>
      </c>
      <c r="CE203" s="953">
        <f>SUMIF($E$4:$E$192,"510",$CE$4:$CE$192)</f>
        <v>0</v>
      </c>
      <c r="CF203" s="953">
        <f>SUMIF($E$4:$E$192,"510",$CF$4:$CF$192)</f>
        <v>136098728</v>
      </c>
      <c r="CG203" s="953">
        <f>SUMIF($E$4:$E$192,"510",$CG$4:$CG$192)</f>
        <v>140350094</v>
      </c>
      <c r="CH203" s="953">
        <f>SUMIF($E$4:$E$192,"510",$CH$4:$CH$192)</f>
        <v>12296280</v>
      </c>
      <c r="CI203" s="953">
        <f>SUMIF($E$4:$E$192,"520",$CI$4:$CI$192)</f>
        <v>0</v>
      </c>
      <c r="CJ203" s="953">
        <f>SUMIF($E$4:$E$192,"510",$CJ$4:$CJ$192)</f>
        <v>0</v>
      </c>
      <c r="CK203" s="953">
        <f>SUMIF($E$4:$E$192,"510",$CK$4:$CK$192)</f>
        <v>0</v>
      </c>
      <c r="CL203" s="956">
        <f>SUMIF($E$4:$E$194,"510",$CL$4:$CL$194)</f>
        <v>25903893</v>
      </c>
      <c r="CM203" s="959">
        <f t="shared" si="207"/>
        <v>0.49080201277955271</v>
      </c>
      <c r="CN203" s="149">
        <f t="shared" si="208"/>
        <v>752743047</v>
      </c>
      <c r="CO203" s="951">
        <f>SUMIF($E$4:$E$194,"510",$CO$4:$CO$194)</f>
        <v>0</v>
      </c>
      <c r="CP203" s="951">
        <f>SUMIF($E$4:$E$192,"510",$CP$4:$CP$192)</f>
        <v>0</v>
      </c>
      <c r="CQ203" s="951">
        <f>SUMIF($E$4:$E$192,"510",$CQ$4:$CQ$192)</f>
        <v>0</v>
      </c>
      <c r="CR203" s="951">
        <f>SUMIF($E$4:$E$192,"510",$CR$4:$CR$192)</f>
        <v>0</v>
      </c>
      <c r="CS203" s="951">
        <f>SUMIF($E$4:$E$194,"510",$CS$4:$CS$194)</f>
        <v>0</v>
      </c>
      <c r="CT203" s="951">
        <f>SUMIF($E$4:$E$192,"510",$CT$4:$CT$192)</f>
        <v>354153796</v>
      </c>
      <c r="CU203" s="951">
        <f>SUMIF($E$4:$E$192,"510",$CU$4:$CU$192)</f>
        <v>0</v>
      </c>
      <c r="CV203" s="951">
        <f>SUMIF($E$4:$E$194,"510",$CV$4:$CV$194)</f>
        <v>0</v>
      </c>
      <c r="CW203" s="951">
        <f>SUMIF($E$4:$E$192,"510",$CW$4:$CW$192)</f>
        <v>0</v>
      </c>
      <c r="CX203" s="951">
        <f>SUMIF($E$4:$E$192,"510",$CX$4:$CX$192)</f>
        <v>0</v>
      </c>
      <c r="CY203" s="951">
        <f>SUMIF($E$4:$E$192,"510",$CY$4:$CY$192)</f>
        <v>0</v>
      </c>
      <c r="CZ203" s="951">
        <f>SUMIF($E$4:$E$192,"510",$CZ$4:$CZ$192)</f>
        <v>0</v>
      </c>
      <c r="DA203" s="951">
        <f>SUMIF($E$4:$E$192,"510",$DA$4:$DA$192)</f>
        <v>0</v>
      </c>
      <c r="DB203" s="951">
        <f>SUMIF($E$4:$E$192,"510",$DB$4:$DB$192)</f>
        <v>81094725</v>
      </c>
      <c r="DC203" s="951">
        <f>SUMIF($E$4:$E$192,"510",$DC$4:$DC$192)</f>
        <v>90349777</v>
      </c>
      <c r="DD203" s="951">
        <f>SUMIF($E$4:$E$192,"510",$DD$4:$DD$192)</f>
        <v>180115636</v>
      </c>
      <c r="DE203" s="951">
        <f>SUMIF($E$4:$E$192,"510",$DE$4:$DE$192)</f>
        <v>0</v>
      </c>
      <c r="DF203" s="951">
        <f>SUMIF($E$4:$E$192,"510",$DF$4:$DF$192)</f>
        <v>0</v>
      </c>
      <c r="DG203" s="951">
        <f>SUMIF($E$4:$E$192,"510",$DG$4:$DG$192)</f>
        <v>0</v>
      </c>
      <c r="DH203" s="952">
        <f>SUMIF($E$4:$E$192,"510",$DH$4:$DH$192)</f>
        <v>47029113</v>
      </c>
      <c r="DI203" s="1010">
        <f t="shared" si="209"/>
        <v>0.50919798722044729</v>
      </c>
      <c r="DJ203" s="149">
        <f t="shared" si="210"/>
        <v>780956953</v>
      </c>
      <c r="DK203" s="1039">
        <f>SUMIF($E$4:$E$194,"510",$DK$4:$DK$194)</f>
        <v>0</v>
      </c>
      <c r="DL203" s="953">
        <f>SUMIF($E$4:$E$192,"510",$DL$4:$DL$192)</f>
        <v>0</v>
      </c>
      <c r="DM203" s="953">
        <f>SUMIF($E$4:$E$194,"510",$DM$4:$DM$194)</f>
        <v>0</v>
      </c>
      <c r="DN203" s="953">
        <f>SUMIF($E$4:$E$194,"510",$DN$4:$DN$194)</f>
        <v>0</v>
      </c>
      <c r="DO203" s="953">
        <f>SUMIF($E$4:$E$194,"510",$DO$4:$DO$194)</f>
        <v>0</v>
      </c>
      <c r="DP203" s="953">
        <f>SUMIF($E$4:$E$194,"510",$DP$4:$DP$194)</f>
        <v>315846204</v>
      </c>
      <c r="DQ203" s="953">
        <f>SUMIF($E$4:$E$194,"510",$DQ$4:$DQ$194)</f>
        <v>0</v>
      </c>
      <c r="DR203" s="953">
        <f>SUMIF($E$4:$E$194,"510",$DR$4:$DR$194)</f>
        <v>0</v>
      </c>
      <c r="DS203" s="208">
        <f>SUMIF($E$4:$E$192,"510",$DS$4:$DS$192)</f>
        <v>0</v>
      </c>
      <c r="DT203" s="208">
        <f>SUMIF($E$4:$E$192,"510",$DT$4:$DT$192)</f>
        <v>0</v>
      </c>
      <c r="DU203" s="208">
        <f>SUMIF($E$4:$E$194,"510",$DU$4:$DU$194)</f>
        <v>0</v>
      </c>
      <c r="DV203" s="208">
        <f>SUMIF($E$4:$E$192,"510",$DV$4:$DV$192)</f>
        <v>0</v>
      </c>
      <c r="DW203" s="208">
        <f>SUMIF($E$4:$E$192,"510",$DW$4:$DW$192)</f>
        <v>0</v>
      </c>
      <c r="DX203" s="208">
        <f>SUMIF($E$4:$E$194,"510",$DX$4:$DX$194)</f>
        <v>188905275</v>
      </c>
      <c r="DY203" s="208">
        <f>SUMIF($E$4:$E$194,"510",$DY$4:$DY$194)</f>
        <v>159650223</v>
      </c>
      <c r="DZ203" s="208">
        <f>SUMIF($E$4:$E$192,"510",$DZ$4:$DZ$192)</f>
        <v>59384364</v>
      </c>
      <c r="EA203" s="208">
        <f>SUMIF($E$4:$E$192,"510",$EA$4:$EA$192)</f>
        <v>0</v>
      </c>
      <c r="EB203" s="208">
        <f>SUMIF($E$4:$E$192,"510",$EB$4:$EB$192)</f>
        <v>0</v>
      </c>
      <c r="EC203" s="208">
        <f>SUMIF($E$4:$E$192,"510",$EC$4:$EC$192)</f>
        <v>0</v>
      </c>
      <c r="ED203" s="208">
        <f>SUMIF($E$4:$E$194,"510",$ED$4:$ED$194)</f>
        <v>57170887</v>
      </c>
    </row>
    <row r="204" spans="1:134" x14ac:dyDescent="0.25">
      <c r="C204" s="988"/>
      <c r="D204" s="1093" t="s">
        <v>1517</v>
      </c>
      <c r="E204" s="239">
        <v>520</v>
      </c>
      <c r="F204" s="133"/>
      <c r="G204" s="875">
        <f>SUMIF($E$4:$E$194,"520",$G$4:$G$194)</f>
        <v>2832000000</v>
      </c>
      <c r="H204" s="1059">
        <f>SUMIF($E$4:$E$194,"520",$H$4:$H$194)</f>
        <v>1853898673</v>
      </c>
      <c r="I204" s="1059">
        <f>SUMIF($E$4:$E$194,"520",$I$4:$I$194)</f>
        <v>1135342598</v>
      </c>
      <c r="J204" s="133"/>
      <c r="K204" s="133"/>
      <c r="L204" s="133"/>
      <c r="M204" s="133"/>
      <c r="N204" s="133"/>
      <c r="O204" s="133"/>
      <c r="P204" s="133"/>
      <c r="Q204" s="133"/>
      <c r="R204" s="133"/>
      <c r="S204" s="133"/>
      <c r="T204" s="133"/>
      <c r="U204" s="133"/>
      <c r="V204" s="133"/>
      <c r="W204" s="133"/>
      <c r="X204" s="133"/>
      <c r="Y204" s="951">
        <f>SUMIF($E$4:$E$194,"520",$Y$4:$Y$194)</f>
        <v>2989241271</v>
      </c>
      <c r="Z204" s="951">
        <f>SUMIF($E$4:$E$194,"520",$Z$4:$Z$194)</f>
        <v>0</v>
      </c>
      <c r="AA204" s="216">
        <f>SUMIF($E$4:$E$192,"520",$AA$4:$AA$192)</f>
        <v>0</v>
      </c>
      <c r="AB204" s="216">
        <f>SUMIF($E$4:$E$195,"520",$AB$4:$AB$195)</f>
        <v>0</v>
      </c>
      <c r="AC204" s="216">
        <f>SUMIF($E$4:$E$194,"520",$AC$4:$AC$194)</f>
        <v>50000000</v>
      </c>
      <c r="AD204" s="951">
        <f>SUMIF($E$4:$E$194,"520",$AD$4:$AD$194)</f>
        <v>72884540</v>
      </c>
      <c r="AE204" s="133">
        <f>SUMIF($E$4:$E$192,"520",$AE$4:$AE$192)</f>
        <v>660000000</v>
      </c>
      <c r="AF204" s="133">
        <f>SUMIF($E$4:$E$192,"520",$AF$4:$AF$192)</f>
        <v>923014856</v>
      </c>
      <c r="AG204" s="133">
        <f>SUMIF($E$4:$E$192,"520",$AG$4:$AG$192)</f>
        <v>0</v>
      </c>
      <c r="AH204" s="133">
        <f>SUMIF($E$4:$E$192,"520",$AH$4:$AH$192)</f>
        <v>0</v>
      </c>
      <c r="AI204" s="133">
        <f>SUMIF($E$4:$E$192,"520",$AI$4:$AI$192)</f>
        <v>0</v>
      </c>
      <c r="AJ204" s="133">
        <f>SUMIF($E$4:$E$192,"520",$AJ$4:$AJ$192)</f>
        <v>0</v>
      </c>
      <c r="AK204" s="133">
        <f>SUMIF($E$4:$E$192,"520",$AK$4:$AK$192)</f>
        <v>0</v>
      </c>
      <c r="AL204" s="133">
        <f>SUMIF($E$4:$E$192,"520",$AL$4:$AL$192)</f>
        <v>610864435</v>
      </c>
      <c r="AM204" s="133">
        <f>SUMIF($E$4:$E$192,"520",$AM$4:$AM$192)</f>
        <v>0</v>
      </c>
      <c r="AN204" s="133">
        <f>SUMIF($E$4:$E$192,"520",$AN$4:$AN$192)</f>
        <v>75000000</v>
      </c>
      <c r="AO204" s="133">
        <f>SUMIF($E$4:$E$192,"520",$AO$4:$AO$192)</f>
        <v>0</v>
      </c>
      <c r="AP204" s="133">
        <f>SUMIF($E$4:$E$163,"520",$AP$4:$AP$163)</f>
        <v>0</v>
      </c>
      <c r="AQ204" s="133">
        <f>SUMIF($E$4:$E$192,"520",$AQ$4:$AQ$192)</f>
        <v>0</v>
      </c>
      <c r="AR204" s="133">
        <f>SUMIF($E$4:$E$192,"520",$AR$4:$AR$192)</f>
        <v>0</v>
      </c>
      <c r="AS204" s="133">
        <f>SUMIF($E$4:$E$194,"520",$AS$4:$AS$194)</f>
        <v>597477440</v>
      </c>
      <c r="AU204" s="946">
        <f t="shared" si="203"/>
        <v>0.81551392577437753</v>
      </c>
      <c r="AV204" s="218">
        <f t="shared" si="204"/>
        <v>2437767884</v>
      </c>
      <c r="AW204" s="951">
        <f>SUMIF($E$4:$E$192,"520",$AW$4:$AW$192)</f>
        <v>0</v>
      </c>
      <c r="AX204" s="951">
        <f>SUMIF($E$4:$E$194,"520",$AX$4:$AX$194)</f>
        <v>0</v>
      </c>
      <c r="AY204" s="951">
        <f>SUMIF($E$4:$E$194,"520",$AY$4:$AY$194)</f>
        <v>0</v>
      </c>
      <c r="AZ204" s="951">
        <f>SUMIF($E$4:$E$194,"520",$AZ$4:$AZ$194)</f>
        <v>50000000</v>
      </c>
      <c r="BA204" s="951">
        <f>SUMIF($E$4:$E$192,"520",$BA$4:$BA$192)</f>
        <v>0</v>
      </c>
      <c r="BB204" s="951">
        <f>SUMIF($E$4:$E$192,"520",$BB$4:$BB$192)</f>
        <v>649180877</v>
      </c>
      <c r="BC204" s="951">
        <f>SUMIF($E$4:$E$194,"520",$BC$4:$BC$194)</f>
        <v>898014856</v>
      </c>
      <c r="BD204" s="951">
        <f>SUMIF($E$4:$E$194,"520",$BD$4:$BD$194)</f>
        <v>0</v>
      </c>
      <c r="BE204" s="951">
        <f>SUMIF($E$4:$E$192,"520",$BE$4:$BE$192)</f>
        <v>0</v>
      </c>
      <c r="BF204" s="951">
        <f>SUMIF($E$4:$E$192,"520",$BF$4:$BF$192)</f>
        <v>0</v>
      </c>
      <c r="BG204" s="951">
        <f>SUMIF($E$4:$E$163,"520",$BG$4:$BG$163)</f>
        <v>0</v>
      </c>
      <c r="BH204" s="951">
        <f>SUMIF($E$4:$E$192,"520",$BH$4:$BH$192)</f>
        <v>0</v>
      </c>
      <c r="BI204" s="951">
        <f>SUMIF($E$4:$E$192,"520",$BI$4:$BI$192)</f>
        <v>239671226</v>
      </c>
      <c r="BJ204" s="951">
        <f>SUMIF($E$4:$E$192,"520",$BJ$4:$BJ$192)</f>
        <v>0</v>
      </c>
      <c r="BK204" s="951">
        <f>SUMIF($E$4:$E$194,"520",$BK$4:$BK$194)</f>
        <v>56860700</v>
      </c>
      <c r="BL204" s="951">
        <f>SUMIF($E$4:$E$192,"520",$BL$4:$BL$192)</f>
        <v>0</v>
      </c>
      <c r="BM204" s="951">
        <f>SUMIF($E$4:$E$192,"520",$BM$4:$BM$192)</f>
        <v>0</v>
      </c>
      <c r="BN204" s="951">
        <f>SUMIF($E$4:$E$192,"520",$BN$4:$BN$192)</f>
        <v>0</v>
      </c>
      <c r="BO204" s="951">
        <f>SUMIF($E$4:$E$192,"520",$BO$4:$BO$192)</f>
        <v>0</v>
      </c>
      <c r="BP204" s="951">
        <f>SUMIF($E$4:$E$194,"520",$BP$4:$BP$194)</f>
        <v>544040225</v>
      </c>
      <c r="BQ204" s="950">
        <f t="shared" si="205"/>
        <v>0.18448607422562247</v>
      </c>
      <c r="BR204" s="149">
        <f t="shared" si="206"/>
        <v>551473387</v>
      </c>
      <c r="BS204" s="953">
        <f>SUMIF($E$4:$E$192,"520",$BS$4:$BS$192)</f>
        <v>0</v>
      </c>
      <c r="BT204" s="953">
        <f>SUMIF($E$4:$E$192,"520",$BT$4:$BT$192)</f>
        <v>0</v>
      </c>
      <c r="BU204" s="953">
        <f>SUMIF($E$4:$E$192,"520",$BU$4:$BU$192)</f>
        <v>0</v>
      </c>
      <c r="BV204" s="953">
        <f>SUMIF($E$4:$E$194,"520",$BV$4:$BV$194)</f>
        <v>0</v>
      </c>
      <c r="BW204" s="953">
        <f>SUMIF($E$4:$E$194,"520",$BW$4:$BW$194)</f>
        <v>72884540</v>
      </c>
      <c r="BX204" s="953">
        <f>SUMIF($E$4:$E$194,"520",$BX$4:$BX$194)</f>
        <v>10819123</v>
      </c>
      <c r="BY204" s="953">
        <f>SUMIF($E$4:$E$192,"520",$BY$4:$BY$192)</f>
        <v>25000000</v>
      </c>
      <c r="BZ204" s="953">
        <f>SUMIF($E$4:$E$192,"520",$BZ$4:$BZ$192)</f>
        <v>0</v>
      </c>
      <c r="CA204" s="953">
        <f>SUMIF($E$4:$E$192,"520",$CA$4:$CA$192)</f>
        <v>0</v>
      </c>
      <c r="CB204" s="953">
        <f>SUMIF($E$4:$E$192,"520",$CB$4:$CB$192)</f>
        <v>0</v>
      </c>
      <c r="CC204" s="953">
        <f>SUMIF($E$4:$E$192,"520",$CC$4:$CC$192)</f>
        <v>0</v>
      </c>
      <c r="CD204" s="953">
        <f>SUMIF($E$4:$E$192,"520",$CD$4:$CD$192)</f>
        <v>0</v>
      </c>
      <c r="CE204" s="953">
        <f>SUMIF($E$4:$E$192,"520",$CE$4:$CE$192)</f>
        <v>371193209</v>
      </c>
      <c r="CF204" s="953">
        <f>SUMIF($E$4:$E$192,"520",$CF$4:$CF$192)</f>
        <v>0</v>
      </c>
      <c r="CG204" s="953">
        <f>SUMIF($E$4:$E$192,"520",$CG$4:$CG$192)</f>
        <v>18139300</v>
      </c>
      <c r="CH204" s="953">
        <f>SUMIF($E$4:$E$192,"520",$CH$4:$CH$192)</f>
        <v>0</v>
      </c>
      <c r="CI204" s="953">
        <f>SUMIF($E$4:$E$192,"111",$CI$4:$CI$192)</f>
        <v>0</v>
      </c>
      <c r="CJ204" s="953">
        <f>SUMIF($E$4:$E$192,"520",$CJ$4:$CJ$192)</f>
        <v>0</v>
      </c>
      <c r="CK204" s="953">
        <f>SUMIF($E$4:$E$192,"520",$CK$4:$CK$192)</f>
        <v>0</v>
      </c>
      <c r="CL204" s="956">
        <f>SUMIF($E$4:$E$194,"520",$CL$4:$CL$194)</f>
        <v>53437215</v>
      </c>
      <c r="CM204" s="959">
        <f t="shared" si="207"/>
        <v>0.62019037773414976</v>
      </c>
      <c r="CN204" s="149">
        <f t="shared" si="208"/>
        <v>1853898673</v>
      </c>
      <c r="CO204" s="951">
        <f>SUMIF($E$4:$E$194,"520",$CO$4:$CO$194)</f>
        <v>0</v>
      </c>
      <c r="CP204" s="951">
        <f>SUMIF($E$4:$E$192,"520",$CP$4:$CP$192)</f>
        <v>0</v>
      </c>
      <c r="CQ204" s="951">
        <f>SUMIF($E$4:$E$192,"520",$CQ$4:$CQ$192)</f>
        <v>0</v>
      </c>
      <c r="CR204" s="951">
        <f>SUMIF($E$4:$E$192,"520",$CR$4:$CR$192)</f>
        <v>40000000</v>
      </c>
      <c r="CS204" s="951">
        <f>SUMIF($E$4:$E$194,"520",$CS$4:$CS$194)</f>
        <v>0</v>
      </c>
      <c r="CT204" s="951">
        <f>SUMIF($E$4:$E$192,"520",$CT$4:$CT$192)</f>
        <v>492270188</v>
      </c>
      <c r="CU204" s="951">
        <f>SUMIF($E$4:$E$192,"520",$CU$4:$CU$192)</f>
        <v>654040542</v>
      </c>
      <c r="CV204" s="951">
        <f>SUMIF($E$4:$E$194,"520",$CV$4:$CV$194)</f>
        <v>0</v>
      </c>
      <c r="CW204" s="951">
        <f>SUMIF($E$4:$E$192,"520",$CW$4:$CW$192)</f>
        <v>0</v>
      </c>
      <c r="CX204" s="951">
        <f>SUMIF($E$4:$E$192,"520",$CX$4:$CX$192)</f>
        <v>0</v>
      </c>
      <c r="CY204" s="951">
        <f>SUMIF($E$4:$E$192,"520",$CY$4:$CY$192)</f>
        <v>0</v>
      </c>
      <c r="CZ204" s="951">
        <f>SUMIF($E$4:$E$192,"520",$CZ$4:$CZ$192)</f>
        <v>0</v>
      </c>
      <c r="DA204" s="951">
        <f>SUMIF($E$4:$E$192,"520",$DA$4:$DA$192)</f>
        <v>144717838</v>
      </c>
      <c r="DB204" s="951">
        <f>SUMIF($E$4:$E$192,"520",$DB$4:$DB$192)</f>
        <v>0</v>
      </c>
      <c r="DC204" s="951">
        <f>SUMIF($E$4:$E$192,"520",$DC$4:$DC$192)</f>
        <v>43207264</v>
      </c>
      <c r="DD204" s="951">
        <f>SUMIF($E$4:$E$192,"520",$DD$4:$DD$192)</f>
        <v>0</v>
      </c>
      <c r="DE204" s="951">
        <f>SUMIF($E$4:$E$192,"520",$DE$4:$DE$192)</f>
        <v>0</v>
      </c>
      <c r="DF204" s="951">
        <f>SUMIF($E$4:$E$192,"520",$DF$4:$DF$192)</f>
        <v>0</v>
      </c>
      <c r="DG204" s="951">
        <f>SUMIF($E$4:$E$192,"520",$DG$4:$DG$192)</f>
        <v>0</v>
      </c>
      <c r="DH204" s="952">
        <f>SUMIF($E$4:$E$192,"520",$DH$4:$DH$192)</f>
        <v>479662841</v>
      </c>
      <c r="DI204" s="1010">
        <f t="shared" si="209"/>
        <v>0.37980962226585024</v>
      </c>
      <c r="DJ204" s="149">
        <f t="shared" si="210"/>
        <v>1135342598</v>
      </c>
      <c r="DK204" s="1039">
        <f>SUMIF($E$4:$E$194,"520",$DK$4:$DK$194)</f>
        <v>0</v>
      </c>
      <c r="DL204" s="953">
        <f>SUMIF($E$4:$E$192,"520",$DL$4:$DL$192)</f>
        <v>0</v>
      </c>
      <c r="DM204" s="953">
        <f>SUMIF($E$4:$E$194,"520",$DM$4:$DM$194)</f>
        <v>0</v>
      </c>
      <c r="DN204" s="953">
        <f>SUMIF($E$4:$E$194,"520",$DN$4:$DN$194)</f>
        <v>10000000</v>
      </c>
      <c r="DO204" s="953">
        <f>SUMIF($E$4:$E$194,"520",$DO$4:$DO$194)</f>
        <v>72884540</v>
      </c>
      <c r="DP204" s="953">
        <f>SUMIF($E$4:$E$194,"520",$DP$4:$DP$194)</f>
        <v>167729812</v>
      </c>
      <c r="DQ204" s="953">
        <f>SUMIF($E$4:$E$194,"520",$DQ$4:$DQ$194)</f>
        <v>268974314</v>
      </c>
      <c r="DR204" s="953">
        <f>SUMIF($E$4:$E$194,"520",$DR$4:$DR$194)</f>
        <v>0</v>
      </c>
      <c r="DS204" s="208">
        <f>SUMIF($E$4:$E$192,"520",$DS$4:$DS$192)</f>
        <v>0</v>
      </c>
      <c r="DT204" s="208">
        <f>SUMIF($E$4:$E$192,"520",$DT$4:$DT$192)</f>
        <v>0</v>
      </c>
      <c r="DU204" s="208">
        <f>SUMIF($E$4:$E$194,"520",$DU$4:$DU$194)</f>
        <v>0</v>
      </c>
      <c r="DV204" s="208">
        <f>SUMIF($E$4:$E$192,"520",$DV$4:$DV$192)</f>
        <v>0</v>
      </c>
      <c r="DW204" s="208">
        <f>SUMIF($E$4:$E$192,"520",$DW$4:$DW$192)</f>
        <v>466146597</v>
      </c>
      <c r="DX204" s="208">
        <f>SUMIF($E$4:$E$194,"520",$DX$4:$DX$194)</f>
        <v>0</v>
      </c>
      <c r="DY204" s="208">
        <f>SUMIF($E$4:$E$192,"520",$DY$4:$DY$192)</f>
        <v>31792736</v>
      </c>
      <c r="DZ204" s="208">
        <f>SUMIF($E$4:$E$192,"520",$DZ$4:$DZ$192)</f>
        <v>0</v>
      </c>
      <c r="EA204" s="208">
        <f>SUMIF($E$4:$E$192,"520",$EA$4:$EA$192)</f>
        <v>0</v>
      </c>
      <c r="EB204" s="208">
        <f>SUMIF($E$4:$E$192,"520",$EB$4:$EB$192)</f>
        <v>0</v>
      </c>
      <c r="EC204" s="208">
        <f>SUMIF($E$4:$E$192,"520",$EC$4:$EC$192)</f>
        <v>0</v>
      </c>
      <c r="ED204" s="208">
        <f>SUMIF($E$4:$E$194,"520",$ED$4:$ED$194)</f>
        <v>117814599</v>
      </c>
    </row>
    <row r="205" spans="1:134" x14ac:dyDescent="0.25">
      <c r="C205" s="988"/>
      <c r="D205" s="1093" t="s">
        <v>4587</v>
      </c>
      <c r="E205" s="1098"/>
      <c r="F205" s="3"/>
      <c r="G205" s="875">
        <f>SUM(G199:G204)</f>
        <v>30001000000</v>
      </c>
      <c r="H205" s="1059">
        <f>SUM(H199:H204)</f>
        <v>11016460699</v>
      </c>
      <c r="I205" s="1059">
        <f>SUM(I199:I204)</f>
        <v>11517395804</v>
      </c>
      <c r="J205" s="3"/>
      <c r="K205" s="3"/>
      <c r="L205" s="3"/>
      <c r="M205" s="3"/>
      <c r="N205" s="3"/>
      <c r="O205" s="3"/>
      <c r="P205" s="3"/>
      <c r="Q205" s="3"/>
      <c r="R205" s="3"/>
      <c r="S205" s="3"/>
      <c r="T205" s="3"/>
      <c r="U205" s="3"/>
      <c r="V205" s="3"/>
      <c r="W205" s="3"/>
      <c r="X205" s="3"/>
      <c r="Y205" s="954">
        <f t="shared" ref="Y205:AT205" si="211">SUM(Y199:Y204)</f>
        <v>22533856503</v>
      </c>
      <c r="Z205" s="954">
        <f t="shared" si="211"/>
        <v>0</v>
      </c>
      <c r="AA205" s="955">
        <f t="shared" si="211"/>
        <v>134533656</v>
      </c>
      <c r="AB205" s="955">
        <f t="shared" si="211"/>
        <v>396726534</v>
      </c>
      <c r="AC205" s="955">
        <f t="shared" si="211"/>
        <v>9862143612</v>
      </c>
      <c r="AD205" s="955">
        <f t="shared" si="211"/>
        <v>92895874</v>
      </c>
      <c r="AE205" s="955">
        <f t="shared" si="211"/>
        <v>2509180877</v>
      </c>
      <c r="AF205" s="955">
        <f t="shared" si="211"/>
        <v>1300000000</v>
      </c>
      <c r="AG205" s="955">
        <f t="shared" si="211"/>
        <v>102810569</v>
      </c>
      <c r="AH205" s="955">
        <f t="shared" si="211"/>
        <v>219471348</v>
      </c>
      <c r="AI205" s="955">
        <f t="shared" si="211"/>
        <v>1940856</v>
      </c>
      <c r="AJ205" s="955">
        <f t="shared" si="211"/>
        <v>3438802</v>
      </c>
      <c r="AK205" s="955">
        <f t="shared" si="211"/>
        <v>318664514</v>
      </c>
      <c r="AL205" s="955">
        <f t="shared" si="211"/>
        <v>4114878115</v>
      </c>
      <c r="AM205" s="955">
        <f t="shared" si="211"/>
        <v>348609139</v>
      </c>
      <c r="AN205" s="955">
        <f t="shared" si="211"/>
        <v>727437634</v>
      </c>
      <c r="AO205" s="955">
        <f t="shared" si="211"/>
        <v>879054052</v>
      </c>
      <c r="AP205" s="955">
        <f t="shared" si="211"/>
        <v>0</v>
      </c>
      <c r="AQ205" s="955">
        <f t="shared" si="211"/>
        <v>80844085</v>
      </c>
      <c r="AR205" s="955">
        <f t="shared" si="211"/>
        <v>92524043</v>
      </c>
      <c r="AS205" s="955">
        <f t="shared" si="211"/>
        <v>1348702793</v>
      </c>
      <c r="AT205" s="955">
        <f t="shared" si="211"/>
        <v>0</v>
      </c>
      <c r="AU205" s="946">
        <f t="shared" si="203"/>
        <v>0.66748045870433048</v>
      </c>
      <c r="AV205" s="954">
        <f t="shared" ref="AV205:BP205" si="212">SUM(AV199:AV204)</f>
        <v>15040908875</v>
      </c>
      <c r="AW205" s="146">
        <f t="shared" si="212"/>
        <v>0</v>
      </c>
      <c r="AX205" s="146">
        <f t="shared" si="212"/>
        <v>133268976</v>
      </c>
      <c r="AY205" s="146">
        <f t="shared" si="212"/>
        <v>396726534</v>
      </c>
      <c r="AZ205" s="146">
        <f t="shared" si="212"/>
        <v>5545905692</v>
      </c>
      <c r="BA205" s="146">
        <f t="shared" si="212"/>
        <v>17503290</v>
      </c>
      <c r="BB205" s="146">
        <f t="shared" si="212"/>
        <v>2038364580</v>
      </c>
      <c r="BC205" s="146">
        <f t="shared" si="212"/>
        <v>1199755531</v>
      </c>
      <c r="BD205" s="146">
        <f t="shared" si="212"/>
        <v>102810569</v>
      </c>
      <c r="BE205" s="146">
        <f t="shared" si="212"/>
        <v>219471348</v>
      </c>
      <c r="BF205" s="146">
        <f t="shared" si="212"/>
        <v>0</v>
      </c>
      <c r="BG205" s="146">
        <f t="shared" si="212"/>
        <v>0</v>
      </c>
      <c r="BH205" s="146">
        <f t="shared" si="212"/>
        <v>50855038</v>
      </c>
      <c r="BI205" s="146">
        <f t="shared" si="212"/>
        <v>2645702520</v>
      </c>
      <c r="BJ205" s="146">
        <f t="shared" si="212"/>
        <v>202510411</v>
      </c>
      <c r="BK205" s="146">
        <f t="shared" si="212"/>
        <v>402275660</v>
      </c>
      <c r="BL205" s="146">
        <f t="shared" si="212"/>
        <v>854432877</v>
      </c>
      <c r="BM205" s="146">
        <f t="shared" si="212"/>
        <v>0</v>
      </c>
      <c r="BN205" s="146">
        <f t="shared" si="212"/>
        <v>80844085</v>
      </c>
      <c r="BO205" s="146">
        <f t="shared" si="212"/>
        <v>92524043</v>
      </c>
      <c r="BP205" s="146">
        <f t="shared" si="212"/>
        <v>1057957721</v>
      </c>
      <c r="BQ205" s="950">
        <f t="shared" si="205"/>
        <v>0.33251954129566952</v>
      </c>
      <c r="BR205" s="146">
        <f t="shared" ref="BR205:CL205" si="213">SUM(BR199:BR204)</f>
        <v>7492947628</v>
      </c>
      <c r="BS205" s="146">
        <f t="shared" si="213"/>
        <v>0</v>
      </c>
      <c r="BT205" s="146">
        <f t="shared" si="213"/>
        <v>1264680</v>
      </c>
      <c r="BU205" s="146">
        <f t="shared" si="213"/>
        <v>0</v>
      </c>
      <c r="BV205" s="149">
        <f t="shared" si="213"/>
        <v>4316237920</v>
      </c>
      <c r="BW205" s="149">
        <f t="shared" si="213"/>
        <v>75392584</v>
      </c>
      <c r="BX205" s="149">
        <f t="shared" si="213"/>
        <v>470816297</v>
      </c>
      <c r="BY205" s="149">
        <f t="shared" si="213"/>
        <v>100244469</v>
      </c>
      <c r="BZ205" s="149">
        <f t="shared" si="213"/>
        <v>0</v>
      </c>
      <c r="CA205" s="149">
        <f t="shared" si="213"/>
        <v>0</v>
      </c>
      <c r="CB205" s="149">
        <f t="shared" si="213"/>
        <v>1940856</v>
      </c>
      <c r="CC205" s="149">
        <f t="shared" si="213"/>
        <v>3438802</v>
      </c>
      <c r="CD205" s="149">
        <f t="shared" si="213"/>
        <v>267809476</v>
      </c>
      <c r="CE205" s="149">
        <f t="shared" si="213"/>
        <v>1469175595</v>
      </c>
      <c r="CF205" s="149">
        <f t="shared" si="213"/>
        <v>146098728</v>
      </c>
      <c r="CG205" s="149">
        <f t="shared" si="213"/>
        <v>325161974</v>
      </c>
      <c r="CH205" s="149">
        <f t="shared" si="213"/>
        <v>24621175</v>
      </c>
      <c r="CI205" s="149">
        <f t="shared" si="213"/>
        <v>0</v>
      </c>
      <c r="CJ205" s="149">
        <f t="shared" si="213"/>
        <v>0</v>
      </c>
      <c r="CK205" s="149">
        <f t="shared" si="213"/>
        <v>0</v>
      </c>
      <c r="CL205" s="149">
        <f t="shared" si="213"/>
        <v>290745072</v>
      </c>
      <c r="CM205" s="959">
        <f t="shared" si="207"/>
        <v>0.48888483413983513</v>
      </c>
      <c r="CN205" s="149">
        <f t="shared" ref="CN205:DH205" si="214">SUM(CN199:CN204)</f>
        <v>11016460699</v>
      </c>
      <c r="CO205" s="149">
        <f t="shared" si="214"/>
        <v>0</v>
      </c>
      <c r="CP205" s="219">
        <f t="shared" si="214"/>
        <v>133268976</v>
      </c>
      <c r="CQ205" s="219">
        <f t="shared" si="214"/>
        <v>396726534</v>
      </c>
      <c r="CR205" s="219">
        <f t="shared" si="214"/>
        <v>4337667454</v>
      </c>
      <c r="CS205" s="219">
        <f t="shared" si="214"/>
        <v>12550540</v>
      </c>
      <c r="CT205" s="954">
        <f t="shared" si="214"/>
        <v>1755841308</v>
      </c>
      <c r="CU205" s="954">
        <f t="shared" si="214"/>
        <v>942943109</v>
      </c>
      <c r="CV205" s="954">
        <f t="shared" si="214"/>
        <v>102810569</v>
      </c>
      <c r="CW205" s="954">
        <f t="shared" si="214"/>
        <v>129471348</v>
      </c>
      <c r="CX205" s="954">
        <f t="shared" si="214"/>
        <v>0</v>
      </c>
      <c r="CY205" s="954">
        <f t="shared" si="214"/>
        <v>0</v>
      </c>
      <c r="CZ205" s="954">
        <f t="shared" si="214"/>
        <v>40655038</v>
      </c>
      <c r="DA205" s="954">
        <f t="shared" si="214"/>
        <v>1399823494</v>
      </c>
      <c r="DB205" s="954">
        <f t="shared" si="214"/>
        <v>134800807</v>
      </c>
      <c r="DC205" s="954">
        <f t="shared" si="214"/>
        <v>307153079</v>
      </c>
      <c r="DD205" s="954">
        <f t="shared" si="214"/>
        <v>514819701</v>
      </c>
      <c r="DE205" s="954">
        <f t="shared" si="214"/>
        <v>0</v>
      </c>
      <c r="DF205" s="954">
        <f t="shared" si="214"/>
        <v>30228561</v>
      </c>
      <c r="DG205" s="954">
        <f t="shared" si="214"/>
        <v>0</v>
      </c>
      <c r="DH205" s="955">
        <f t="shared" si="214"/>
        <v>777700181</v>
      </c>
      <c r="DI205" s="1010">
        <f t="shared" si="209"/>
        <v>0.51111516586016492</v>
      </c>
      <c r="DJ205" s="954">
        <f t="shared" ref="DJ205:ED205" ca="1" si="215">SUM(DJ199:DJ204)</f>
        <v>11517395804</v>
      </c>
      <c r="DK205" s="1040">
        <f t="shared" si="215"/>
        <v>0</v>
      </c>
      <c r="DL205" s="955">
        <f t="shared" ca="1" si="215"/>
        <v>1264680</v>
      </c>
      <c r="DM205" s="955">
        <f t="shared" si="215"/>
        <v>0</v>
      </c>
      <c r="DN205" s="955">
        <f t="shared" si="215"/>
        <v>5524476158</v>
      </c>
      <c r="DO205" s="955">
        <f t="shared" si="215"/>
        <v>80345334</v>
      </c>
      <c r="DP205" s="149">
        <f t="shared" si="215"/>
        <v>753339569</v>
      </c>
      <c r="DQ205" s="149">
        <f t="shared" si="215"/>
        <v>357056891</v>
      </c>
      <c r="DR205" s="149">
        <f t="shared" si="215"/>
        <v>0</v>
      </c>
      <c r="DS205" s="149">
        <f t="shared" si="215"/>
        <v>90000000</v>
      </c>
      <c r="DT205" s="149">
        <f t="shared" si="215"/>
        <v>1940856</v>
      </c>
      <c r="DU205" s="149">
        <f t="shared" si="215"/>
        <v>3438802</v>
      </c>
      <c r="DV205" s="149">
        <f t="shared" si="215"/>
        <v>278009476</v>
      </c>
      <c r="DW205" s="149">
        <f t="shared" si="215"/>
        <v>2715054621</v>
      </c>
      <c r="DX205" s="149">
        <f t="shared" si="215"/>
        <v>213808332</v>
      </c>
      <c r="DY205" s="149">
        <f t="shared" si="215"/>
        <v>420284555</v>
      </c>
      <c r="DZ205" s="149">
        <f t="shared" si="215"/>
        <v>364234351</v>
      </c>
      <c r="EA205" s="149">
        <f t="shared" si="215"/>
        <v>0</v>
      </c>
      <c r="EB205" s="149">
        <f t="shared" si="215"/>
        <v>50615524</v>
      </c>
      <c r="EC205" s="149">
        <f t="shared" si="215"/>
        <v>92524043</v>
      </c>
      <c r="ED205" s="149">
        <f t="shared" si="215"/>
        <v>571002612</v>
      </c>
    </row>
    <row r="206" spans="1:134" x14ac:dyDescent="0.25">
      <c r="C206" s="988"/>
      <c r="D206" s="1093" t="s">
        <v>3307</v>
      </c>
      <c r="E206" s="1103">
        <v>301</v>
      </c>
      <c r="F206" s="133"/>
      <c r="G206" s="875">
        <f>SUMIF($E$4:$E$194,"301",$G$4:$G$194)</f>
        <v>1952000000</v>
      </c>
      <c r="H206" s="1059">
        <f>SUMIF($E$4:$E$194,"301",$H$4:$H$194)</f>
        <v>1985775008</v>
      </c>
      <c r="I206" s="1059">
        <f>SUMIF($E$4:$E$194,"301",$I$4:$I$194)</f>
        <v>569461792</v>
      </c>
      <c r="J206" s="133" t="s">
        <v>4760</v>
      </c>
      <c r="K206" s="133"/>
      <c r="L206" s="133"/>
      <c r="M206" s="133"/>
      <c r="N206" s="133"/>
      <c r="O206" s="133"/>
      <c r="P206" s="133"/>
      <c r="Q206" s="133"/>
      <c r="R206" s="133"/>
      <c r="S206" s="133"/>
      <c r="T206" s="133"/>
      <c r="U206" s="133"/>
      <c r="V206" s="133"/>
      <c r="W206" s="133"/>
      <c r="X206" s="133"/>
      <c r="Y206" s="951">
        <f>SUMIF($E$4:$E$194,"301",$Y$4:$Y$194)</f>
        <v>2555236800</v>
      </c>
      <c r="Z206" s="951">
        <f>SUMIF($E$4:$E$194,"301",$Z$4:$Z$194)</f>
        <v>104079469</v>
      </c>
      <c r="AA206" s="216">
        <f>SUMIF($E$4:$E$192,"301",$AA$4:$AA$192)</f>
        <v>0</v>
      </c>
      <c r="AB206" s="216">
        <f>SUMIF($E$4:$E$195,"301",$AB$4:$AB$195)</f>
        <v>0</v>
      </c>
      <c r="AC206" s="216">
        <f>SUMIF($E$4:$E$194,"301",$AC$4:$AC$194)</f>
        <v>0</v>
      </c>
      <c r="AD206" s="951">
        <f>SUMIF($E$4:$E$194,"301",$AD$4:$AD$194)</f>
        <v>0</v>
      </c>
      <c r="AE206" s="133">
        <f>SUMIF($E$4:$E$192,"301",$AE$4:$AE$192)</f>
        <v>0</v>
      </c>
      <c r="AF206" s="133">
        <f>SUMIF($E$4:$E$192,"301",$AF$4:$AF$192)</f>
        <v>0</v>
      </c>
      <c r="AG206" s="133">
        <f>SUMIF($E$4:$E$192,"301",$AG$4:$AG$192)</f>
        <v>0</v>
      </c>
      <c r="AH206" s="133">
        <f>SUMIF($E$4:$E$192,"301",$AH$4:$AH$192)</f>
        <v>0</v>
      </c>
      <c r="AI206" s="133">
        <f>SUMIF($E$4:$E$192,"301",$AI$4:$AI$192)</f>
        <v>0</v>
      </c>
      <c r="AJ206" s="133">
        <f>SUMIF($E$4:$E$192,"301",$AJ$4:$AJ$192)</f>
        <v>0</v>
      </c>
      <c r="AK206" s="133">
        <f>SUMIF($E$4:$E$192,"301",$AK$4:$AK$192)</f>
        <v>0</v>
      </c>
      <c r="AL206" s="133">
        <f>SUMIF($E$4:$E$192,"301",$AL$4:$AL$192)</f>
        <v>0</v>
      </c>
      <c r="AM206" s="133">
        <f>SUMIF($E$4:$E$192,"301",$AM$4:$AM$192)</f>
        <v>728406867</v>
      </c>
      <c r="AN206" s="133">
        <f>SUMIF($E$4:$E$192,"301",$AN$4:$AN$192)</f>
        <v>346819196</v>
      </c>
      <c r="AO206" s="133">
        <f>SUMIF($E$4:$E$192,"301",$AO$4:$AO$192)</f>
        <v>120323279</v>
      </c>
      <c r="AP206" s="133">
        <f>SUMIF($E$4:$E$163,"301",$AP$4:$AP$163)</f>
        <v>1181607989</v>
      </c>
      <c r="AQ206" s="133">
        <f>SUMIF($E$4:$E$163,"301",$AQ$4:$AQ$163)</f>
        <v>0</v>
      </c>
      <c r="AR206" s="133">
        <f>SUMIF($E$4:$E$192,"301",$AR$4:$AR$192)</f>
        <v>0</v>
      </c>
      <c r="AS206" s="133">
        <f>SUMIF($E$4:$E$194,"301",$AS$4:$AS$194)</f>
        <v>74000000</v>
      </c>
      <c r="AU206" s="946">
        <f t="shared" si="203"/>
        <v>0.95557557874870935</v>
      </c>
      <c r="AV206" s="218">
        <f>SUM(AW206:BP206)</f>
        <v>2441721884</v>
      </c>
      <c r="AW206" s="951">
        <f>SUMIF($E$4:$E$192,"301",$AW$4:$AW$192)</f>
        <v>103245422</v>
      </c>
      <c r="AX206" s="951">
        <f>SUMIF($E$4:$E$194,"301",$AX$4:$AX$194)</f>
        <v>0</v>
      </c>
      <c r="AY206" s="951">
        <f>SUMIF($E$4:$E$194,"301",$AY$4:$AY$194)</f>
        <v>0</v>
      </c>
      <c r="AZ206" s="951">
        <f>SUMIF($E$4:$E$194,"301",$AZ$4:$AZ$194)</f>
        <v>0</v>
      </c>
      <c r="BA206" s="951">
        <f>SUMIF($E$4:$E$192,"301",$BA$4:$BA$192)</f>
        <v>0</v>
      </c>
      <c r="BB206" s="951">
        <f>SUMIF($E$4:$E$192,"301",$BB$4:$BB$192)</f>
        <v>0</v>
      </c>
      <c r="BC206" s="951">
        <f>SUMIF($E$4:$E$194,"301",$BC$4:$BC$194)</f>
        <v>0</v>
      </c>
      <c r="BD206" s="951">
        <f>SUMIF($E$4:$E$194,"301",$BD$4:$BD$194)</f>
        <v>0</v>
      </c>
      <c r="BE206" s="951">
        <f>SUMIF($E$4:$E$192,"301",$BE$4:$BE$192)</f>
        <v>0</v>
      </c>
      <c r="BF206" s="951">
        <f>SUMIF($E$4:$E$192,"301",$BF$4:$BF$192)</f>
        <v>0</v>
      </c>
      <c r="BG206" s="951">
        <f>SUMIF($E$4:$E$163,"301",$BG$4:$BG$163)</f>
        <v>0</v>
      </c>
      <c r="BH206" s="951">
        <f>SUMIF($E$4:$E$192,"301",$BH$4:$BH$192)</f>
        <v>0</v>
      </c>
      <c r="BI206" s="951">
        <f>SUMIF($E$4:$E$192,"301",$BI$4:$BI$192)</f>
        <v>0</v>
      </c>
      <c r="BJ206" s="951">
        <f>SUMIF($E$4:$E$192,"301",$BJ$4:$BJ$192)</f>
        <v>709199167</v>
      </c>
      <c r="BK206" s="951">
        <f>SUMIF($E$4:$E$194,"301",$BK$4:$BK$194)</f>
        <v>346819196</v>
      </c>
      <c r="BL206" s="951">
        <f>SUMIF($E$4:$E$192,"301",$BL$4:$BL$192)</f>
        <v>60650110</v>
      </c>
      <c r="BM206" s="951">
        <f>SUMIF($E$4:$E$192,"301",$BM$4:$BM$192)</f>
        <v>1157607989</v>
      </c>
      <c r="BN206" s="951">
        <f>SUMIF($E$4:$E$192,"301",$BN$4:$BN$192)</f>
        <v>0</v>
      </c>
      <c r="BO206" s="951">
        <f>SUMIF($E$4:$E$192,"301",$BO$4:$BO$192)</f>
        <v>0</v>
      </c>
      <c r="BP206" s="951">
        <f>SUMIF($E$4:$E$192,"301",$BP$4:$BP$192)</f>
        <v>64200000</v>
      </c>
      <c r="BQ206" s="950">
        <f t="shared" si="205"/>
        <v>4.4424421251290647E-2</v>
      </c>
      <c r="BR206" s="149">
        <f>SUM(BS206:CL206)</f>
        <v>113514916</v>
      </c>
      <c r="BS206" s="953">
        <f>SUMIF($E$4:$E$192,"301",$BS$4:$BS$192)</f>
        <v>834047</v>
      </c>
      <c r="BT206" s="953">
        <f>SUMIF($E$4:$E$192,"301",$BT$4:$BT$192)</f>
        <v>0</v>
      </c>
      <c r="BU206" s="953">
        <f>SUMIF($E$4:$E$192,"301",$BU$4:$BU$192)</f>
        <v>0</v>
      </c>
      <c r="BV206" s="953">
        <f>SUMIF($E$4:$E$194,"301",$BV$4:$BV$194)</f>
        <v>0</v>
      </c>
      <c r="BW206" s="953">
        <f>SUMIF($E$4:$E$194,"301",$BW$4:$BW$194)</f>
        <v>0</v>
      </c>
      <c r="BX206" s="953">
        <f>SUMIF($E$4:$E$192,"301",$BX$4:$BX$192)</f>
        <v>0</v>
      </c>
      <c r="BY206" s="953">
        <f>SUMIF($E$4:$E$192,"301",$BY$4:$BY$192)</f>
        <v>0</v>
      </c>
      <c r="BZ206" s="953">
        <f>SUMIF($E$4:$E$192,"301",$BZ$4:$BZ$192)</f>
        <v>0</v>
      </c>
      <c r="CA206" s="953">
        <f>SUMIF($E$4:$E$192,"301",$CA$4:$CA$192)</f>
        <v>0</v>
      </c>
      <c r="CB206" s="953">
        <f>SUMIF($E$4:$E$192,"301",$CB$4:$CB$192)</f>
        <v>0</v>
      </c>
      <c r="CC206" s="953">
        <f>SUMIF($E$4:$E$192,"301",$CC$4:$CC$192)</f>
        <v>0</v>
      </c>
      <c r="CD206" s="953">
        <f>SUMIF($E$4:$E$192,"301",$CD$4:$CD$192)</f>
        <v>0</v>
      </c>
      <c r="CE206" s="953">
        <f>SUMIF($E$4:$E$192,"301",$CE$4:$CE$192)</f>
        <v>0</v>
      </c>
      <c r="CF206" s="953">
        <f>SUMIF($E$4:$E$192,"301",$CF$4:$CF$192)</f>
        <v>19207700</v>
      </c>
      <c r="CG206" s="953">
        <f>SUMIF($E$4:$E$192,"301",$CG$4:$CG$192)</f>
        <v>0</v>
      </c>
      <c r="CH206" s="953">
        <f>SUMIF($E$4:$E$192,"301",$CH$4:$CH$192)</f>
        <v>59673169</v>
      </c>
      <c r="CI206" s="953">
        <f>SUMIF($E$4:$E$192,"301",$CI$4:$CI$192)</f>
        <v>24000000</v>
      </c>
      <c r="CJ206" s="953">
        <f>SUMIF($E$4:$E$192,"301",$CJ$4:$CJ$192)</f>
        <v>0</v>
      </c>
      <c r="CK206" s="953"/>
      <c r="CL206" s="956">
        <f>SUMIF($E$4:$E$194,"301",$CL$4:$CL$194)</f>
        <v>9800000</v>
      </c>
      <c r="CM206" s="959">
        <f t="shared" si="207"/>
        <v>0.77713932736097102</v>
      </c>
      <c r="CN206" s="149">
        <f>SUM(CO206:DH206)</f>
        <v>1985775008</v>
      </c>
      <c r="CO206" s="951">
        <f>SUMIF($E$4:$E$194,"301",$CO$4:$CO$194)</f>
        <v>57672466</v>
      </c>
      <c r="CP206" s="951">
        <f>SUMIF($E$4:$E$192,"301",$CP$4:$CP$192)</f>
        <v>0</v>
      </c>
      <c r="CQ206" s="951">
        <f>SUMIF($E$4:$E$192,"301",$CQ$4:$CQ$192)</f>
        <v>0</v>
      </c>
      <c r="CR206" s="951">
        <f>SUMIF($E$4:$E$192,"301",$CR$4:$CR$192)</f>
        <v>0</v>
      </c>
      <c r="CS206" s="951">
        <f>SUMIF($E$4:$E$194,"301",$CS$4:$CS$194)</f>
        <v>0</v>
      </c>
      <c r="CT206" s="951">
        <f>SUMIF($E$4:$E$192,"301",$CT$4:$CT$192)</f>
        <v>0</v>
      </c>
      <c r="CU206" s="951">
        <f>SUMIF($E$4:$E$192,"301",$CU$4:$CU$192)</f>
        <v>0</v>
      </c>
      <c r="CV206" s="951">
        <f>SUMIF($E$4:$E$194,"301",$CV$4:$CV$194)</f>
        <v>0</v>
      </c>
      <c r="CW206" s="951">
        <f>SUMIF($E$4:$E$192,"301",$CW$4:$CW$192)</f>
        <v>0</v>
      </c>
      <c r="CX206" s="951">
        <f>SUMIF($E$4:$E$192,"301",$CX$4:$CX$192)</f>
        <v>0</v>
      </c>
      <c r="CY206" s="951">
        <f>SUMIF($E$4:$E$192,"301",$CY$4:$CY$192)</f>
        <v>0</v>
      </c>
      <c r="CZ206" s="951">
        <f>SUMIF($E$4:$E$192,"301",$CZ$4:$CZ$192)</f>
        <v>0</v>
      </c>
      <c r="DA206" s="951">
        <f>SUMIF($E$4:$E$192,"301",$DA$4:$DA$192)</f>
        <v>0</v>
      </c>
      <c r="DB206" s="951">
        <f>SUMIF($E$4:$E$194,"301",$DB$4:$DB$194)</f>
        <v>471045794</v>
      </c>
      <c r="DC206" s="951">
        <f>SUMIF($E$4:$E$192,"301",$DC$4:$DC$192)</f>
        <v>325002196</v>
      </c>
      <c r="DD206" s="951">
        <f>SUMIF($E$4:$E$192,"301",$DD$4:$DD$192)</f>
        <v>56087110</v>
      </c>
      <c r="DE206" s="951">
        <f>SUMIF($E$4:$E$192,"301",$DE$4:$DE$192)</f>
        <v>1046363025</v>
      </c>
      <c r="DF206" s="951">
        <f>SUMIF($E$4:$E$192,"301",$DF$4:$DF$192)</f>
        <v>0</v>
      </c>
      <c r="DG206" s="951">
        <f>SUMIF($E$4:$E$192,"301",$DG$4:$DG$192)</f>
        <v>0</v>
      </c>
      <c r="DH206" s="952">
        <f>SUMIF($E$4:$E$192,"301",$DH$4:$DH$192)</f>
        <v>29604417</v>
      </c>
      <c r="DI206" s="1010">
        <f t="shared" si="209"/>
        <v>0.22286067263902898</v>
      </c>
      <c r="DJ206" s="149">
        <f>SUM(DK206:ED206)</f>
        <v>569461792</v>
      </c>
      <c r="DK206" s="1039">
        <f>SUMIF($E$4:$E$194,"301",$DK$4:$DK$194)</f>
        <v>46407003</v>
      </c>
      <c r="DL206" s="953">
        <f>SUMIF($E$4:$E$192,"301",$DL$4:$DL$192)</f>
        <v>0</v>
      </c>
      <c r="DM206" s="953">
        <f>SUMIF($E$4:$E$194,"301",$DM$4:$DM$194)</f>
        <v>0</v>
      </c>
      <c r="DN206" s="953">
        <f>SUMIF($E$4:$E$192,"301",$DN$4:$DN$192)</f>
        <v>0</v>
      </c>
      <c r="DO206" s="953">
        <f>SUMIF($E$4:$E$194,"301",$DO$4:$DO$194)</f>
        <v>0</v>
      </c>
      <c r="DP206" s="953">
        <f>SUMIF($E$4:$E$194,"301",$DP$4:$DP$194)</f>
        <v>0</v>
      </c>
      <c r="DQ206" s="953">
        <f>SUMIF($E$4:$E$192,"301",$DQ$4:$DQ$192)</f>
        <v>0</v>
      </c>
      <c r="DR206" s="953">
        <f>SUMIF($E$4:$E$194,"301",$DR$4:$DR$194)</f>
        <v>0</v>
      </c>
      <c r="DS206" s="208">
        <f>SUMIF($E$4:$E$192,"301",$DS$4:$DS$192)</f>
        <v>0</v>
      </c>
      <c r="DT206" s="208">
        <f>SUMIF($E$4:$E$192,"301",$DT$4:$DT$192)</f>
        <v>0</v>
      </c>
      <c r="DU206" s="208">
        <f>SUMIF($E$4:$E$194,"301",$DU$4:$DU$194)</f>
        <v>0</v>
      </c>
      <c r="DV206" s="208">
        <f>SUMIF($E$4:$E$192,"301",$DV$4:$DV$192)</f>
        <v>0</v>
      </c>
      <c r="DW206" s="208">
        <f>SUMIF($E$4:$E$192,"301",$DW$4:$DW$192)</f>
        <v>0</v>
      </c>
      <c r="DX206" s="208">
        <f>SUMIF($E$4:$E$194,"301",$DX$4:$DX$194)</f>
        <v>257361073</v>
      </c>
      <c r="DY206" s="208">
        <f>SUMIF($E$4:$E$192,"301",$DY$4:$DY$192)</f>
        <v>21817000</v>
      </c>
      <c r="DZ206" s="208">
        <f>SUMIF($E$4:$E$192,"301",$DZ$4:$DZ$192)</f>
        <v>64236169</v>
      </c>
      <c r="EA206" s="208">
        <f>SUMIF($E$4:$E$192,"301",$EA$4:$EA$192)</f>
        <v>135244964</v>
      </c>
      <c r="EB206" s="208">
        <f>SUMIF($E$4:$E$192,"301",$EB$4:$EB$192)</f>
        <v>0</v>
      </c>
      <c r="EC206" s="208">
        <f>SUMIF($E$4:$E$192,"301",$EC$4:$EC$192)</f>
        <v>0</v>
      </c>
      <c r="ED206" s="208">
        <f>SUMIF($E$4:$E$194,"301",$ED$4:$ED$194)</f>
        <v>44395583</v>
      </c>
    </row>
    <row r="207" spans="1:134" ht="15.75" thickBot="1" x14ac:dyDescent="0.3">
      <c r="C207" s="1599" t="s">
        <v>4588</v>
      </c>
      <c r="D207" s="1600"/>
      <c r="E207" s="132"/>
      <c r="F207" s="134"/>
      <c r="G207" s="145">
        <f>SUM(G205:G206)</f>
        <v>31953000000</v>
      </c>
      <c r="H207" s="134">
        <f>SUM(H205:H206)</f>
        <v>13002235707</v>
      </c>
      <c r="I207" s="134">
        <f>SUM(I205:I206)</f>
        <v>12086857596</v>
      </c>
      <c r="J207" s="134"/>
      <c r="K207" s="134"/>
      <c r="L207" s="134"/>
      <c r="M207" s="134"/>
      <c r="N207" s="134"/>
      <c r="O207" s="134"/>
      <c r="P207" s="134"/>
      <c r="Q207" s="134"/>
      <c r="R207" s="134"/>
      <c r="S207" s="134"/>
      <c r="T207" s="134"/>
      <c r="U207" s="134"/>
      <c r="V207" s="134"/>
      <c r="W207" s="134"/>
      <c r="X207" s="134"/>
      <c r="Y207" s="945">
        <f t="shared" ref="Y207:AT207" si="216">SUM(Y205:Y206)</f>
        <v>25089093303</v>
      </c>
      <c r="Z207" s="945">
        <f t="shared" si="216"/>
        <v>104079469</v>
      </c>
      <c r="AA207" s="945">
        <f t="shared" si="216"/>
        <v>134533656</v>
      </c>
      <c r="AB207" s="945">
        <f t="shared" si="216"/>
        <v>396726534</v>
      </c>
      <c r="AC207" s="945">
        <f t="shared" si="216"/>
        <v>9862143612</v>
      </c>
      <c r="AD207" s="945">
        <f t="shared" si="216"/>
        <v>92895874</v>
      </c>
      <c r="AE207" s="945">
        <f t="shared" si="216"/>
        <v>2509180877</v>
      </c>
      <c r="AF207" s="945">
        <f t="shared" si="216"/>
        <v>1300000000</v>
      </c>
      <c r="AG207" s="945">
        <f t="shared" si="216"/>
        <v>102810569</v>
      </c>
      <c r="AH207" s="945">
        <f t="shared" si="216"/>
        <v>219471348</v>
      </c>
      <c r="AI207" s="945">
        <f t="shared" si="216"/>
        <v>1940856</v>
      </c>
      <c r="AJ207" s="945">
        <f t="shared" si="216"/>
        <v>3438802</v>
      </c>
      <c r="AK207" s="945">
        <f t="shared" si="216"/>
        <v>318664514</v>
      </c>
      <c r="AL207" s="945">
        <f t="shared" si="216"/>
        <v>4114878115</v>
      </c>
      <c r="AM207" s="945">
        <f t="shared" si="216"/>
        <v>1077016006</v>
      </c>
      <c r="AN207" s="945">
        <f t="shared" si="216"/>
        <v>1074256830</v>
      </c>
      <c r="AO207" s="945">
        <f t="shared" si="216"/>
        <v>999377331</v>
      </c>
      <c r="AP207" s="945">
        <f t="shared" si="216"/>
        <v>1181607989</v>
      </c>
      <c r="AQ207" s="945">
        <f t="shared" si="216"/>
        <v>80844085</v>
      </c>
      <c r="AR207" s="945">
        <f t="shared" si="216"/>
        <v>92524043</v>
      </c>
      <c r="AS207" s="945">
        <f t="shared" si="216"/>
        <v>1422702793</v>
      </c>
      <c r="AT207" s="945">
        <f t="shared" si="216"/>
        <v>0</v>
      </c>
      <c r="AU207" s="958">
        <f t="shared" si="203"/>
        <v>0.69682194361760907</v>
      </c>
      <c r="AV207" s="947">
        <f t="shared" ref="AV207:BP207" si="217">AV205+AV206</f>
        <v>17482630759</v>
      </c>
      <c r="AW207" s="947">
        <f t="shared" si="217"/>
        <v>103245422</v>
      </c>
      <c r="AX207" s="947">
        <f t="shared" si="217"/>
        <v>133268976</v>
      </c>
      <c r="AY207" s="947">
        <f t="shared" si="217"/>
        <v>396726534</v>
      </c>
      <c r="AZ207" s="947">
        <f t="shared" si="217"/>
        <v>5545905692</v>
      </c>
      <c r="BA207" s="947">
        <f t="shared" si="217"/>
        <v>17503290</v>
      </c>
      <c r="BB207" s="947">
        <f t="shared" si="217"/>
        <v>2038364580</v>
      </c>
      <c r="BC207" s="947">
        <f t="shared" si="217"/>
        <v>1199755531</v>
      </c>
      <c r="BD207" s="947">
        <f t="shared" si="217"/>
        <v>102810569</v>
      </c>
      <c r="BE207" s="947">
        <f t="shared" si="217"/>
        <v>219471348</v>
      </c>
      <c r="BF207" s="947">
        <f t="shared" si="217"/>
        <v>0</v>
      </c>
      <c r="BG207" s="947">
        <f t="shared" si="217"/>
        <v>0</v>
      </c>
      <c r="BH207" s="947">
        <f t="shared" si="217"/>
        <v>50855038</v>
      </c>
      <c r="BI207" s="947">
        <f t="shared" si="217"/>
        <v>2645702520</v>
      </c>
      <c r="BJ207" s="947">
        <f t="shared" si="217"/>
        <v>911709578</v>
      </c>
      <c r="BK207" s="947">
        <f t="shared" si="217"/>
        <v>749094856</v>
      </c>
      <c r="BL207" s="947">
        <f t="shared" si="217"/>
        <v>915082987</v>
      </c>
      <c r="BM207" s="947">
        <f t="shared" si="217"/>
        <v>1157607989</v>
      </c>
      <c r="BN207" s="947">
        <f t="shared" si="217"/>
        <v>80844085</v>
      </c>
      <c r="BO207" s="947">
        <f t="shared" si="217"/>
        <v>92524043</v>
      </c>
      <c r="BP207" s="947">
        <f t="shared" si="217"/>
        <v>1122157721</v>
      </c>
      <c r="BQ207" s="950">
        <f t="shared" si="205"/>
        <v>0.30317805638239093</v>
      </c>
      <c r="BR207" s="947">
        <f>BR205+BR206</f>
        <v>7606462544</v>
      </c>
      <c r="BS207" s="947">
        <f>BS205+BS206</f>
        <v>834047</v>
      </c>
      <c r="BT207" s="947">
        <f>BT205+BT206</f>
        <v>1264680</v>
      </c>
      <c r="BU207" s="947">
        <f>BU205+BU206</f>
        <v>0</v>
      </c>
      <c r="BV207" s="966">
        <f t="shared" ref="BV207:CL207" si="218">+BV205+BV206</f>
        <v>4316237920</v>
      </c>
      <c r="BW207" s="966">
        <f t="shared" si="218"/>
        <v>75392584</v>
      </c>
      <c r="BX207" s="966">
        <f t="shared" si="218"/>
        <v>470816297</v>
      </c>
      <c r="BY207" s="966">
        <f t="shared" si="218"/>
        <v>100244469</v>
      </c>
      <c r="BZ207" s="966">
        <f t="shared" si="218"/>
        <v>0</v>
      </c>
      <c r="CA207" s="966">
        <f t="shared" si="218"/>
        <v>0</v>
      </c>
      <c r="CB207" s="966">
        <f t="shared" si="218"/>
        <v>1940856</v>
      </c>
      <c r="CC207" s="966">
        <f t="shared" si="218"/>
        <v>3438802</v>
      </c>
      <c r="CD207" s="966">
        <f t="shared" si="218"/>
        <v>267809476</v>
      </c>
      <c r="CE207" s="966">
        <f t="shared" si="218"/>
        <v>1469175595</v>
      </c>
      <c r="CF207" s="966">
        <f t="shared" si="218"/>
        <v>165306428</v>
      </c>
      <c r="CG207" s="966">
        <f t="shared" si="218"/>
        <v>325161974</v>
      </c>
      <c r="CH207" s="966">
        <f t="shared" si="218"/>
        <v>84294344</v>
      </c>
      <c r="CI207" s="966">
        <f t="shared" si="218"/>
        <v>24000000</v>
      </c>
      <c r="CJ207" s="966">
        <f t="shared" si="218"/>
        <v>0</v>
      </c>
      <c r="CK207" s="966">
        <f t="shared" si="218"/>
        <v>0</v>
      </c>
      <c r="CL207" s="966">
        <f t="shared" si="218"/>
        <v>300545072</v>
      </c>
      <c r="CM207" s="960">
        <f t="shared" si="207"/>
        <v>0.51824255065627556</v>
      </c>
      <c r="CN207" s="1046">
        <f t="shared" ref="CN207:CS207" si="219">+CN205+CN206</f>
        <v>13002235707</v>
      </c>
      <c r="CO207" s="966">
        <f t="shared" si="219"/>
        <v>57672466</v>
      </c>
      <c r="CP207" s="966">
        <f t="shared" si="219"/>
        <v>133268976</v>
      </c>
      <c r="CQ207" s="966">
        <f t="shared" si="219"/>
        <v>396726534</v>
      </c>
      <c r="CR207" s="966">
        <f t="shared" si="219"/>
        <v>4337667454</v>
      </c>
      <c r="CS207" s="966">
        <f t="shared" si="219"/>
        <v>12550540</v>
      </c>
      <c r="CT207" s="945">
        <f t="shared" ref="CT207:DH207" si="220">SUM(CT205:CT206)</f>
        <v>1755841308</v>
      </c>
      <c r="CU207" s="945">
        <f t="shared" si="220"/>
        <v>942943109</v>
      </c>
      <c r="CV207" s="945">
        <f t="shared" si="220"/>
        <v>102810569</v>
      </c>
      <c r="CW207" s="945">
        <f t="shared" si="220"/>
        <v>129471348</v>
      </c>
      <c r="CX207" s="945">
        <f t="shared" si="220"/>
        <v>0</v>
      </c>
      <c r="CY207" s="945">
        <f t="shared" si="220"/>
        <v>0</v>
      </c>
      <c r="CZ207" s="945">
        <f t="shared" si="220"/>
        <v>40655038</v>
      </c>
      <c r="DA207" s="945">
        <f t="shared" si="220"/>
        <v>1399823494</v>
      </c>
      <c r="DB207" s="945">
        <f t="shared" si="220"/>
        <v>605846601</v>
      </c>
      <c r="DC207" s="945">
        <f t="shared" si="220"/>
        <v>632155275</v>
      </c>
      <c r="DD207" s="945">
        <f t="shared" si="220"/>
        <v>570906811</v>
      </c>
      <c r="DE207" s="945">
        <f t="shared" si="220"/>
        <v>1046363025</v>
      </c>
      <c r="DF207" s="945">
        <f t="shared" si="220"/>
        <v>30228561</v>
      </c>
      <c r="DG207" s="945">
        <f t="shared" si="220"/>
        <v>0</v>
      </c>
      <c r="DH207" s="957">
        <f t="shared" si="220"/>
        <v>807304598</v>
      </c>
      <c r="DI207" s="1033">
        <f t="shared" si="209"/>
        <v>0.48175744934372444</v>
      </c>
      <c r="DJ207" s="945">
        <f t="shared" ref="DJ207:ED207" ca="1" si="221">SUM(DJ205:DJ206)</f>
        <v>12086857596</v>
      </c>
      <c r="DK207" s="1041">
        <f t="shared" si="221"/>
        <v>46407003</v>
      </c>
      <c r="DL207" s="957">
        <f t="shared" ca="1" si="221"/>
        <v>1264680</v>
      </c>
      <c r="DM207" s="957">
        <f t="shared" si="221"/>
        <v>0</v>
      </c>
      <c r="DN207" s="957">
        <f t="shared" si="221"/>
        <v>5524476158</v>
      </c>
      <c r="DO207" s="957">
        <f t="shared" si="221"/>
        <v>80345334</v>
      </c>
      <c r="DP207" s="945">
        <f t="shared" si="221"/>
        <v>753339569</v>
      </c>
      <c r="DQ207" s="945">
        <f t="shared" si="221"/>
        <v>357056891</v>
      </c>
      <c r="DR207" s="945">
        <f t="shared" si="221"/>
        <v>0</v>
      </c>
      <c r="DS207" s="145">
        <f t="shared" si="221"/>
        <v>90000000</v>
      </c>
      <c r="DT207" s="145">
        <f t="shared" si="221"/>
        <v>1940856</v>
      </c>
      <c r="DU207" s="145">
        <f t="shared" si="221"/>
        <v>3438802</v>
      </c>
      <c r="DV207" s="145">
        <f t="shared" si="221"/>
        <v>278009476</v>
      </c>
      <c r="DW207" s="145">
        <f t="shared" si="221"/>
        <v>2715054621</v>
      </c>
      <c r="DX207" s="145">
        <f t="shared" si="221"/>
        <v>471169405</v>
      </c>
      <c r="DY207" s="145">
        <f t="shared" si="221"/>
        <v>442101555</v>
      </c>
      <c r="DZ207" s="145">
        <f t="shared" si="221"/>
        <v>428470520</v>
      </c>
      <c r="EA207" s="145">
        <f t="shared" si="221"/>
        <v>135244964</v>
      </c>
      <c r="EB207" s="145">
        <f t="shared" si="221"/>
        <v>50615524</v>
      </c>
      <c r="EC207" s="145">
        <f t="shared" si="221"/>
        <v>92524043</v>
      </c>
      <c r="ED207" s="145">
        <f t="shared" si="221"/>
        <v>615398195</v>
      </c>
    </row>
    <row r="208" spans="1:134" ht="15.75" thickTop="1" x14ac:dyDescent="0.25">
      <c r="Y208" s="1">
        <f t="shared" ref="Y208:AS208" si="222">+Y197-Y207</f>
        <v>0</v>
      </c>
      <c r="Z208" s="1">
        <f t="shared" si="222"/>
        <v>0</v>
      </c>
      <c r="AA208" s="1">
        <f t="shared" si="222"/>
        <v>0</v>
      </c>
      <c r="AB208" s="1">
        <f t="shared" si="222"/>
        <v>0</v>
      </c>
      <c r="AC208" s="1">
        <f t="shared" si="222"/>
        <v>0</v>
      </c>
      <c r="AD208" s="1">
        <f t="shared" si="222"/>
        <v>0</v>
      </c>
      <c r="AE208" s="1">
        <f t="shared" si="222"/>
        <v>0</v>
      </c>
      <c r="AF208" s="1">
        <f t="shared" si="222"/>
        <v>0</v>
      </c>
      <c r="AG208" s="1">
        <f t="shared" si="222"/>
        <v>0</v>
      </c>
      <c r="AH208" s="1">
        <f t="shared" si="222"/>
        <v>0</v>
      </c>
      <c r="AI208" s="1">
        <f t="shared" si="222"/>
        <v>0</v>
      </c>
      <c r="AJ208" s="1">
        <f t="shared" si="222"/>
        <v>0</v>
      </c>
      <c r="AK208" s="1">
        <f t="shared" si="222"/>
        <v>0</v>
      </c>
      <c r="AL208" s="1">
        <f t="shared" si="222"/>
        <v>0</v>
      </c>
      <c r="AM208" s="1">
        <f t="shared" si="222"/>
        <v>0</v>
      </c>
      <c r="AN208" s="1">
        <f t="shared" si="222"/>
        <v>0</v>
      </c>
      <c r="AO208" s="1">
        <f t="shared" si="222"/>
        <v>0</v>
      </c>
      <c r="AP208" s="1">
        <f t="shared" si="222"/>
        <v>0</v>
      </c>
      <c r="AQ208" s="1">
        <f t="shared" si="222"/>
        <v>0</v>
      </c>
      <c r="AR208" s="1">
        <f t="shared" si="222"/>
        <v>0</v>
      </c>
      <c r="AS208" s="1">
        <f t="shared" si="222"/>
        <v>0</v>
      </c>
      <c r="AV208" s="1">
        <f t="shared" ref="AV208:BP208" si="223">+AV197-AV207</f>
        <v>0</v>
      </c>
      <c r="AW208" s="1">
        <f t="shared" si="223"/>
        <v>0</v>
      </c>
      <c r="AX208" s="1">
        <f t="shared" si="223"/>
        <v>0</v>
      </c>
      <c r="AY208" s="1">
        <f t="shared" si="223"/>
        <v>0</v>
      </c>
      <c r="AZ208" s="1">
        <f t="shared" si="223"/>
        <v>0</v>
      </c>
      <c r="BA208" s="1">
        <f t="shared" si="223"/>
        <v>0</v>
      </c>
      <c r="BB208" s="1">
        <f t="shared" si="223"/>
        <v>0</v>
      </c>
      <c r="BC208" s="1">
        <f t="shared" si="223"/>
        <v>0</v>
      </c>
      <c r="BD208" s="1">
        <f t="shared" si="223"/>
        <v>0</v>
      </c>
      <c r="BE208" s="1">
        <f t="shared" si="223"/>
        <v>0</v>
      </c>
      <c r="BF208" s="1">
        <f t="shared" si="223"/>
        <v>0</v>
      </c>
      <c r="BG208" s="1">
        <f t="shared" si="223"/>
        <v>0</v>
      </c>
      <c r="BH208" s="1">
        <f t="shared" si="223"/>
        <v>0</v>
      </c>
      <c r="BI208" s="1">
        <f t="shared" si="223"/>
        <v>0</v>
      </c>
      <c r="BJ208" s="1">
        <f t="shared" si="223"/>
        <v>0</v>
      </c>
      <c r="BK208" s="1">
        <f t="shared" si="223"/>
        <v>0</v>
      </c>
      <c r="BL208" s="1">
        <f t="shared" si="223"/>
        <v>0</v>
      </c>
      <c r="BM208" s="1">
        <f t="shared" si="223"/>
        <v>0</v>
      </c>
      <c r="BN208" s="1">
        <f t="shared" si="223"/>
        <v>0</v>
      </c>
      <c r="BO208" s="1">
        <f t="shared" si="223"/>
        <v>0</v>
      </c>
      <c r="BP208" s="1">
        <f t="shared" si="223"/>
        <v>0</v>
      </c>
      <c r="BR208" s="1">
        <f t="shared" ref="BR208:CL208" si="224">+BR197-BR207</f>
        <v>0</v>
      </c>
      <c r="BS208" s="1">
        <f t="shared" si="224"/>
        <v>0</v>
      </c>
      <c r="BT208" s="1">
        <f t="shared" si="224"/>
        <v>0</v>
      </c>
      <c r="BU208" s="1">
        <f t="shared" si="224"/>
        <v>0</v>
      </c>
      <c r="BV208" s="1">
        <f t="shared" si="224"/>
        <v>0</v>
      </c>
      <c r="BW208" s="1">
        <f t="shared" si="224"/>
        <v>0</v>
      </c>
      <c r="BX208" s="1">
        <f t="shared" si="224"/>
        <v>0</v>
      </c>
      <c r="BY208" s="1">
        <f t="shared" si="224"/>
        <v>0</v>
      </c>
      <c r="BZ208" s="1">
        <f t="shared" si="224"/>
        <v>0</v>
      </c>
      <c r="CA208" s="1">
        <f t="shared" si="224"/>
        <v>0</v>
      </c>
      <c r="CB208" s="1">
        <f t="shared" si="224"/>
        <v>0</v>
      </c>
      <c r="CC208" s="1">
        <f t="shared" si="224"/>
        <v>0</v>
      </c>
      <c r="CD208" s="1">
        <f t="shared" si="224"/>
        <v>0</v>
      </c>
      <c r="CE208" s="1">
        <f t="shared" si="224"/>
        <v>0</v>
      </c>
      <c r="CF208" s="1">
        <f t="shared" si="224"/>
        <v>0</v>
      </c>
      <c r="CG208" s="1">
        <f t="shared" si="224"/>
        <v>0</v>
      </c>
      <c r="CH208" s="1">
        <f t="shared" si="224"/>
        <v>0</v>
      </c>
      <c r="CI208" s="1">
        <f t="shared" si="224"/>
        <v>0</v>
      </c>
      <c r="CJ208" s="1">
        <f t="shared" si="224"/>
        <v>0</v>
      </c>
      <c r="CK208" s="1">
        <f t="shared" si="224"/>
        <v>0</v>
      </c>
      <c r="CL208" s="1">
        <f t="shared" si="224"/>
        <v>0</v>
      </c>
      <c r="CN208" s="1">
        <f t="shared" ref="CN208:DH208" si="225">+CN197-CN207</f>
        <v>0</v>
      </c>
      <c r="CO208" s="1">
        <f t="shared" si="225"/>
        <v>0</v>
      </c>
      <c r="CP208" s="1">
        <f t="shared" si="225"/>
        <v>0</v>
      </c>
      <c r="CQ208" s="1">
        <f t="shared" si="225"/>
        <v>0</v>
      </c>
      <c r="CR208" s="1">
        <f t="shared" si="225"/>
        <v>0</v>
      </c>
      <c r="CS208" s="1">
        <f t="shared" si="225"/>
        <v>0</v>
      </c>
      <c r="CT208" s="1">
        <f t="shared" si="225"/>
        <v>0</v>
      </c>
      <c r="CU208" s="1">
        <f t="shared" si="225"/>
        <v>0</v>
      </c>
      <c r="CV208" s="1">
        <f t="shared" si="225"/>
        <v>0</v>
      </c>
      <c r="CW208" s="1">
        <f t="shared" si="225"/>
        <v>0</v>
      </c>
      <c r="CX208" s="1">
        <f t="shared" si="225"/>
        <v>0</v>
      </c>
      <c r="CY208" s="1">
        <f t="shared" si="225"/>
        <v>0</v>
      </c>
      <c r="CZ208" s="1">
        <f t="shared" si="225"/>
        <v>0</v>
      </c>
      <c r="DA208" s="1">
        <f t="shared" si="225"/>
        <v>0</v>
      </c>
      <c r="DB208" s="1">
        <f t="shared" si="225"/>
        <v>0</v>
      </c>
      <c r="DC208" s="1">
        <f t="shared" si="225"/>
        <v>0</v>
      </c>
      <c r="DD208" s="1">
        <f t="shared" si="225"/>
        <v>0</v>
      </c>
      <c r="DE208" s="1">
        <f t="shared" si="225"/>
        <v>0</v>
      </c>
      <c r="DF208" s="1">
        <f t="shared" si="225"/>
        <v>0</v>
      </c>
      <c r="DG208" s="1">
        <f t="shared" si="225"/>
        <v>0</v>
      </c>
      <c r="DH208" s="1">
        <f t="shared" si="225"/>
        <v>0</v>
      </c>
      <c r="DI208" s="1"/>
      <c r="DJ208" s="1">
        <f t="shared" ref="DJ208:ED208" ca="1" si="226">+DJ197-DJ207</f>
        <v>0</v>
      </c>
      <c r="DK208" s="1">
        <f t="shared" si="226"/>
        <v>0</v>
      </c>
      <c r="DL208" s="1">
        <f t="shared" ca="1" si="226"/>
        <v>0</v>
      </c>
      <c r="DM208" s="1">
        <f t="shared" si="226"/>
        <v>0</v>
      </c>
      <c r="DN208" s="1">
        <f t="shared" si="226"/>
        <v>0</v>
      </c>
      <c r="DO208" s="1">
        <f t="shared" si="226"/>
        <v>0</v>
      </c>
      <c r="DP208" s="1">
        <f t="shared" si="226"/>
        <v>0</v>
      </c>
      <c r="DQ208" s="1">
        <f t="shared" si="226"/>
        <v>0</v>
      </c>
      <c r="DR208" s="1">
        <f t="shared" si="226"/>
        <v>0</v>
      </c>
      <c r="DS208" s="1">
        <f t="shared" si="226"/>
        <v>0</v>
      </c>
      <c r="DT208" s="1">
        <f t="shared" si="226"/>
        <v>0</v>
      </c>
      <c r="DU208" s="1">
        <f t="shared" si="226"/>
        <v>0</v>
      </c>
      <c r="DV208" s="1">
        <f t="shared" si="226"/>
        <v>0</v>
      </c>
      <c r="DW208" s="1">
        <f t="shared" si="226"/>
        <v>0</v>
      </c>
      <c r="DX208" s="1">
        <f t="shared" si="226"/>
        <v>0</v>
      </c>
      <c r="DY208" s="1">
        <f t="shared" si="226"/>
        <v>0</v>
      </c>
      <c r="DZ208" s="1">
        <f t="shared" si="226"/>
        <v>0</v>
      </c>
      <c r="EA208" s="1">
        <f t="shared" si="226"/>
        <v>0</v>
      </c>
      <c r="EB208" s="1">
        <f t="shared" si="226"/>
        <v>0</v>
      </c>
      <c r="EC208" s="1">
        <f t="shared" si="226"/>
        <v>0</v>
      </c>
      <c r="ED208" s="1">
        <f t="shared" si="226"/>
        <v>0</v>
      </c>
    </row>
    <row r="209" spans="4:134" x14ac:dyDescent="0.25">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f>+AV207+BR207</f>
        <v>25089093303</v>
      </c>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f ca="1">+CN207+DJ207</f>
        <v>25089093303</v>
      </c>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row>
    <row r="210" spans="4:134" x14ac:dyDescent="0.25">
      <c r="D210" s="1048"/>
      <c r="F210" s="1"/>
      <c r="G210" s="1"/>
      <c r="H210" s="1"/>
      <c r="I210" s="1"/>
      <c r="J210" s="1"/>
      <c r="K210" s="1"/>
      <c r="L210" s="1"/>
      <c r="M210" s="1"/>
      <c r="N210" s="1"/>
      <c r="O210" s="1"/>
      <c r="P210" s="1"/>
      <c r="Q210" s="1"/>
      <c r="R210" s="1"/>
      <c r="S210" s="1"/>
      <c r="T210" s="1"/>
      <c r="U210" s="1"/>
      <c r="V210" s="1"/>
      <c r="W210" s="1"/>
      <c r="X210" s="1"/>
      <c r="Y210" s="599"/>
      <c r="Z210" s="1"/>
      <c r="AA210" s="1"/>
      <c r="AB210" s="1"/>
      <c r="AC210" s="1"/>
      <c r="AD210" s="1"/>
      <c r="AE210" s="1"/>
      <c r="AF210" s="1"/>
      <c r="AG210" s="1"/>
      <c r="AH210" s="1"/>
      <c r="AI210" s="1"/>
      <c r="AJ210" s="1"/>
      <c r="AK210" s="1"/>
      <c r="AL210" s="1"/>
      <c r="AM210" s="1"/>
      <c r="AN210" s="1"/>
      <c r="AO210" s="1"/>
      <c r="AP210" s="1"/>
      <c r="AQ210" s="1"/>
      <c r="AR210" s="1"/>
      <c r="AS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N210" s="1"/>
      <c r="CO210" s="1"/>
      <c r="CP210" s="1"/>
      <c r="CQ210" s="1"/>
      <c r="CR210" s="1"/>
      <c r="CS210" s="1"/>
      <c r="CT210" s="1"/>
      <c r="CU210" s="1"/>
      <c r="CV210" s="1"/>
      <c r="CW210" s="1"/>
      <c r="CX210" s="1"/>
      <c r="CY210" s="1"/>
      <c r="CZ210" s="1"/>
      <c r="DA210" s="1"/>
      <c r="DB210" s="1"/>
      <c r="DC210" s="1"/>
      <c r="DD210" s="1"/>
      <c r="DE210" s="1"/>
      <c r="DF210" s="1"/>
      <c r="DG210" s="1"/>
      <c r="DH210" s="1"/>
      <c r="DJ210" s="1"/>
      <c r="DK210" s="1"/>
      <c r="DL210" s="1"/>
      <c r="DM210" s="1"/>
      <c r="DN210" s="1"/>
      <c r="DO210" s="1"/>
      <c r="DP210" s="1"/>
      <c r="DQ210" s="1"/>
      <c r="DR210" s="1"/>
      <c r="DS210" s="1"/>
      <c r="DT210" s="1"/>
      <c r="DU210" s="1"/>
      <c r="DV210" s="1"/>
      <c r="DW210" s="1"/>
      <c r="DX210" s="1"/>
      <c r="DY210" s="1"/>
      <c r="DZ210" s="1"/>
      <c r="EA210" s="1"/>
      <c r="EB210" s="1"/>
      <c r="EC210" s="1"/>
      <c r="ED210" s="1"/>
    </row>
    <row r="211" spans="4:134" x14ac:dyDescent="0.25">
      <c r="D211" s="495"/>
      <c r="Y211" s="597"/>
      <c r="Z211" s="1"/>
      <c r="AA211" s="1"/>
      <c r="AB211" s="1"/>
      <c r="AC211" s="1"/>
      <c r="AD211" s="1"/>
      <c r="AE211" s="964"/>
      <c r="AO211" s="1"/>
      <c r="AR211" s="1"/>
      <c r="AS211" s="1"/>
      <c r="AV211" s="1"/>
      <c r="AW211" s="1"/>
      <c r="AX211" s="1"/>
      <c r="AY211" s="1"/>
      <c r="CN211" s="1"/>
      <c r="CO211" s="1"/>
      <c r="DH211" s="1"/>
      <c r="DJ211" s="1"/>
      <c r="DK211" s="1"/>
    </row>
    <row r="212" spans="4:134" x14ac:dyDescent="0.25">
      <c r="D212" s="495"/>
      <c r="Y212" s="597"/>
      <c r="Z212" s="1"/>
      <c r="AA212" s="1"/>
      <c r="AB212" s="1"/>
      <c r="AC212" s="1"/>
      <c r="AD212" s="1"/>
      <c r="AS212" s="1"/>
      <c r="AV212" s="1"/>
      <c r="CN212" s="1"/>
      <c r="DH212" s="1"/>
      <c r="DJ212" s="1"/>
      <c r="DK212" s="1"/>
    </row>
    <row r="213" spans="4:134" x14ac:dyDescent="0.25">
      <c r="D213" s="495"/>
      <c r="Y213" s="597"/>
      <c r="AA213" s="1"/>
      <c r="AN213" s="1"/>
      <c r="AV213" s="1"/>
    </row>
    <row r="214" spans="4:134" x14ac:dyDescent="0.25">
      <c r="D214" s="495"/>
      <c r="Y214" s="597"/>
      <c r="AN214" s="1"/>
      <c r="AV214" s="1"/>
      <c r="CN214" s="1"/>
    </row>
    <row r="215" spans="4:134" ht="1.5" customHeight="1" x14ac:dyDescent="0.25">
      <c r="D215" s="495"/>
      <c r="Y215" s="597"/>
      <c r="AA215" s="1"/>
      <c r="AC215" s="1"/>
    </row>
    <row r="216" spans="4:134" x14ac:dyDescent="0.25">
      <c r="D216" s="495"/>
      <c r="Y216" s="597"/>
      <c r="AC216" s="1"/>
    </row>
    <row r="217" spans="4:134" x14ac:dyDescent="0.25">
      <c r="AA217" s="1"/>
    </row>
  </sheetData>
  <mergeCells count="213">
    <mergeCell ref="C207:D207"/>
    <mergeCell ref="F115:F117"/>
    <mergeCell ref="E115:E117"/>
    <mergeCell ref="G192:G193"/>
    <mergeCell ref="J192:J193"/>
    <mergeCell ref="K192:K193"/>
    <mergeCell ref="L192:L193"/>
    <mergeCell ref="B195:D195"/>
    <mergeCell ref="C197:E197"/>
    <mergeCell ref="G186:G190"/>
    <mergeCell ref="J187:J188"/>
    <mergeCell ref="K187:K188"/>
    <mergeCell ref="L187:L188"/>
    <mergeCell ref="J189:J190"/>
    <mergeCell ref="K189:K190"/>
    <mergeCell ref="L189:L190"/>
    <mergeCell ref="J173:J176"/>
    <mergeCell ref="K173:K176"/>
    <mergeCell ref="L173:L176"/>
    <mergeCell ref="G177:G184"/>
    <mergeCell ref="J177:J184"/>
    <mergeCell ref="K177:K184"/>
    <mergeCell ref="L177:L184"/>
    <mergeCell ref="J167:J169"/>
    <mergeCell ref="K167:K169"/>
    <mergeCell ref="L167:L169"/>
    <mergeCell ref="J170:J172"/>
    <mergeCell ref="K170:K172"/>
    <mergeCell ref="L170:L172"/>
    <mergeCell ref="J161:J163"/>
    <mergeCell ref="K161:K163"/>
    <mergeCell ref="L161:L163"/>
    <mergeCell ref="J164:J166"/>
    <mergeCell ref="K164:K166"/>
    <mergeCell ref="L164:L166"/>
    <mergeCell ref="L155:L157"/>
    <mergeCell ref="J158:J160"/>
    <mergeCell ref="K158:K160"/>
    <mergeCell ref="L158:L160"/>
    <mergeCell ref="J150:J151"/>
    <mergeCell ref="K150:K151"/>
    <mergeCell ref="L150:L151"/>
    <mergeCell ref="J152:J154"/>
    <mergeCell ref="K152:K154"/>
    <mergeCell ref="L152:L154"/>
    <mergeCell ref="M124:M125"/>
    <mergeCell ref="O124:O125"/>
    <mergeCell ref="P124:P125"/>
    <mergeCell ref="B129:F129"/>
    <mergeCell ref="A130:A194"/>
    <mergeCell ref="G130:G131"/>
    <mergeCell ref="G132:G176"/>
    <mergeCell ref="J139:J140"/>
    <mergeCell ref="K139:K140"/>
    <mergeCell ref="L139:L140"/>
    <mergeCell ref="J145:J147"/>
    <mergeCell ref="K145:K147"/>
    <mergeCell ref="L145:L147"/>
    <mergeCell ref="J148:J149"/>
    <mergeCell ref="K148:K149"/>
    <mergeCell ref="L148:L149"/>
    <mergeCell ref="J141:J142"/>
    <mergeCell ref="K141:K142"/>
    <mergeCell ref="L141:L142"/>
    <mergeCell ref="J143:J144"/>
    <mergeCell ref="K143:K144"/>
    <mergeCell ref="L143:L144"/>
    <mergeCell ref="J155:J157"/>
    <mergeCell ref="K155:K157"/>
    <mergeCell ref="M115:M117"/>
    <mergeCell ref="P115:P117"/>
    <mergeCell ref="M118:M121"/>
    <mergeCell ref="P118:P121"/>
    <mergeCell ref="M122:M123"/>
    <mergeCell ref="P122:P123"/>
    <mergeCell ref="K107:K108"/>
    <mergeCell ref="L107:L108"/>
    <mergeCell ref="J111:J112"/>
    <mergeCell ref="K111:K112"/>
    <mergeCell ref="L111:L112"/>
    <mergeCell ref="J113:J114"/>
    <mergeCell ref="K113:K114"/>
    <mergeCell ref="L113:L114"/>
    <mergeCell ref="G101:G103"/>
    <mergeCell ref="B104:F104"/>
    <mergeCell ref="A106:A128"/>
    <mergeCell ref="G106:G114"/>
    <mergeCell ref="J107:J108"/>
    <mergeCell ref="G124:G127"/>
    <mergeCell ref="G93:G94"/>
    <mergeCell ref="G95:G98"/>
    <mergeCell ref="J97:J98"/>
    <mergeCell ref="J81:J82"/>
    <mergeCell ref="K81:K82"/>
    <mergeCell ref="L81:L82"/>
    <mergeCell ref="K97:K98"/>
    <mergeCell ref="L97:L98"/>
    <mergeCell ref="B99:B100"/>
    <mergeCell ref="C99:C100"/>
    <mergeCell ref="D99:D100"/>
    <mergeCell ref="E99:E100"/>
    <mergeCell ref="F99:F100"/>
    <mergeCell ref="J87:J88"/>
    <mergeCell ref="K87:K88"/>
    <mergeCell ref="L87:L88"/>
    <mergeCell ref="G89:G92"/>
    <mergeCell ref="J89:J92"/>
    <mergeCell ref="K89:K92"/>
    <mergeCell ref="L89:L92"/>
    <mergeCell ref="G77:G88"/>
    <mergeCell ref="G99:G100"/>
    <mergeCell ref="K58:K59"/>
    <mergeCell ref="L58:L59"/>
    <mergeCell ref="B67:E67"/>
    <mergeCell ref="A68:A103"/>
    <mergeCell ref="G68:G73"/>
    <mergeCell ref="J69:J70"/>
    <mergeCell ref="K69:K70"/>
    <mergeCell ref="L69:L70"/>
    <mergeCell ref="J72:J73"/>
    <mergeCell ref="K72:K73"/>
    <mergeCell ref="L72:L73"/>
    <mergeCell ref="G74:G76"/>
    <mergeCell ref="J83:J84"/>
    <mergeCell ref="K83:K84"/>
    <mergeCell ref="L83:L84"/>
    <mergeCell ref="J85:J86"/>
    <mergeCell ref="K85:K86"/>
    <mergeCell ref="L85:L86"/>
    <mergeCell ref="J74:J76"/>
    <mergeCell ref="K74:K76"/>
    <mergeCell ref="L74:L76"/>
    <mergeCell ref="J77:J78"/>
    <mergeCell ref="K77:K78"/>
    <mergeCell ref="L77:L78"/>
    <mergeCell ref="J48:J49"/>
    <mergeCell ref="K48:K49"/>
    <mergeCell ref="L48:L49"/>
    <mergeCell ref="J50:J52"/>
    <mergeCell ref="K50:K52"/>
    <mergeCell ref="L50:L52"/>
    <mergeCell ref="B34:E34"/>
    <mergeCell ref="A35:A66"/>
    <mergeCell ref="G35:G37"/>
    <mergeCell ref="G38:G43"/>
    <mergeCell ref="G44:G47"/>
    <mergeCell ref="G48:G52"/>
    <mergeCell ref="G53:G55"/>
    <mergeCell ref="G61:G66"/>
    <mergeCell ref="J63:J64"/>
    <mergeCell ref="K63:K64"/>
    <mergeCell ref="L63:L64"/>
    <mergeCell ref="J65:J66"/>
    <mergeCell ref="K65:K66"/>
    <mergeCell ref="L65:L66"/>
    <mergeCell ref="J54:J55"/>
    <mergeCell ref="K54:K55"/>
    <mergeCell ref="L54:L55"/>
    <mergeCell ref="J58:J59"/>
    <mergeCell ref="G27:G29"/>
    <mergeCell ref="A4:A33"/>
    <mergeCell ref="G4:G9"/>
    <mergeCell ref="G56:G57"/>
    <mergeCell ref="G58:G59"/>
    <mergeCell ref="J27:J29"/>
    <mergeCell ref="K27:K29"/>
    <mergeCell ref="L27:L29"/>
    <mergeCell ref="B30:B33"/>
    <mergeCell ref="G30:G33"/>
    <mergeCell ref="J30:J33"/>
    <mergeCell ref="K30:K33"/>
    <mergeCell ref="L30:L33"/>
    <mergeCell ref="J17:J21"/>
    <mergeCell ref="K17:K21"/>
    <mergeCell ref="L17:L21"/>
    <mergeCell ref="G22:G23"/>
    <mergeCell ref="J22:J23"/>
    <mergeCell ref="G24:G26"/>
    <mergeCell ref="J24:J26"/>
    <mergeCell ref="K24:K26"/>
    <mergeCell ref="L24:L26"/>
    <mergeCell ref="J4:J9"/>
    <mergeCell ref="K4:K9"/>
    <mergeCell ref="L4:L9"/>
    <mergeCell ref="G10:G16"/>
    <mergeCell ref="J10:J16"/>
    <mergeCell ref="K10:K16"/>
    <mergeCell ref="L10:L16"/>
    <mergeCell ref="G17:G21"/>
    <mergeCell ref="BT2:CC2"/>
    <mergeCell ref="BT1:CM1"/>
    <mergeCell ref="CN1:DH1"/>
    <mergeCell ref="DJ1:ED1"/>
    <mergeCell ref="A2:A3"/>
    <mergeCell ref="B2:B3"/>
    <mergeCell ref="C2:C3"/>
    <mergeCell ref="D2:D3"/>
    <mergeCell ref="E2:E3"/>
    <mergeCell ref="F2:F3"/>
    <mergeCell ref="C1:F1"/>
    <mergeCell ref="Y1:AS1"/>
    <mergeCell ref="AV1:BP1"/>
    <mergeCell ref="CD2:CL2"/>
    <mergeCell ref="CP2:CZ2"/>
    <mergeCell ref="DB2:DH2"/>
    <mergeCell ref="DJ2:DU2"/>
    <mergeCell ref="DV2:ED2"/>
    <mergeCell ref="M2:O2"/>
    <mergeCell ref="P2:R2"/>
    <mergeCell ref="S2:U2"/>
    <mergeCell ref="V2:X2"/>
    <mergeCell ref="Y2:AS2"/>
    <mergeCell ref="AV2:BP2"/>
  </mergeCells>
  <printOptions horizontalCentered="1" verticalCentered="1"/>
  <pageMargins left="0.35433070866141736" right="0.27559055118110237" top="0.9055118110236221" bottom="0.47244094488188981" header="0.59055118110236227" footer="0.27559055118110237"/>
  <pageSetup scale="60" orientation="landscape" r:id="rId1"/>
  <headerFooter>
    <oddHeader>&amp;C&amp;"-,Negrita"&amp;14UNIVERSIDAD SURCOLOMBIANA PLAN DE ACCIÓN  A 30 DE SEPTIEMBRE DE  2015
 RESOLUCION  204 DEL 14 DE SEPTIEMBRE DE 2015</oddHeader>
    <oddFooter>&amp;LUNIDAD DE PLANEAMIENTO ECONÓMICO Y ADMINISTRATIVO&amp;COFICINA DE PLANEACIÓN&amp;RPágina &amp;P de &amp;N</oddFooter>
  </headerFooter>
  <rowBreaks count="1" manualBreakCount="1">
    <brk id="38"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F217"/>
  <sheetViews>
    <sheetView topLeftCell="C58" zoomScaleNormal="100" zoomScalePageLayoutView="50" workbookViewId="0">
      <selection activeCell="DI8" sqref="DI8"/>
    </sheetView>
  </sheetViews>
  <sheetFormatPr baseColWidth="10" defaultRowHeight="15" x14ac:dyDescent="0.25"/>
  <cols>
    <col min="1" max="1" width="12.85546875" hidden="1" customWidth="1"/>
    <col min="2" max="2" width="27.42578125" hidden="1" customWidth="1"/>
    <col min="3" max="3" width="10.140625" customWidth="1"/>
    <col min="4" max="4" width="37.85546875" customWidth="1"/>
    <col min="5" max="5" width="6.28515625" customWidth="1"/>
    <col min="6" max="6" width="11.7109375" customWidth="1"/>
    <col min="7" max="7" width="14.28515625" hidden="1" customWidth="1"/>
    <col min="8" max="8" width="13.5703125" hidden="1" customWidth="1"/>
    <col min="9" max="9" width="13.7109375" hidden="1" customWidth="1"/>
    <col min="10" max="10" width="14.42578125" hidden="1" customWidth="1"/>
    <col min="11" max="11" width="14.5703125" hidden="1" customWidth="1"/>
    <col min="12" max="12" width="15" hidden="1" customWidth="1"/>
    <col min="13" max="13" width="11.7109375" hidden="1" customWidth="1"/>
    <col min="14" max="14" width="12.140625" hidden="1" customWidth="1"/>
    <col min="15" max="15" width="12.7109375" hidden="1" customWidth="1"/>
    <col min="16" max="16" width="11.5703125" hidden="1" customWidth="1"/>
    <col min="17" max="17" width="11.42578125" hidden="1" customWidth="1"/>
    <col min="18" max="18" width="12.42578125" hidden="1" customWidth="1"/>
    <col min="19" max="24" width="14.28515625" hidden="1" customWidth="1"/>
    <col min="25" max="25" width="16.140625" customWidth="1"/>
    <col min="26" max="26" width="13.28515625" hidden="1" customWidth="1"/>
    <col min="27" max="28" width="13.42578125" hidden="1" customWidth="1"/>
    <col min="29" max="29" width="14.42578125" hidden="1" customWidth="1"/>
    <col min="30" max="30" width="12.7109375" hidden="1" customWidth="1"/>
    <col min="31" max="31" width="13.7109375" hidden="1" customWidth="1"/>
    <col min="32" max="32" width="14.7109375" hidden="1" customWidth="1"/>
    <col min="33" max="33" width="12.85546875" hidden="1" customWidth="1"/>
    <col min="34" max="34" width="11.85546875" hidden="1" customWidth="1"/>
    <col min="35" max="35" width="11.42578125" hidden="1" customWidth="1"/>
    <col min="36" max="36" width="10.7109375" hidden="1" customWidth="1"/>
    <col min="37" max="37" width="12.42578125" hidden="1" customWidth="1"/>
    <col min="38" max="38" width="13.5703125" hidden="1" customWidth="1"/>
    <col min="39" max="39" width="14.42578125" hidden="1" customWidth="1"/>
    <col min="40" max="40" width="14.140625" hidden="1" customWidth="1"/>
    <col min="41" max="41" width="12.5703125" hidden="1" customWidth="1"/>
    <col min="42" max="42" width="14" hidden="1" customWidth="1"/>
    <col min="43" max="43" width="12.28515625" hidden="1" customWidth="1"/>
    <col min="44" max="44" width="12" hidden="1" customWidth="1"/>
    <col min="45" max="45" width="14.42578125" hidden="1" customWidth="1"/>
    <col min="46" max="46" width="1.140625" customWidth="1"/>
    <col min="47" max="47" width="12.5703125" customWidth="1"/>
    <col min="48" max="48" width="16.7109375" customWidth="1"/>
    <col min="49" max="49" width="15.5703125" hidden="1" customWidth="1"/>
    <col min="50" max="51" width="13.5703125" hidden="1" customWidth="1"/>
    <col min="52" max="52" width="14" hidden="1" customWidth="1"/>
    <col min="53" max="53" width="17.28515625" hidden="1" customWidth="1"/>
    <col min="54" max="54" width="16.140625" hidden="1" customWidth="1"/>
    <col min="55" max="56" width="15" hidden="1" customWidth="1"/>
    <col min="57" max="57" width="11.7109375" hidden="1" customWidth="1"/>
    <col min="58" max="58" width="13.28515625" hidden="1" customWidth="1"/>
    <col min="59" max="59" width="12.5703125" hidden="1" customWidth="1"/>
    <col min="60" max="60" width="14.42578125" hidden="1" customWidth="1"/>
    <col min="61" max="61" width="14.140625" hidden="1" customWidth="1"/>
    <col min="62" max="62" width="13.28515625" hidden="1" customWidth="1"/>
    <col min="63" max="63" width="13.5703125" hidden="1" customWidth="1"/>
    <col min="64" max="64" width="13.42578125" hidden="1" customWidth="1"/>
    <col min="65" max="65" width="17.7109375" hidden="1" customWidth="1"/>
    <col min="66" max="66" width="14.85546875" hidden="1" customWidth="1"/>
    <col min="67" max="67" width="15.5703125" hidden="1" customWidth="1"/>
    <col min="68" max="68" width="13.85546875" hidden="1" customWidth="1"/>
    <col min="69" max="69" width="10.85546875" customWidth="1"/>
    <col min="70" max="70" width="16.5703125" customWidth="1"/>
    <col min="71" max="71" width="15.85546875" hidden="1" customWidth="1"/>
    <col min="72" max="73" width="14" hidden="1" customWidth="1"/>
    <col min="74" max="74" width="15.140625" hidden="1" customWidth="1"/>
    <col min="75" max="75" width="16.5703125" hidden="1" customWidth="1"/>
    <col min="76" max="76" width="13.5703125" hidden="1" customWidth="1"/>
    <col min="77" max="78" width="13.85546875" hidden="1" customWidth="1"/>
    <col min="79" max="80" width="12.28515625" hidden="1" customWidth="1"/>
    <col min="81" max="81" width="11.140625" hidden="1" customWidth="1"/>
    <col min="82" max="82" width="12.5703125" hidden="1" customWidth="1"/>
    <col min="83" max="83" width="13.5703125" hidden="1" customWidth="1"/>
    <col min="84" max="84" width="15.140625" hidden="1" customWidth="1"/>
    <col min="85" max="85" width="13.85546875" hidden="1" customWidth="1"/>
    <col min="86" max="86" width="15" hidden="1" customWidth="1"/>
    <col min="87" max="87" width="13.42578125" hidden="1" customWidth="1"/>
    <col min="88" max="88" width="13.5703125" hidden="1" customWidth="1"/>
    <col min="89" max="89" width="13.7109375" hidden="1" customWidth="1"/>
    <col min="90" max="90" width="14" hidden="1" customWidth="1"/>
    <col min="91" max="91" width="12" customWidth="1"/>
    <col min="92" max="92" width="16.5703125" customWidth="1"/>
    <col min="93" max="93" width="14.42578125" hidden="1" customWidth="1"/>
    <col min="94" max="95" width="12.28515625" hidden="1" customWidth="1"/>
    <col min="96" max="96" width="13.28515625" hidden="1" customWidth="1"/>
    <col min="97" max="97" width="14" hidden="1" customWidth="1"/>
    <col min="98" max="98" width="15.42578125" hidden="1" customWidth="1"/>
    <col min="99" max="99" width="15.28515625" hidden="1" customWidth="1"/>
    <col min="100" max="100" width="12.42578125" hidden="1" customWidth="1"/>
    <col min="101" max="101" width="11.7109375" hidden="1" customWidth="1"/>
    <col min="102" max="102" width="13.42578125" hidden="1" customWidth="1"/>
    <col min="103" max="103" width="11.42578125" hidden="1" customWidth="1"/>
    <col min="104" max="104" width="15.7109375" hidden="1" customWidth="1"/>
    <col min="105" max="105" width="16.28515625" hidden="1" customWidth="1"/>
    <col min="106" max="106" width="16.5703125" hidden="1" customWidth="1"/>
    <col min="107" max="107" width="17.140625" hidden="1" customWidth="1"/>
    <col min="108" max="108" width="13" hidden="1" customWidth="1"/>
    <col min="109" max="109" width="14.28515625" hidden="1" customWidth="1"/>
    <col min="110" max="110" width="13.7109375" hidden="1" customWidth="1"/>
    <col min="111" max="111" width="12.28515625" hidden="1" customWidth="1"/>
    <col min="112" max="112" width="13.42578125" hidden="1" customWidth="1"/>
    <col min="113" max="113" width="12.28515625" customWidth="1"/>
    <col min="114" max="114" width="15" customWidth="1"/>
    <col min="115" max="115" width="16" hidden="1" customWidth="1"/>
    <col min="116" max="117" width="13.7109375" hidden="1" customWidth="1"/>
    <col min="118" max="118" width="14.42578125" hidden="1" customWidth="1"/>
    <col min="119" max="119" width="15.5703125" hidden="1" customWidth="1"/>
    <col min="120" max="122" width="13.5703125" hidden="1" customWidth="1"/>
    <col min="123" max="124" width="13.85546875" hidden="1" customWidth="1"/>
    <col min="125" max="125" width="11.42578125" hidden="1" customWidth="1"/>
    <col min="126" max="126" width="13.7109375" hidden="1" customWidth="1"/>
    <col min="127" max="127" width="13.85546875" hidden="1" customWidth="1"/>
    <col min="128" max="128" width="12.28515625" hidden="1" customWidth="1"/>
    <col min="129" max="129" width="13.85546875" hidden="1" customWidth="1"/>
    <col min="130" max="130" width="16.5703125" hidden="1" customWidth="1"/>
    <col min="131" max="131" width="14.42578125" hidden="1" customWidth="1"/>
    <col min="132" max="133" width="14.85546875" hidden="1" customWidth="1"/>
    <col min="134" max="134" width="13.5703125" hidden="1" customWidth="1"/>
    <col min="135" max="136" width="11.42578125" customWidth="1"/>
  </cols>
  <sheetData>
    <row r="1" spans="1:134" ht="18" customHeight="1" x14ac:dyDescent="0.3">
      <c r="C1" s="1412"/>
      <c r="D1" s="1413"/>
      <c r="E1" s="1413"/>
      <c r="F1" s="1414"/>
      <c r="G1" s="1120"/>
      <c r="H1" s="1120"/>
      <c r="I1" s="1120"/>
      <c r="J1" s="1120"/>
      <c r="K1" s="1120"/>
      <c r="L1" s="1120"/>
      <c r="M1" s="1072"/>
      <c r="N1" s="1072"/>
      <c r="O1" s="1072"/>
      <c r="P1" s="1120"/>
      <c r="Q1" s="1120"/>
      <c r="R1" s="1120"/>
      <c r="S1" s="1120"/>
      <c r="T1" s="1120"/>
      <c r="U1" s="1120"/>
      <c r="V1" s="1120"/>
      <c r="W1" s="1120"/>
      <c r="X1" s="1120"/>
      <c r="Y1" s="1621" t="s">
        <v>3333</v>
      </c>
      <c r="Z1" s="1621" t="s">
        <v>3333</v>
      </c>
      <c r="AA1" s="1621" t="s">
        <v>3333</v>
      </c>
      <c r="AB1" s="1621" t="s">
        <v>3333</v>
      </c>
      <c r="AC1" s="1621" t="s">
        <v>3333</v>
      </c>
      <c r="AD1" s="1621" t="s">
        <v>3333</v>
      </c>
      <c r="AE1" s="1621" t="s">
        <v>3333</v>
      </c>
      <c r="AF1" s="1621" t="s">
        <v>3333</v>
      </c>
      <c r="AG1" s="1621" t="s">
        <v>3333</v>
      </c>
      <c r="AH1" s="1621" t="s">
        <v>3333</v>
      </c>
      <c r="AI1" s="1621" t="s">
        <v>3333</v>
      </c>
      <c r="AJ1" s="1621" t="s">
        <v>3333</v>
      </c>
      <c r="AK1" s="1621" t="s">
        <v>3333</v>
      </c>
      <c r="AL1" s="1621" t="s">
        <v>3333</v>
      </c>
      <c r="AM1" s="1621" t="s">
        <v>3333</v>
      </c>
      <c r="AN1" s="1621" t="s">
        <v>3333</v>
      </c>
      <c r="AO1" s="1621" t="s">
        <v>3333</v>
      </c>
      <c r="AP1" s="1621" t="s">
        <v>3333</v>
      </c>
      <c r="AQ1" s="1621" t="s">
        <v>3333</v>
      </c>
      <c r="AR1" s="1621" t="s">
        <v>3333</v>
      </c>
      <c r="AS1" s="1621" t="s">
        <v>3333</v>
      </c>
      <c r="AU1" s="1612" t="s">
        <v>4976</v>
      </c>
      <c r="AV1" s="1612"/>
      <c r="AW1" s="1612" t="s">
        <v>4976</v>
      </c>
      <c r="AX1" s="1612"/>
      <c r="AY1" s="1612" t="s">
        <v>4976</v>
      </c>
      <c r="AZ1" s="1612"/>
      <c r="BA1" s="1612" t="s">
        <v>4976</v>
      </c>
      <c r="BB1" s="1612"/>
      <c r="BC1" s="1612" t="s">
        <v>4976</v>
      </c>
      <c r="BD1" s="1612"/>
      <c r="BE1" s="1612" t="s">
        <v>4976</v>
      </c>
      <c r="BF1" s="1612"/>
      <c r="BG1" s="1612" t="s">
        <v>4976</v>
      </c>
      <c r="BH1" s="1612"/>
      <c r="BI1" s="1612" t="s">
        <v>4976</v>
      </c>
      <c r="BJ1" s="1612"/>
      <c r="BK1" s="1612" t="s">
        <v>4976</v>
      </c>
      <c r="BL1" s="1612"/>
      <c r="BM1" s="1612" t="s">
        <v>4976</v>
      </c>
      <c r="BN1" s="1612"/>
      <c r="BO1" s="1612" t="s">
        <v>4976</v>
      </c>
      <c r="BP1" s="1612"/>
      <c r="BQ1" s="1613" t="s">
        <v>4977</v>
      </c>
      <c r="BR1" s="1614"/>
      <c r="BS1" s="1013"/>
      <c r="BT1" s="1136" t="s">
        <v>3400</v>
      </c>
      <c r="BU1" s="1137"/>
      <c r="BV1" s="1137"/>
      <c r="BW1" s="1137"/>
      <c r="BX1" s="1137"/>
      <c r="BY1" s="1137"/>
      <c r="BZ1" s="1137"/>
      <c r="CA1" s="1137"/>
      <c r="CB1" s="1137"/>
      <c r="CC1" s="1137"/>
      <c r="CD1" s="1137"/>
      <c r="CE1" s="1137"/>
      <c r="CF1" s="1137"/>
      <c r="CG1" s="1137"/>
      <c r="CH1" s="1137"/>
      <c r="CI1" s="1137"/>
      <c r="CJ1" s="1137"/>
      <c r="CK1" s="1137"/>
      <c r="CL1" s="1137"/>
      <c r="CM1" s="1612" t="s">
        <v>4978</v>
      </c>
      <c r="CN1" s="1612"/>
      <c r="CO1" s="1137"/>
      <c r="CP1" s="1137"/>
      <c r="CQ1" s="1137"/>
      <c r="CR1" s="1137"/>
      <c r="CS1" s="1137"/>
      <c r="CT1" s="1137"/>
      <c r="CU1" s="1137"/>
      <c r="CV1" s="1137"/>
      <c r="CW1" s="1137"/>
      <c r="CX1" s="1137"/>
      <c r="CY1" s="1137"/>
      <c r="CZ1" s="1137"/>
      <c r="DA1" s="1137"/>
      <c r="DB1" s="1137"/>
      <c r="DC1" s="1137"/>
      <c r="DD1" s="1137"/>
      <c r="DE1" s="1137"/>
      <c r="DF1" s="1137"/>
      <c r="DG1" s="1137"/>
      <c r="DH1" s="1138"/>
      <c r="DI1" s="1617" t="s">
        <v>4979</v>
      </c>
      <c r="DJ1" s="1618"/>
      <c r="DK1" s="1137"/>
      <c r="DL1" s="1137"/>
      <c r="DM1" s="1137"/>
      <c r="DN1" s="1137"/>
      <c r="DO1" s="1137"/>
      <c r="DP1" s="1137"/>
      <c r="DQ1" s="1137"/>
      <c r="DR1" s="1137"/>
      <c r="DS1" s="1137"/>
      <c r="DT1" s="1137"/>
      <c r="DU1" s="1137"/>
      <c r="DV1" s="1137"/>
      <c r="DW1" s="1137"/>
      <c r="DX1" s="1137"/>
      <c r="DY1" s="1137"/>
      <c r="DZ1" s="1137"/>
      <c r="EA1" s="1137"/>
      <c r="EB1" s="1137"/>
      <c r="EC1" s="1137"/>
      <c r="ED1" s="1137"/>
    </row>
    <row r="2" spans="1:134" ht="15.6" customHeight="1" x14ac:dyDescent="0.25">
      <c r="A2" s="1549" t="s">
        <v>4747</v>
      </c>
      <c r="B2" s="1550" t="s">
        <v>3139</v>
      </c>
      <c r="C2" s="1552" t="s">
        <v>1</v>
      </c>
      <c r="D2" s="1549" t="s">
        <v>4174</v>
      </c>
      <c r="E2" s="1554" t="s">
        <v>447</v>
      </c>
      <c r="F2" s="1550" t="s">
        <v>3347</v>
      </c>
      <c r="G2" s="1061"/>
      <c r="H2" s="1061"/>
      <c r="I2" s="1061"/>
      <c r="J2" s="1061"/>
      <c r="K2" s="1061"/>
      <c r="L2" s="1061"/>
      <c r="M2" s="1561" t="s">
        <v>4821</v>
      </c>
      <c r="N2" s="1561"/>
      <c r="O2" s="1561"/>
      <c r="P2" s="1561" t="s">
        <v>4822</v>
      </c>
      <c r="Q2" s="1561"/>
      <c r="R2" s="1561"/>
      <c r="S2" s="1561" t="s">
        <v>4823</v>
      </c>
      <c r="T2" s="1561"/>
      <c r="U2" s="1561"/>
      <c r="V2" s="1561" t="s">
        <v>4824</v>
      </c>
      <c r="W2" s="1561"/>
      <c r="X2" s="1561"/>
      <c r="Y2" s="1622"/>
      <c r="Z2" s="1622"/>
      <c r="AA2" s="1622"/>
      <c r="AB2" s="1622"/>
      <c r="AC2" s="1622"/>
      <c r="AD2" s="1622"/>
      <c r="AE2" s="1622"/>
      <c r="AF2" s="1622"/>
      <c r="AG2" s="1622"/>
      <c r="AH2" s="1622"/>
      <c r="AI2" s="1622"/>
      <c r="AJ2" s="1622"/>
      <c r="AK2" s="1622"/>
      <c r="AL2" s="1622"/>
      <c r="AM2" s="1622"/>
      <c r="AN2" s="1622"/>
      <c r="AO2" s="1622"/>
      <c r="AP2" s="1622"/>
      <c r="AQ2" s="1622"/>
      <c r="AR2" s="1622"/>
      <c r="AS2" s="1622"/>
      <c r="AU2" s="1612"/>
      <c r="AV2" s="1612"/>
      <c r="AW2" s="1612"/>
      <c r="AX2" s="1612"/>
      <c r="AY2" s="1612"/>
      <c r="AZ2" s="1612"/>
      <c r="BA2" s="1612"/>
      <c r="BB2" s="1612"/>
      <c r="BC2" s="1612"/>
      <c r="BD2" s="1612"/>
      <c r="BE2" s="1612"/>
      <c r="BF2" s="1612"/>
      <c r="BG2" s="1612"/>
      <c r="BH2" s="1612"/>
      <c r="BI2" s="1612"/>
      <c r="BJ2" s="1612"/>
      <c r="BK2" s="1612"/>
      <c r="BL2" s="1612"/>
      <c r="BM2" s="1612"/>
      <c r="BN2" s="1612"/>
      <c r="BO2" s="1612"/>
      <c r="BP2" s="1612"/>
      <c r="BQ2" s="1615"/>
      <c r="BR2" s="1616"/>
      <c r="BS2" s="1014"/>
      <c r="BT2" s="1014" t="s">
        <v>3402</v>
      </c>
      <c r="BU2" s="1139"/>
      <c r="BV2" s="1139"/>
      <c r="BW2" s="1139"/>
      <c r="BX2" s="1139"/>
      <c r="BY2" s="1139"/>
      <c r="BZ2" s="1139"/>
      <c r="CA2" s="1139"/>
      <c r="CB2" s="1139"/>
      <c r="CC2" s="1140"/>
      <c r="CD2" s="1014" t="s">
        <v>3402</v>
      </c>
      <c r="CE2" s="1139"/>
      <c r="CF2" s="1139"/>
      <c r="CG2" s="1139"/>
      <c r="CH2" s="1139"/>
      <c r="CI2" s="1139"/>
      <c r="CJ2" s="1139"/>
      <c r="CK2" s="1139"/>
      <c r="CL2" s="1140"/>
      <c r="CM2" s="1612"/>
      <c r="CN2" s="1612"/>
      <c r="CO2" s="1015"/>
      <c r="CP2" s="1141" t="s">
        <v>3401</v>
      </c>
      <c r="CQ2" s="967"/>
      <c r="CR2" s="967"/>
      <c r="CS2" s="967"/>
      <c r="CT2" s="967"/>
      <c r="CU2" s="967"/>
      <c r="CV2" s="967"/>
      <c r="CW2" s="967"/>
      <c r="CX2" s="967"/>
      <c r="CY2" s="967"/>
      <c r="CZ2" s="967"/>
      <c r="DA2" s="967"/>
      <c r="DB2" s="1141" t="s">
        <v>3401</v>
      </c>
      <c r="DC2" s="967"/>
      <c r="DD2" s="967"/>
      <c r="DE2" s="967"/>
      <c r="DF2" s="967"/>
      <c r="DG2" s="967"/>
      <c r="DH2" s="1142"/>
      <c r="DI2" s="1619"/>
      <c r="DJ2" s="1620"/>
      <c r="DK2" s="1139"/>
      <c r="DL2" s="1139"/>
      <c r="DM2" s="1139"/>
      <c r="DN2" s="1139"/>
      <c r="DO2" s="1139"/>
      <c r="DP2" s="1139"/>
      <c r="DQ2" s="1139"/>
      <c r="DR2" s="1139"/>
      <c r="DS2" s="1139"/>
      <c r="DT2" s="1139"/>
      <c r="DU2" s="1139"/>
      <c r="DV2" s="1139" t="s">
        <v>3402</v>
      </c>
      <c r="DW2" s="1139"/>
      <c r="DX2" s="1139"/>
      <c r="DY2" s="1139"/>
      <c r="DZ2" s="1139"/>
      <c r="EA2" s="1139"/>
      <c r="EB2" s="1139"/>
      <c r="EC2" s="1139"/>
      <c r="ED2" s="1140"/>
    </row>
    <row r="3" spans="1:134" ht="43.5" customHeight="1" x14ac:dyDescent="0.25">
      <c r="A3" s="1549"/>
      <c r="B3" s="1551"/>
      <c r="C3" s="1553"/>
      <c r="D3" s="1549"/>
      <c r="E3" s="1555"/>
      <c r="F3" s="1551"/>
      <c r="G3" s="1062" t="s">
        <v>4761</v>
      </c>
      <c r="H3" s="1062" t="s">
        <v>3401</v>
      </c>
      <c r="I3" s="1062" t="s">
        <v>4748</v>
      </c>
      <c r="J3" s="1062" t="s">
        <v>4749</v>
      </c>
      <c r="K3" s="1132" t="s">
        <v>4754</v>
      </c>
      <c r="L3" s="1132" t="s">
        <v>4750</v>
      </c>
      <c r="M3" s="1132" t="s">
        <v>4045</v>
      </c>
      <c r="N3" s="1132" t="s">
        <v>4048</v>
      </c>
      <c r="O3" s="1132" t="s">
        <v>4050</v>
      </c>
      <c r="P3" s="1132" t="s">
        <v>4045</v>
      </c>
      <c r="Q3" s="1132" t="s">
        <v>4048</v>
      </c>
      <c r="R3" s="1132" t="s">
        <v>4050</v>
      </c>
      <c r="S3" s="1062" t="s">
        <v>4045</v>
      </c>
      <c r="T3" s="1062" t="s">
        <v>4048</v>
      </c>
      <c r="U3" s="1062" t="s">
        <v>4050</v>
      </c>
      <c r="V3" s="1062" t="s">
        <v>4045</v>
      </c>
      <c r="W3" s="1062" t="s">
        <v>4048</v>
      </c>
      <c r="X3" s="1062" t="s">
        <v>4050</v>
      </c>
      <c r="Y3" s="1623"/>
      <c r="Z3" s="1623"/>
      <c r="AA3" s="1623"/>
      <c r="AB3" s="1623"/>
      <c r="AC3" s="1623"/>
      <c r="AD3" s="1623"/>
      <c r="AE3" s="1623"/>
      <c r="AF3" s="1623"/>
      <c r="AG3" s="1623"/>
      <c r="AH3" s="1623"/>
      <c r="AI3" s="1623"/>
      <c r="AJ3" s="1623"/>
      <c r="AK3" s="1623"/>
      <c r="AL3" s="1623"/>
      <c r="AM3" s="1623"/>
      <c r="AN3" s="1623"/>
      <c r="AO3" s="1623"/>
      <c r="AP3" s="1623"/>
      <c r="AQ3" s="1623"/>
      <c r="AR3" s="1623"/>
      <c r="AS3" s="1623"/>
      <c r="AU3" s="1134" t="s">
        <v>4293</v>
      </c>
      <c r="AV3" s="1134" t="s">
        <v>433</v>
      </c>
      <c r="AW3" s="1134" t="s">
        <v>4293</v>
      </c>
      <c r="AX3" s="1134" t="s">
        <v>433</v>
      </c>
      <c r="AY3" s="1134" t="s">
        <v>4293</v>
      </c>
      <c r="AZ3" s="1134" t="s">
        <v>433</v>
      </c>
      <c r="BA3" s="1134" t="s">
        <v>4293</v>
      </c>
      <c r="BB3" s="1134" t="s">
        <v>433</v>
      </c>
      <c r="BC3" s="1134" t="s">
        <v>4293</v>
      </c>
      <c r="BD3" s="1134" t="s">
        <v>433</v>
      </c>
      <c r="BE3" s="1134" t="s">
        <v>4293</v>
      </c>
      <c r="BF3" s="1134" t="s">
        <v>433</v>
      </c>
      <c r="BG3" s="1134" t="s">
        <v>4293</v>
      </c>
      <c r="BH3" s="1134" t="s">
        <v>433</v>
      </c>
      <c r="BI3" s="1134" t="s">
        <v>4293</v>
      </c>
      <c r="BJ3" s="1134" t="s">
        <v>433</v>
      </c>
      <c r="BK3" s="1134" t="s">
        <v>4293</v>
      </c>
      <c r="BL3" s="1134" t="s">
        <v>433</v>
      </c>
      <c r="BM3" s="1134" t="s">
        <v>4293</v>
      </c>
      <c r="BN3" s="1134" t="s">
        <v>433</v>
      </c>
      <c r="BO3" s="1134" t="s">
        <v>4293</v>
      </c>
      <c r="BP3" s="1134" t="s">
        <v>433</v>
      </c>
      <c r="BQ3" s="1135" t="s">
        <v>4293</v>
      </c>
      <c r="BR3" s="1135" t="s">
        <v>433</v>
      </c>
      <c r="BS3" s="982" t="s">
        <v>4684</v>
      </c>
      <c r="BT3" s="982" t="s">
        <v>4307</v>
      </c>
      <c r="BU3" s="982" t="s">
        <v>4721</v>
      </c>
      <c r="BV3" s="982" t="s">
        <v>4297</v>
      </c>
      <c r="BW3" s="982" t="s">
        <v>4689</v>
      </c>
      <c r="BX3" s="982" t="s">
        <v>3310</v>
      </c>
      <c r="BY3" s="982" t="s">
        <v>4317</v>
      </c>
      <c r="BZ3" s="982" t="s">
        <v>4687</v>
      </c>
      <c r="CA3" s="982" t="s">
        <v>3312</v>
      </c>
      <c r="CB3" s="982" t="s">
        <v>3313</v>
      </c>
      <c r="CC3" s="982" t="s">
        <v>3314</v>
      </c>
      <c r="CD3" s="982" t="s">
        <v>3315</v>
      </c>
      <c r="CE3" s="982" t="s">
        <v>3316</v>
      </c>
      <c r="CF3" s="982" t="s">
        <v>3317</v>
      </c>
      <c r="CG3" s="982" t="s">
        <v>3346</v>
      </c>
      <c r="CH3" s="982" t="str">
        <f>+BL3</f>
        <v>$</v>
      </c>
      <c r="CI3" s="982" t="s">
        <v>3318</v>
      </c>
      <c r="CJ3" s="982" t="s">
        <v>4707</v>
      </c>
      <c r="CK3" s="982" t="s">
        <v>4294</v>
      </c>
      <c r="CL3" s="982" t="s">
        <v>3319</v>
      </c>
      <c r="CM3" s="1134" t="s">
        <v>4293</v>
      </c>
      <c r="CN3" s="1134" t="s">
        <v>433</v>
      </c>
      <c r="CO3" s="965" t="s">
        <v>4684</v>
      </c>
      <c r="CP3" s="965" t="s">
        <v>4307</v>
      </c>
      <c r="CQ3" s="965" t="s">
        <v>4721</v>
      </c>
      <c r="CR3" s="965" t="s">
        <v>4297</v>
      </c>
      <c r="CS3" s="965" t="s">
        <v>4689</v>
      </c>
      <c r="CT3" s="965" t="s">
        <v>3310</v>
      </c>
      <c r="CU3" s="965" t="s">
        <v>4317</v>
      </c>
      <c r="CV3" s="965" t="s">
        <v>4687</v>
      </c>
      <c r="CW3" s="965" t="s">
        <v>3312</v>
      </c>
      <c r="CX3" s="965" t="s">
        <v>3313</v>
      </c>
      <c r="CY3" s="965" t="s">
        <v>3314</v>
      </c>
      <c r="CZ3" s="965" t="s">
        <v>3315</v>
      </c>
      <c r="DA3" s="965" t="s">
        <v>3316</v>
      </c>
      <c r="DB3" s="965" t="s">
        <v>3317</v>
      </c>
      <c r="DC3" s="965" t="s">
        <v>3346</v>
      </c>
      <c r="DD3" s="965" t="str">
        <f>+CH3</f>
        <v>$</v>
      </c>
      <c r="DE3" s="965" t="s">
        <v>3318</v>
      </c>
      <c r="DF3" s="965" t="s">
        <v>4707</v>
      </c>
      <c r="DG3" s="965" t="s">
        <v>4294</v>
      </c>
      <c r="DH3" s="965" t="s">
        <v>3319</v>
      </c>
      <c r="DI3" s="1135" t="s">
        <v>4293</v>
      </c>
      <c r="DJ3" s="1135" t="s">
        <v>433</v>
      </c>
      <c r="DK3" s="982" t="s">
        <v>4684</v>
      </c>
      <c r="DL3" s="982" t="s">
        <v>4307</v>
      </c>
      <c r="DM3" s="982" t="s">
        <v>4721</v>
      </c>
      <c r="DN3" s="982" t="s">
        <v>4297</v>
      </c>
      <c r="DO3" s="982" t="s">
        <v>4689</v>
      </c>
      <c r="DP3" s="982" t="s">
        <v>3310</v>
      </c>
      <c r="DQ3" s="982" t="s">
        <v>4317</v>
      </c>
      <c r="DR3" s="982" t="s">
        <v>4687</v>
      </c>
      <c r="DS3" s="982" t="s">
        <v>3312</v>
      </c>
      <c r="DT3" s="982" t="s">
        <v>3313</v>
      </c>
      <c r="DU3" s="982" t="s">
        <v>3314</v>
      </c>
      <c r="DV3" s="982" t="s">
        <v>3315</v>
      </c>
      <c r="DW3" s="982" t="s">
        <v>3316</v>
      </c>
      <c r="DX3" s="982" t="s">
        <v>3317</v>
      </c>
      <c r="DY3" s="982" t="s">
        <v>3346</v>
      </c>
      <c r="DZ3" s="980" t="str">
        <f>+DD3</f>
        <v>$</v>
      </c>
      <c r="EA3" s="982" t="s">
        <v>3318</v>
      </c>
      <c r="EB3" s="982" t="s">
        <v>4707</v>
      </c>
      <c r="EC3" s="982" t="s">
        <v>4294</v>
      </c>
      <c r="ED3" s="982" t="s">
        <v>3319</v>
      </c>
    </row>
    <row r="4" spans="1:134" ht="70.5" customHeight="1" x14ac:dyDescent="0.25">
      <c r="A4" s="1564" t="s">
        <v>4751</v>
      </c>
      <c r="B4" s="1017" t="s">
        <v>4298</v>
      </c>
      <c r="C4" s="1114" t="s">
        <v>4397</v>
      </c>
      <c r="D4" s="1018" t="s">
        <v>4562</v>
      </c>
      <c r="E4" s="1019">
        <v>510</v>
      </c>
      <c r="F4" s="1117" t="s">
        <v>4660</v>
      </c>
      <c r="G4" s="1428">
        <v>100000000</v>
      </c>
      <c r="H4" s="1060">
        <f t="shared" ref="H4:H33" si="0">+CN4</f>
        <v>6000000</v>
      </c>
      <c r="I4" s="1060">
        <f t="shared" ref="I4:I33" si="1">Y4-H4</f>
        <v>9000000</v>
      </c>
      <c r="J4" s="1428" t="s">
        <v>4758</v>
      </c>
      <c r="K4" s="1257" t="s">
        <v>4753</v>
      </c>
      <c r="L4" s="1257" t="s">
        <v>4759</v>
      </c>
      <c r="M4" s="1113">
        <v>14</v>
      </c>
      <c r="N4" s="1113">
        <v>43</v>
      </c>
      <c r="O4" s="1113">
        <v>6</v>
      </c>
      <c r="P4" s="1113">
        <v>0</v>
      </c>
      <c r="Q4" s="1113">
        <v>68</v>
      </c>
      <c r="R4" s="1113">
        <v>0</v>
      </c>
      <c r="S4" s="1117"/>
      <c r="T4" s="1117"/>
      <c r="U4" s="1117"/>
      <c r="V4" s="1069"/>
      <c r="W4" s="1069"/>
      <c r="X4" s="1069"/>
      <c r="Y4" s="1007">
        <f t="shared" ref="Y4:Y33" si="2">SUM(Z4:AS4)</f>
        <v>15000000</v>
      </c>
      <c r="Z4" s="1007"/>
      <c r="AA4" s="1007"/>
      <c r="AB4" s="1007"/>
      <c r="AC4" s="1007"/>
      <c r="AD4" s="1007"/>
      <c r="AE4" s="1007"/>
      <c r="AF4" s="1007"/>
      <c r="AG4" s="1007"/>
      <c r="AH4" s="1007"/>
      <c r="AI4" s="1007"/>
      <c r="AJ4" s="1007"/>
      <c r="AK4" s="1007"/>
      <c r="AL4" s="1007"/>
      <c r="AM4" s="1007">
        <v>15000000</v>
      </c>
      <c r="AN4" s="1007"/>
      <c r="AO4" s="1007"/>
      <c r="AP4" s="1007"/>
      <c r="AQ4" s="1007"/>
      <c r="AR4" s="1007"/>
      <c r="AS4" s="1007"/>
      <c r="AT4" s="983"/>
      <c r="AU4" s="1010">
        <f t="shared" ref="AU4:AU67" si="3">+AV4/Y4</f>
        <v>0.4</v>
      </c>
      <c r="AV4" s="1007">
        <f t="shared" ref="AV4:AV33" si="4">SUM(AW4:BP4)</f>
        <v>6000000</v>
      </c>
      <c r="AW4" s="1012"/>
      <c r="AX4" s="218"/>
      <c r="AY4" s="218"/>
      <c r="AZ4" s="218"/>
      <c r="BA4" s="218"/>
      <c r="BB4" s="149"/>
      <c r="BC4" s="149"/>
      <c r="BD4" s="149"/>
      <c r="BE4" s="149"/>
      <c r="BF4" s="149"/>
      <c r="BG4" s="149"/>
      <c r="BH4" s="149"/>
      <c r="BI4" s="149"/>
      <c r="BJ4" s="149">
        <f>+'[7]AGOSTO 2015'!$W$1944</f>
        <v>6000000</v>
      </c>
      <c r="BK4" s="149"/>
      <c r="BL4" s="149"/>
      <c r="BM4" s="149"/>
      <c r="BN4" s="149"/>
      <c r="BO4" s="149"/>
      <c r="BP4" s="149"/>
      <c r="BQ4" s="1010">
        <f t="shared" ref="BQ4:BQ20" si="5">1-AU4</f>
        <v>0.6</v>
      </c>
      <c r="BR4" s="1007">
        <f t="shared" ref="BR4:BR33" si="6">SUM(BS4:CL4)</f>
        <v>9000000</v>
      </c>
      <c r="BS4" s="1007">
        <f t="shared" ref="BS4:BS33" si="7">+Z4-AW4</f>
        <v>0</v>
      </c>
      <c r="BT4" s="1007">
        <f t="shared" ref="BT4:BT18" si="8">+AA4</f>
        <v>0</v>
      </c>
      <c r="BU4" s="1007"/>
      <c r="BV4" s="1007">
        <f t="shared" ref="BV4:BV33" si="9">AC4-AZ4</f>
        <v>0</v>
      </c>
      <c r="BW4" s="1007"/>
      <c r="BX4" s="1007">
        <f t="shared" ref="BX4:BY33" si="10">+AE4-BB4</f>
        <v>0</v>
      </c>
      <c r="BY4" s="1007">
        <f t="shared" si="10"/>
        <v>0</v>
      </c>
      <c r="BZ4" s="1007"/>
      <c r="CA4" s="1007">
        <f t="shared" ref="CA4:CJ19" si="11">+AH4-BE4</f>
        <v>0</v>
      </c>
      <c r="CB4" s="1007">
        <f t="shared" si="11"/>
        <v>0</v>
      </c>
      <c r="CC4" s="1007">
        <f t="shared" si="11"/>
        <v>0</v>
      </c>
      <c r="CD4" s="1007">
        <f t="shared" si="11"/>
        <v>0</v>
      </c>
      <c r="CE4" s="1007">
        <f t="shared" si="11"/>
        <v>0</v>
      </c>
      <c r="CF4" s="1007">
        <f t="shared" si="11"/>
        <v>9000000</v>
      </c>
      <c r="CG4" s="1007">
        <f t="shared" si="11"/>
        <v>0</v>
      </c>
      <c r="CH4" s="1007">
        <f t="shared" si="11"/>
        <v>0</v>
      </c>
      <c r="CI4" s="1007">
        <f t="shared" si="11"/>
        <v>0</v>
      </c>
      <c r="CJ4" s="1007">
        <f t="shared" si="11"/>
        <v>0</v>
      </c>
      <c r="CK4" s="1007"/>
      <c r="CL4" s="1007">
        <f t="shared" ref="CL4:CL33" si="12">+AS4-BP4</f>
        <v>0</v>
      </c>
      <c r="CM4" s="1010">
        <f t="shared" ref="CM4:CM67" si="13">+CN4/Y4</f>
        <v>0.4</v>
      </c>
      <c r="CN4" s="1007">
        <f t="shared" ref="CN4:CN33" si="14">SUM(CO4:DH4)</f>
        <v>6000000</v>
      </c>
      <c r="CO4" s="1007"/>
      <c r="CP4" s="1007"/>
      <c r="CQ4" s="1007"/>
      <c r="CR4" s="1007"/>
      <c r="CS4" s="1007"/>
      <c r="CT4" s="1007"/>
      <c r="CU4" s="1007"/>
      <c r="CV4" s="1007"/>
      <c r="CW4" s="1007"/>
      <c r="CX4" s="1007"/>
      <c r="CY4" s="1007"/>
      <c r="CZ4" s="1007"/>
      <c r="DA4" s="1007"/>
      <c r="DB4" s="1007">
        <f>+'[7]AGOSTO 2015'!$H$1942</f>
        <v>6000000</v>
      </c>
      <c r="DC4" s="1007"/>
      <c r="DD4" s="1007"/>
      <c r="DE4" s="1007"/>
      <c r="DF4" s="1007"/>
      <c r="DG4" s="1007"/>
      <c r="DH4" s="1007"/>
      <c r="DI4" s="1010">
        <f t="shared" ref="DI4:DI66" si="15">1-CM4</f>
        <v>0.6</v>
      </c>
      <c r="DJ4" s="1007">
        <f t="shared" ref="DJ4:DJ33" si="16">SUM(DK4:ED4)</f>
        <v>9000000</v>
      </c>
      <c r="DK4" s="1007">
        <f t="shared" ref="DK4:DL33" si="17">Z4-CO4</f>
        <v>0</v>
      </c>
      <c r="DL4" s="1007">
        <f t="shared" si="17"/>
        <v>0</v>
      </c>
      <c r="DM4" s="1007"/>
      <c r="DN4" s="1007">
        <f t="shared" ref="DN4:DQ32" si="18">AC4-CR4</f>
        <v>0</v>
      </c>
      <c r="DO4" s="1007">
        <f t="shared" si="18"/>
        <v>0</v>
      </c>
      <c r="DP4" s="1007">
        <f t="shared" si="18"/>
        <v>0</v>
      </c>
      <c r="DQ4" s="1007">
        <f t="shared" si="18"/>
        <v>0</v>
      </c>
      <c r="DR4" s="1007"/>
      <c r="DS4" s="1007">
        <f t="shared" ref="DS4:DT33" si="19">+AH4-CW4</f>
        <v>0</v>
      </c>
      <c r="DT4" s="1007">
        <f t="shared" si="19"/>
        <v>0</v>
      </c>
      <c r="DU4" s="1007"/>
      <c r="DV4" s="1007">
        <f t="shared" ref="DV4:DX33" si="20">AK4-CZ4</f>
        <v>0</v>
      </c>
      <c r="DW4" s="1007">
        <f t="shared" si="20"/>
        <v>0</v>
      </c>
      <c r="DX4" s="1007">
        <f t="shared" si="20"/>
        <v>9000000</v>
      </c>
      <c r="DY4" s="1007">
        <f t="shared" ref="DY4:EB33" si="21">+AN4-DC4</f>
        <v>0</v>
      </c>
      <c r="DZ4" s="1007">
        <f t="shared" si="21"/>
        <v>0</v>
      </c>
      <c r="EA4" s="1007">
        <f t="shared" si="21"/>
        <v>0</v>
      </c>
      <c r="EB4" s="1007">
        <f t="shared" si="21"/>
        <v>0</v>
      </c>
      <c r="EC4" s="1007"/>
      <c r="ED4" s="1007">
        <f t="shared" ref="ED4:ED33" si="22">+AS4-DH4</f>
        <v>0</v>
      </c>
    </row>
    <row r="5" spans="1:134" ht="73.5" customHeight="1" x14ac:dyDescent="0.25">
      <c r="A5" s="1565"/>
      <c r="B5" s="1020"/>
      <c r="C5" s="1114" t="s">
        <v>4557</v>
      </c>
      <c r="D5" s="1018" t="s">
        <v>4656</v>
      </c>
      <c r="E5" s="1019">
        <v>510</v>
      </c>
      <c r="F5" s="1117" t="s">
        <v>4660</v>
      </c>
      <c r="G5" s="1429"/>
      <c r="H5" s="1060">
        <f t="shared" si="0"/>
        <v>0</v>
      </c>
      <c r="I5" s="1060">
        <f t="shared" si="1"/>
        <v>10000000</v>
      </c>
      <c r="J5" s="1429"/>
      <c r="K5" s="1562"/>
      <c r="L5" s="1562"/>
      <c r="M5" s="1113">
        <v>0</v>
      </c>
      <c r="N5" s="1113">
        <v>0</v>
      </c>
      <c r="O5" s="1113">
        <v>0</v>
      </c>
      <c r="P5" s="1113">
        <v>0</v>
      </c>
      <c r="Q5" s="1113">
        <v>25</v>
      </c>
      <c r="R5" s="1113">
        <v>0</v>
      </c>
      <c r="S5" s="1117"/>
      <c r="T5" s="1117"/>
      <c r="U5" s="1117"/>
      <c r="V5" s="1117"/>
      <c r="W5" s="1117"/>
      <c r="X5" s="1117"/>
      <c r="Y5" s="1007">
        <f t="shared" si="2"/>
        <v>10000000</v>
      </c>
      <c r="Z5" s="1007"/>
      <c r="AA5" s="1007"/>
      <c r="AB5" s="1007"/>
      <c r="AC5" s="1007"/>
      <c r="AD5" s="1007"/>
      <c r="AE5" s="1007"/>
      <c r="AF5" s="1007"/>
      <c r="AG5" s="1007"/>
      <c r="AH5" s="1007"/>
      <c r="AI5" s="1007"/>
      <c r="AJ5" s="1007"/>
      <c r="AK5" s="1007"/>
      <c r="AL5" s="1007"/>
      <c r="AM5" s="1007">
        <v>10000000</v>
      </c>
      <c r="AN5" s="1007"/>
      <c r="AO5" s="1007"/>
      <c r="AP5" s="1007"/>
      <c r="AQ5" s="1007"/>
      <c r="AR5" s="1007"/>
      <c r="AS5" s="1007"/>
      <c r="AT5" s="986"/>
      <c r="AU5" s="1010">
        <f t="shared" si="3"/>
        <v>0</v>
      </c>
      <c r="AV5" s="1007">
        <f t="shared" si="4"/>
        <v>0</v>
      </c>
      <c r="AW5" s="1007"/>
      <c r="AX5" s="1007"/>
      <c r="AY5" s="1007"/>
      <c r="AZ5" s="1007"/>
      <c r="BA5" s="1007"/>
      <c r="BB5" s="1007"/>
      <c r="BC5" s="1007"/>
      <c r="BD5" s="1007"/>
      <c r="BE5" s="1007"/>
      <c r="BF5" s="1007"/>
      <c r="BG5" s="1007"/>
      <c r="BH5" s="1007"/>
      <c r="BI5" s="1007"/>
      <c r="BJ5" s="1007"/>
      <c r="BK5" s="1007"/>
      <c r="BL5" s="1007"/>
      <c r="BM5" s="1007"/>
      <c r="BN5" s="1007"/>
      <c r="BO5" s="1007"/>
      <c r="BP5" s="1007"/>
      <c r="BQ5" s="1010">
        <f t="shared" si="5"/>
        <v>1</v>
      </c>
      <c r="BR5" s="1007">
        <f t="shared" si="6"/>
        <v>10000000</v>
      </c>
      <c r="BS5" s="1007">
        <f t="shared" si="7"/>
        <v>0</v>
      </c>
      <c r="BT5" s="1007">
        <f t="shared" si="8"/>
        <v>0</v>
      </c>
      <c r="BU5" s="1007"/>
      <c r="BV5" s="1007">
        <f t="shared" si="9"/>
        <v>0</v>
      </c>
      <c r="BW5" s="1007"/>
      <c r="BX5" s="1007">
        <f t="shared" si="10"/>
        <v>0</v>
      </c>
      <c r="BY5" s="1007">
        <f t="shared" si="10"/>
        <v>0</v>
      </c>
      <c r="BZ5" s="1007"/>
      <c r="CA5" s="1007"/>
      <c r="CB5" s="1007"/>
      <c r="CC5" s="1007"/>
      <c r="CD5" s="1007">
        <f t="shared" si="11"/>
        <v>0</v>
      </c>
      <c r="CE5" s="1007">
        <f t="shared" si="11"/>
        <v>0</v>
      </c>
      <c r="CF5" s="1007">
        <f t="shared" si="11"/>
        <v>10000000</v>
      </c>
      <c r="CG5" s="1007">
        <f t="shared" si="11"/>
        <v>0</v>
      </c>
      <c r="CH5" s="1007">
        <f t="shared" si="11"/>
        <v>0</v>
      </c>
      <c r="CI5" s="1007">
        <f t="shared" si="11"/>
        <v>0</v>
      </c>
      <c r="CJ5" s="1007"/>
      <c r="CK5" s="1007"/>
      <c r="CL5" s="1007">
        <f t="shared" si="12"/>
        <v>0</v>
      </c>
      <c r="CM5" s="1010">
        <f t="shared" si="13"/>
        <v>0</v>
      </c>
      <c r="CN5" s="1007">
        <f t="shared" si="14"/>
        <v>0</v>
      </c>
      <c r="CO5" s="1007"/>
      <c r="CP5" s="1007"/>
      <c r="CQ5" s="1007"/>
      <c r="CR5" s="1007"/>
      <c r="CS5" s="1007"/>
      <c r="CT5" s="1007"/>
      <c r="CU5" s="1007"/>
      <c r="CV5" s="1007"/>
      <c r="CW5" s="1007"/>
      <c r="CX5" s="1007"/>
      <c r="CY5" s="1007"/>
      <c r="CZ5" s="1007"/>
      <c r="DA5" s="1007"/>
      <c r="DB5" s="1007"/>
      <c r="DC5" s="1007"/>
      <c r="DD5" s="1007"/>
      <c r="DE5" s="1007"/>
      <c r="DF5" s="1007"/>
      <c r="DG5" s="1007"/>
      <c r="DH5" s="1007"/>
      <c r="DI5" s="1010">
        <f t="shared" si="15"/>
        <v>1</v>
      </c>
      <c r="DJ5" s="1007">
        <f t="shared" si="16"/>
        <v>10000000</v>
      </c>
      <c r="DK5" s="1007">
        <f t="shared" si="17"/>
        <v>0</v>
      </c>
      <c r="DL5" s="1007">
        <f t="shared" si="17"/>
        <v>0</v>
      </c>
      <c r="DM5" s="1007"/>
      <c r="DN5" s="1007">
        <f t="shared" si="18"/>
        <v>0</v>
      </c>
      <c r="DO5" s="1007">
        <f t="shared" si="18"/>
        <v>0</v>
      </c>
      <c r="DP5" s="1007">
        <f t="shared" si="18"/>
        <v>0</v>
      </c>
      <c r="DQ5" s="1007">
        <f t="shared" si="18"/>
        <v>0</v>
      </c>
      <c r="DR5" s="1007"/>
      <c r="DS5" s="1007">
        <f t="shared" si="19"/>
        <v>0</v>
      </c>
      <c r="DT5" s="1007">
        <f t="shared" si="19"/>
        <v>0</v>
      </c>
      <c r="DU5" s="1007"/>
      <c r="DV5" s="1007">
        <f t="shared" si="20"/>
        <v>0</v>
      </c>
      <c r="DW5" s="1007">
        <f t="shared" si="20"/>
        <v>0</v>
      </c>
      <c r="DX5" s="1007">
        <f t="shared" si="20"/>
        <v>10000000</v>
      </c>
      <c r="DY5" s="1007">
        <f t="shared" si="21"/>
        <v>0</v>
      </c>
      <c r="DZ5" s="1007">
        <f t="shared" si="21"/>
        <v>0</v>
      </c>
      <c r="EA5" s="1007">
        <f t="shared" si="21"/>
        <v>0</v>
      </c>
      <c r="EB5" s="1007">
        <f t="shared" si="21"/>
        <v>0</v>
      </c>
      <c r="EC5" s="1007"/>
      <c r="ED5" s="1007">
        <f t="shared" si="22"/>
        <v>0</v>
      </c>
    </row>
    <row r="6" spans="1:134" ht="72.75" customHeight="1" x14ac:dyDescent="0.25">
      <c r="A6" s="1565"/>
      <c r="B6" s="1020"/>
      <c r="C6" s="1114" t="s">
        <v>4558</v>
      </c>
      <c r="D6" s="1018" t="s">
        <v>4657</v>
      </c>
      <c r="E6" s="1129">
        <v>510</v>
      </c>
      <c r="F6" s="1117" t="s">
        <v>4660</v>
      </c>
      <c r="G6" s="1429"/>
      <c r="H6" s="1060">
        <f t="shared" si="0"/>
        <v>0</v>
      </c>
      <c r="I6" s="1060">
        <f t="shared" si="1"/>
        <v>5000000</v>
      </c>
      <c r="J6" s="1429"/>
      <c r="K6" s="1562"/>
      <c r="L6" s="1562"/>
      <c r="M6" s="1113">
        <v>0</v>
      </c>
      <c r="N6" s="1113">
        <v>0</v>
      </c>
      <c r="O6" s="1113">
        <v>0</v>
      </c>
      <c r="P6" s="1113">
        <v>0</v>
      </c>
      <c r="Q6" s="1113">
        <v>25</v>
      </c>
      <c r="R6" s="1113">
        <v>0</v>
      </c>
      <c r="S6" s="1117"/>
      <c r="T6" s="1117"/>
      <c r="U6" s="1117"/>
      <c r="V6" s="1117"/>
      <c r="W6" s="1117"/>
      <c r="X6" s="1117"/>
      <c r="Y6" s="1007">
        <f t="shared" si="2"/>
        <v>5000000</v>
      </c>
      <c r="Z6" s="1007"/>
      <c r="AA6" s="1007"/>
      <c r="AB6" s="1007"/>
      <c r="AC6" s="1007"/>
      <c r="AD6" s="1007"/>
      <c r="AE6" s="1007"/>
      <c r="AF6" s="1007"/>
      <c r="AG6" s="1007"/>
      <c r="AH6" s="1007"/>
      <c r="AI6" s="1007"/>
      <c r="AJ6" s="1007"/>
      <c r="AK6" s="1007"/>
      <c r="AL6" s="1007"/>
      <c r="AM6" s="1007">
        <v>5000000</v>
      </c>
      <c r="AN6" s="1007"/>
      <c r="AO6" s="1007"/>
      <c r="AP6" s="1007"/>
      <c r="AQ6" s="1007"/>
      <c r="AR6" s="1007"/>
      <c r="AS6" s="1007"/>
      <c r="AT6" s="986"/>
      <c r="AU6" s="1010">
        <f t="shared" si="3"/>
        <v>0</v>
      </c>
      <c r="AV6" s="1007">
        <f t="shared" si="4"/>
        <v>0</v>
      </c>
      <c r="AW6" s="1007"/>
      <c r="AX6" s="1007"/>
      <c r="AY6" s="1007"/>
      <c r="AZ6" s="1007"/>
      <c r="BA6" s="1007"/>
      <c r="BB6" s="1007"/>
      <c r="BC6" s="1007"/>
      <c r="BD6" s="1007"/>
      <c r="BE6" s="1007"/>
      <c r="BF6" s="1007"/>
      <c r="BG6" s="1007"/>
      <c r="BH6" s="1007"/>
      <c r="BI6" s="1007"/>
      <c r="BJ6" s="1007"/>
      <c r="BK6" s="1007"/>
      <c r="BL6" s="1007"/>
      <c r="BM6" s="1007"/>
      <c r="BN6" s="1007"/>
      <c r="BO6" s="1007"/>
      <c r="BP6" s="1007"/>
      <c r="BQ6" s="1010">
        <f t="shared" si="5"/>
        <v>1</v>
      </c>
      <c r="BR6" s="1007">
        <f t="shared" si="6"/>
        <v>5000000</v>
      </c>
      <c r="BS6" s="1007">
        <f t="shared" si="7"/>
        <v>0</v>
      </c>
      <c r="BT6" s="1007">
        <f t="shared" si="8"/>
        <v>0</v>
      </c>
      <c r="BU6" s="1007"/>
      <c r="BV6" s="1007">
        <f t="shared" si="9"/>
        <v>0</v>
      </c>
      <c r="BW6" s="1007"/>
      <c r="BX6" s="1007">
        <f t="shared" si="10"/>
        <v>0</v>
      </c>
      <c r="BY6" s="1007">
        <f t="shared" si="10"/>
        <v>0</v>
      </c>
      <c r="BZ6" s="1007"/>
      <c r="CA6" s="1007"/>
      <c r="CB6" s="1007"/>
      <c r="CC6" s="1007"/>
      <c r="CD6" s="1007">
        <f t="shared" si="11"/>
        <v>0</v>
      </c>
      <c r="CE6" s="1007">
        <f t="shared" si="11"/>
        <v>0</v>
      </c>
      <c r="CF6" s="1007">
        <f t="shared" si="11"/>
        <v>5000000</v>
      </c>
      <c r="CG6" s="1007">
        <f t="shared" si="11"/>
        <v>0</v>
      </c>
      <c r="CH6" s="1007">
        <f t="shared" si="11"/>
        <v>0</v>
      </c>
      <c r="CI6" s="1007">
        <f t="shared" si="11"/>
        <v>0</v>
      </c>
      <c r="CJ6" s="1007"/>
      <c r="CK6" s="1007"/>
      <c r="CL6" s="1007">
        <f t="shared" si="12"/>
        <v>0</v>
      </c>
      <c r="CM6" s="1010">
        <f t="shared" si="13"/>
        <v>0</v>
      </c>
      <c r="CN6" s="1007">
        <f t="shared" si="14"/>
        <v>0</v>
      </c>
      <c r="CO6" s="1007"/>
      <c r="CP6" s="1007"/>
      <c r="CQ6" s="1007"/>
      <c r="CR6" s="1007"/>
      <c r="CS6" s="1007"/>
      <c r="CT6" s="1007"/>
      <c r="CU6" s="1007"/>
      <c r="CV6" s="1007"/>
      <c r="CW6" s="1007"/>
      <c r="CX6" s="1007"/>
      <c r="CY6" s="1007"/>
      <c r="CZ6" s="1007"/>
      <c r="DA6" s="1007"/>
      <c r="DB6" s="1007"/>
      <c r="DC6" s="1007"/>
      <c r="DD6" s="1007"/>
      <c r="DE6" s="1007"/>
      <c r="DF6" s="1007"/>
      <c r="DG6" s="1007"/>
      <c r="DH6" s="1007"/>
      <c r="DI6" s="1010">
        <f t="shared" si="15"/>
        <v>1</v>
      </c>
      <c r="DJ6" s="1007">
        <f t="shared" si="16"/>
        <v>5000000</v>
      </c>
      <c r="DK6" s="1007">
        <f t="shared" si="17"/>
        <v>0</v>
      </c>
      <c r="DL6" s="1007">
        <f t="shared" si="17"/>
        <v>0</v>
      </c>
      <c r="DM6" s="1007"/>
      <c r="DN6" s="1007">
        <f t="shared" si="18"/>
        <v>0</v>
      </c>
      <c r="DO6" s="1007">
        <f t="shared" si="18"/>
        <v>0</v>
      </c>
      <c r="DP6" s="1007">
        <f t="shared" si="18"/>
        <v>0</v>
      </c>
      <c r="DQ6" s="1007">
        <f t="shared" si="18"/>
        <v>0</v>
      </c>
      <c r="DR6" s="1007"/>
      <c r="DS6" s="1007">
        <f t="shared" si="19"/>
        <v>0</v>
      </c>
      <c r="DT6" s="1007">
        <f t="shared" si="19"/>
        <v>0</v>
      </c>
      <c r="DU6" s="1007"/>
      <c r="DV6" s="1007">
        <f t="shared" si="20"/>
        <v>0</v>
      </c>
      <c r="DW6" s="1007">
        <f t="shared" si="20"/>
        <v>0</v>
      </c>
      <c r="DX6" s="1007">
        <f t="shared" si="20"/>
        <v>5000000</v>
      </c>
      <c r="DY6" s="1007">
        <f t="shared" si="21"/>
        <v>0</v>
      </c>
      <c r="DZ6" s="1007">
        <f t="shared" si="21"/>
        <v>0</v>
      </c>
      <c r="EA6" s="1007">
        <f t="shared" si="21"/>
        <v>0</v>
      </c>
      <c r="EB6" s="1007">
        <f t="shared" si="21"/>
        <v>0</v>
      </c>
      <c r="EC6" s="1007"/>
      <c r="ED6" s="1007">
        <f t="shared" si="22"/>
        <v>0</v>
      </c>
    </row>
    <row r="7" spans="1:134" ht="53.25" customHeight="1" x14ac:dyDescent="0.25">
      <c r="A7" s="1565"/>
      <c r="B7" s="1021"/>
      <c r="C7" s="1114" t="s">
        <v>4559</v>
      </c>
      <c r="D7" s="1018" t="s">
        <v>4658</v>
      </c>
      <c r="E7" s="1022">
        <v>510</v>
      </c>
      <c r="F7" s="1117" t="s">
        <v>4660</v>
      </c>
      <c r="G7" s="1429"/>
      <c r="H7" s="1060">
        <f t="shared" si="0"/>
        <v>10507037</v>
      </c>
      <c r="I7" s="1060">
        <f t="shared" si="1"/>
        <v>24492963</v>
      </c>
      <c r="J7" s="1429"/>
      <c r="K7" s="1562"/>
      <c r="L7" s="1562"/>
      <c r="M7" s="1113">
        <v>0</v>
      </c>
      <c r="N7" s="1113">
        <v>0</v>
      </c>
      <c r="O7" s="1113">
        <v>0</v>
      </c>
      <c r="P7" s="1113">
        <v>0</v>
      </c>
      <c r="Q7" s="1113">
        <v>25</v>
      </c>
      <c r="R7" s="1113">
        <v>0</v>
      </c>
      <c r="S7" s="1117"/>
      <c r="T7" s="1117"/>
      <c r="U7" s="1117"/>
      <c r="V7" s="1117"/>
      <c r="W7" s="1117"/>
      <c r="X7" s="1117"/>
      <c r="Y7" s="1007">
        <f t="shared" si="2"/>
        <v>35000000</v>
      </c>
      <c r="Z7" s="1007"/>
      <c r="AA7" s="1007"/>
      <c r="AB7" s="1007"/>
      <c r="AC7" s="1007"/>
      <c r="AD7" s="1007"/>
      <c r="AE7" s="1007"/>
      <c r="AF7" s="1007"/>
      <c r="AG7" s="1007"/>
      <c r="AH7" s="1007"/>
      <c r="AI7" s="1007"/>
      <c r="AJ7" s="1007"/>
      <c r="AK7" s="1007"/>
      <c r="AL7" s="1007"/>
      <c r="AM7" s="1066">
        <f>10000000+25000000</f>
        <v>35000000</v>
      </c>
      <c r="AN7" s="1007"/>
      <c r="AO7" s="1007"/>
      <c r="AP7" s="1007"/>
      <c r="AQ7" s="1007"/>
      <c r="AR7" s="1007"/>
      <c r="AS7" s="1007"/>
      <c r="AT7" s="986"/>
      <c r="AU7" s="1010">
        <f t="shared" si="3"/>
        <v>0.30020105714285716</v>
      </c>
      <c r="AV7" s="1007">
        <f t="shared" si="4"/>
        <v>10507037</v>
      </c>
      <c r="AW7" s="1007"/>
      <c r="AX7" s="1007"/>
      <c r="AY7" s="1007"/>
      <c r="AZ7" s="1007"/>
      <c r="BA7" s="1007"/>
      <c r="BB7" s="1007"/>
      <c r="BC7" s="1007"/>
      <c r="BD7" s="1007"/>
      <c r="BE7" s="1007"/>
      <c r="BF7" s="1007"/>
      <c r="BG7" s="1007"/>
      <c r="BH7" s="1007"/>
      <c r="BI7" s="1007"/>
      <c r="BJ7" s="1007">
        <f>+'[8]SEPTIEMBRE 2015'!$W$2440</f>
        <v>10507037</v>
      </c>
      <c r="BK7" s="1007"/>
      <c r="BL7" s="1007"/>
      <c r="BM7" s="1007"/>
      <c r="BN7" s="1007"/>
      <c r="BO7" s="1007"/>
      <c r="BP7" s="1007"/>
      <c r="BQ7" s="1010">
        <f t="shared" si="5"/>
        <v>0.69979894285714284</v>
      </c>
      <c r="BR7" s="1007">
        <f t="shared" si="6"/>
        <v>24492963</v>
      </c>
      <c r="BS7" s="1007">
        <f t="shared" si="7"/>
        <v>0</v>
      </c>
      <c r="BT7" s="1007">
        <f t="shared" si="8"/>
        <v>0</v>
      </c>
      <c r="BU7" s="1007"/>
      <c r="BV7" s="1007">
        <f t="shared" si="9"/>
        <v>0</v>
      </c>
      <c r="BW7" s="1007"/>
      <c r="BX7" s="1007">
        <f t="shared" si="10"/>
        <v>0</v>
      </c>
      <c r="BY7" s="1007">
        <f t="shared" si="10"/>
        <v>0</v>
      </c>
      <c r="BZ7" s="1007"/>
      <c r="CA7" s="1007"/>
      <c r="CB7" s="1007"/>
      <c r="CC7" s="1007"/>
      <c r="CD7" s="1007">
        <f t="shared" si="11"/>
        <v>0</v>
      </c>
      <c r="CE7" s="1007">
        <f t="shared" si="11"/>
        <v>0</v>
      </c>
      <c r="CF7" s="1007">
        <f t="shared" si="11"/>
        <v>24492963</v>
      </c>
      <c r="CG7" s="1007">
        <f t="shared" si="11"/>
        <v>0</v>
      </c>
      <c r="CH7" s="1007">
        <f t="shared" si="11"/>
        <v>0</v>
      </c>
      <c r="CI7" s="1007">
        <f t="shared" si="11"/>
        <v>0</v>
      </c>
      <c r="CJ7" s="1007"/>
      <c r="CK7" s="1007"/>
      <c r="CL7" s="1007">
        <f t="shared" si="12"/>
        <v>0</v>
      </c>
      <c r="CM7" s="1010">
        <f t="shared" si="13"/>
        <v>0.30020105714285716</v>
      </c>
      <c r="CN7" s="1007">
        <f t="shared" si="14"/>
        <v>10507037</v>
      </c>
      <c r="CO7" s="1007"/>
      <c r="CP7" s="1007"/>
      <c r="CQ7" s="1007"/>
      <c r="CR7" s="1007"/>
      <c r="CS7" s="1007"/>
      <c r="CT7" s="1007"/>
      <c r="CU7" s="1007"/>
      <c r="CV7" s="1007"/>
      <c r="CW7" s="1007"/>
      <c r="CX7" s="1007"/>
      <c r="CY7" s="1007"/>
      <c r="CZ7" s="1007"/>
      <c r="DA7" s="1007"/>
      <c r="DB7" s="1007">
        <f>+'[8]SEPTIEMBRE 2015'!$H$2438</f>
        <v>10507037</v>
      </c>
      <c r="DC7" s="1007"/>
      <c r="DD7" s="1007"/>
      <c r="DE7" s="1007"/>
      <c r="DF7" s="1007"/>
      <c r="DG7" s="1007"/>
      <c r="DH7" s="1007"/>
      <c r="DI7" s="1010">
        <f t="shared" si="15"/>
        <v>0.69979894285714284</v>
      </c>
      <c r="DJ7" s="1007">
        <f t="shared" si="16"/>
        <v>24492963</v>
      </c>
      <c r="DK7" s="1007">
        <f t="shared" si="17"/>
        <v>0</v>
      </c>
      <c r="DL7" s="1007">
        <f t="shared" si="17"/>
        <v>0</v>
      </c>
      <c r="DM7" s="1007"/>
      <c r="DN7" s="1007">
        <f t="shared" si="18"/>
        <v>0</v>
      </c>
      <c r="DO7" s="1007">
        <f t="shared" si="18"/>
        <v>0</v>
      </c>
      <c r="DP7" s="1007">
        <f t="shared" si="18"/>
        <v>0</v>
      </c>
      <c r="DQ7" s="1007">
        <f t="shared" si="18"/>
        <v>0</v>
      </c>
      <c r="DR7" s="1007"/>
      <c r="DS7" s="1007">
        <f t="shared" si="19"/>
        <v>0</v>
      </c>
      <c r="DT7" s="1007">
        <f t="shared" si="19"/>
        <v>0</v>
      </c>
      <c r="DU7" s="1007"/>
      <c r="DV7" s="1007">
        <f t="shared" si="20"/>
        <v>0</v>
      </c>
      <c r="DW7" s="1007">
        <f t="shared" si="20"/>
        <v>0</v>
      </c>
      <c r="DX7" s="1007">
        <f t="shared" si="20"/>
        <v>24492963</v>
      </c>
      <c r="DY7" s="1007">
        <f t="shared" si="21"/>
        <v>0</v>
      </c>
      <c r="DZ7" s="1007">
        <f t="shared" si="21"/>
        <v>0</v>
      </c>
      <c r="EA7" s="1007">
        <f t="shared" si="21"/>
        <v>0</v>
      </c>
      <c r="EB7" s="1007">
        <f t="shared" si="21"/>
        <v>0</v>
      </c>
      <c r="EC7" s="1007"/>
      <c r="ED7" s="1007">
        <f t="shared" si="22"/>
        <v>0</v>
      </c>
    </row>
    <row r="8" spans="1:134" ht="114" customHeight="1" x14ac:dyDescent="0.25">
      <c r="A8" s="1565"/>
      <c r="B8" s="1020"/>
      <c r="C8" s="1114" t="s">
        <v>4560</v>
      </c>
      <c r="D8" s="1018" t="s">
        <v>4659</v>
      </c>
      <c r="E8" s="1130">
        <v>510</v>
      </c>
      <c r="F8" s="1117" t="s">
        <v>4660</v>
      </c>
      <c r="G8" s="1429"/>
      <c r="H8" s="1060">
        <f t="shared" si="0"/>
        <v>0</v>
      </c>
      <c r="I8" s="1060">
        <f t="shared" si="1"/>
        <v>0</v>
      </c>
      <c r="J8" s="1429"/>
      <c r="K8" s="1562"/>
      <c r="L8" s="1562"/>
      <c r="M8" s="1113">
        <v>0</v>
      </c>
      <c r="N8" s="1113">
        <v>0</v>
      </c>
      <c r="O8" s="1113">
        <v>0</v>
      </c>
      <c r="P8" s="1113">
        <v>0</v>
      </c>
      <c r="Q8" s="1113">
        <v>25</v>
      </c>
      <c r="R8" s="1113">
        <v>0</v>
      </c>
      <c r="S8" s="1117"/>
      <c r="T8" s="1117"/>
      <c r="U8" s="1117"/>
      <c r="V8" s="1117"/>
      <c r="W8" s="1117"/>
      <c r="X8" s="1117"/>
      <c r="Y8" s="1007">
        <f t="shared" si="2"/>
        <v>0</v>
      </c>
      <c r="Z8" s="1007"/>
      <c r="AA8" s="1007"/>
      <c r="AB8" s="1007"/>
      <c r="AC8" s="1007"/>
      <c r="AD8" s="1007"/>
      <c r="AE8" s="1007"/>
      <c r="AF8" s="1007"/>
      <c r="AG8" s="1007"/>
      <c r="AH8" s="1007"/>
      <c r="AI8" s="1007"/>
      <c r="AJ8" s="1007"/>
      <c r="AK8" s="1007"/>
      <c r="AL8" s="1007"/>
      <c r="AM8" s="1066">
        <f>25000000-25000000</f>
        <v>0</v>
      </c>
      <c r="AN8" s="1007"/>
      <c r="AO8" s="1007"/>
      <c r="AP8" s="1007"/>
      <c r="AQ8" s="1007"/>
      <c r="AR8" s="1007"/>
      <c r="AS8" s="1007"/>
      <c r="AT8" s="986"/>
      <c r="AU8" s="1010" t="e">
        <f t="shared" si="3"/>
        <v>#DIV/0!</v>
      </c>
      <c r="AV8" s="1007">
        <f t="shared" si="4"/>
        <v>0</v>
      </c>
      <c r="AW8" s="1007"/>
      <c r="AX8" s="1007"/>
      <c r="AY8" s="1007"/>
      <c r="AZ8" s="1007"/>
      <c r="BA8" s="1007"/>
      <c r="BB8" s="1007"/>
      <c r="BC8" s="1007"/>
      <c r="BD8" s="1007"/>
      <c r="BE8" s="1007"/>
      <c r="BF8" s="1007"/>
      <c r="BG8" s="1007"/>
      <c r="BH8" s="1007"/>
      <c r="BI8" s="1007"/>
      <c r="BJ8" s="1007"/>
      <c r="BK8" s="1007"/>
      <c r="BL8" s="1007"/>
      <c r="BM8" s="1007"/>
      <c r="BN8" s="1007"/>
      <c r="BO8" s="1007"/>
      <c r="BP8" s="1007"/>
      <c r="BQ8" s="1010" t="e">
        <f t="shared" si="5"/>
        <v>#DIV/0!</v>
      </c>
      <c r="BR8" s="1007">
        <f t="shared" si="6"/>
        <v>0</v>
      </c>
      <c r="BS8" s="1007">
        <f t="shared" si="7"/>
        <v>0</v>
      </c>
      <c r="BT8" s="1007">
        <f t="shared" si="8"/>
        <v>0</v>
      </c>
      <c r="BU8" s="1007"/>
      <c r="BV8" s="1007">
        <f t="shared" si="9"/>
        <v>0</v>
      </c>
      <c r="BW8" s="1007"/>
      <c r="BX8" s="1007">
        <f t="shared" si="10"/>
        <v>0</v>
      </c>
      <c r="BY8" s="1007">
        <f t="shared" si="10"/>
        <v>0</v>
      </c>
      <c r="BZ8" s="1007"/>
      <c r="CA8" s="1007"/>
      <c r="CB8" s="1007"/>
      <c r="CC8" s="1007"/>
      <c r="CD8" s="1007">
        <f t="shared" si="11"/>
        <v>0</v>
      </c>
      <c r="CE8" s="1007">
        <f t="shared" si="11"/>
        <v>0</v>
      </c>
      <c r="CF8" s="1007">
        <f t="shared" si="11"/>
        <v>0</v>
      </c>
      <c r="CG8" s="1007">
        <f t="shared" si="11"/>
        <v>0</v>
      </c>
      <c r="CH8" s="1007">
        <f t="shared" si="11"/>
        <v>0</v>
      </c>
      <c r="CI8" s="1007">
        <f t="shared" si="11"/>
        <v>0</v>
      </c>
      <c r="CJ8" s="1007"/>
      <c r="CK8" s="1007"/>
      <c r="CL8" s="1007">
        <f t="shared" si="12"/>
        <v>0</v>
      </c>
      <c r="CM8" s="1010" t="e">
        <f t="shared" si="13"/>
        <v>#DIV/0!</v>
      </c>
      <c r="CN8" s="1007">
        <f t="shared" si="14"/>
        <v>0</v>
      </c>
      <c r="CO8" s="1007"/>
      <c r="CP8" s="1007"/>
      <c r="CQ8" s="1007"/>
      <c r="CR8" s="1007"/>
      <c r="CS8" s="1007"/>
      <c r="CT8" s="1007"/>
      <c r="CU8" s="1007"/>
      <c r="CV8" s="1007"/>
      <c r="CW8" s="1007"/>
      <c r="CX8" s="1007"/>
      <c r="CY8" s="1007"/>
      <c r="CZ8" s="1007"/>
      <c r="DA8" s="1007"/>
      <c r="DB8" s="1007"/>
      <c r="DC8" s="1007"/>
      <c r="DD8" s="1007"/>
      <c r="DE8" s="1007"/>
      <c r="DF8" s="1007"/>
      <c r="DG8" s="1007"/>
      <c r="DH8" s="1007"/>
      <c r="DI8" s="1010" t="e">
        <f t="shared" si="15"/>
        <v>#DIV/0!</v>
      </c>
      <c r="DJ8" s="1007">
        <f t="shared" si="16"/>
        <v>0</v>
      </c>
      <c r="DK8" s="1007">
        <f t="shared" si="17"/>
        <v>0</v>
      </c>
      <c r="DL8" s="1007">
        <f t="shared" si="17"/>
        <v>0</v>
      </c>
      <c r="DM8" s="1007"/>
      <c r="DN8" s="1007">
        <f t="shared" si="18"/>
        <v>0</v>
      </c>
      <c r="DO8" s="1007">
        <f t="shared" si="18"/>
        <v>0</v>
      </c>
      <c r="DP8" s="1007">
        <f t="shared" si="18"/>
        <v>0</v>
      </c>
      <c r="DQ8" s="1007">
        <f t="shared" si="18"/>
        <v>0</v>
      </c>
      <c r="DR8" s="1007"/>
      <c r="DS8" s="1007">
        <f t="shared" si="19"/>
        <v>0</v>
      </c>
      <c r="DT8" s="1007">
        <f t="shared" si="19"/>
        <v>0</v>
      </c>
      <c r="DU8" s="1007"/>
      <c r="DV8" s="1007">
        <f t="shared" si="20"/>
        <v>0</v>
      </c>
      <c r="DW8" s="1007">
        <f t="shared" si="20"/>
        <v>0</v>
      </c>
      <c r="DX8" s="1007">
        <f t="shared" si="20"/>
        <v>0</v>
      </c>
      <c r="DY8" s="1007">
        <f t="shared" si="21"/>
        <v>0</v>
      </c>
      <c r="DZ8" s="1007">
        <f t="shared" si="21"/>
        <v>0</v>
      </c>
      <c r="EA8" s="1007">
        <f t="shared" si="21"/>
        <v>0</v>
      </c>
      <c r="EB8" s="1007">
        <f t="shared" si="21"/>
        <v>0</v>
      </c>
      <c r="EC8" s="1007"/>
      <c r="ED8" s="1007">
        <f t="shared" si="22"/>
        <v>0</v>
      </c>
    </row>
    <row r="9" spans="1:134" ht="63" customHeight="1" x14ac:dyDescent="0.25">
      <c r="A9" s="1565"/>
      <c r="B9" s="1020"/>
      <c r="C9" s="1114" t="s">
        <v>4561</v>
      </c>
      <c r="D9" s="1018" t="s">
        <v>4662</v>
      </c>
      <c r="E9" s="1019">
        <v>510</v>
      </c>
      <c r="F9" s="1117" t="s">
        <v>4660</v>
      </c>
      <c r="G9" s="1430"/>
      <c r="H9" s="1060">
        <f t="shared" si="0"/>
        <v>34542493</v>
      </c>
      <c r="I9" s="1060">
        <f t="shared" si="1"/>
        <v>457507</v>
      </c>
      <c r="J9" s="1430"/>
      <c r="K9" s="1258"/>
      <c r="L9" s="1258"/>
      <c r="M9" s="1113">
        <v>0</v>
      </c>
      <c r="N9" s="1113">
        <v>0</v>
      </c>
      <c r="O9" s="1113">
        <v>0</v>
      </c>
      <c r="P9" s="1113">
        <v>42</v>
      </c>
      <c r="Q9" s="1113">
        <v>25</v>
      </c>
      <c r="R9" s="1113">
        <v>11</v>
      </c>
      <c r="S9" s="1117"/>
      <c r="T9" s="1117"/>
      <c r="U9" s="1117"/>
      <c r="V9" s="1117"/>
      <c r="W9" s="1117"/>
      <c r="X9" s="1117"/>
      <c r="Y9" s="1007">
        <f t="shared" si="2"/>
        <v>35000000</v>
      </c>
      <c r="Z9" s="1007"/>
      <c r="AA9" s="1007"/>
      <c r="AB9" s="1007"/>
      <c r="AC9" s="1007"/>
      <c r="AD9" s="1007"/>
      <c r="AE9" s="1007"/>
      <c r="AF9" s="1007"/>
      <c r="AG9" s="1007"/>
      <c r="AH9" s="1007"/>
      <c r="AI9" s="1007"/>
      <c r="AJ9" s="1007"/>
      <c r="AK9" s="1007"/>
      <c r="AL9" s="1007"/>
      <c r="AM9" s="1066">
        <f>35000000</f>
        <v>35000000</v>
      </c>
      <c r="AN9" s="1007"/>
      <c r="AO9" s="1007"/>
      <c r="AP9" s="1007"/>
      <c r="AQ9" s="1007"/>
      <c r="AR9" s="1007"/>
      <c r="AS9" s="1007"/>
      <c r="AT9" s="986"/>
      <c r="AU9" s="1010">
        <f t="shared" si="3"/>
        <v>0.98692837142857148</v>
      </c>
      <c r="AV9" s="1007">
        <f t="shared" si="4"/>
        <v>34542493</v>
      </c>
      <c r="AW9" s="1007"/>
      <c r="AX9" s="1007"/>
      <c r="AY9" s="1007"/>
      <c r="AZ9" s="1007"/>
      <c r="BA9" s="1007"/>
      <c r="BB9" s="1007"/>
      <c r="BC9" s="1007"/>
      <c r="BD9" s="1007"/>
      <c r="BE9" s="1007"/>
      <c r="BF9" s="1007"/>
      <c r="BG9" s="1007"/>
      <c r="BH9" s="1007"/>
      <c r="BI9" s="1007"/>
      <c r="BJ9" s="1007">
        <f>+'[8]SEPTIEMBRE 2015'!$W$2458</f>
        <v>34542493</v>
      </c>
      <c r="BK9" s="1007"/>
      <c r="BL9" s="1007"/>
      <c r="BM9" s="1007"/>
      <c r="BN9" s="1007"/>
      <c r="BO9" s="1007"/>
      <c r="BP9" s="1007"/>
      <c r="BQ9" s="1010">
        <f t="shared" si="5"/>
        <v>1.3071628571428517E-2</v>
      </c>
      <c r="BR9" s="1007">
        <f t="shared" si="6"/>
        <v>457507</v>
      </c>
      <c r="BS9" s="1007">
        <f t="shared" si="7"/>
        <v>0</v>
      </c>
      <c r="BT9" s="1007">
        <f t="shared" si="8"/>
        <v>0</v>
      </c>
      <c r="BU9" s="1007"/>
      <c r="BV9" s="1007">
        <f t="shared" si="9"/>
        <v>0</v>
      </c>
      <c r="BW9" s="1007"/>
      <c r="BX9" s="1007">
        <f t="shared" si="10"/>
        <v>0</v>
      </c>
      <c r="BY9" s="1007">
        <f t="shared" si="10"/>
        <v>0</v>
      </c>
      <c r="BZ9" s="1007"/>
      <c r="CA9" s="1007"/>
      <c r="CB9" s="1007"/>
      <c r="CC9" s="1007"/>
      <c r="CD9" s="1007">
        <f t="shared" si="11"/>
        <v>0</v>
      </c>
      <c r="CE9" s="1007">
        <f t="shared" si="11"/>
        <v>0</v>
      </c>
      <c r="CF9" s="1007">
        <f t="shared" si="11"/>
        <v>457507</v>
      </c>
      <c r="CG9" s="1007">
        <f t="shared" si="11"/>
        <v>0</v>
      </c>
      <c r="CH9" s="1007">
        <f t="shared" si="11"/>
        <v>0</v>
      </c>
      <c r="CI9" s="1007">
        <f t="shared" si="11"/>
        <v>0</v>
      </c>
      <c r="CJ9" s="1007"/>
      <c r="CK9" s="1007"/>
      <c r="CL9" s="1007">
        <f t="shared" si="12"/>
        <v>0</v>
      </c>
      <c r="CM9" s="1010">
        <f t="shared" si="13"/>
        <v>0.98692837142857148</v>
      </c>
      <c r="CN9" s="1007">
        <f t="shared" si="14"/>
        <v>34542493</v>
      </c>
      <c r="CO9" s="1007"/>
      <c r="CP9" s="1007"/>
      <c r="CQ9" s="1007"/>
      <c r="CR9" s="1007"/>
      <c r="CS9" s="1007"/>
      <c r="CT9" s="1007"/>
      <c r="CU9" s="1007"/>
      <c r="CV9" s="1007"/>
      <c r="CW9" s="1007"/>
      <c r="CX9" s="1007"/>
      <c r="CY9" s="1007"/>
      <c r="CZ9" s="1007"/>
      <c r="DA9" s="1007"/>
      <c r="DB9" s="1007">
        <f>+'[8]SEPTIEMBRE 2015'!$H$2456</f>
        <v>34542493</v>
      </c>
      <c r="DC9" s="1007"/>
      <c r="DD9" s="1007"/>
      <c r="DE9" s="1007"/>
      <c r="DF9" s="1007"/>
      <c r="DG9" s="1007"/>
      <c r="DH9" s="1007"/>
      <c r="DI9" s="1010">
        <f t="shared" si="15"/>
        <v>1.3071628571428517E-2</v>
      </c>
      <c r="DJ9" s="1007">
        <f t="shared" si="16"/>
        <v>457507</v>
      </c>
      <c r="DK9" s="1007">
        <f t="shared" si="17"/>
        <v>0</v>
      </c>
      <c r="DL9" s="1007">
        <f t="shared" si="17"/>
        <v>0</v>
      </c>
      <c r="DM9" s="1007"/>
      <c r="DN9" s="1007">
        <f t="shared" si="18"/>
        <v>0</v>
      </c>
      <c r="DO9" s="1007">
        <f t="shared" si="18"/>
        <v>0</v>
      </c>
      <c r="DP9" s="1007">
        <f t="shared" si="18"/>
        <v>0</v>
      </c>
      <c r="DQ9" s="1007">
        <f t="shared" si="18"/>
        <v>0</v>
      </c>
      <c r="DR9" s="1007"/>
      <c r="DS9" s="1007">
        <f t="shared" si="19"/>
        <v>0</v>
      </c>
      <c r="DT9" s="1007">
        <f t="shared" si="19"/>
        <v>0</v>
      </c>
      <c r="DU9" s="1007"/>
      <c r="DV9" s="1007">
        <f t="shared" si="20"/>
        <v>0</v>
      </c>
      <c r="DW9" s="1007">
        <f t="shared" si="20"/>
        <v>0</v>
      </c>
      <c r="DX9" s="1007">
        <f t="shared" si="20"/>
        <v>457507</v>
      </c>
      <c r="DY9" s="1007">
        <f t="shared" si="21"/>
        <v>0</v>
      </c>
      <c r="DZ9" s="1007">
        <f t="shared" si="21"/>
        <v>0</v>
      </c>
      <c r="EA9" s="1007">
        <f t="shared" si="21"/>
        <v>0</v>
      </c>
      <c r="EB9" s="1007">
        <f t="shared" si="21"/>
        <v>0</v>
      </c>
      <c r="EC9" s="1007"/>
      <c r="ED9" s="1007">
        <f t="shared" si="22"/>
        <v>0</v>
      </c>
    </row>
    <row r="10" spans="1:134" ht="54" customHeight="1" x14ac:dyDescent="0.25">
      <c r="A10" s="1565"/>
      <c r="B10" s="1020" t="s">
        <v>4299</v>
      </c>
      <c r="C10" s="1114" t="s">
        <v>4398</v>
      </c>
      <c r="D10" s="1018" t="s">
        <v>4300</v>
      </c>
      <c r="E10" s="1019">
        <v>510</v>
      </c>
      <c r="F10" s="1117" t="s">
        <v>4727</v>
      </c>
      <c r="G10" s="1428">
        <v>95000000</v>
      </c>
      <c r="H10" s="1060">
        <f t="shared" si="0"/>
        <v>3977268</v>
      </c>
      <c r="I10" s="1060">
        <f t="shared" si="1"/>
        <v>15022732</v>
      </c>
      <c r="J10" s="1428" t="s">
        <v>4752</v>
      </c>
      <c r="K10" s="1257" t="s">
        <v>4762</v>
      </c>
      <c r="L10" s="1257" t="s">
        <v>4752</v>
      </c>
      <c r="M10" s="1113">
        <v>0</v>
      </c>
      <c r="N10" s="1113">
        <v>0</v>
      </c>
      <c r="O10" s="1113">
        <v>0</v>
      </c>
      <c r="P10" s="1113">
        <v>0</v>
      </c>
      <c r="Q10" s="1113">
        <v>0</v>
      </c>
      <c r="R10" s="1113">
        <v>0</v>
      </c>
      <c r="S10" s="1117"/>
      <c r="T10" s="1117"/>
      <c r="U10" s="1117"/>
      <c r="V10" s="1117"/>
      <c r="W10" s="1117"/>
      <c r="X10" s="1117"/>
      <c r="Y10" s="1007">
        <f t="shared" si="2"/>
        <v>19000000</v>
      </c>
      <c r="Z10" s="1007"/>
      <c r="AA10" s="1007"/>
      <c r="AB10" s="1007"/>
      <c r="AC10" s="1007"/>
      <c r="AD10" s="1007"/>
      <c r="AE10" s="1007"/>
      <c r="AF10" s="1007"/>
      <c r="AG10" s="1007"/>
      <c r="AH10" s="1007"/>
      <c r="AI10" s="1007"/>
      <c r="AJ10" s="1007"/>
      <c r="AK10" s="1007"/>
      <c r="AL10" s="1007"/>
      <c r="AM10" s="1007"/>
      <c r="AN10" s="1007"/>
      <c r="AO10" s="1007"/>
      <c r="AP10" s="1007"/>
      <c r="AQ10" s="1007"/>
      <c r="AR10" s="1007"/>
      <c r="AS10" s="1007">
        <f>5000000+10000000+4000000</f>
        <v>19000000</v>
      </c>
      <c r="AU10" s="1010">
        <f t="shared" si="3"/>
        <v>0.89473684210526316</v>
      </c>
      <c r="AV10" s="1007">
        <f t="shared" si="4"/>
        <v>17000000</v>
      </c>
      <c r="AW10" s="1007"/>
      <c r="AX10" s="1007"/>
      <c r="AY10" s="1007"/>
      <c r="AZ10" s="1007"/>
      <c r="BA10" s="1007"/>
      <c r="BB10" s="1007"/>
      <c r="BC10" s="1007"/>
      <c r="BD10" s="1007"/>
      <c r="BE10" s="1007"/>
      <c r="BF10" s="1007"/>
      <c r="BG10" s="1007"/>
      <c r="BH10" s="1007"/>
      <c r="BI10" s="1007"/>
      <c r="BJ10" s="1007"/>
      <c r="BK10" s="1007"/>
      <c r="BL10" s="1007"/>
      <c r="BM10" s="1007"/>
      <c r="BN10" s="1007"/>
      <c r="BO10" s="1007"/>
      <c r="BP10" s="1007">
        <f>+'[8]SEPTIEMBRE 2015'!$AD$2472</f>
        <v>17000000</v>
      </c>
      <c r="BQ10" s="1010">
        <f t="shared" si="5"/>
        <v>0.10526315789473684</v>
      </c>
      <c r="BR10" s="1007">
        <f t="shared" si="6"/>
        <v>2000000</v>
      </c>
      <c r="BS10" s="1007">
        <f t="shared" si="7"/>
        <v>0</v>
      </c>
      <c r="BT10" s="1007">
        <f t="shared" si="8"/>
        <v>0</v>
      </c>
      <c r="BU10" s="1007"/>
      <c r="BV10" s="1007">
        <f t="shared" si="9"/>
        <v>0</v>
      </c>
      <c r="BW10" s="1007"/>
      <c r="BX10" s="1007">
        <f t="shared" si="10"/>
        <v>0</v>
      </c>
      <c r="BY10" s="1007">
        <f t="shared" si="10"/>
        <v>0</v>
      </c>
      <c r="BZ10" s="1007"/>
      <c r="CA10" s="1007">
        <f>+AH10-BE10</f>
        <v>0</v>
      </c>
      <c r="CB10" s="1007">
        <f>+AI10-BF10</f>
        <v>0</v>
      </c>
      <c r="CC10" s="1007">
        <f>+AJ10-BG10</f>
        <v>0</v>
      </c>
      <c r="CD10" s="1007">
        <f t="shared" si="11"/>
        <v>0</v>
      </c>
      <c r="CE10" s="1007">
        <f t="shared" si="11"/>
        <v>0</v>
      </c>
      <c r="CF10" s="1007">
        <f t="shared" si="11"/>
        <v>0</v>
      </c>
      <c r="CG10" s="1007">
        <f t="shared" si="11"/>
        <v>0</v>
      </c>
      <c r="CH10" s="1007">
        <f t="shared" si="11"/>
        <v>0</v>
      </c>
      <c r="CI10" s="1007">
        <f t="shared" si="11"/>
        <v>0</v>
      </c>
      <c r="CJ10" s="1007"/>
      <c r="CK10" s="1007"/>
      <c r="CL10" s="1007">
        <f t="shared" si="12"/>
        <v>2000000</v>
      </c>
      <c r="CM10" s="1010">
        <f t="shared" si="13"/>
        <v>0.2093298947368421</v>
      </c>
      <c r="CN10" s="1007">
        <f t="shared" si="14"/>
        <v>3977268</v>
      </c>
      <c r="CO10" s="1007"/>
      <c r="CP10" s="1007"/>
      <c r="CQ10" s="1007"/>
      <c r="CR10" s="1007"/>
      <c r="CS10" s="1007"/>
      <c r="CT10" s="1007"/>
      <c r="CU10" s="1007"/>
      <c r="CV10" s="1007"/>
      <c r="CW10" s="1007"/>
      <c r="CX10" s="1007"/>
      <c r="CY10" s="1007"/>
      <c r="CZ10" s="1007"/>
      <c r="DA10" s="1007"/>
      <c r="DB10" s="1007"/>
      <c r="DC10" s="1007"/>
      <c r="DD10" s="1007"/>
      <c r="DE10" s="1007"/>
      <c r="DF10" s="1007"/>
      <c r="DG10" s="1007"/>
      <c r="DH10" s="1007">
        <f>+'[8]SEPTIEMBRE 2015'!$H$2470</f>
        <v>3977268</v>
      </c>
      <c r="DI10" s="1010">
        <f t="shared" si="15"/>
        <v>0.79067010526315795</v>
      </c>
      <c r="DJ10" s="1007">
        <f t="shared" si="16"/>
        <v>15022732</v>
      </c>
      <c r="DK10" s="1007">
        <f t="shared" si="17"/>
        <v>0</v>
      </c>
      <c r="DL10" s="1007">
        <f t="shared" si="17"/>
        <v>0</v>
      </c>
      <c r="DM10" s="1007"/>
      <c r="DN10" s="1007">
        <f t="shared" si="18"/>
        <v>0</v>
      </c>
      <c r="DO10" s="1007">
        <f t="shared" si="18"/>
        <v>0</v>
      </c>
      <c r="DP10" s="1007">
        <f t="shared" si="18"/>
        <v>0</v>
      </c>
      <c r="DQ10" s="1007">
        <f t="shared" si="18"/>
        <v>0</v>
      </c>
      <c r="DR10" s="1007"/>
      <c r="DS10" s="1007">
        <f t="shared" si="19"/>
        <v>0</v>
      </c>
      <c r="DT10" s="1007">
        <f t="shared" si="19"/>
        <v>0</v>
      </c>
      <c r="DU10" s="1007"/>
      <c r="DV10" s="1007">
        <f t="shared" si="20"/>
        <v>0</v>
      </c>
      <c r="DW10" s="1007">
        <f t="shared" si="20"/>
        <v>0</v>
      </c>
      <c r="DX10" s="1007">
        <f t="shared" si="20"/>
        <v>0</v>
      </c>
      <c r="DY10" s="1007">
        <f t="shared" si="21"/>
        <v>0</v>
      </c>
      <c r="DZ10" s="1007">
        <f t="shared" si="21"/>
        <v>0</v>
      </c>
      <c r="EA10" s="1007">
        <f t="shared" si="21"/>
        <v>0</v>
      </c>
      <c r="EB10" s="1007">
        <f t="shared" si="21"/>
        <v>0</v>
      </c>
      <c r="EC10" s="1007"/>
      <c r="ED10" s="1007">
        <f t="shared" si="22"/>
        <v>15022732</v>
      </c>
    </row>
    <row r="11" spans="1:134" ht="50.25" customHeight="1" x14ac:dyDescent="0.25">
      <c r="A11" s="1565"/>
      <c r="B11" s="1020"/>
      <c r="C11" s="1114" t="s">
        <v>4592</v>
      </c>
      <c r="D11" s="1018" t="s">
        <v>4563</v>
      </c>
      <c r="E11" s="1019">
        <v>510</v>
      </c>
      <c r="F11" s="1117" t="s">
        <v>4660</v>
      </c>
      <c r="G11" s="1429"/>
      <c r="H11" s="1060">
        <f t="shared" si="0"/>
        <v>800000</v>
      </c>
      <c r="I11" s="1060">
        <f t="shared" si="1"/>
        <v>14200000</v>
      </c>
      <c r="J11" s="1429"/>
      <c r="K11" s="1562"/>
      <c r="L11" s="1562"/>
      <c r="M11" s="1113">
        <v>0</v>
      </c>
      <c r="N11" s="1113">
        <v>0</v>
      </c>
      <c r="O11" s="1113">
        <v>0</v>
      </c>
      <c r="P11" s="1113">
        <v>0</v>
      </c>
      <c r="Q11" s="1113">
        <v>0</v>
      </c>
      <c r="R11" s="1113">
        <v>0</v>
      </c>
      <c r="S11" s="1117"/>
      <c r="T11" s="1117"/>
      <c r="U11" s="1117"/>
      <c r="V11" s="1117"/>
      <c r="W11" s="1117"/>
      <c r="X11" s="1117"/>
      <c r="Y11" s="1007">
        <f t="shared" si="2"/>
        <v>15000000</v>
      </c>
      <c r="Z11" s="1007"/>
      <c r="AA11" s="1007"/>
      <c r="AB11" s="1007"/>
      <c r="AC11" s="1007"/>
      <c r="AD11" s="1007"/>
      <c r="AE11" s="1007">
        <f>30000000-15000000</f>
        <v>15000000</v>
      </c>
      <c r="AF11" s="1007"/>
      <c r="AG11" s="1007"/>
      <c r="AH11" s="1007"/>
      <c r="AI11" s="1007"/>
      <c r="AJ11" s="1007"/>
      <c r="AK11" s="1007"/>
      <c r="AL11" s="1007"/>
      <c r="AM11" s="1007"/>
      <c r="AN11" s="1007"/>
      <c r="AO11" s="1007"/>
      <c r="AP11" s="1007"/>
      <c r="AQ11" s="1007"/>
      <c r="AR11" s="1007"/>
      <c r="AS11" s="1007"/>
      <c r="AU11" s="1010">
        <f t="shared" si="3"/>
        <v>5.3333333333333337E-2</v>
      </c>
      <c r="AV11" s="1007">
        <f t="shared" si="4"/>
        <v>800000</v>
      </c>
      <c r="AW11" s="1007"/>
      <c r="AX11" s="1007"/>
      <c r="AY11" s="1007"/>
      <c r="AZ11" s="1007"/>
      <c r="BA11" s="1007"/>
      <c r="BB11" s="1007">
        <f>+'[7]AGOSTO 2015'!$O$2001</f>
        <v>800000</v>
      </c>
      <c r="BC11" s="1007"/>
      <c r="BD11" s="1007"/>
      <c r="BE11" s="1007"/>
      <c r="BF11" s="1007"/>
      <c r="BG11" s="1007"/>
      <c r="BH11" s="1007"/>
      <c r="BI11" s="1007"/>
      <c r="BJ11" s="1007"/>
      <c r="BK11" s="1007"/>
      <c r="BL11" s="1007"/>
      <c r="BM11" s="1007"/>
      <c r="BN11" s="1007"/>
      <c r="BO11" s="1007"/>
      <c r="BP11" s="1007"/>
      <c r="BQ11" s="1010">
        <f t="shared" si="5"/>
        <v>0.94666666666666666</v>
      </c>
      <c r="BR11" s="1007">
        <f t="shared" si="6"/>
        <v>14200000</v>
      </c>
      <c r="BS11" s="1007">
        <f t="shared" si="7"/>
        <v>0</v>
      </c>
      <c r="BT11" s="1007">
        <f t="shared" si="8"/>
        <v>0</v>
      </c>
      <c r="BU11" s="1007"/>
      <c r="BV11" s="1007">
        <f t="shared" si="9"/>
        <v>0</v>
      </c>
      <c r="BW11" s="1007"/>
      <c r="BX11" s="1007">
        <f t="shared" si="10"/>
        <v>14200000</v>
      </c>
      <c r="BY11" s="1007">
        <f t="shared" si="10"/>
        <v>0</v>
      </c>
      <c r="BZ11" s="1007"/>
      <c r="CA11" s="1007"/>
      <c r="CB11" s="1007"/>
      <c r="CC11" s="1007"/>
      <c r="CD11" s="1007">
        <f t="shared" si="11"/>
        <v>0</v>
      </c>
      <c r="CE11" s="1007">
        <f t="shared" si="11"/>
        <v>0</v>
      </c>
      <c r="CF11" s="1007">
        <f t="shared" si="11"/>
        <v>0</v>
      </c>
      <c r="CG11" s="1007">
        <f t="shared" si="11"/>
        <v>0</v>
      </c>
      <c r="CH11" s="1007">
        <f t="shared" si="11"/>
        <v>0</v>
      </c>
      <c r="CI11" s="1007">
        <f t="shared" si="11"/>
        <v>0</v>
      </c>
      <c r="CJ11" s="1007"/>
      <c r="CK11" s="1007"/>
      <c r="CL11" s="1007">
        <f t="shared" si="12"/>
        <v>0</v>
      </c>
      <c r="CM11" s="1010">
        <f t="shared" si="13"/>
        <v>5.3333333333333337E-2</v>
      </c>
      <c r="CN11" s="1007">
        <f t="shared" si="14"/>
        <v>800000</v>
      </c>
      <c r="CO11" s="1007"/>
      <c r="CP11" s="1007"/>
      <c r="CQ11" s="1007"/>
      <c r="CR11" s="1007"/>
      <c r="CS11" s="1007"/>
      <c r="CT11" s="1007">
        <f>+'[7]AGOSTO 2015'!$H$1999</f>
        <v>800000</v>
      </c>
      <c r="CU11" s="1007"/>
      <c r="CV11" s="1007"/>
      <c r="CW11" s="1007"/>
      <c r="CX11" s="1007"/>
      <c r="CY11" s="1007"/>
      <c r="CZ11" s="1007"/>
      <c r="DA11" s="1007"/>
      <c r="DB11" s="1007"/>
      <c r="DC11" s="1007"/>
      <c r="DD11" s="1007"/>
      <c r="DE11" s="1007"/>
      <c r="DF11" s="1007"/>
      <c r="DG11" s="1007"/>
      <c r="DH11" s="1007"/>
      <c r="DI11" s="1010">
        <f t="shared" si="15"/>
        <v>0.94666666666666666</v>
      </c>
      <c r="DJ11" s="1007">
        <f t="shared" si="16"/>
        <v>14200000</v>
      </c>
      <c r="DK11" s="1007">
        <f t="shared" si="17"/>
        <v>0</v>
      </c>
      <c r="DL11" s="1007">
        <f t="shared" si="17"/>
        <v>0</v>
      </c>
      <c r="DM11" s="1007"/>
      <c r="DN11" s="1007">
        <f t="shared" si="18"/>
        <v>0</v>
      </c>
      <c r="DO11" s="1007">
        <f t="shared" si="18"/>
        <v>0</v>
      </c>
      <c r="DP11" s="1007">
        <f t="shared" si="18"/>
        <v>14200000</v>
      </c>
      <c r="DQ11" s="1007">
        <f t="shared" si="18"/>
        <v>0</v>
      </c>
      <c r="DR11" s="1007"/>
      <c r="DS11" s="1007">
        <f t="shared" si="19"/>
        <v>0</v>
      </c>
      <c r="DT11" s="1007">
        <f t="shared" si="19"/>
        <v>0</v>
      </c>
      <c r="DU11" s="1007"/>
      <c r="DV11" s="1007">
        <f t="shared" si="20"/>
        <v>0</v>
      </c>
      <c r="DW11" s="1007">
        <f t="shared" si="20"/>
        <v>0</v>
      </c>
      <c r="DX11" s="1007">
        <f t="shared" si="20"/>
        <v>0</v>
      </c>
      <c r="DY11" s="1007">
        <f t="shared" si="21"/>
        <v>0</v>
      </c>
      <c r="DZ11" s="1007">
        <f t="shared" si="21"/>
        <v>0</v>
      </c>
      <c r="EA11" s="1007">
        <f t="shared" si="21"/>
        <v>0</v>
      </c>
      <c r="EB11" s="1007">
        <f t="shared" si="21"/>
        <v>0</v>
      </c>
      <c r="EC11" s="1007"/>
      <c r="ED11" s="1007">
        <f t="shared" si="22"/>
        <v>0</v>
      </c>
    </row>
    <row r="12" spans="1:134" ht="40.5" customHeight="1" x14ac:dyDescent="0.25">
      <c r="A12" s="1565"/>
      <c r="B12" s="1020"/>
      <c r="C12" s="1114" t="s">
        <v>4593</v>
      </c>
      <c r="D12" s="1018" t="s">
        <v>4585</v>
      </c>
      <c r="E12" s="1019">
        <v>510</v>
      </c>
      <c r="F12" s="1117" t="s">
        <v>4660</v>
      </c>
      <c r="G12" s="1429"/>
      <c r="H12" s="1060">
        <f t="shared" si="0"/>
        <v>10000000</v>
      </c>
      <c r="I12" s="1060">
        <f t="shared" si="1"/>
        <v>0</v>
      </c>
      <c r="J12" s="1429"/>
      <c r="K12" s="1562"/>
      <c r="L12" s="1562"/>
      <c r="M12" s="1113">
        <v>0</v>
      </c>
      <c r="N12" s="1113">
        <v>0</v>
      </c>
      <c r="O12" s="1113">
        <v>0</v>
      </c>
      <c r="P12" s="1113">
        <v>100</v>
      </c>
      <c r="Q12" s="1113">
        <v>0</v>
      </c>
      <c r="R12" s="1113">
        <v>0</v>
      </c>
      <c r="S12" s="1117"/>
      <c r="T12" s="1117"/>
      <c r="U12" s="1117"/>
      <c r="V12" s="1117"/>
      <c r="W12" s="1117"/>
      <c r="X12" s="1117"/>
      <c r="Y12" s="1007">
        <f t="shared" si="2"/>
        <v>10000000</v>
      </c>
      <c r="Z12" s="1007"/>
      <c r="AA12" s="1007"/>
      <c r="AB12" s="1007"/>
      <c r="AC12" s="1007"/>
      <c r="AD12" s="1007"/>
      <c r="AE12" s="1007">
        <v>10000000</v>
      </c>
      <c r="AF12" s="1007"/>
      <c r="AG12" s="1007"/>
      <c r="AH12" s="1007"/>
      <c r="AI12" s="1007"/>
      <c r="AJ12" s="1007"/>
      <c r="AK12" s="1007"/>
      <c r="AL12" s="1007"/>
      <c r="AM12" s="1007"/>
      <c r="AN12" s="1007"/>
      <c r="AO12" s="1007"/>
      <c r="AP12" s="1007"/>
      <c r="AQ12" s="1007"/>
      <c r="AR12" s="1007"/>
      <c r="AS12" s="1007"/>
      <c r="AU12" s="1010">
        <f t="shared" si="3"/>
        <v>1</v>
      </c>
      <c r="AV12" s="1007">
        <f t="shared" si="4"/>
        <v>10000000</v>
      </c>
      <c r="AW12" s="1007"/>
      <c r="AX12" s="1007"/>
      <c r="AY12" s="1007"/>
      <c r="AZ12" s="1007"/>
      <c r="BA12" s="1007"/>
      <c r="BB12" s="1007">
        <f>+'[9]ABRIL 2015'!$N$1193</f>
        <v>10000000</v>
      </c>
      <c r="BC12" s="1007"/>
      <c r="BD12" s="1007"/>
      <c r="BE12" s="1007"/>
      <c r="BF12" s="1007"/>
      <c r="BG12" s="1007"/>
      <c r="BH12" s="1007"/>
      <c r="BI12" s="1007"/>
      <c r="BJ12" s="1007"/>
      <c r="BK12" s="1007"/>
      <c r="BL12" s="1007"/>
      <c r="BM12" s="1007"/>
      <c r="BN12" s="1007"/>
      <c r="BO12" s="1007"/>
      <c r="BP12" s="1007"/>
      <c r="BQ12" s="1010">
        <f t="shared" si="5"/>
        <v>0</v>
      </c>
      <c r="BR12" s="1007">
        <f t="shared" si="6"/>
        <v>0</v>
      </c>
      <c r="BS12" s="1007">
        <f t="shared" si="7"/>
        <v>0</v>
      </c>
      <c r="BT12" s="1007">
        <f t="shared" si="8"/>
        <v>0</v>
      </c>
      <c r="BU12" s="1007"/>
      <c r="BV12" s="1007">
        <f t="shared" si="9"/>
        <v>0</v>
      </c>
      <c r="BW12" s="1007"/>
      <c r="BX12" s="1007">
        <f t="shared" si="10"/>
        <v>0</v>
      </c>
      <c r="BY12" s="1007">
        <f t="shared" si="10"/>
        <v>0</v>
      </c>
      <c r="BZ12" s="1007"/>
      <c r="CA12" s="1007"/>
      <c r="CB12" s="1007"/>
      <c r="CC12" s="1007"/>
      <c r="CD12" s="1007">
        <f t="shared" si="11"/>
        <v>0</v>
      </c>
      <c r="CE12" s="1007">
        <f t="shared" si="11"/>
        <v>0</v>
      </c>
      <c r="CF12" s="1007">
        <f t="shared" si="11"/>
        <v>0</v>
      </c>
      <c r="CG12" s="1007">
        <f t="shared" si="11"/>
        <v>0</v>
      </c>
      <c r="CH12" s="1007">
        <f t="shared" si="11"/>
        <v>0</v>
      </c>
      <c r="CI12" s="1007">
        <f t="shared" si="11"/>
        <v>0</v>
      </c>
      <c r="CJ12" s="1007"/>
      <c r="CK12" s="1007"/>
      <c r="CL12" s="1007">
        <f t="shared" si="12"/>
        <v>0</v>
      </c>
      <c r="CM12" s="1010">
        <f t="shared" si="13"/>
        <v>1</v>
      </c>
      <c r="CN12" s="1007">
        <f t="shared" si="14"/>
        <v>10000000</v>
      </c>
      <c r="CO12" s="1007"/>
      <c r="CP12" s="1007"/>
      <c r="CQ12" s="1007"/>
      <c r="CR12" s="1007"/>
      <c r="CS12" s="1007"/>
      <c r="CT12" s="1007">
        <f>+'[9]ABRIL 2015'!$H$1194</f>
        <v>10000000</v>
      </c>
      <c r="CU12" s="1007"/>
      <c r="CV12" s="1007"/>
      <c r="CW12" s="1007"/>
      <c r="CX12" s="1007"/>
      <c r="CY12" s="1007"/>
      <c r="CZ12" s="1007"/>
      <c r="DA12" s="1007"/>
      <c r="DB12" s="1007"/>
      <c r="DC12" s="1007"/>
      <c r="DD12" s="1007"/>
      <c r="DE12" s="1007"/>
      <c r="DF12" s="1007"/>
      <c r="DG12" s="1007"/>
      <c r="DH12" s="1007"/>
      <c r="DI12" s="1010">
        <f t="shared" si="15"/>
        <v>0</v>
      </c>
      <c r="DJ12" s="1007">
        <f t="shared" si="16"/>
        <v>0</v>
      </c>
      <c r="DK12" s="1007">
        <f t="shared" si="17"/>
        <v>0</v>
      </c>
      <c r="DL12" s="1007">
        <f t="shared" si="17"/>
        <v>0</v>
      </c>
      <c r="DM12" s="1007"/>
      <c r="DN12" s="1007">
        <f t="shared" si="18"/>
        <v>0</v>
      </c>
      <c r="DO12" s="1007">
        <f t="shared" si="18"/>
        <v>0</v>
      </c>
      <c r="DP12" s="1007">
        <f t="shared" si="18"/>
        <v>0</v>
      </c>
      <c r="DQ12" s="1007">
        <f t="shared" si="18"/>
        <v>0</v>
      </c>
      <c r="DR12" s="1007"/>
      <c r="DS12" s="1007">
        <f t="shared" si="19"/>
        <v>0</v>
      </c>
      <c r="DT12" s="1007">
        <f t="shared" si="19"/>
        <v>0</v>
      </c>
      <c r="DU12" s="1007"/>
      <c r="DV12" s="1007">
        <f t="shared" si="20"/>
        <v>0</v>
      </c>
      <c r="DW12" s="1007">
        <f t="shared" si="20"/>
        <v>0</v>
      </c>
      <c r="DX12" s="1007">
        <f t="shared" si="20"/>
        <v>0</v>
      </c>
      <c r="DY12" s="1007">
        <f t="shared" si="21"/>
        <v>0</v>
      </c>
      <c r="DZ12" s="1007">
        <f t="shared" si="21"/>
        <v>0</v>
      </c>
      <c r="EA12" s="1007">
        <f t="shared" si="21"/>
        <v>0</v>
      </c>
      <c r="EB12" s="1007">
        <f t="shared" si="21"/>
        <v>0</v>
      </c>
      <c r="EC12" s="1007"/>
      <c r="ED12" s="1007">
        <f t="shared" si="22"/>
        <v>0</v>
      </c>
    </row>
    <row r="13" spans="1:134" ht="55.5" customHeight="1" x14ac:dyDescent="0.25">
      <c r="A13" s="1565"/>
      <c r="B13" s="1020"/>
      <c r="C13" s="1114" t="s">
        <v>4594</v>
      </c>
      <c r="D13" s="1018" t="s">
        <v>4564</v>
      </c>
      <c r="E13" s="1019">
        <v>510</v>
      </c>
      <c r="F13" s="1117" t="s">
        <v>4660</v>
      </c>
      <c r="G13" s="1429"/>
      <c r="H13" s="1060">
        <f t="shared" si="0"/>
        <v>6601149</v>
      </c>
      <c r="I13" s="1060">
        <f t="shared" si="1"/>
        <v>23398851</v>
      </c>
      <c r="J13" s="1429"/>
      <c r="K13" s="1562"/>
      <c r="L13" s="1562"/>
      <c r="M13" s="1113">
        <v>0</v>
      </c>
      <c r="N13" s="1113">
        <v>0</v>
      </c>
      <c r="O13" s="1113">
        <v>0</v>
      </c>
      <c r="P13" s="1113">
        <v>0</v>
      </c>
      <c r="Q13" s="1113">
        <v>0</v>
      </c>
      <c r="R13" s="1113">
        <v>0</v>
      </c>
      <c r="S13" s="1117"/>
      <c r="T13" s="1117"/>
      <c r="U13" s="1117"/>
      <c r="V13" s="1117"/>
      <c r="W13" s="1117"/>
      <c r="X13" s="1117"/>
      <c r="Y13" s="1007">
        <f t="shared" si="2"/>
        <v>30000000</v>
      </c>
      <c r="Z13" s="1007"/>
      <c r="AA13" s="1007"/>
      <c r="AB13" s="1007"/>
      <c r="AC13" s="1007"/>
      <c r="AD13" s="1007"/>
      <c r="AE13" s="1007">
        <v>30000000</v>
      </c>
      <c r="AF13" s="1007"/>
      <c r="AG13" s="1007"/>
      <c r="AH13" s="1007"/>
      <c r="AI13" s="1007"/>
      <c r="AJ13" s="1007"/>
      <c r="AK13" s="1007"/>
      <c r="AL13" s="1007"/>
      <c r="AM13" s="1007"/>
      <c r="AN13" s="1007"/>
      <c r="AO13" s="1007"/>
      <c r="AP13" s="1007"/>
      <c r="AQ13" s="1007"/>
      <c r="AR13" s="1007"/>
      <c r="AS13" s="1007"/>
      <c r="AU13" s="1010">
        <f t="shared" si="3"/>
        <v>0.27089163333333333</v>
      </c>
      <c r="AV13" s="1007">
        <f t="shared" si="4"/>
        <v>8126749</v>
      </c>
      <c r="AW13" s="1007"/>
      <c r="AX13" s="1007"/>
      <c r="AY13" s="1007"/>
      <c r="AZ13" s="1007"/>
      <c r="BA13" s="1007"/>
      <c r="BB13" s="1007">
        <f>+'[8]SEPTIEMBRE 2015'!$O$2495</f>
        <v>8126749</v>
      </c>
      <c r="BC13" s="1007"/>
      <c r="BD13" s="1007"/>
      <c r="BE13" s="1007"/>
      <c r="BF13" s="1007"/>
      <c r="BG13" s="1007"/>
      <c r="BH13" s="1007"/>
      <c r="BI13" s="1007"/>
      <c r="BJ13" s="1007"/>
      <c r="BK13" s="1007"/>
      <c r="BL13" s="1007"/>
      <c r="BM13" s="1007"/>
      <c r="BN13" s="1007"/>
      <c r="BO13" s="1007"/>
      <c r="BP13" s="1007"/>
      <c r="BQ13" s="1010">
        <f t="shared" si="5"/>
        <v>0.72910836666666667</v>
      </c>
      <c r="BR13" s="1007">
        <f t="shared" si="6"/>
        <v>21873251</v>
      </c>
      <c r="BS13" s="1007">
        <f t="shared" si="7"/>
        <v>0</v>
      </c>
      <c r="BT13" s="1007">
        <f t="shared" si="8"/>
        <v>0</v>
      </c>
      <c r="BU13" s="1007"/>
      <c r="BV13" s="1007">
        <f t="shared" si="9"/>
        <v>0</v>
      </c>
      <c r="BW13" s="1007"/>
      <c r="BX13" s="1007">
        <f t="shared" si="10"/>
        <v>21873251</v>
      </c>
      <c r="BY13" s="1007">
        <f t="shared" si="10"/>
        <v>0</v>
      </c>
      <c r="BZ13" s="1007"/>
      <c r="CA13" s="1007"/>
      <c r="CB13" s="1007"/>
      <c r="CC13" s="1007"/>
      <c r="CD13" s="1007">
        <f t="shared" si="11"/>
        <v>0</v>
      </c>
      <c r="CE13" s="1007">
        <f t="shared" si="11"/>
        <v>0</v>
      </c>
      <c r="CF13" s="1007">
        <f t="shared" si="11"/>
        <v>0</v>
      </c>
      <c r="CG13" s="1007">
        <f t="shared" si="11"/>
        <v>0</v>
      </c>
      <c r="CH13" s="1007">
        <f t="shared" si="11"/>
        <v>0</v>
      </c>
      <c r="CI13" s="1007">
        <f t="shared" si="11"/>
        <v>0</v>
      </c>
      <c r="CJ13" s="1007"/>
      <c r="CK13" s="1007"/>
      <c r="CL13" s="1007">
        <f t="shared" si="12"/>
        <v>0</v>
      </c>
      <c r="CM13" s="1010">
        <f t="shared" si="13"/>
        <v>0.22003829999999999</v>
      </c>
      <c r="CN13" s="1007">
        <f t="shared" si="14"/>
        <v>6601149</v>
      </c>
      <c r="CO13" s="1007"/>
      <c r="CP13" s="1007"/>
      <c r="CQ13" s="1007"/>
      <c r="CR13" s="1007"/>
      <c r="CS13" s="1007"/>
      <c r="CT13" s="1007">
        <f>+'[8]SEPTIEMBRE 2015'!$H$2493</f>
        <v>6601149</v>
      </c>
      <c r="CU13" s="1007"/>
      <c r="CV13" s="1007"/>
      <c r="CW13" s="1007"/>
      <c r="CX13" s="1007"/>
      <c r="CY13" s="1007"/>
      <c r="CZ13" s="1007"/>
      <c r="DA13" s="1007"/>
      <c r="DB13" s="1007"/>
      <c r="DC13" s="1007"/>
      <c r="DD13" s="1007"/>
      <c r="DE13" s="1007"/>
      <c r="DF13" s="1007"/>
      <c r="DG13" s="1007"/>
      <c r="DH13" s="1007"/>
      <c r="DI13" s="1010">
        <f t="shared" si="15"/>
        <v>0.77996169999999998</v>
      </c>
      <c r="DJ13" s="1007">
        <f t="shared" si="16"/>
        <v>23398851</v>
      </c>
      <c r="DK13" s="1007">
        <f t="shared" si="17"/>
        <v>0</v>
      </c>
      <c r="DL13" s="1007">
        <f t="shared" si="17"/>
        <v>0</v>
      </c>
      <c r="DM13" s="1007"/>
      <c r="DN13" s="1007">
        <f t="shared" si="18"/>
        <v>0</v>
      </c>
      <c r="DO13" s="1007">
        <f t="shared" si="18"/>
        <v>0</v>
      </c>
      <c r="DP13" s="1007">
        <f t="shared" si="18"/>
        <v>23398851</v>
      </c>
      <c r="DQ13" s="1007">
        <f t="shared" si="18"/>
        <v>0</v>
      </c>
      <c r="DR13" s="1007"/>
      <c r="DS13" s="1007">
        <f t="shared" si="19"/>
        <v>0</v>
      </c>
      <c r="DT13" s="1007">
        <f t="shared" si="19"/>
        <v>0</v>
      </c>
      <c r="DU13" s="1007"/>
      <c r="DV13" s="1007">
        <f t="shared" si="20"/>
        <v>0</v>
      </c>
      <c r="DW13" s="1007">
        <f t="shared" si="20"/>
        <v>0</v>
      </c>
      <c r="DX13" s="1007">
        <f t="shared" si="20"/>
        <v>0</v>
      </c>
      <c r="DY13" s="1007">
        <f t="shared" si="21"/>
        <v>0</v>
      </c>
      <c r="DZ13" s="1007">
        <f t="shared" si="21"/>
        <v>0</v>
      </c>
      <c r="EA13" s="1007">
        <f t="shared" si="21"/>
        <v>0</v>
      </c>
      <c r="EB13" s="1007">
        <f t="shared" si="21"/>
        <v>0</v>
      </c>
      <c r="EC13" s="1007"/>
      <c r="ED13" s="1007">
        <f t="shared" si="22"/>
        <v>0</v>
      </c>
    </row>
    <row r="14" spans="1:134" ht="39" customHeight="1" x14ac:dyDescent="0.25">
      <c r="A14" s="1565"/>
      <c r="B14" s="1020"/>
      <c r="C14" s="1114" t="s">
        <v>4595</v>
      </c>
      <c r="D14" s="1018" t="s">
        <v>4565</v>
      </c>
      <c r="E14" s="1019">
        <v>510</v>
      </c>
      <c r="F14" s="1117" t="s">
        <v>4660</v>
      </c>
      <c r="G14" s="1429"/>
      <c r="H14" s="1060">
        <f t="shared" si="0"/>
        <v>0</v>
      </c>
      <c r="I14" s="1060">
        <f t="shared" si="1"/>
        <v>15000000</v>
      </c>
      <c r="J14" s="1429"/>
      <c r="K14" s="1562"/>
      <c r="L14" s="1562"/>
      <c r="M14" s="1113">
        <v>0</v>
      </c>
      <c r="N14" s="1113">
        <v>0</v>
      </c>
      <c r="O14" s="1113">
        <v>0</v>
      </c>
      <c r="P14" s="1113">
        <v>0</v>
      </c>
      <c r="Q14" s="1113">
        <v>0</v>
      </c>
      <c r="R14" s="1113">
        <v>0</v>
      </c>
      <c r="S14" s="1117"/>
      <c r="T14" s="1117"/>
      <c r="U14" s="1117"/>
      <c r="V14" s="1117"/>
      <c r="W14" s="1117"/>
      <c r="X14" s="1117"/>
      <c r="Y14" s="1007">
        <f t="shared" si="2"/>
        <v>15000000</v>
      </c>
      <c r="Z14" s="1007"/>
      <c r="AA14" s="1007"/>
      <c r="AB14" s="1007"/>
      <c r="AC14" s="1007"/>
      <c r="AD14" s="1007"/>
      <c r="AE14" s="1007">
        <v>15000000</v>
      </c>
      <c r="AF14" s="1007"/>
      <c r="AG14" s="1007"/>
      <c r="AH14" s="1007"/>
      <c r="AI14" s="1007"/>
      <c r="AJ14" s="1007"/>
      <c r="AK14" s="1007"/>
      <c r="AL14" s="1007"/>
      <c r="AM14" s="1007"/>
      <c r="AN14" s="1007"/>
      <c r="AO14" s="1007"/>
      <c r="AP14" s="1007"/>
      <c r="AQ14" s="1007"/>
      <c r="AR14" s="1007"/>
      <c r="AS14" s="1007"/>
      <c r="AU14" s="1010">
        <f t="shared" si="3"/>
        <v>0</v>
      </c>
      <c r="AV14" s="1007">
        <f t="shared" si="4"/>
        <v>0</v>
      </c>
      <c r="AW14" s="1007"/>
      <c r="AX14" s="1007"/>
      <c r="AY14" s="1007"/>
      <c r="AZ14" s="1007"/>
      <c r="BA14" s="1007"/>
      <c r="BB14" s="1007"/>
      <c r="BC14" s="1007"/>
      <c r="BD14" s="1007"/>
      <c r="BE14" s="1007"/>
      <c r="BF14" s="1007"/>
      <c r="BG14" s="1007"/>
      <c r="BH14" s="1007"/>
      <c r="BI14" s="1007"/>
      <c r="BJ14" s="1007"/>
      <c r="BK14" s="1007"/>
      <c r="BL14" s="1007"/>
      <c r="BM14" s="1007"/>
      <c r="BN14" s="1007"/>
      <c r="BO14" s="1007"/>
      <c r="BP14" s="1007"/>
      <c r="BQ14" s="1010">
        <f t="shared" si="5"/>
        <v>1</v>
      </c>
      <c r="BR14" s="1007">
        <f t="shared" si="6"/>
        <v>15000000</v>
      </c>
      <c r="BS14" s="1007">
        <f t="shared" si="7"/>
        <v>0</v>
      </c>
      <c r="BT14" s="1007">
        <f t="shared" si="8"/>
        <v>0</v>
      </c>
      <c r="BU14" s="1007"/>
      <c r="BV14" s="1007">
        <f t="shared" si="9"/>
        <v>0</v>
      </c>
      <c r="BW14" s="1007"/>
      <c r="BX14" s="1007">
        <f t="shared" si="10"/>
        <v>15000000</v>
      </c>
      <c r="BY14" s="1007">
        <f t="shared" si="10"/>
        <v>0</v>
      </c>
      <c r="BZ14" s="1007"/>
      <c r="CA14" s="1007"/>
      <c r="CB14" s="1007"/>
      <c r="CC14" s="1007"/>
      <c r="CD14" s="1007">
        <f t="shared" si="11"/>
        <v>0</v>
      </c>
      <c r="CE14" s="1007">
        <f t="shared" si="11"/>
        <v>0</v>
      </c>
      <c r="CF14" s="1007">
        <f t="shared" si="11"/>
        <v>0</v>
      </c>
      <c r="CG14" s="1007">
        <f t="shared" si="11"/>
        <v>0</v>
      </c>
      <c r="CH14" s="1007">
        <f t="shared" si="11"/>
        <v>0</v>
      </c>
      <c r="CI14" s="1007">
        <f t="shared" si="11"/>
        <v>0</v>
      </c>
      <c r="CJ14" s="1007"/>
      <c r="CK14" s="1007"/>
      <c r="CL14" s="1007">
        <f t="shared" si="12"/>
        <v>0</v>
      </c>
      <c r="CM14" s="1010">
        <f t="shared" si="13"/>
        <v>0</v>
      </c>
      <c r="CN14" s="1007">
        <f t="shared" si="14"/>
        <v>0</v>
      </c>
      <c r="CO14" s="1007"/>
      <c r="CP14" s="1007"/>
      <c r="CQ14" s="1007"/>
      <c r="CR14" s="1007"/>
      <c r="CS14" s="1007"/>
      <c r="CT14" s="1007"/>
      <c r="CU14" s="1007"/>
      <c r="CV14" s="1007"/>
      <c r="CW14" s="1007"/>
      <c r="CX14" s="1007"/>
      <c r="CY14" s="1007"/>
      <c r="CZ14" s="1007"/>
      <c r="DA14" s="1007"/>
      <c r="DB14" s="1007"/>
      <c r="DC14" s="1007"/>
      <c r="DD14" s="1007"/>
      <c r="DE14" s="1007"/>
      <c r="DF14" s="1007"/>
      <c r="DG14" s="1007"/>
      <c r="DH14" s="1007"/>
      <c r="DI14" s="1010">
        <f t="shared" si="15"/>
        <v>1</v>
      </c>
      <c r="DJ14" s="1007">
        <f t="shared" si="16"/>
        <v>15000000</v>
      </c>
      <c r="DK14" s="1007">
        <f t="shared" si="17"/>
        <v>0</v>
      </c>
      <c r="DL14" s="1007">
        <f t="shared" si="17"/>
        <v>0</v>
      </c>
      <c r="DM14" s="1007"/>
      <c r="DN14" s="1007">
        <f t="shared" si="18"/>
        <v>0</v>
      </c>
      <c r="DO14" s="1007">
        <f t="shared" si="18"/>
        <v>0</v>
      </c>
      <c r="DP14" s="1007">
        <f t="shared" si="18"/>
        <v>15000000</v>
      </c>
      <c r="DQ14" s="1007">
        <f t="shared" si="18"/>
        <v>0</v>
      </c>
      <c r="DR14" s="1007"/>
      <c r="DS14" s="1007">
        <f t="shared" si="19"/>
        <v>0</v>
      </c>
      <c r="DT14" s="1007">
        <f t="shared" si="19"/>
        <v>0</v>
      </c>
      <c r="DU14" s="1007"/>
      <c r="DV14" s="1007">
        <f t="shared" si="20"/>
        <v>0</v>
      </c>
      <c r="DW14" s="1007">
        <f t="shared" si="20"/>
        <v>0</v>
      </c>
      <c r="DX14" s="1007">
        <f t="shared" si="20"/>
        <v>0</v>
      </c>
      <c r="DY14" s="1007">
        <f t="shared" si="21"/>
        <v>0</v>
      </c>
      <c r="DZ14" s="1007">
        <f t="shared" si="21"/>
        <v>0</v>
      </c>
      <c r="EA14" s="1007">
        <f t="shared" si="21"/>
        <v>0</v>
      </c>
      <c r="EB14" s="1007">
        <f t="shared" si="21"/>
        <v>0</v>
      </c>
      <c r="EC14" s="1007"/>
      <c r="ED14" s="1007">
        <f t="shared" si="22"/>
        <v>0</v>
      </c>
    </row>
    <row r="15" spans="1:134" ht="34.5" customHeight="1" x14ac:dyDescent="0.25">
      <c r="A15" s="1565"/>
      <c r="B15" s="1020"/>
      <c r="C15" s="1114" t="s">
        <v>4596</v>
      </c>
      <c r="D15" s="1018" t="s">
        <v>4586</v>
      </c>
      <c r="E15" s="1019">
        <v>510</v>
      </c>
      <c r="F15" s="1117" t="s">
        <v>4660</v>
      </c>
      <c r="G15" s="1429"/>
      <c r="H15" s="1060">
        <f t="shared" si="0"/>
        <v>0</v>
      </c>
      <c r="I15" s="1060">
        <f t="shared" si="1"/>
        <v>10000000</v>
      </c>
      <c r="J15" s="1429"/>
      <c r="K15" s="1562"/>
      <c r="L15" s="1562"/>
      <c r="M15" s="1113">
        <v>0</v>
      </c>
      <c r="N15" s="1113">
        <v>0</v>
      </c>
      <c r="O15" s="1113">
        <v>0</v>
      </c>
      <c r="P15" s="1113">
        <v>0</v>
      </c>
      <c r="Q15" s="1113">
        <v>0</v>
      </c>
      <c r="R15" s="1113">
        <v>0</v>
      </c>
      <c r="S15" s="1117"/>
      <c r="T15" s="1117"/>
      <c r="U15" s="1117"/>
      <c r="V15" s="1117"/>
      <c r="W15" s="1117"/>
      <c r="X15" s="1117"/>
      <c r="Y15" s="1007">
        <f t="shared" si="2"/>
        <v>10000000</v>
      </c>
      <c r="Z15" s="1007"/>
      <c r="AA15" s="1007"/>
      <c r="AB15" s="1007"/>
      <c r="AC15" s="1007"/>
      <c r="AD15" s="1007"/>
      <c r="AE15" s="1007">
        <v>10000000</v>
      </c>
      <c r="AF15" s="1007"/>
      <c r="AG15" s="1007"/>
      <c r="AH15" s="1007"/>
      <c r="AI15" s="1007"/>
      <c r="AJ15" s="1007"/>
      <c r="AK15" s="1007"/>
      <c r="AL15" s="1007"/>
      <c r="AM15" s="1007"/>
      <c r="AN15" s="1007"/>
      <c r="AO15" s="1007"/>
      <c r="AP15" s="1007"/>
      <c r="AQ15" s="1007"/>
      <c r="AR15" s="1007"/>
      <c r="AS15" s="1007"/>
      <c r="AU15" s="1010">
        <f t="shared" si="3"/>
        <v>0</v>
      </c>
      <c r="AV15" s="1007">
        <f t="shared" si="4"/>
        <v>0</v>
      </c>
      <c r="AW15" s="1007"/>
      <c r="AX15" s="1007"/>
      <c r="AY15" s="1007"/>
      <c r="AZ15" s="1007"/>
      <c r="BA15" s="1007"/>
      <c r="BB15" s="1007"/>
      <c r="BC15" s="1007"/>
      <c r="BD15" s="1007"/>
      <c r="BE15" s="1007"/>
      <c r="BF15" s="1007"/>
      <c r="BG15" s="1007"/>
      <c r="BH15" s="1007"/>
      <c r="BI15" s="1007"/>
      <c r="BJ15" s="1007"/>
      <c r="BK15" s="1007"/>
      <c r="BL15" s="1007"/>
      <c r="BM15" s="1007"/>
      <c r="BN15" s="1007"/>
      <c r="BO15" s="1007"/>
      <c r="BP15" s="1007"/>
      <c r="BQ15" s="1010">
        <f t="shared" si="5"/>
        <v>1</v>
      </c>
      <c r="BR15" s="1007">
        <f t="shared" si="6"/>
        <v>10000000</v>
      </c>
      <c r="BS15" s="1007">
        <f t="shared" si="7"/>
        <v>0</v>
      </c>
      <c r="BT15" s="1007">
        <f t="shared" si="8"/>
        <v>0</v>
      </c>
      <c r="BU15" s="1007"/>
      <c r="BV15" s="1007">
        <f t="shared" si="9"/>
        <v>0</v>
      </c>
      <c r="BW15" s="1007"/>
      <c r="BX15" s="1007">
        <f t="shared" si="10"/>
        <v>10000000</v>
      </c>
      <c r="BY15" s="1007">
        <f t="shared" si="10"/>
        <v>0</v>
      </c>
      <c r="BZ15" s="1007"/>
      <c r="CA15" s="1007"/>
      <c r="CB15" s="1007"/>
      <c r="CC15" s="1007"/>
      <c r="CD15" s="1007">
        <f t="shared" si="11"/>
        <v>0</v>
      </c>
      <c r="CE15" s="1007">
        <f t="shared" si="11"/>
        <v>0</v>
      </c>
      <c r="CF15" s="1007">
        <f t="shared" si="11"/>
        <v>0</v>
      </c>
      <c r="CG15" s="1007">
        <f t="shared" si="11"/>
        <v>0</v>
      </c>
      <c r="CH15" s="1007">
        <f t="shared" si="11"/>
        <v>0</v>
      </c>
      <c r="CI15" s="1007">
        <f t="shared" si="11"/>
        <v>0</v>
      </c>
      <c r="CJ15" s="1007"/>
      <c r="CK15" s="1007"/>
      <c r="CL15" s="1007">
        <f t="shared" si="12"/>
        <v>0</v>
      </c>
      <c r="CM15" s="1010">
        <f t="shared" si="13"/>
        <v>0</v>
      </c>
      <c r="CN15" s="1007">
        <f t="shared" si="14"/>
        <v>0</v>
      </c>
      <c r="CO15" s="1007"/>
      <c r="CP15" s="1007"/>
      <c r="CQ15" s="1007"/>
      <c r="CR15" s="1007"/>
      <c r="CS15" s="1007"/>
      <c r="CT15" s="1007"/>
      <c r="CU15" s="1007"/>
      <c r="CV15" s="1007"/>
      <c r="CW15" s="1007"/>
      <c r="CX15" s="1007"/>
      <c r="CY15" s="1007"/>
      <c r="CZ15" s="1007"/>
      <c r="DA15" s="1007"/>
      <c r="DB15" s="1007"/>
      <c r="DC15" s="1007"/>
      <c r="DD15" s="1007"/>
      <c r="DE15" s="1007"/>
      <c r="DF15" s="1007"/>
      <c r="DG15" s="1007"/>
      <c r="DH15" s="1007"/>
      <c r="DI15" s="1010">
        <f t="shared" si="15"/>
        <v>1</v>
      </c>
      <c r="DJ15" s="1007">
        <f t="shared" si="16"/>
        <v>10000000</v>
      </c>
      <c r="DK15" s="1007">
        <f t="shared" si="17"/>
        <v>0</v>
      </c>
      <c r="DL15" s="1007">
        <f t="shared" si="17"/>
        <v>0</v>
      </c>
      <c r="DM15" s="1007"/>
      <c r="DN15" s="1007">
        <f t="shared" si="18"/>
        <v>0</v>
      </c>
      <c r="DO15" s="1007">
        <f t="shared" si="18"/>
        <v>0</v>
      </c>
      <c r="DP15" s="1007">
        <f t="shared" si="18"/>
        <v>10000000</v>
      </c>
      <c r="DQ15" s="1007">
        <f t="shared" si="18"/>
        <v>0</v>
      </c>
      <c r="DR15" s="1007"/>
      <c r="DS15" s="1007">
        <f t="shared" si="19"/>
        <v>0</v>
      </c>
      <c r="DT15" s="1007">
        <f t="shared" si="19"/>
        <v>0</v>
      </c>
      <c r="DU15" s="1007"/>
      <c r="DV15" s="1007">
        <f t="shared" si="20"/>
        <v>0</v>
      </c>
      <c r="DW15" s="1007">
        <f t="shared" si="20"/>
        <v>0</v>
      </c>
      <c r="DX15" s="1007">
        <f t="shared" si="20"/>
        <v>0</v>
      </c>
      <c r="DY15" s="1007">
        <f t="shared" si="21"/>
        <v>0</v>
      </c>
      <c r="DZ15" s="1007">
        <f t="shared" si="21"/>
        <v>0</v>
      </c>
      <c r="EA15" s="1007">
        <f t="shared" si="21"/>
        <v>0</v>
      </c>
      <c r="EB15" s="1007">
        <f t="shared" si="21"/>
        <v>0</v>
      </c>
      <c r="EC15" s="1007"/>
      <c r="ED15" s="1007">
        <f t="shared" si="22"/>
        <v>0</v>
      </c>
    </row>
    <row r="16" spans="1:134" s="203" customFormat="1" ht="29.25" customHeight="1" x14ac:dyDescent="0.25">
      <c r="A16" s="1565"/>
      <c r="B16" s="1079"/>
      <c r="C16" s="1080" t="s">
        <v>4685</v>
      </c>
      <c r="D16" s="1018" t="s">
        <v>4697</v>
      </c>
      <c r="E16" s="1019">
        <v>510</v>
      </c>
      <c r="F16" s="1117" t="s">
        <v>4660</v>
      </c>
      <c r="G16" s="1430"/>
      <c r="H16" s="1060">
        <f t="shared" si="0"/>
        <v>0</v>
      </c>
      <c r="I16" s="1060">
        <f t="shared" si="1"/>
        <v>0</v>
      </c>
      <c r="J16" s="1430"/>
      <c r="K16" s="1258"/>
      <c r="L16" s="1258"/>
      <c r="M16" s="1074">
        <v>0</v>
      </c>
      <c r="N16" s="1074">
        <v>0</v>
      </c>
      <c r="O16" s="1074">
        <v>0</v>
      </c>
      <c r="P16" s="1074"/>
      <c r="Q16" s="1074"/>
      <c r="R16" s="1074"/>
      <c r="S16" s="1117"/>
      <c r="T16" s="1117"/>
      <c r="U16" s="1117"/>
      <c r="V16" s="1117"/>
      <c r="W16" s="1117"/>
      <c r="X16" s="1117"/>
      <c r="Y16" s="1066">
        <f t="shared" si="2"/>
        <v>0</v>
      </c>
      <c r="Z16" s="1066"/>
      <c r="AA16" s="1066"/>
      <c r="AB16" s="1066"/>
      <c r="AC16" s="1066"/>
      <c r="AD16" s="1066"/>
      <c r="AE16" s="1066"/>
      <c r="AF16" s="1066"/>
      <c r="AG16" s="1066"/>
      <c r="AH16" s="1066"/>
      <c r="AI16" s="1066"/>
      <c r="AJ16" s="1066"/>
      <c r="AK16" s="1066"/>
      <c r="AL16" s="1066"/>
      <c r="AM16" s="1066"/>
      <c r="AN16" s="1066">
        <f>100000000-100000000</f>
        <v>0</v>
      </c>
      <c r="AO16" s="1066"/>
      <c r="AP16" s="1066"/>
      <c r="AQ16" s="1066"/>
      <c r="AR16" s="1066"/>
      <c r="AS16" s="1066"/>
      <c r="AU16" s="1081" t="e">
        <f t="shared" si="3"/>
        <v>#DIV/0!</v>
      </c>
      <c r="AV16" s="1066">
        <f t="shared" si="4"/>
        <v>0</v>
      </c>
      <c r="AW16" s="1066"/>
      <c r="AX16" s="1066"/>
      <c r="AY16" s="1066"/>
      <c r="AZ16" s="1066"/>
      <c r="BA16" s="1066"/>
      <c r="BB16" s="1066"/>
      <c r="BC16" s="1066"/>
      <c r="BD16" s="1066"/>
      <c r="BE16" s="1066"/>
      <c r="BF16" s="1066"/>
      <c r="BG16" s="1066"/>
      <c r="BH16" s="1066"/>
      <c r="BI16" s="1066"/>
      <c r="BJ16" s="1066"/>
      <c r="BK16" s="1066"/>
      <c r="BL16" s="1066"/>
      <c r="BM16" s="1066"/>
      <c r="BN16" s="1066"/>
      <c r="BO16" s="1066"/>
      <c r="BP16" s="1066"/>
      <c r="BQ16" s="1081" t="e">
        <f t="shared" si="5"/>
        <v>#DIV/0!</v>
      </c>
      <c r="BR16" s="1066">
        <f t="shared" si="6"/>
        <v>0</v>
      </c>
      <c r="BS16" s="1066">
        <f t="shared" si="7"/>
        <v>0</v>
      </c>
      <c r="BT16" s="1066">
        <f t="shared" si="8"/>
        <v>0</v>
      </c>
      <c r="BU16" s="1066"/>
      <c r="BV16" s="1066">
        <f t="shared" si="9"/>
        <v>0</v>
      </c>
      <c r="BW16" s="1066"/>
      <c r="BX16" s="1066">
        <f t="shared" si="10"/>
        <v>0</v>
      </c>
      <c r="BY16" s="1066">
        <f t="shared" si="10"/>
        <v>0</v>
      </c>
      <c r="BZ16" s="1066"/>
      <c r="CA16" s="1066"/>
      <c r="CB16" s="1066"/>
      <c r="CC16" s="1066"/>
      <c r="CD16" s="1066">
        <f t="shared" si="11"/>
        <v>0</v>
      </c>
      <c r="CE16" s="1066">
        <f t="shared" si="11"/>
        <v>0</v>
      </c>
      <c r="CF16" s="1066">
        <f t="shared" si="11"/>
        <v>0</v>
      </c>
      <c r="CG16" s="1066">
        <f t="shared" si="11"/>
        <v>0</v>
      </c>
      <c r="CH16" s="1066">
        <f t="shared" si="11"/>
        <v>0</v>
      </c>
      <c r="CI16" s="1066">
        <f t="shared" si="11"/>
        <v>0</v>
      </c>
      <c r="CJ16" s="1066"/>
      <c r="CK16" s="1066"/>
      <c r="CL16" s="1066">
        <f t="shared" si="12"/>
        <v>0</v>
      </c>
      <c r="CM16" s="1081" t="e">
        <f t="shared" si="13"/>
        <v>#DIV/0!</v>
      </c>
      <c r="CN16" s="1066">
        <f t="shared" si="14"/>
        <v>0</v>
      </c>
      <c r="CO16" s="1066"/>
      <c r="CP16" s="1066"/>
      <c r="CQ16" s="1066"/>
      <c r="CR16" s="1066"/>
      <c r="CS16" s="1066"/>
      <c r="CT16" s="1066"/>
      <c r="CU16" s="1066"/>
      <c r="CV16" s="1066"/>
      <c r="CW16" s="1066"/>
      <c r="CX16" s="1066"/>
      <c r="CY16" s="1066"/>
      <c r="CZ16" s="1066"/>
      <c r="DA16" s="1066"/>
      <c r="DB16" s="1066"/>
      <c r="DC16" s="1066"/>
      <c r="DD16" s="1066"/>
      <c r="DE16" s="1066"/>
      <c r="DF16" s="1066"/>
      <c r="DG16" s="1066"/>
      <c r="DH16" s="1066"/>
      <c r="DI16" s="1081" t="e">
        <f t="shared" si="15"/>
        <v>#DIV/0!</v>
      </c>
      <c r="DJ16" s="1066">
        <f t="shared" si="16"/>
        <v>0</v>
      </c>
      <c r="DK16" s="1066">
        <f t="shared" si="17"/>
        <v>0</v>
      </c>
      <c r="DL16" s="1066">
        <f t="shared" si="17"/>
        <v>0</v>
      </c>
      <c r="DM16" s="1066"/>
      <c r="DN16" s="1066">
        <f t="shared" si="18"/>
        <v>0</v>
      </c>
      <c r="DO16" s="1066">
        <f t="shared" si="18"/>
        <v>0</v>
      </c>
      <c r="DP16" s="1066">
        <f t="shared" si="18"/>
        <v>0</v>
      </c>
      <c r="DQ16" s="1066">
        <f t="shared" si="18"/>
        <v>0</v>
      </c>
      <c r="DR16" s="1066"/>
      <c r="DS16" s="1066">
        <f t="shared" si="19"/>
        <v>0</v>
      </c>
      <c r="DT16" s="1066">
        <f t="shared" si="19"/>
        <v>0</v>
      </c>
      <c r="DU16" s="1066"/>
      <c r="DV16" s="1066">
        <f t="shared" si="20"/>
        <v>0</v>
      </c>
      <c r="DW16" s="1066">
        <f t="shared" si="20"/>
        <v>0</v>
      </c>
      <c r="DX16" s="1066">
        <f t="shared" si="20"/>
        <v>0</v>
      </c>
      <c r="DY16" s="1066">
        <f t="shared" si="21"/>
        <v>0</v>
      </c>
      <c r="DZ16" s="1066">
        <f t="shared" si="21"/>
        <v>0</v>
      </c>
      <c r="EA16" s="1066">
        <f t="shared" si="21"/>
        <v>0</v>
      </c>
      <c r="EB16" s="1066">
        <f t="shared" si="21"/>
        <v>0</v>
      </c>
      <c r="EC16" s="1066"/>
      <c r="ED16" s="1066">
        <f t="shared" si="22"/>
        <v>0</v>
      </c>
    </row>
    <row r="17" spans="1:134" ht="66.75" customHeight="1" x14ac:dyDescent="0.25">
      <c r="A17" s="1565"/>
      <c r="B17" s="1064" t="s">
        <v>4301</v>
      </c>
      <c r="C17" s="1114" t="s">
        <v>4399</v>
      </c>
      <c r="D17" s="1018" t="s">
        <v>4683</v>
      </c>
      <c r="E17" s="1019">
        <v>310</v>
      </c>
      <c r="F17" s="1117" t="s">
        <v>4728</v>
      </c>
      <c r="G17" s="1428">
        <v>916000000</v>
      </c>
      <c r="H17" s="1060">
        <f t="shared" si="0"/>
        <v>278367754</v>
      </c>
      <c r="I17" s="1060">
        <f t="shared" si="1"/>
        <v>231555865</v>
      </c>
      <c r="J17" s="1428" t="s">
        <v>4763</v>
      </c>
      <c r="K17" s="1257" t="s">
        <v>4765</v>
      </c>
      <c r="L17" s="1257" t="s">
        <v>4764</v>
      </c>
      <c r="M17" s="1113">
        <v>12</v>
      </c>
      <c r="N17" s="1113">
        <v>0</v>
      </c>
      <c r="O17" s="1113">
        <v>0</v>
      </c>
      <c r="P17" s="1113">
        <v>16</v>
      </c>
      <c r="Q17" s="1113">
        <v>25</v>
      </c>
      <c r="R17" s="1113">
        <v>4</v>
      </c>
      <c r="S17" s="1121"/>
      <c r="T17" s="1121"/>
      <c r="U17" s="1121"/>
      <c r="V17" s="1121"/>
      <c r="W17" s="1121"/>
      <c r="X17" s="1121"/>
      <c r="Y17" s="1007">
        <f t="shared" si="2"/>
        <v>509923619</v>
      </c>
      <c r="Z17" s="1007"/>
      <c r="AA17" s="1007"/>
      <c r="AB17" s="1007"/>
      <c r="AC17" s="1007"/>
      <c r="AD17" s="1007"/>
      <c r="AE17" s="1007">
        <v>390000000</v>
      </c>
      <c r="AF17" s="1007"/>
      <c r="AG17" s="1007"/>
      <c r="AH17" s="1007"/>
      <c r="AI17" s="1007"/>
      <c r="AJ17" s="1007"/>
      <c r="AK17" s="1007"/>
      <c r="AL17" s="1007"/>
      <c r="AM17" s="1007"/>
      <c r="AN17" s="1007">
        <f>150000000-125000000</f>
        <v>25000000</v>
      </c>
      <c r="AO17" s="1007"/>
      <c r="AP17" s="1007"/>
      <c r="AQ17" s="1007"/>
      <c r="AR17" s="1007"/>
      <c r="AS17" s="1007">
        <f>12388298+18001909+6000000+20000000+3962083+17271329+17300000</f>
        <v>94923619</v>
      </c>
      <c r="AU17" s="1010">
        <f t="shared" si="3"/>
        <v>0.60609398247936419</v>
      </c>
      <c r="AV17" s="1007">
        <f t="shared" si="4"/>
        <v>309061637</v>
      </c>
      <c r="AW17" s="1007"/>
      <c r="AX17" s="1007"/>
      <c r="AY17" s="1007"/>
      <c r="AZ17" s="1007"/>
      <c r="BA17" s="1007"/>
      <c r="BB17" s="1007">
        <f>+'[8]SEPTIEMBRE 2015'!$O$468</f>
        <v>217044496</v>
      </c>
      <c r="BC17" s="1007"/>
      <c r="BD17" s="1007"/>
      <c r="BE17" s="1007"/>
      <c r="BF17" s="1007"/>
      <c r="BG17" s="1007"/>
      <c r="BH17" s="1007"/>
      <c r="BI17" s="1007"/>
      <c r="BJ17" s="1007"/>
      <c r="BK17" s="1007"/>
      <c r="BL17" s="1007"/>
      <c r="BM17" s="1007"/>
      <c r="BN17" s="1007"/>
      <c r="BO17" s="1007"/>
      <c r="BP17" s="1007">
        <f>+'[8]SEPTIEMBRE 2015'!$AD$468</f>
        <v>92017141</v>
      </c>
      <c r="BQ17" s="1010">
        <f t="shared" si="5"/>
        <v>0.39390601752063581</v>
      </c>
      <c r="BR17" s="1007">
        <f t="shared" si="6"/>
        <v>200861982</v>
      </c>
      <c r="BS17" s="1007">
        <f t="shared" si="7"/>
        <v>0</v>
      </c>
      <c r="BT17" s="1007">
        <f t="shared" si="8"/>
        <v>0</v>
      </c>
      <c r="BU17" s="1007"/>
      <c r="BV17" s="1007">
        <f t="shared" si="9"/>
        <v>0</v>
      </c>
      <c r="BW17" s="1007"/>
      <c r="BX17" s="1007">
        <f t="shared" si="10"/>
        <v>172955504</v>
      </c>
      <c r="BY17" s="1007">
        <f t="shared" si="10"/>
        <v>0</v>
      </c>
      <c r="BZ17" s="1007"/>
      <c r="CA17" s="1007"/>
      <c r="CB17" s="1007"/>
      <c r="CC17" s="1007"/>
      <c r="CD17" s="1007">
        <f t="shared" si="11"/>
        <v>0</v>
      </c>
      <c r="CE17" s="1007">
        <f t="shared" si="11"/>
        <v>0</v>
      </c>
      <c r="CF17" s="1007">
        <f t="shared" si="11"/>
        <v>0</v>
      </c>
      <c r="CG17" s="1007">
        <f t="shared" si="11"/>
        <v>25000000</v>
      </c>
      <c r="CH17" s="1007">
        <f t="shared" si="11"/>
        <v>0</v>
      </c>
      <c r="CI17" s="1007">
        <f t="shared" si="11"/>
        <v>0</v>
      </c>
      <c r="CJ17" s="1007"/>
      <c r="CK17" s="1007"/>
      <c r="CL17" s="1007">
        <f t="shared" si="12"/>
        <v>2906478</v>
      </c>
      <c r="CM17" s="1010">
        <f t="shared" si="13"/>
        <v>0.54590088324581021</v>
      </c>
      <c r="CN17" s="1007">
        <f t="shared" si="14"/>
        <v>278367754</v>
      </c>
      <c r="CO17" s="1007"/>
      <c r="CP17" s="1007"/>
      <c r="CQ17" s="1007"/>
      <c r="CR17" s="1007"/>
      <c r="CS17" s="1007"/>
      <c r="CT17" s="1007">
        <f>+'[8]SEPTIEMBRE 2015'!$H$466-DH17</f>
        <v>214044496</v>
      </c>
      <c r="CU17" s="1007"/>
      <c r="CV17" s="1007"/>
      <c r="CW17" s="1007"/>
      <c r="CX17" s="1007"/>
      <c r="CY17" s="1007"/>
      <c r="CZ17" s="1007"/>
      <c r="DA17" s="1007"/>
      <c r="DB17" s="1007"/>
      <c r="DC17" s="1007"/>
      <c r="DD17" s="1007"/>
      <c r="DE17" s="1007"/>
      <c r="DF17" s="1007"/>
      <c r="DG17" s="1007"/>
      <c r="DH17" s="1007">
        <f>+'[8]SEPTIEMBRE 2015'!$H$469+'[8]SEPTIEMBRE 2015'!$H$495+'[8]SEPTIEMBRE 2015'!$H$503+'[8]SEPTIEMBRE 2015'!$H$527+'[8]SEPTIEMBRE 2015'!$H$609+'[8]SEPTIEMBRE 2015'!$H$672+'[8]SEPTIEMBRE 2015'!$H$723+'[8]SEPTIEMBRE 2015'!$H$729+'[8]SEPTIEMBRE 2015'!$H$742</f>
        <v>64323258</v>
      </c>
      <c r="DI17" s="1010">
        <f t="shared" si="15"/>
        <v>0.45409911675418979</v>
      </c>
      <c r="DJ17" s="1007">
        <f t="shared" si="16"/>
        <v>231555865</v>
      </c>
      <c r="DK17" s="1007">
        <f t="shared" si="17"/>
        <v>0</v>
      </c>
      <c r="DL17" s="1007">
        <f t="shared" si="17"/>
        <v>0</v>
      </c>
      <c r="DM17" s="1007"/>
      <c r="DN17" s="1007">
        <f t="shared" si="18"/>
        <v>0</v>
      </c>
      <c r="DO17" s="1007">
        <f t="shared" si="18"/>
        <v>0</v>
      </c>
      <c r="DP17" s="1007">
        <f t="shared" si="18"/>
        <v>175955504</v>
      </c>
      <c r="DQ17" s="1007">
        <f t="shared" si="18"/>
        <v>0</v>
      </c>
      <c r="DR17" s="1007"/>
      <c r="DS17" s="1007">
        <f t="shared" si="19"/>
        <v>0</v>
      </c>
      <c r="DT17" s="1007">
        <f t="shared" si="19"/>
        <v>0</v>
      </c>
      <c r="DU17" s="1007"/>
      <c r="DV17" s="1007">
        <f t="shared" si="20"/>
        <v>0</v>
      </c>
      <c r="DW17" s="1007">
        <f t="shared" si="20"/>
        <v>0</v>
      </c>
      <c r="DX17" s="1007">
        <f t="shared" si="20"/>
        <v>0</v>
      </c>
      <c r="DY17" s="1007">
        <f t="shared" si="21"/>
        <v>25000000</v>
      </c>
      <c r="DZ17" s="1007">
        <f t="shared" si="21"/>
        <v>0</v>
      </c>
      <c r="EA17" s="1007">
        <f t="shared" si="21"/>
        <v>0</v>
      </c>
      <c r="EB17" s="1007">
        <f t="shared" si="21"/>
        <v>0</v>
      </c>
      <c r="EC17" s="1007"/>
      <c r="ED17" s="1007">
        <f t="shared" si="22"/>
        <v>30600361</v>
      </c>
    </row>
    <row r="18" spans="1:134" ht="35.25" customHeight="1" x14ac:dyDescent="0.25">
      <c r="A18" s="1565"/>
      <c r="B18" s="1020"/>
      <c r="C18" s="1114" t="s">
        <v>4597</v>
      </c>
      <c r="D18" s="1018" t="s">
        <v>4698</v>
      </c>
      <c r="E18" s="1019">
        <v>310</v>
      </c>
      <c r="F18" s="1117" t="s">
        <v>4729</v>
      </c>
      <c r="G18" s="1429"/>
      <c r="H18" s="1060">
        <f t="shared" si="0"/>
        <v>186409675</v>
      </c>
      <c r="I18" s="1060">
        <f t="shared" si="1"/>
        <v>35575469</v>
      </c>
      <c r="J18" s="1429"/>
      <c r="K18" s="1562"/>
      <c r="L18" s="1562"/>
      <c r="M18" s="1113">
        <v>9</v>
      </c>
      <c r="N18" s="1113">
        <v>30</v>
      </c>
      <c r="O18" s="1113">
        <v>3</v>
      </c>
      <c r="P18" s="1113">
        <v>10</v>
      </c>
      <c r="Q18" s="1113">
        <v>80</v>
      </c>
      <c r="R18" s="1113">
        <v>8</v>
      </c>
      <c r="S18" s="1122"/>
      <c r="T18" s="1122"/>
      <c r="U18" s="1122"/>
      <c r="V18" s="1122"/>
      <c r="W18" s="1122"/>
      <c r="X18" s="1122"/>
      <c r="Y18" s="1007">
        <f t="shared" si="2"/>
        <v>221985144</v>
      </c>
      <c r="Z18" s="1007"/>
      <c r="AA18" s="1007"/>
      <c r="AB18" s="1007"/>
      <c r="AC18" s="1007"/>
      <c r="AD18" s="1007"/>
      <c r="AE18" s="1007">
        <v>30000000</v>
      </c>
      <c r="AF18" s="1007">
        <f>222000000-30014856</f>
        <v>191985144</v>
      </c>
      <c r="AG18" s="1007"/>
      <c r="AH18" s="1007"/>
      <c r="AI18" s="1007"/>
      <c r="AJ18" s="1007"/>
      <c r="AK18" s="1007"/>
      <c r="AL18" s="1007"/>
      <c r="AM18" s="1007"/>
      <c r="AN18" s="1007"/>
      <c r="AO18" s="1007"/>
      <c r="AP18" s="1007"/>
      <c r="AQ18" s="1007"/>
      <c r="AR18" s="1007"/>
      <c r="AS18" s="1007">
        <f>3000000-3000000</f>
        <v>0</v>
      </c>
      <c r="AT18" s="949"/>
      <c r="AU18" s="1010">
        <f t="shared" si="3"/>
        <v>0.88627856556022511</v>
      </c>
      <c r="AV18" s="1007">
        <f t="shared" si="4"/>
        <v>196740675</v>
      </c>
      <c r="AW18" s="1007"/>
      <c r="AX18" s="1007"/>
      <c r="AY18" s="1007"/>
      <c r="AZ18" s="1007"/>
      <c r="BA18" s="1007"/>
      <c r="BB18" s="1007">
        <f>+'[10]JULIO 2015'!$O$577</f>
        <v>30000000</v>
      </c>
      <c r="BC18" s="1007">
        <f>+'[8]SEPTIEMBRE 2015'!$P$754</f>
        <v>166740675</v>
      </c>
      <c r="BD18" s="1007"/>
      <c r="BE18" s="1007"/>
      <c r="BF18" s="1007"/>
      <c r="BG18" s="1007"/>
      <c r="BH18" s="1007"/>
      <c r="BI18" s="1007"/>
      <c r="BJ18" s="1007"/>
      <c r="BK18" s="1007"/>
      <c r="BL18" s="1007"/>
      <c r="BM18" s="1007"/>
      <c r="BN18" s="1007"/>
      <c r="BO18" s="1007"/>
      <c r="BP18" s="1007"/>
      <c r="BQ18" s="1010">
        <f t="shared" si="5"/>
        <v>0.11372143443977489</v>
      </c>
      <c r="BR18" s="1007">
        <f t="shared" si="6"/>
        <v>25244469</v>
      </c>
      <c r="BS18" s="1007">
        <f t="shared" si="7"/>
        <v>0</v>
      </c>
      <c r="BT18" s="1007">
        <f t="shared" si="8"/>
        <v>0</v>
      </c>
      <c r="BU18" s="1007"/>
      <c r="BV18" s="1007">
        <f t="shared" si="9"/>
        <v>0</v>
      </c>
      <c r="BW18" s="1007"/>
      <c r="BX18" s="1007">
        <f t="shared" si="10"/>
        <v>0</v>
      </c>
      <c r="BY18" s="1007">
        <f t="shared" si="10"/>
        <v>25244469</v>
      </c>
      <c r="BZ18" s="1007"/>
      <c r="CA18" s="1007">
        <f>+AH18-BE18</f>
        <v>0</v>
      </c>
      <c r="CB18" s="1007">
        <f>+AI18-BF18</f>
        <v>0</v>
      </c>
      <c r="CC18" s="1007">
        <f>+AJ18-BG18</f>
        <v>0</v>
      </c>
      <c r="CD18" s="1007">
        <f t="shared" si="11"/>
        <v>0</v>
      </c>
      <c r="CE18" s="1007">
        <f t="shared" si="11"/>
        <v>0</v>
      </c>
      <c r="CF18" s="1007">
        <f t="shared" si="11"/>
        <v>0</v>
      </c>
      <c r="CG18" s="1007">
        <f t="shared" si="11"/>
        <v>0</v>
      </c>
      <c r="CH18" s="1007">
        <f t="shared" si="11"/>
        <v>0</v>
      </c>
      <c r="CI18" s="1007">
        <f t="shared" si="11"/>
        <v>0</v>
      </c>
      <c r="CJ18" s="1007"/>
      <c r="CK18" s="1007"/>
      <c r="CL18" s="1007">
        <f t="shared" si="12"/>
        <v>0</v>
      </c>
      <c r="CM18" s="1010">
        <f t="shared" si="13"/>
        <v>0.83973941517455786</v>
      </c>
      <c r="CN18" s="1007">
        <f t="shared" si="14"/>
        <v>186409675</v>
      </c>
      <c r="CO18" s="1007"/>
      <c r="CP18" s="1007"/>
      <c r="CQ18" s="1007"/>
      <c r="CR18" s="1007"/>
      <c r="CS18" s="1007"/>
      <c r="CT18" s="1007">
        <f>+'[8]SEPTIEMBRE 2015'!$H$755+'[8]SEPTIEMBRE 2015'!$H$756+'[8]SEPTIEMBRE 2015'!$H$757+'[8]SEPTIEMBRE 2015'!$H$758+'[8]SEPTIEMBRE 2015'!$H$760+'[8]SEPTIEMBRE 2015'!$H$762</f>
        <v>29177750</v>
      </c>
      <c r="CU18" s="1007">
        <f>+'[8]SEPTIEMBRE 2015'!$H$752-CT18</f>
        <v>157231925</v>
      </c>
      <c r="CV18" s="1007"/>
      <c r="CW18" s="1007"/>
      <c r="CX18" s="1007"/>
      <c r="CY18" s="1007"/>
      <c r="CZ18" s="1007"/>
      <c r="DA18" s="1007"/>
      <c r="DB18" s="1007"/>
      <c r="DC18" s="1007"/>
      <c r="DD18" s="1007"/>
      <c r="DE18" s="1007"/>
      <c r="DF18" s="1007"/>
      <c r="DG18" s="1007"/>
      <c r="DH18" s="1007"/>
      <c r="DI18" s="1010">
        <f t="shared" si="15"/>
        <v>0.16026058482544214</v>
      </c>
      <c r="DJ18" s="1007">
        <f t="shared" si="16"/>
        <v>35575469</v>
      </c>
      <c r="DK18" s="1007">
        <f t="shared" si="17"/>
        <v>0</v>
      </c>
      <c r="DL18" s="1007">
        <f t="shared" si="17"/>
        <v>0</v>
      </c>
      <c r="DM18" s="1007"/>
      <c r="DN18" s="1007">
        <f t="shared" si="18"/>
        <v>0</v>
      </c>
      <c r="DO18" s="1007">
        <f t="shared" si="18"/>
        <v>0</v>
      </c>
      <c r="DP18" s="1007">
        <f t="shared" si="18"/>
        <v>822250</v>
      </c>
      <c r="DQ18" s="1007">
        <f t="shared" si="18"/>
        <v>34753219</v>
      </c>
      <c r="DR18" s="1007"/>
      <c r="DS18" s="1007">
        <f t="shared" si="19"/>
        <v>0</v>
      </c>
      <c r="DT18" s="1007">
        <f t="shared" si="19"/>
        <v>0</v>
      </c>
      <c r="DU18" s="1007"/>
      <c r="DV18" s="1007">
        <f t="shared" si="20"/>
        <v>0</v>
      </c>
      <c r="DW18" s="1007">
        <f t="shared" si="20"/>
        <v>0</v>
      </c>
      <c r="DX18" s="1007">
        <f t="shared" si="20"/>
        <v>0</v>
      </c>
      <c r="DY18" s="1007">
        <f t="shared" si="21"/>
        <v>0</v>
      </c>
      <c r="DZ18" s="1007">
        <f t="shared" si="21"/>
        <v>0</v>
      </c>
      <c r="EA18" s="1007">
        <f t="shared" si="21"/>
        <v>0</v>
      </c>
      <c r="EB18" s="1007">
        <f t="shared" si="21"/>
        <v>0</v>
      </c>
      <c r="EC18" s="1007"/>
      <c r="ED18" s="1007">
        <f t="shared" si="22"/>
        <v>0</v>
      </c>
    </row>
    <row r="19" spans="1:134" ht="36" customHeight="1" x14ac:dyDescent="0.25">
      <c r="A19" s="1565"/>
      <c r="B19" s="1020"/>
      <c r="C19" s="1114" t="s">
        <v>4568</v>
      </c>
      <c r="D19" s="1018" t="s">
        <v>4567</v>
      </c>
      <c r="E19" s="1019">
        <v>310</v>
      </c>
      <c r="F19" s="1117" t="s">
        <v>4660</v>
      </c>
      <c r="G19" s="1429"/>
      <c r="H19" s="1060">
        <f t="shared" si="0"/>
        <v>76759184</v>
      </c>
      <c r="I19" s="1060">
        <f t="shared" si="1"/>
        <v>64240816</v>
      </c>
      <c r="J19" s="1429"/>
      <c r="K19" s="1562"/>
      <c r="L19" s="1562"/>
      <c r="M19" s="1113">
        <v>39</v>
      </c>
      <c r="N19" s="1113">
        <v>0</v>
      </c>
      <c r="O19" s="1113">
        <v>0</v>
      </c>
      <c r="P19" s="1113">
        <v>89</v>
      </c>
      <c r="Q19" s="1113">
        <v>0</v>
      </c>
      <c r="R19" s="1113">
        <v>0</v>
      </c>
      <c r="S19" s="1122"/>
      <c r="T19" s="1122"/>
      <c r="U19" s="1122"/>
      <c r="V19" s="1122"/>
      <c r="W19" s="1122"/>
      <c r="X19" s="1122"/>
      <c r="Y19" s="1007">
        <f t="shared" si="2"/>
        <v>141000000</v>
      </c>
      <c r="Z19" s="1007"/>
      <c r="AA19" s="1007">
        <f>144000000-144000000</f>
        <v>0</v>
      </c>
      <c r="AB19" s="1007"/>
      <c r="AC19" s="1007"/>
      <c r="AD19" s="1007"/>
      <c r="AE19" s="1007"/>
      <c r="AF19" s="1007">
        <f>144000000-64000000+50000000</f>
        <v>130000000</v>
      </c>
      <c r="AG19" s="1007"/>
      <c r="AH19" s="1007"/>
      <c r="AI19" s="1007"/>
      <c r="AJ19" s="1007"/>
      <c r="AK19" s="1007"/>
      <c r="AL19" s="1007"/>
      <c r="AM19" s="1007"/>
      <c r="AN19" s="1007">
        <f>11000000</f>
        <v>11000000</v>
      </c>
      <c r="AO19" s="1007"/>
      <c r="AP19" s="1007"/>
      <c r="AQ19" s="1007"/>
      <c r="AR19" s="1007"/>
      <c r="AS19" s="1007"/>
      <c r="AT19" s="949"/>
      <c r="AU19" s="1010">
        <f t="shared" si="3"/>
        <v>0.56737588652482274</v>
      </c>
      <c r="AV19" s="1007">
        <f t="shared" si="4"/>
        <v>80000000</v>
      </c>
      <c r="AW19" s="1007"/>
      <c r="AX19" s="1007"/>
      <c r="AY19" s="1007"/>
      <c r="AZ19" s="1007"/>
      <c r="BA19" s="1007"/>
      <c r="BB19" s="1007"/>
      <c r="BC19" s="1007">
        <f>+'[11]MARZO 2015'!$O$374</f>
        <v>80000000</v>
      </c>
      <c r="BD19" s="1007"/>
      <c r="BE19" s="1007"/>
      <c r="BF19" s="1007"/>
      <c r="BG19" s="1007"/>
      <c r="BH19" s="1007"/>
      <c r="BI19" s="1007"/>
      <c r="BJ19" s="1007"/>
      <c r="BK19" s="1007"/>
      <c r="BL19" s="1007"/>
      <c r="BM19" s="1007"/>
      <c r="BN19" s="1007"/>
      <c r="BO19" s="1007"/>
      <c r="BP19" s="1007"/>
      <c r="BQ19" s="1010">
        <f t="shared" si="5"/>
        <v>0.43262411347517726</v>
      </c>
      <c r="BR19" s="1007">
        <f t="shared" si="6"/>
        <v>61000000</v>
      </c>
      <c r="BS19" s="1007">
        <f t="shared" si="7"/>
        <v>0</v>
      </c>
      <c r="BT19" s="1007">
        <f t="shared" ref="BT19:BT33" si="23">AA19-AX19</f>
        <v>0</v>
      </c>
      <c r="BU19" s="1007"/>
      <c r="BV19" s="1007">
        <f t="shared" si="9"/>
        <v>0</v>
      </c>
      <c r="BW19" s="1007"/>
      <c r="BX19" s="1007">
        <f t="shared" si="10"/>
        <v>0</v>
      </c>
      <c r="BY19" s="1007">
        <f t="shared" si="10"/>
        <v>50000000</v>
      </c>
      <c r="BZ19" s="1007"/>
      <c r="CA19" s="1007"/>
      <c r="CB19" s="1007"/>
      <c r="CC19" s="1007"/>
      <c r="CD19" s="1007">
        <f t="shared" si="11"/>
        <v>0</v>
      </c>
      <c r="CE19" s="1007">
        <f t="shared" si="11"/>
        <v>0</v>
      </c>
      <c r="CF19" s="1007">
        <f t="shared" si="11"/>
        <v>0</v>
      </c>
      <c r="CG19" s="1007">
        <f t="shared" si="11"/>
        <v>11000000</v>
      </c>
      <c r="CH19" s="1007">
        <f t="shared" si="11"/>
        <v>0</v>
      </c>
      <c r="CI19" s="1007">
        <f t="shared" si="11"/>
        <v>0</v>
      </c>
      <c r="CJ19" s="1007"/>
      <c r="CK19" s="1007"/>
      <c r="CL19" s="1007">
        <f t="shared" si="12"/>
        <v>0</v>
      </c>
      <c r="CM19" s="1010">
        <f t="shared" si="13"/>
        <v>0.54439137588652486</v>
      </c>
      <c r="CN19" s="1007">
        <f t="shared" si="14"/>
        <v>76759184</v>
      </c>
      <c r="CO19" s="1007"/>
      <c r="CP19" s="1007"/>
      <c r="CQ19" s="1007"/>
      <c r="CR19" s="1007"/>
      <c r="CS19" s="1007"/>
      <c r="CT19" s="1007"/>
      <c r="CU19" s="1007">
        <f>+'[8]SEPTIEMBRE 2015'!$H$783</f>
        <v>76759184</v>
      </c>
      <c r="CV19" s="1007"/>
      <c r="CW19" s="1007"/>
      <c r="CX19" s="1007"/>
      <c r="CY19" s="1007"/>
      <c r="CZ19" s="1007"/>
      <c r="DA19" s="1007"/>
      <c r="DB19" s="1007"/>
      <c r="DC19" s="1007"/>
      <c r="DD19" s="1007"/>
      <c r="DE19" s="1007"/>
      <c r="DF19" s="1007"/>
      <c r="DG19" s="1007"/>
      <c r="DH19" s="1007"/>
      <c r="DI19" s="1010">
        <f t="shared" si="15"/>
        <v>0.45560862411347514</v>
      </c>
      <c r="DJ19" s="1007">
        <f t="shared" si="16"/>
        <v>64240816</v>
      </c>
      <c r="DK19" s="1007">
        <f t="shared" si="17"/>
        <v>0</v>
      </c>
      <c r="DL19" s="1007">
        <f t="shared" si="17"/>
        <v>0</v>
      </c>
      <c r="DM19" s="1007"/>
      <c r="DN19" s="1007">
        <f t="shared" si="18"/>
        <v>0</v>
      </c>
      <c r="DO19" s="1007">
        <f t="shared" si="18"/>
        <v>0</v>
      </c>
      <c r="DP19" s="1007">
        <f t="shared" si="18"/>
        <v>0</v>
      </c>
      <c r="DQ19" s="1007">
        <f t="shared" si="18"/>
        <v>53240816</v>
      </c>
      <c r="DR19" s="1007"/>
      <c r="DS19" s="1007">
        <f t="shared" si="19"/>
        <v>0</v>
      </c>
      <c r="DT19" s="1007">
        <f t="shared" si="19"/>
        <v>0</v>
      </c>
      <c r="DU19" s="1007"/>
      <c r="DV19" s="1007">
        <f t="shared" si="20"/>
        <v>0</v>
      </c>
      <c r="DW19" s="1007">
        <f t="shared" si="20"/>
        <v>0</v>
      </c>
      <c r="DX19" s="1007">
        <f t="shared" si="20"/>
        <v>0</v>
      </c>
      <c r="DY19" s="1007">
        <f t="shared" si="21"/>
        <v>11000000</v>
      </c>
      <c r="DZ19" s="1007">
        <f t="shared" si="21"/>
        <v>0</v>
      </c>
      <c r="EA19" s="1007">
        <f t="shared" si="21"/>
        <v>0</v>
      </c>
      <c r="EB19" s="1007">
        <f t="shared" si="21"/>
        <v>0</v>
      </c>
      <c r="EC19" s="1007"/>
      <c r="ED19" s="1007">
        <f t="shared" si="22"/>
        <v>0</v>
      </c>
    </row>
    <row r="20" spans="1:134" ht="34.5" customHeight="1" x14ac:dyDescent="0.25">
      <c r="A20" s="1565"/>
      <c r="B20" s="1020"/>
      <c r="C20" s="1114" t="s">
        <v>4569</v>
      </c>
      <c r="D20" s="1018" t="s">
        <v>4699</v>
      </c>
      <c r="E20" s="1019">
        <v>310</v>
      </c>
      <c r="F20" s="1117" t="s">
        <v>4660</v>
      </c>
      <c r="G20" s="1429"/>
      <c r="H20" s="1060">
        <f t="shared" si="0"/>
        <v>0</v>
      </c>
      <c r="I20" s="1060">
        <f t="shared" si="1"/>
        <v>0</v>
      </c>
      <c r="J20" s="1429"/>
      <c r="K20" s="1562"/>
      <c r="L20" s="1562"/>
      <c r="M20" s="1113">
        <v>0</v>
      </c>
      <c r="N20" s="1113">
        <v>0</v>
      </c>
      <c r="O20" s="1113">
        <v>0</v>
      </c>
      <c r="P20" s="1113">
        <v>0</v>
      </c>
      <c r="Q20" s="1113">
        <v>0</v>
      </c>
      <c r="R20" s="1113">
        <v>0</v>
      </c>
      <c r="S20" s="1122"/>
      <c r="T20" s="1122"/>
      <c r="U20" s="1122"/>
      <c r="V20" s="1122"/>
      <c r="W20" s="1122"/>
      <c r="X20" s="1122"/>
      <c r="Y20" s="1007">
        <f t="shared" si="2"/>
        <v>0</v>
      </c>
      <c r="Z20" s="149"/>
      <c r="AA20" s="944"/>
      <c r="AB20" s="944"/>
      <c r="AC20" s="944"/>
      <c r="AD20" s="944"/>
      <c r="AE20" s="944"/>
      <c r="AF20" s="1007">
        <f>4000000-4000000</f>
        <v>0</v>
      </c>
      <c r="AG20" s="944"/>
      <c r="AH20" s="149"/>
      <c r="AI20" s="149"/>
      <c r="AJ20" s="149"/>
      <c r="AK20" s="149"/>
      <c r="AL20" s="149"/>
      <c r="AM20" s="149"/>
      <c r="AN20" s="1007">
        <f>11000000-11000000</f>
        <v>0</v>
      </c>
      <c r="AO20" s="149"/>
      <c r="AP20" s="149"/>
      <c r="AQ20" s="149"/>
      <c r="AR20" s="149"/>
      <c r="AS20" s="944"/>
      <c r="AT20" s="949"/>
      <c r="AU20" s="1010" t="e">
        <f t="shared" si="3"/>
        <v>#DIV/0!</v>
      </c>
      <c r="AV20" s="1007">
        <f t="shared" si="4"/>
        <v>0</v>
      </c>
      <c r="AW20" s="1007"/>
      <c r="AX20" s="1007"/>
      <c r="AY20" s="1007"/>
      <c r="AZ20" s="1007"/>
      <c r="BA20" s="1007"/>
      <c r="BB20" s="1007"/>
      <c r="BC20" s="1007"/>
      <c r="BD20" s="1007"/>
      <c r="BE20" s="1007"/>
      <c r="BF20" s="1007"/>
      <c r="BG20" s="1007"/>
      <c r="BH20" s="1007"/>
      <c r="BI20" s="1007"/>
      <c r="BJ20" s="1007"/>
      <c r="BK20" s="1007"/>
      <c r="BL20" s="1007"/>
      <c r="BM20" s="1007"/>
      <c r="BN20" s="1007"/>
      <c r="BO20" s="1007"/>
      <c r="BP20" s="1007"/>
      <c r="BQ20" s="1010" t="e">
        <f t="shared" si="5"/>
        <v>#DIV/0!</v>
      </c>
      <c r="BR20" s="1007">
        <f t="shared" si="6"/>
        <v>0</v>
      </c>
      <c r="BS20" s="1007">
        <f t="shared" si="7"/>
        <v>0</v>
      </c>
      <c r="BT20" s="1007">
        <f t="shared" si="23"/>
        <v>0</v>
      </c>
      <c r="BU20" s="1007"/>
      <c r="BV20" s="1007">
        <f t="shared" si="9"/>
        <v>0</v>
      </c>
      <c r="BW20" s="1007"/>
      <c r="BX20" s="1007">
        <f t="shared" si="10"/>
        <v>0</v>
      </c>
      <c r="BY20" s="1007">
        <f t="shared" si="10"/>
        <v>0</v>
      </c>
      <c r="BZ20" s="1007"/>
      <c r="CA20" s="1007"/>
      <c r="CB20" s="1007"/>
      <c r="CC20" s="1007"/>
      <c r="CD20" s="1007">
        <f t="shared" ref="CD20:CI33" si="24">+AK20-BH20</f>
        <v>0</v>
      </c>
      <c r="CE20" s="1007">
        <f t="shared" si="24"/>
        <v>0</v>
      </c>
      <c r="CF20" s="1007">
        <f t="shared" si="24"/>
        <v>0</v>
      </c>
      <c r="CG20" s="1007">
        <f t="shared" si="24"/>
        <v>0</v>
      </c>
      <c r="CH20" s="1007">
        <f t="shared" si="24"/>
        <v>0</v>
      </c>
      <c r="CI20" s="1007">
        <f t="shared" si="24"/>
        <v>0</v>
      </c>
      <c r="CJ20" s="1007"/>
      <c r="CK20" s="1007"/>
      <c r="CL20" s="1007">
        <f t="shared" si="12"/>
        <v>0</v>
      </c>
      <c r="CM20" s="1010" t="e">
        <f t="shared" si="13"/>
        <v>#DIV/0!</v>
      </c>
      <c r="CN20" s="1007">
        <f t="shared" si="14"/>
        <v>0</v>
      </c>
      <c r="CO20" s="1007"/>
      <c r="CP20" s="1007"/>
      <c r="CQ20" s="1007"/>
      <c r="CR20" s="1007"/>
      <c r="CS20" s="1007"/>
      <c r="CT20" s="1007"/>
      <c r="CU20" s="1007"/>
      <c r="CV20" s="1007"/>
      <c r="CW20" s="1007"/>
      <c r="CX20" s="1007"/>
      <c r="CY20" s="1007"/>
      <c r="CZ20" s="1007"/>
      <c r="DA20" s="1007"/>
      <c r="DB20" s="1007"/>
      <c r="DC20" s="1007"/>
      <c r="DD20" s="1007"/>
      <c r="DE20" s="1007"/>
      <c r="DF20" s="1007"/>
      <c r="DG20" s="1007"/>
      <c r="DH20" s="1007"/>
      <c r="DI20" s="1010" t="e">
        <f t="shared" si="15"/>
        <v>#DIV/0!</v>
      </c>
      <c r="DJ20" s="1007">
        <f t="shared" si="16"/>
        <v>0</v>
      </c>
      <c r="DK20" s="1007">
        <f t="shared" si="17"/>
        <v>0</v>
      </c>
      <c r="DL20" s="1007">
        <f t="shared" si="17"/>
        <v>0</v>
      </c>
      <c r="DM20" s="1007"/>
      <c r="DN20" s="1007">
        <f t="shared" si="18"/>
        <v>0</v>
      </c>
      <c r="DO20" s="1007">
        <f t="shared" si="18"/>
        <v>0</v>
      </c>
      <c r="DP20" s="1007">
        <f t="shared" si="18"/>
        <v>0</v>
      </c>
      <c r="DQ20" s="1007">
        <f t="shared" si="18"/>
        <v>0</v>
      </c>
      <c r="DR20" s="1007"/>
      <c r="DS20" s="1007">
        <f t="shared" si="19"/>
        <v>0</v>
      </c>
      <c r="DT20" s="1007">
        <f t="shared" si="19"/>
        <v>0</v>
      </c>
      <c r="DU20" s="1007"/>
      <c r="DV20" s="1007">
        <f t="shared" si="20"/>
        <v>0</v>
      </c>
      <c r="DW20" s="1007">
        <f t="shared" si="20"/>
        <v>0</v>
      </c>
      <c r="DX20" s="1007">
        <f t="shared" si="20"/>
        <v>0</v>
      </c>
      <c r="DY20" s="1007">
        <f t="shared" si="21"/>
        <v>0</v>
      </c>
      <c r="DZ20" s="1007">
        <f t="shared" si="21"/>
        <v>0</v>
      </c>
      <c r="EA20" s="1007">
        <f t="shared" si="21"/>
        <v>0</v>
      </c>
      <c r="EB20" s="1007">
        <f t="shared" si="21"/>
        <v>0</v>
      </c>
      <c r="EC20" s="1007"/>
      <c r="ED20" s="1007">
        <f t="shared" si="22"/>
        <v>0</v>
      </c>
    </row>
    <row r="21" spans="1:134" ht="48.75" customHeight="1" x14ac:dyDescent="0.25">
      <c r="A21" s="1565"/>
      <c r="B21" s="1020"/>
      <c r="C21" s="1114" t="s">
        <v>4570</v>
      </c>
      <c r="D21" s="1018" t="s">
        <v>4566</v>
      </c>
      <c r="E21" s="1019">
        <v>310</v>
      </c>
      <c r="F21" s="1117" t="s">
        <v>4660</v>
      </c>
      <c r="G21" s="1430"/>
      <c r="H21" s="1060">
        <f t="shared" si="0"/>
        <v>0</v>
      </c>
      <c r="I21" s="1060">
        <f t="shared" si="1"/>
        <v>0</v>
      </c>
      <c r="J21" s="1430"/>
      <c r="K21" s="1258"/>
      <c r="L21" s="1258"/>
      <c r="M21" s="1113">
        <v>0</v>
      </c>
      <c r="N21" s="1113">
        <v>0</v>
      </c>
      <c r="O21" s="1113">
        <v>0</v>
      </c>
      <c r="P21" s="1113">
        <v>0</v>
      </c>
      <c r="Q21" s="1113">
        <v>0</v>
      </c>
      <c r="R21" s="1113">
        <v>0</v>
      </c>
      <c r="S21" s="1123"/>
      <c r="T21" s="1123"/>
      <c r="U21" s="1123"/>
      <c r="V21" s="1123"/>
      <c r="W21" s="1123"/>
      <c r="X21" s="1123"/>
      <c r="Y21" s="1007">
        <f t="shared" si="2"/>
        <v>0</v>
      </c>
      <c r="Z21" s="149"/>
      <c r="AA21" s="944">
        <f>36000000-36000000</f>
        <v>0</v>
      </c>
      <c r="AB21" s="944"/>
      <c r="AC21" s="944"/>
      <c r="AD21" s="944"/>
      <c r="AE21" s="944"/>
      <c r="AF21" s="1007">
        <f>34000000+36000000-20000000-50000000</f>
        <v>0</v>
      </c>
      <c r="AG21" s="944"/>
      <c r="AH21" s="149"/>
      <c r="AI21" s="149"/>
      <c r="AJ21" s="149"/>
      <c r="AK21" s="149"/>
      <c r="AL21" s="149"/>
      <c r="AM21" s="149"/>
      <c r="AN21" s="149"/>
      <c r="AO21" s="149"/>
      <c r="AP21" s="149"/>
      <c r="AQ21" s="149"/>
      <c r="AR21" s="149"/>
      <c r="AS21" s="944"/>
      <c r="AT21" s="949"/>
      <c r="AU21" s="1010" t="e">
        <f t="shared" si="3"/>
        <v>#DIV/0!</v>
      </c>
      <c r="AV21" s="1007">
        <f t="shared" si="4"/>
        <v>0</v>
      </c>
      <c r="AW21" s="1007"/>
      <c r="AX21" s="1007"/>
      <c r="AY21" s="1007"/>
      <c r="AZ21" s="1007"/>
      <c r="BA21" s="1007"/>
      <c r="BB21" s="1007"/>
      <c r="BC21" s="1007"/>
      <c r="BD21" s="1007"/>
      <c r="BE21" s="1007"/>
      <c r="BF21" s="1007"/>
      <c r="BG21" s="1007"/>
      <c r="BH21" s="1007"/>
      <c r="BI21" s="1007"/>
      <c r="BJ21" s="1007"/>
      <c r="BK21" s="1007"/>
      <c r="BL21" s="1007"/>
      <c r="BM21" s="1007"/>
      <c r="BN21" s="1007"/>
      <c r="BO21" s="1007"/>
      <c r="BP21" s="1007"/>
      <c r="BQ21" s="1010"/>
      <c r="BR21" s="1007">
        <f t="shared" si="6"/>
        <v>0</v>
      </c>
      <c r="BS21" s="1007">
        <f t="shared" si="7"/>
        <v>0</v>
      </c>
      <c r="BT21" s="1007">
        <f t="shared" si="23"/>
        <v>0</v>
      </c>
      <c r="BU21" s="1007"/>
      <c r="BV21" s="1007">
        <f t="shared" si="9"/>
        <v>0</v>
      </c>
      <c r="BW21" s="1007"/>
      <c r="BX21" s="1007">
        <f t="shared" si="10"/>
        <v>0</v>
      </c>
      <c r="BY21" s="1007">
        <f t="shared" si="10"/>
        <v>0</v>
      </c>
      <c r="BZ21" s="1007"/>
      <c r="CA21" s="1007"/>
      <c r="CB21" s="1007"/>
      <c r="CC21" s="1007"/>
      <c r="CD21" s="1007">
        <f t="shared" si="24"/>
        <v>0</v>
      </c>
      <c r="CE21" s="1007">
        <f t="shared" si="24"/>
        <v>0</v>
      </c>
      <c r="CF21" s="1007">
        <f t="shared" si="24"/>
        <v>0</v>
      </c>
      <c r="CG21" s="1007">
        <f t="shared" si="24"/>
        <v>0</v>
      </c>
      <c r="CH21" s="1007">
        <f t="shared" si="24"/>
        <v>0</v>
      </c>
      <c r="CI21" s="1007">
        <f t="shared" si="24"/>
        <v>0</v>
      </c>
      <c r="CJ21" s="1007"/>
      <c r="CK21" s="1007"/>
      <c r="CL21" s="1007">
        <f t="shared" si="12"/>
        <v>0</v>
      </c>
      <c r="CM21" s="1010" t="e">
        <f t="shared" si="13"/>
        <v>#DIV/0!</v>
      </c>
      <c r="CN21" s="1007">
        <f t="shared" si="14"/>
        <v>0</v>
      </c>
      <c r="CO21" s="1007"/>
      <c r="CP21" s="1007"/>
      <c r="CQ21" s="1007"/>
      <c r="CR21" s="1007"/>
      <c r="CS21" s="1007"/>
      <c r="CT21" s="1007"/>
      <c r="CU21" s="1007"/>
      <c r="CV21" s="1007"/>
      <c r="CW21" s="1007"/>
      <c r="CX21" s="1007"/>
      <c r="CY21" s="1007"/>
      <c r="CZ21" s="1007"/>
      <c r="DA21" s="1007"/>
      <c r="DB21" s="1007"/>
      <c r="DC21" s="1007"/>
      <c r="DD21" s="1007"/>
      <c r="DE21" s="1007"/>
      <c r="DF21" s="1007"/>
      <c r="DG21" s="1007"/>
      <c r="DH21" s="1007"/>
      <c r="DI21" s="1010" t="e">
        <f t="shared" si="15"/>
        <v>#DIV/0!</v>
      </c>
      <c r="DJ21" s="1007">
        <f t="shared" si="16"/>
        <v>0</v>
      </c>
      <c r="DK21" s="1007">
        <f t="shared" si="17"/>
        <v>0</v>
      </c>
      <c r="DL21" s="1007">
        <f t="shared" si="17"/>
        <v>0</v>
      </c>
      <c r="DM21" s="1007"/>
      <c r="DN21" s="1007">
        <f t="shared" si="18"/>
        <v>0</v>
      </c>
      <c r="DO21" s="1007">
        <f t="shared" si="18"/>
        <v>0</v>
      </c>
      <c r="DP21" s="1007">
        <f t="shared" si="18"/>
        <v>0</v>
      </c>
      <c r="DQ21" s="1007">
        <f t="shared" si="18"/>
        <v>0</v>
      </c>
      <c r="DR21" s="1007"/>
      <c r="DS21" s="1007">
        <f t="shared" si="19"/>
        <v>0</v>
      </c>
      <c r="DT21" s="1007">
        <f t="shared" si="19"/>
        <v>0</v>
      </c>
      <c r="DU21" s="1007"/>
      <c r="DV21" s="1007">
        <f t="shared" si="20"/>
        <v>0</v>
      </c>
      <c r="DW21" s="1007">
        <f t="shared" si="20"/>
        <v>0</v>
      </c>
      <c r="DX21" s="1007">
        <f t="shared" si="20"/>
        <v>0</v>
      </c>
      <c r="DY21" s="1007">
        <f t="shared" si="21"/>
        <v>0</v>
      </c>
      <c r="DZ21" s="1007">
        <f t="shared" si="21"/>
        <v>0</v>
      </c>
      <c r="EA21" s="1007">
        <f t="shared" si="21"/>
        <v>0</v>
      </c>
      <c r="EB21" s="1007">
        <f t="shared" si="21"/>
        <v>0</v>
      </c>
      <c r="EC21" s="1007"/>
      <c r="ED21" s="1007">
        <f t="shared" si="22"/>
        <v>0</v>
      </c>
    </row>
    <row r="22" spans="1:134" ht="60" customHeight="1" x14ac:dyDescent="0.25">
      <c r="A22" s="1565"/>
      <c r="B22" s="1020" t="s">
        <v>4302</v>
      </c>
      <c r="C22" s="1114" t="s">
        <v>4400</v>
      </c>
      <c r="D22" s="1018" t="s">
        <v>4572</v>
      </c>
      <c r="E22" s="1019">
        <v>510</v>
      </c>
      <c r="F22" s="1117" t="s">
        <v>4671</v>
      </c>
      <c r="G22" s="1428">
        <v>259000000</v>
      </c>
      <c r="H22" s="1060">
        <f t="shared" si="0"/>
        <v>47851843</v>
      </c>
      <c r="I22" s="1060">
        <f t="shared" si="1"/>
        <v>59148157</v>
      </c>
      <c r="J22" s="1428" t="s">
        <v>4766</v>
      </c>
      <c r="K22" s="1115" t="s">
        <v>4768</v>
      </c>
      <c r="L22" s="1113" t="s">
        <v>4767</v>
      </c>
      <c r="M22" s="1113">
        <v>19</v>
      </c>
      <c r="N22" s="1113">
        <v>10</v>
      </c>
      <c r="O22" s="1113">
        <v>2</v>
      </c>
      <c r="P22" s="1113">
        <v>19</v>
      </c>
      <c r="Q22" s="1113">
        <v>50</v>
      </c>
      <c r="R22" s="1113">
        <v>9</v>
      </c>
      <c r="S22" s="1121"/>
      <c r="T22" s="1121"/>
      <c r="U22" s="1121"/>
      <c r="V22" s="1121"/>
      <c r="W22" s="1121"/>
      <c r="X22" s="1121"/>
      <c r="Y22" s="1007">
        <f t="shared" si="2"/>
        <v>107000000</v>
      </c>
      <c r="Z22" s="1007"/>
      <c r="AA22" s="1007"/>
      <c r="AB22" s="1007"/>
      <c r="AC22" s="1007"/>
      <c r="AD22" s="1007"/>
      <c r="AE22" s="1007"/>
      <c r="AF22" s="1007"/>
      <c r="AG22" s="1007"/>
      <c r="AH22" s="1007"/>
      <c r="AI22" s="1007"/>
      <c r="AJ22" s="1007"/>
      <c r="AK22" s="1007"/>
      <c r="AL22" s="1007"/>
      <c r="AM22" s="1007"/>
      <c r="AN22" s="1007"/>
      <c r="AO22" s="1007">
        <v>50000000</v>
      </c>
      <c r="AP22" s="1007"/>
      <c r="AQ22" s="1007"/>
      <c r="AR22" s="1007"/>
      <c r="AS22" s="1007">
        <f>9000000+5000000+15000000+5000000+5000000+15000000+3000000</f>
        <v>57000000</v>
      </c>
      <c r="AU22" s="1010">
        <f t="shared" si="3"/>
        <v>0.99342156074766352</v>
      </c>
      <c r="AV22" s="1007">
        <f t="shared" si="4"/>
        <v>106296107</v>
      </c>
      <c r="AW22" s="1007"/>
      <c r="AX22" s="1007"/>
      <c r="AY22" s="1007"/>
      <c r="AZ22" s="1007"/>
      <c r="BA22" s="1007"/>
      <c r="BB22" s="1007"/>
      <c r="BC22" s="1007"/>
      <c r="BD22" s="1007"/>
      <c r="BE22" s="1007"/>
      <c r="BF22" s="1007"/>
      <c r="BG22" s="1007"/>
      <c r="BH22" s="1007"/>
      <c r="BI22" s="1007"/>
      <c r="BJ22" s="1007"/>
      <c r="BK22" s="1007"/>
      <c r="BL22" s="1007">
        <f>+'[12]FEBRERO 2015'!$X$852</f>
        <v>50000000</v>
      </c>
      <c r="BM22" s="1007"/>
      <c r="BN22" s="1007"/>
      <c r="BO22" s="1007"/>
      <c r="BP22" s="1007">
        <f>+'[8]SEPTIEMBRE 2015'!$AD$2528</f>
        <v>56296107</v>
      </c>
      <c r="BQ22" s="1010"/>
      <c r="BR22" s="1007">
        <f t="shared" si="6"/>
        <v>703893</v>
      </c>
      <c r="BS22" s="1007">
        <f t="shared" si="7"/>
        <v>0</v>
      </c>
      <c r="BT22" s="1007">
        <f t="shared" si="23"/>
        <v>0</v>
      </c>
      <c r="BU22" s="1007"/>
      <c r="BV22" s="1007">
        <f t="shared" si="9"/>
        <v>0</v>
      </c>
      <c r="BW22" s="1007"/>
      <c r="BX22" s="1007">
        <f t="shared" si="10"/>
        <v>0</v>
      </c>
      <c r="BY22" s="1007">
        <f t="shared" si="10"/>
        <v>0</v>
      </c>
      <c r="BZ22" s="1007"/>
      <c r="CA22" s="1007"/>
      <c r="CB22" s="1007"/>
      <c r="CC22" s="1007"/>
      <c r="CD22" s="1007">
        <f t="shared" si="24"/>
        <v>0</v>
      </c>
      <c r="CE22" s="1007">
        <f t="shared" si="24"/>
        <v>0</v>
      </c>
      <c r="CF22" s="1007">
        <f t="shared" si="24"/>
        <v>0</v>
      </c>
      <c r="CG22" s="1007">
        <f t="shared" si="24"/>
        <v>0</v>
      </c>
      <c r="CH22" s="1007">
        <f t="shared" si="24"/>
        <v>0</v>
      </c>
      <c r="CI22" s="1007">
        <f t="shared" si="24"/>
        <v>0</v>
      </c>
      <c r="CJ22" s="1007"/>
      <c r="CK22" s="1007"/>
      <c r="CL22" s="1007">
        <f t="shared" si="12"/>
        <v>703893</v>
      </c>
      <c r="CM22" s="1010">
        <f t="shared" si="13"/>
        <v>0.44721348598130839</v>
      </c>
      <c r="CN22" s="1007">
        <f t="shared" si="14"/>
        <v>47851843</v>
      </c>
      <c r="CO22" s="1007"/>
      <c r="CP22" s="1007"/>
      <c r="CQ22" s="1007"/>
      <c r="CR22" s="1007"/>
      <c r="CS22" s="1007"/>
      <c r="CT22" s="1007"/>
      <c r="CU22" s="1007"/>
      <c r="CV22" s="1007"/>
      <c r="CW22" s="1007"/>
      <c r="CX22" s="1007"/>
      <c r="CY22" s="1007"/>
      <c r="CZ22" s="1007"/>
      <c r="DA22" s="1007"/>
      <c r="DB22" s="1007"/>
      <c r="DC22" s="1007"/>
      <c r="DD22" s="1007">
        <f>+'[8]SEPTIEMBRE 2015'!$H$2554</f>
        <v>4799998</v>
      </c>
      <c r="DE22" s="1007"/>
      <c r="DF22" s="1007"/>
      <c r="DG22" s="1007"/>
      <c r="DH22" s="1007">
        <f>+'[8]SEPTIEMBRE 2015'!$H$2529+'[8]SEPTIEMBRE 2015'!$H$2540+'[8]SEPTIEMBRE 2015'!$H$2543+'[8]SEPTIEMBRE 2015'!$H$2558+'[8]SEPTIEMBRE 2015'!$H$2561+'[8]SEPTIEMBRE 2015'!$H$2562+'[8]SEPTIEMBRE 2015'!$H$2564</f>
        <v>43051845</v>
      </c>
      <c r="DI22" s="1010">
        <f t="shared" si="15"/>
        <v>0.55278651401869161</v>
      </c>
      <c r="DJ22" s="1007">
        <f t="shared" si="16"/>
        <v>59148157</v>
      </c>
      <c r="DK22" s="1007">
        <f t="shared" si="17"/>
        <v>0</v>
      </c>
      <c r="DL22" s="1007">
        <f t="shared" si="17"/>
        <v>0</v>
      </c>
      <c r="DM22" s="1007"/>
      <c r="DN22" s="1007">
        <f t="shared" si="18"/>
        <v>0</v>
      </c>
      <c r="DO22" s="1007">
        <f t="shared" si="18"/>
        <v>0</v>
      </c>
      <c r="DP22" s="1007">
        <f t="shared" si="18"/>
        <v>0</v>
      </c>
      <c r="DQ22" s="1007">
        <f t="shared" si="18"/>
        <v>0</v>
      </c>
      <c r="DR22" s="1007"/>
      <c r="DS22" s="1007">
        <f t="shared" si="19"/>
        <v>0</v>
      </c>
      <c r="DT22" s="1007">
        <f t="shared" si="19"/>
        <v>0</v>
      </c>
      <c r="DU22" s="1007"/>
      <c r="DV22" s="1007">
        <f t="shared" si="20"/>
        <v>0</v>
      </c>
      <c r="DW22" s="1007">
        <f t="shared" si="20"/>
        <v>0</v>
      </c>
      <c r="DX22" s="1007">
        <f t="shared" si="20"/>
        <v>0</v>
      </c>
      <c r="DY22" s="1007">
        <f t="shared" si="21"/>
        <v>0</v>
      </c>
      <c r="DZ22" s="1007">
        <f t="shared" si="21"/>
        <v>45200002</v>
      </c>
      <c r="EA22" s="1007">
        <f t="shared" si="21"/>
        <v>0</v>
      </c>
      <c r="EB22" s="1007">
        <f t="shared" si="21"/>
        <v>0</v>
      </c>
      <c r="EC22" s="1007"/>
      <c r="ED22" s="1007">
        <f t="shared" si="22"/>
        <v>13948155</v>
      </c>
    </row>
    <row r="23" spans="1:134" ht="54.75" customHeight="1" x14ac:dyDescent="0.25">
      <c r="A23" s="1565"/>
      <c r="B23" s="1020"/>
      <c r="C23" s="1114" t="s">
        <v>4401</v>
      </c>
      <c r="D23" s="1018" t="s">
        <v>4571</v>
      </c>
      <c r="E23" s="1019">
        <v>510</v>
      </c>
      <c r="F23" s="1117" t="s">
        <v>4730</v>
      </c>
      <c r="G23" s="1430"/>
      <c r="H23" s="1060">
        <f t="shared" si="0"/>
        <v>169611918</v>
      </c>
      <c r="I23" s="1060">
        <f t="shared" si="1"/>
        <v>102588082</v>
      </c>
      <c r="J23" s="1430"/>
      <c r="K23" s="1116" t="s">
        <v>4769</v>
      </c>
      <c r="L23" s="1113" t="s">
        <v>4770</v>
      </c>
      <c r="M23" s="1113">
        <v>56</v>
      </c>
      <c r="N23" s="1113">
        <v>5</v>
      </c>
      <c r="O23" s="1113">
        <v>3</v>
      </c>
      <c r="P23" s="1113">
        <v>67</v>
      </c>
      <c r="Q23" s="1113">
        <v>71</v>
      </c>
      <c r="R23" s="1113">
        <v>47</v>
      </c>
      <c r="S23" s="1123"/>
      <c r="T23" s="1123"/>
      <c r="U23" s="1123"/>
      <c r="V23" s="1123"/>
      <c r="W23" s="1123"/>
      <c r="X23" s="1123"/>
      <c r="Y23" s="1007">
        <f t="shared" si="2"/>
        <v>272200000</v>
      </c>
      <c r="Z23" s="1007"/>
      <c r="AA23" s="1007"/>
      <c r="AB23" s="1007"/>
      <c r="AC23" s="1007"/>
      <c r="AD23" s="1007"/>
      <c r="AE23" s="1007"/>
      <c r="AF23" s="1007"/>
      <c r="AG23" s="1007"/>
      <c r="AH23" s="1007"/>
      <c r="AI23" s="1007"/>
      <c r="AJ23" s="1007"/>
      <c r="AK23" s="1007"/>
      <c r="AL23" s="1007"/>
      <c r="AM23" s="1007"/>
      <c r="AN23" s="1007">
        <f>100000000</f>
        <v>100000000</v>
      </c>
      <c r="AO23" s="1007">
        <v>170000000</v>
      </c>
      <c r="AP23" s="1007"/>
      <c r="AQ23" s="1007"/>
      <c r="AR23" s="1007"/>
      <c r="AS23" s="1007">
        <v>2200000</v>
      </c>
      <c r="AU23" s="1010">
        <f t="shared" si="3"/>
        <v>0.62454077883908887</v>
      </c>
      <c r="AV23" s="1007">
        <f t="shared" si="4"/>
        <v>170000000</v>
      </c>
      <c r="AW23" s="1007"/>
      <c r="AX23" s="1007"/>
      <c r="AY23" s="1007"/>
      <c r="AZ23" s="1007"/>
      <c r="BA23" s="1007"/>
      <c r="BB23" s="1007"/>
      <c r="BC23" s="1007"/>
      <c r="BD23" s="1007"/>
      <c r="BE23" s="1007"/>
      <c r="BF23" s="1007"/>
      <c r="BG23" s="1007"/>
      <c r="BH23" s="1007"/>
      <c r="BI23" s="1007"/>
      <c r="BJ23" s="1007"/>
      <c r="BK23" s="1007"/>
      <c r="BL23" s="1007">
        <f>+'[12]FEBRERO 2015'!$X$864</f>
        <v>170000000</v>
      </c>
      <c r="BM23" s="1007"/>
      <c r="BN23" s="1007"/>
      <c r="BO23" s="1007"/>
      <c r="BP23" s="1007"/>
      <c r="BQ23" s="1010" t="e">
        <f>1-AU21</f>
        <v>#DIV/0!</v>
      </c>
      <c r="BR23" s="1007">
        <f t="shared" si="6"/>
        <v>102200000</v>
      </c>
      <c r="BS23" s="1007">
        <f t="shared" si="7"/>
        <v>0</v>
      </c>
      <c r="BT23" s="1007">
        <f t="shared" si="23"/>
        <v>0</v>
      </c>
      <c r="BU23" s="1007"/>
      <c r="BV23" s="1007">
        <f t="shared" si="9"/>
        <v>0</v>
      </c>
      <c r="BW23" s="1007"/>
      <c r="BX23" s="1007">
        <f t="shared" si="10"/>
        <v>0</v>
      </c>
      <c r="BY23" s="1007">
        <f t="shared" si="10"/>
        <v>0</v>
      </c>
      <c r="BZ23" s="1007"/>
      <c r="CA23" s="1007"/>
      <c r="CB23" s="1007"/>
      <c r="CC23" s="1007"/>
      <c r="CD23" s="1007">
        <f t="shared" si="24"/>
        <v>0</v>
      </c>
      <c r="CE23" s="1007">
        <f t="shared" si="24"/>
        <v>0</v>
      </c>
      <c r="CF23" s="1007">
        <f t="shared" si="24"/>
        <v>0</v>
      </c>
      <c r="CG23" s="1007">
        <f t="shared" si="24"/>
        <v>100000000</v>
      </c>
      <c r="CH23" s="1007">
        <f t="shared" si="24"/>
        <v>0</v>
      </c>
      <c r="CI23" s="1007">
        <f t="shared" si="24"/>
        <v>0</v>
      </c>
      <c r="CJ23" s="1007"/>
      <c r="CK23" s="1007"/>
      <c r="CL23" s="1007">
        <f t="shared" si="12"/>
        <v>2200000</v>
      </c>
      <c r="CM23" s="1010">
        <f t="shared" si="13"/>
        <v>0.62311505510653931</v>
      </c>
      <c r="CN23" s="1007">
        <f t="shared" si="14"/>
        <v>169611918</v>
      </c>
      <c r="CO23" s="1007"/>
      <c r="CP23" s="1007"/>
      <c r="CQ23" s="1007"/>
      <c r="CR23" s="1007"/>
      <c r="CS23" s="1007"/>
      <c r="CT23" s="1007"/>
      <c r="CU23" s="1007"/>
      <c r="CV23" s="1007"/>
      <c r="CW23" s="1007"/>
      <c r="CX23" s="1007"/>
      <c r="CY23" s="1007"/>
      <c r="CZ23" s="1007"/>
      <c r="DA23" s="1007"/>
      <c r="DB23" s="1007"/>
      <c r="DC23" s="1007"/>
      <c r="DD23" s="1007">
        <f>+'[8]SEPTIEMBRE 2015'!$H$2571</f>
        <v>169611918</v>
      </c>
      <c r="DE23" s="1007"/>
      <c r="DF23" s="1007"/>
      <c r="DG23" s="1007"/>
      <c r="DH23" s="1007"/>
      <c r="DI23" s="1010">
        <f t="shared" si="15"/>
        <v>0.37688494489346069</v>
      </c>
      <c r="DJ23" s="1007">
        <f t="shared" si="16"/>
        <v>102588082</v>
      </c>
      <c r="DK23" s="1007">
        <f t="shared" si="17"/>
        <v>0</v>
      </c>
      <c r="DL23" s="1007">
        <f t="shared" si="17"/>
        <v>0</v>
      </c>
      <c r="DM23" s="1007"/>
      <c r="DN23" s="1007">
        <f t="shared" si="18"/>
        <v>0</v>
      </c>
      <c r="DO23" s="1007">
        <f t="shared" si="18"/>
        <v>0</v>
      </c>
      <c r="DP23" s="1007">
        <f t="shared" si="18"/>
        <v>0</v>
      </c>
      <c r="DQ23" s="1007">
        <f t="shared" si="18"/>
        <v>0</v>
      </c>
      <c r="DR23" s="1007"/>
      <c r="DS23" s="1007">
        <f t="shared" si="19"/>
        <v>0</v>
      </c>
      <c r="DT23" s="1007">
        <f t="shared" si="19"/>
        <v>0</v>
      </c>
      <c r="DU23" s="1007"/>
      <c r="DV23" s="1007">
        <f t="shared" si="20"/>
        <v>0</v>
      </c>
      <c r="DW23" s="1007">
        <f t="shared" si="20"/>
        <v>0</v>
      </c>
      <c r="DX23" s="1007">
        <f t="shared" si="20"/>
        <v>0</v>
      </c>
      <c r="DY23" s="1007">
        <f t="shared" si="21"/>
        <v>100000000</v>
      </c>
      <c r="DZ23" s="1007">
        <f t="shared" si="21"/>
        <v>388082</v>
      </c>
      <c r="EA23" s="1007">
        <f t="shared" si="21"/>
        <v>0</v>
      </c>
      <c r="EB23" s="1007">
        <f t="shared" si="21"/>
        <v>0</v>
      </c>
      <c r="EC23" s="1007"/>
      <c r="ED23" s="1007">
        <f t="shared" si="22"/>
        <v>2200000</v>
      </c>
    </row>
    <row r="24" spans="1:134" ht="66.75" customHeight="1" x14ac:dyDescent="0.25">
      <c r="A24" s="1565"/>
      <c r="B24" s="1065" t="s">
        <v>4303</v>
      </c>
      <c r="C24" s="1114" t="s">
        <v>4402</v>
      </c>
      <c r="D24" s="1018" t="s">
        <v>4573</v>
      </c>
      <c r="E24" s="1019">
        <v>510</v>
      </c>
      <c r="F24" s="1117" t="s">
        <v>4660</v>
      </c>
      <c r="G24" s="1428">
        <v>180000000</v>
      </c>
      <c r="H24" s="1060">
        <f t="shared" si="0"/>
        <v>74373761</v>
      </c>
      <c r="I24" s="1060">
        <f t="shared" si="1"/>
        <v>25626239</v>
      </c>
      <c r="J24" s="1428" t="s">
        <v>4771</v>
      </c>
      <c r="K24" s="1569">
        <v>1</v>
      </c>
      <c r="L24" s="1257" t="s">
        <v>4772</v>
      </c>
      <c r="M24" s="1113">
        <v>0</v>
      </c>
      <c r="N24" s="1113">
        <v>0</v>
      </c>
      <c r="O24" s="1113">
        <v>0</v>
      </c>
      <c r="P24" s="1113">
        <v>26</v>
      </c>
      <c r="Q24" s="1113">
        <v>41</v>
      </c>
      <c r="R24" s="1113">
        <v>11</v>
      </c>
      <c r="S24" s="1121"/>
      <c r="T24" s="1121"/>
      <c r="U24" s="1121"/>
      <c r="V24" s="1121"/>
      <c r="W24" s="1121"/>
      <c r="X24" s="1121"/>
      <c r="Y24" s="1007">
        <f t="shared" si="2"/>
        <v>100000000</v>
      </c>
      <c r="Z24" s="1007"/>
      <c r="AA24" s="1007"/>
      <c r="AB24" s="1007"/>
      <c r="AC24" s="1007"/>
      <c r="AD24" s="1007"/>
      <c r="AE24" s="1007">
        <v>100000000</v>
      </c>
      <c r="AF24" s="1007"/>
      <c r="AG24" s="1007"/>
      <c r="AH24" s="1007"/>
      <c r="AI24" s="1007"/>
      <c r="AJ24" s="1007"/>
      <c r="AK24" s="1007"/>
      <c r="AL24" s="1007"/>
      <c r="AM24" s="1007"/>
      <c r="AN24" s="1007"/>
      <c r="AO24" s="1007"/>
      <c r="AP24" s="1007"/>
      <c r="AQ24" s="1007"/>
      <c r="AR24" s="1007"/>
      <c r="AS24" s="1007"/>
      <c r="AU24" s="1010">
        <f t="shared" si="3"/>
        <v>0.89647781999999998</v>
      </c>
      <c r="AV24" s="1007">
        <f t="shared" si="4"/>
        <v>89647782</v>
      </c>
      <c r="AW24" s="1007"/>
      <c r="AX24" s="1007"/>
      <c r="AY24" s="1007"/>
      <c r="AZ24" s="1007"/>
      <c r="BA24" s="1007"/>
      <c r="BB24" s="1007">
        <f>+'[8]SEPTIEMBRE 2015'!$O$2611</f>
        <v>89647782</v>
      </c>
      <c r="BC24" s="1007"/>
      <c r="BD24" s="1007"/>
      <c r="BE24" s="1007"/>
      <c r="BF24" s="1007"/>
      <c r="BG24" s="1007"/>
      <c r="BH24" s="1007"/>
      <c r="BI24" s="1007"/>
      <c r="BJ24" s="1007"/>
      <c r="BK24" s="1007"/>
      <c r="BL24" s="1007"/>
      <c r="BM24" s="1007"/>
      <c r="BN24" s="1007"/>
      <c r="BO24" s="1007"/>
      <c r="BP24" s="1007"/>
      <c r="BQ24" s="1010">
        <f t="shared" ref="BQ24:BQ87" si="25">1-AU24</f>
        <v>0.10352218000000002</v>
      </c>
      <c r="BR24" s="1007">
        <f t="shared" si="6"/>
        <v>10352218</v>
      </c>
      <c r="BS24" s="1007">
        <f t="shared" si="7"/>
        <v>0</v>
      </c>
      <c r="BT24" s="1007">
        <f t="shared" si="23"/>
        <v>0</v>
      </c>
      <c r="BU24" s="1007"/>
      <c r="BV24" s="1007">
        <f t="shared" si="9"/>
        <v>0</v>
      </c>
      <c r="BW24" s="1007"/>
      <c r="BX24" s="1007">
        <f t="shared" si="10"/>
        <v>10352218</v>
      </c>
      <c r="BY24" s="1007">
        <f t="shared" si="10"/>
        <v>0</v>
      </c>
      <c r="BZ24" s="1007"/>
      <c r="CA24" s="1007">
        <f>+AH24-BE24</f>
        <v>0</v>
      </c>
      <c r="CB24" s="1007">
        <f>+AI24-BF24</f>
        <v>0</v>
      </c>
      <c r="CC24" s="1007">
        <f>+AJ24-BG24</f>
        <v>0</v>
      </c>
      <c r="CD24" s="1007">
        <f t="shared" si="24"/>
        <v>0</v>
      </c>
      <c r="CE24" s="1007">
        <f t="shared" si="24"/>
        <v>0</v>
      </c>
      <c r="CF24" s="1007">
        <f t="shared" si="24"/>
        <v>0</v>
      </c>
      <c r="CG24" s="1007">
        <f t="shared" si="24"/>
        <v>0</v>
      </c>
      <c r="CH24" s="1007">
        <f t="shared" si="24"/>
        <v>0</v>
      </c>
      <c r="CI24" s="1007">
        <f t="shared" si="24"/>
        <v>0</v>
      </c>
      <c r="CJ24" s="1007">
        <f>+AQ24-BN24</f>
        <v>0</v>
      </c>
      <c r="CK24" s="1007">
        <f>+AR24-BO24</f>
        <v>0</v>
      </c>
      <c r="CL24" s="1007">
        <f t="shared" si="12"/>
        <v>0</v>
      </c>
      <c r="CM24" s="1010">
        <f t="shared" si="13"/>
        <v>0.74373761000000005</v>
      </c>
      <c r="CN24" s="1007">
        <f t="shared" si="14"/>
        <v>74373761</v>
      </c>
      <c r="CO24" s="1007"/>
      <c r="CP24" s="1007"/>
      <c r="CQ24" s="1007"/>
      <c r="CR24" s="1007"/>
      <c r="CS24" s="1007"/>
      <c r="CT24" s="1007">
        <f>+'[7]AGOSTO 2015'!$H$2113+'[7]AGOSTO 2015'!$H$2115+'[7]AGOSTO 2015'!$H$2117+'[7]AGOSTO 2015'!$H$2119+'[7]AGOSTO 2015'!$H$2121</f>
        <v>74373761</v>
      </c>
      <c r="CU24" s="1007"/>
      <c r="CV24" s="1007"/>
      <c r="CW24" s="1007"/>
      <c r="CX24" s="1007"/>
      <c r="CY24" s="1007"/>
      <c r="CZ24" s="1007"/>
      <c r="DA24" s="1007"/>
      <c r="DB24" s="1007"/>
      <c r="DC24" s="1007"/>
      <c r="DD24" s="1007"/>
      <c r="DE24" s="1007"/>
      <c r="DF24" s="1007"/>
      <c r="DG24" s="1007"/>
      <c r="DH24" s="1007"/>
      <c r="DI24" s="1010">
        <f t="shared" si="15"/>
        <v>0.25626238999999995</v>
      </c>
      <c r="DJ24" s="1007">
        <f t="shared" si="16"/>
        <v>25626239</v>
      </c>
      <c r="DK24" s="1007">
        <f t="shared" si="17"/>
        <v>0</v>
      </c>
      <c r="DL24" s="1007">
        <f t="shared" si="17"/>
        <v>0</v>
      </c>
      <c r="DM24" s="1007"/>
      <c r="DN24" s="1007">
        <f t="shared" si="18"/>
        <v>0</v>
      </c>
      <c r="DO24" s="1007">
        <f t="shared" si="18"/>
        <v>0</v>
      </c>
      <c r="DP24" s="1007">
        <f t="shared" si="18"/>
        <v>25626239</v>
      </c>
      <c r="DQ24" s="1007">
        <f t="shared" si="18"/>
        <v>0</v>
      </c>
      <c r="DR24" s="1007"/>
      <c r="DS24" s="1007">
        <f t="shared" si="19"/>
        <v>0</v>
      </c>
      <c r="DT24" s="1007">
        <f t="shared" si="19"/>
        <v>0</v>
      </c>
      <c r="DU24" s="1007"/>
      <c r="DV24" s="1007">
        <f t="shared" si="20"/>
        <v>0</v>
      </c>
      <c r="DW24" s="1007">
        <f t="shared" si="20"/>
        <v>0</v>
      </c>
      <c r="DX24" s="1007">
        <f t="shared" si="20"/>
        <v>0</v>
      </c>
      <c r="DY24" s="1007">
        <f t="shared" si="21"/>
        <v>0</v>
      </c>
      <c r="DZ24" s="1007">
        <f t="shared" si="21"/>
        <v>0</v>
      </c>
      <c r="EA24" s="1007">
        <f t="shared" si="21"/>
        <v>0</v>
      </c>
      <c r="EB24" s="1007">
        <f t="shared" si="21"/>
        <v>0</v>
      </c>
      <c r="EC24" s="1007"/>
      <c r="ED24" s="1007">
        <f t="shared" si="22"/>
        <v>0</v>
      </c>
    </row>
    <row r="25" spans="1:134" ht="51.75" customHeight="1" x14ac:dyDescent="0.25">
      <c r="A25" s="1565"/>
      <c r="B25" s="1023"/>
      <c r="C25" s="1114" t="s">
        <v>4575</v>
      </c>
      <c r="D25" s="1018" t="s">
        <v>4574</v>
      </c>
      <c r="E25" s="1019">
        <v>510</v>
      </c>
      <c r="F25" s="1117" t="s">
        <v>4660</v>
      </c>
      <c r="G25" s="1429"/>
      <c r="H25" s="1060">
        <f t="shared" si="0"/>
        <v>11870754</v>
      </c>
      <c r="I25" s="1060">
        <f t="shared" si="1"/>
        <v>18129246</v>
      </c>
      <c r="J25" s="1429"/>
      <c r="K25" s="1570"/>
      <c r="L25" s="1562"/>
      <c r="M25" s="1113">
        <v>0</v>
      </c>
      <c r="N25" s="1113">
        <v>4</v>
      </c>
      <c r="O25" s="1113">
        <v>0</v>
      </c>
      <c r="P25" s="1113">
        <v>22</v>
      </c>
      <c r="Q25" s="1113">
        <v>26</v>
      </c>
      <c r="R25" s="1113">
        <v>6</v>
      </c>
      <c r="S25" s="1122"/>
      <c r="T25" s="1122"/>
      <c r="U25" s="1122"/>
      <c r="V25" s="1122"/>
      <c r="W25" s="1122"/>
      <c r="X25" s="1122"/>
      <c r="Y25" s="1007">
        <f t="shared" si="2"/>
        <v>30000000</v>
      </c>
      <c r="Z25" s="1007"/>
      <c r="AA25" s="1007"/>
      <c r="AB25" s="1007"/>
      <c r="AC25" s="1007"/>
      <c r="AD25" s="1007"/>
      <c r="AE25" s="1007">
        <v>20000000</v>
      </c>
      <c r="AF25" s="1007"/>
      <c r="AG25" s="1007"/>
      <c r="AH25" s="1007"/>
      <c r="AI25" s="1007"/>
      <c r="AJ25" s="1007"/>
      <c r="AK25" s="1007"/>
      <c r="AL25" s="1007"/>
      <c r="AM25" s="1007"/>
      <c r="AN25" s="1007">
        <v>10000000</v>
      </c>
      <c r="AO25" s="1007"/>
      <c r="AP25" s="1007"/>
      <c r="AQ25" s="1007"/>
      <c r="AR25" s="1007"/>
      <c r="AS25" s="1007"/>
      <c r="AU25" s="1010">
        <f t="shared" si="3"/>
        <v>0.39569179999999998</v>
      </c>
      <c r="AV25" s="1007">
        <f t="shared" si="4"/>
        <v>11870754</v>
      </c>
      <c r="AW25" s="1007"/>
      <c r="AX25" s="1007"/>
      <c r="AY25" s="1007"/>
      <c r="AZ25" s="1007"/>
      <c r="BA25" s="1007"/>
      <c r="BB25" s="1007">
        <f>+'[8]SEPTIEMBRE 2015'!$O$2626</f>
        <v>9801842</v>
      </c>
      <c r="BC25" s="1007"/>
      <c r="BD25" s="1007"/>
      <c r="BE25" s="1007"/>
      <c r="BF25" s="1007"/>
      <c r="BG25" s="1007"/>
      <c r="BH25" s="1007"/>
      <c r="BI25" s="1007"/>
      <c r="BJ25" s="1007"/>
      <c r="BK25" s="1007">
        <f>+'[13]JUNIO 2015'!$X$1613</f>
        <v>2068912</v>
      </c>
      <c r="BL25" s="1007"/>
      <c r="BM25" s="1007"/>
      <c r="BN25" s="1007"/>
      <c r="BO25" s="1007"/>
      <c r="BP25" s="1007"/>
      <c r="BQ25" s="1010">
        <f t="shared" si="25"/>
        <v>0.60430819999999996</v>
      </c>
      <c r="BR25" s="1007">
        <f t="shared" si="6"/>
        <v>18129246</v>
      </c>
      <c r="BS25" s="1007">
        <f t="shared" si="7"/>
        <v>0</v>
      </c>
      <c r="BT25" s="1007">
        <f t="shared" si="23"/>
        <v>0</v>
      </c>
      <c r="BU25" s="1007"/>
      <c r="BV25" s="1007">
        <f t="shared" si="9"/>
        <v>0</v>
      </c>
      <c r="BW25" s="1007"/>
      <c r="BX25" s="1007">
        <f t="shared" si="10"/>
        <v>10198158</v>
      </c>
      <c r="BY25" s="1007">
        <f t="shared" si="10"/>
        <v>0</v>
      </c>
      <c r="BZ25" s="1007"/>
      <c r="CA25" s="1007"/>
      <c r="CB25" s="1007"/>
      <c r="CC25" s="1007"/>
      <c r="CD25" s="1007">
        <f t="shared" si="24"/>
        <v>0</v>
      </c>
      <c r="CE25" s="1007">
        <f t="shared" si="24"/>
        <v>0</v>
      </c>
      <c r="CF25" s="1007">
        <f t="shared" si="24"/>
        <v>0</v>
      </c>
      <c r="CG25" s="1007">
        <f t="shared" si="24"/>
        <v>7931088</v>
      </c>
      <c r="CH25" s="1007">
        <f t="shared" si="24"/>
        <v>0</v>
      </c>
      <c r="CI25" s="1007">
        <f t="shared" si="24"/>
        <v>0</v>
      </c>
      <c r="CJ25" s="1007"/>
      <c r="CK25" s="1007"/>
      <c r="CL25" s="1007">
        <f t="shared" si="12"/>
        <v>0</v>
      </c>
      <c r="CM25" s="1010">
        <f t="shared" si="13"/>
        <v>0.39569179999999998</v>
      </c>
      <c r="CN25" s="1007">
        <f t="shared" si="14"/>
        <v>11870754</v>
      </c>
      <c r="CO25" s="1007"/>
      <c r="CP25" s="1007"/>
      <c r="CQ25" s="1007"/>
      <c r="CR25" s="1007"/>
      <c r="CS25" s="1007"/>
      <c r="CT25" s="1007">
        <f>+'[8]SEPTIEMBRE 2015'!$H$2624-DC25</f>
        <v>9801842</v>
      </c>
      <c r="CU25" s="1007"/>
      <c r="CV25" s="1007"/>
      <c r="CW25" s="1007"/>
      <c r="CX25" s="1007"/>
      <c r="CY25" s="1007"/>
      <c r="CZ25" s="1007"/>
      <c r="DA25" s="1007"/>
      <c r="DB25" s="1007"/>
      <c r="DC25" s="1007">
        <f>+'[8]SEPTIEMBRE 2015'!$H$2627+'[8]SEPTIEMBRE 2015'!$H$2628+'[8]SEPTIEMBRE 2015'!$H$2629</f>
        <v>2068912</v>
      </c>
      <c r="DD25" s="1007"/>
      <c r="DE25" s="1007"/>
      <c r="DF25" s="1007"/>
      <c r="DG25" s="1007"/>
      <c r="DH25" s="1007"/>
      <c r="DI25" s="1010">
        <f t="shared" si="15"/>
        <v>0.60430819999999996</v>
      </c>
      <c r="DJ25" s="1007">
        <f t="shared" si="16"/>
        <v>18129246</v>
      </c>
      <c r="DK25" s="1007">
        <f t="shared" si="17"/>
        <v>0</v>
      </c>
      <c r="DL25" s="1007">
        <f t="shared" si="17"/>
        <v>0</v>
      </c>
      <c r="DM25" s="1007"/>
      <c r="DN25" s="1007">
        <f t="shared" si="18"/>
        <v>0</v>
      </c>
      <c r="DO25" s="1007">
        <f t="shared" si="18"/>
        <v>0</v>
      </c>
      <c r="DP25" s="1007">
        <f t="shared" si="18"/>
        <v>10198158</v>
      </c>
      <c r="DQ25" s="1007">
        <f t="shared" si="18"/>
        <v>0</v>
      </c>
      <c r="DR25" s="1007"/>
      <c r="DS25" s="1007">
        <f t="shared" si="19"/>
        <v>0</v>
      </c>
      <c r="DT25" s="1007">
        <f t="shared" si="19"/>
        <v>0</v>
      </c>
      <c r="DU25" s="1007"/>
      <c r="DV25" s="1007">
        <f t="shared" si="20"/>
        <v>0</v>
      </c>
      <c r="DW25" s="1007">
        <f t="shared" si="20"/>
        <v>0</v>
      </c>
      <c r="DX25" s="1007">
        <f t="shared" si="20"/>
        <v>0</v>
      </c>
      <c r="DY25" s="1007">
        <f t="shared" si="21"/>
        <v>7931088</v>
      </c>
      <c r="DZ25" s="1007">
        <f t="shared" si="21"/>
        <v>0</v>
      </c>
      <c r="EA25" s="1007">
        <f t="shared" si="21"/>
        <v>0</v>
      </c>
      <c r="EB25" s="1007">
        <f t="shared" si="21"/>
        <v>0</v>
      </c>
      <c r="EC25" s="1007"/>
      <c r="ED25" s="1007">
        <f t="shared" si="22"/>
        <v>0</v>
      </c>
    </row>
    <row r="26" spans="1:134" ht="67.5" customHeight="1" x14ac:dyDescent="0.25">
      <c r="A26" s="1565"/>
      <c r="B26" s="1024"/>
      <c r="C26" s="1114" t="s">
        <v>4576</v>
      </c>
      <c r="D26" s="1018" t="s">
        <v>4703</v>
      </c>
      <c r="E26" s="1019">
        <v>510</v>
      </c>
      <c r="F26" s="1117" t="s">
        <v>4660</v>
      </c>
      <c r="G26" s="1430"/>
      <c r="H26" s="1060">
        <f t="shared" si="0"/>
        <v>0</v>
      </c>
      <c r="I26" s="1060">
        <f t="shared" si="1"/>
        <v>60000000</v>
      </c>
      <c r="J26" s="1430"/>
      <c r="K26" s="1571"/>
      <c r="L26" s="1258"/>
      <c r="M26" s="1113">
        <v>0</v>
      </c>
      <c r="N26" s="1113">
        <v>0</v>
      </c>
      <c r="O26" s="1113">
        <v>0</v>
      </c>
      <c r="P26" s="1113">
        <v>0</v>
      </c>
      <c r="Q26" s="1113">
        <v>0</v>
      </c>
      <c r="R26" s="1113">
        <v>0</v>
      </c>
      <c r="S26" s="1123"/>
      <c r="T26" s="1123"/>
      <c r="U26" s="1123"/>
      <c r="V26" s="1123"/>
      <c r="W26" s="1123"/>
      <c r="X26" s="1123"/>
      <c r="Y26" s="1007">
        <f t="shared" si="2"/>
        <v>60000000</v>
      </c>
      <c r="Z26" s="1007"/>
      <c r="AA26" s="1007"/>
      <c r="AB26" s="1007"/>
      <c r="AC26" s="1007"/>
      <c r="AD26" s="1007"/>
      <c r="AE26" s="1007">
        <v>60000000</v>
      </c>
      <c r="AF26" s="1007"/>
      <c r="AG26" s="1007"/>
      <c r="AH26" s="1007"/>
      <c r="AI26" s="1007"/>
      <c r="AJ26" s="1007"/>
      <c r="AK26" s="1007"/>
      <c r="AL26" s="1007"/>
      <c r="AM26" s="1007"/>
      <c r="AN26" s="1007"/>
      <c r="AO26" s="1007"/>
      <c r="AP26" s="1007"/>
      <c r="AQ26" s="1007"/>
      <c r="AR26" s="1007"/>
      <c r="AS26" s="1007"/>
      <c r="AU26" s="1010">
        <f t="shared" si="3"/>
        <v>0</v>
      </c>
      <c r="AV26" s="1007">
        <f t="shared" si="4"/>
        <v>0</v>
      </c>
      <c r="AW26" s="1007"/>
      <c r="AX26" s="1007"/>
      <c r="AY26" s="1007"/>
      <c r="AZ26" s="1007"/>
      <c r="BA26" s="1007"/>
      <c r="BB26" s="1007"/>
      <c r="BC26" s="1007"/>
      <c r="BD26" s="1007"/>
      <c r="BE26" s="1007"/>
      <c r="BF26" s="1007"/>
      <c r="BG26" s="1007"/>
      <c r="BH26" s="1007"/>
      <c r="BI26" s="1007"/>
      <c r="BJ26" s="1007"/>
      <c r="BK26" s="1007"/>
      <c r="BL26" s="1007"/>
      <c r="BM26" s="1007"/>
      <c r="BN26" s="1007"/>
      <c r="BO26" s="1007"/>
      <c r="BP26" s="1007"/>
      <c r="BQ26" s="1010">
        <f t="shared" si="25"/>
        <v>1</v>
      </c>
      <c r="BR26" s="1007">
        <f t="shared" si="6"/>
        <v>60000000</v>
      </c>
      <c r="BS26" s="1007">
        <f t="shared" si="7"/>
        <v>0</v>
      </c>
      <c r="BT26" s="1007">
        <f t="shared" si="23"/>
        <v>0</v>
      </c>
      <c r="BU26" s="1007"/>
      <c r="BV26" s="1007">
        <f t="shared" si="9"/>
        <v>0</v>
      </c>
      <c r="BW26" s="1007"/>
      <c r="BX26" s="1007">
        <f t="shared" si="10"/>
        <v>60000000</v>
      </c>
      <c r="BY26" s="1007">
        <f t="shared" si="10"/>
        <v>0</v>
      </c>
      <c r="BZ26" s="1007"/>
      <c r="CA26" s="1007"/>
      <c r="CB26" s="1007"/>
      <c r="CC26" s="1007"/>
      <c r="CD26" s="1007">
        <f t="shared" si="24"/>
        <v>0</v>
      </c>
      <c r="CE26" s="1007">
        <f t="shared" si="24"/>
        <v>0</v>
      </c>
      <c r="CF26" s="1007">
        <f t="shared" si="24"/>
        <v>0</v>
      </c>
      <c r="CG26" s="1007">
        <f t="shared" si="24"/>
        <v>0</v>
      </c>
      <c r="CH26" s="1007">
        <f t="shared" si="24"/>
        <v>0</v>
      </c>
      <c r="CI26" s="1007">
        <f t="shared" si="24"/>
        <v>0</v>
      </c>
      <c r="CJ26" s="1007"/>
      <c r="CK26" s="1007"/>
      <c r="CL26" s="1007">
        <f t="shared" si="12"/>
        <v>0</v>
      </c>
      <c r="CM26" s="1010">
        <f t="shared" si="13"/>
        <v>0</v>
      </c>
      <c r="CN26" s="1007">
        <f t="shared" si="14"/>
        <v>0</v>
      </c>
      <c r="CO26" s="1007"/>
      <c r="CP26" s="1007"/>
      <c r="CQ26" s="1007"/>
      <c r="CR26" s="1007"/>
      <c r="CS26" s="1007"/>
      <c r="CT26" s="1007"/>
      <c r="CU26" s="1007"/>
      <c r="CV26" s="1007"/>
      <c r="CW26" s="1007"/>
      <c r="CX26" s="1007"/>
      <c r="CY26" s="1007"/>
      <c r="CZ26" s="1007"/>
      <c r="DA26" s="1007"/>
      <c r="DB26" s="1007"/>
      <c r="DC26" s="1007"/>
      <c r="DD26" s="1007"/>
      <c r="DE26" s="1007"/>
      <c r="DF26" s="1007"/>
      <c r="DG26" s="1007"/>
      <c r="DH26" s="1007"/>
      <c r="DI26" s="1010">
        <f t="shared" si="15"/>
        <v>1</v>
      </c>
      <c r="DJ26" s="1007">
        <f t="shared" si="16"/>
        <v>60000000</v>
      </c>
      <c r="DK26" s="1007">
        <f t="shared" si="17"/>
        <v>0</v>
      </c>
      <c r="DL26" s="1007">
        <f t="shared" si="17"/>
        <v>0</v>
      </c>
      <c r="DM26" s="1007"/>
      <c r="DN26" s="1007">
        <f t="shared" si="18"/>
        <v>0</v>
      </c>
      <c r="DO26" s="1007">
        <f t="shared" si="18"/>
        <v>0</v>
      </c>
      <c r="DP26" s="1007">
        <f t="shared" si="18"/>
        <v>60000000</v>
      </c>
      <c r="DQ26" s="1007">
        <f t="shared" si="18"/>
        <v>0</v>
      </c>
      <c r="DR26" s="1007"/>
      <c r="DS26" s="1007">
        <f t="shared" si="19"/>
        <v>0</v>
      </c>
      <c r="DT26" s="1007">
        <f t="shared" si="19"/>
        <v>0</v>
      </c>
      <c r="DU26" s="1007"/>
      <c r="DV26" s="1007">
        <f t="shared" si="20"/>
        <v>0</v>
      </c>
      <c r="DW26" s="1007">
        <f t="shared" si="20"/>
        <v>0</v>
      </c>
      <c r="DX26" s="1007">
        <f t="shared" si="20"/>
        <v>0</v>
      </c>
      <c r="DY26" s="1007">
        <f t="shared" si="21"/>
        <v>0</v>
      </c>
      <c r="DZ26" s="1007">
        <f t="shared" si="21"/>
        <v>0</v>
      </c>
      <c r="EA26" s="1007">
        <f t="shared" si="21"/>
        <v>0</v>
      </c>
      <c r="EB26" s="1007">
        <f t="shared" si="21"/>
        <v>0</v>
      </c>
      <c r="EC26" s="1007"/>
      <c r="ED26" s="1007">
        <f t="shared" si="22"/>
        <v>0</v>
      </c>
    </row>
    <row r="27" spans="1:134" ht="51" customHeight="1" x14ac:dyDescent="0.25">
      <c r="A27" s="1565"/>
      <c r="B27" s="1020" t="s">
        <v>4304</v>
      </c>
      <c r="C27" s="1114" t="s">
        <v>4403</v>
      </c>
      <c r="D27" s="1018" t="s">
        <v>4577</v>
      </c>
      <c r="E27" s="1019">
        <v>510</v>
      </c>
      <c r="F27" s="1117" t="s">
        <v>4660</v>
      </c>
      <c r="G27" s="1428">
        <v>80000000</v>
      </c>
      <c r="H27" s="1060">
        <f t="shared" si="0"/>
        <v>0</v>
      </c>
      <c r="I27" s="1060">
        <f t="shared" si="1"/>
        <v>0</v>
      </c>
      <c r="J27" s="1428" t="s">
        <v>4773</v>
      </c>
      <c r="K27" s="1257" t="s">
        <v>4774</v>
      </c>
      <c r="L27" s="1257" t="s">
        <v>4775</v>
      </c>
      <c r="M27" s="1113">
        <v>0</v>
      </c>
      <c r="N27" s="1113">
        <v>0</v>
      </c>
      <c r="O27" s="1113">
        <v>0</v>
      </c>
      <c r="P27" s="1113">
        <v>0</v>
      </c>
      <c r="Q27" s="1113">
        <v>20</v>
      </c>
      <c r="R27" s="1113">
        <v>0</v>
      </c>
      <c r="S27" s="1121"/>
      <c r="T27" s="1121"/>
      <c r="U27" s="1121"/>
      <c r="V27" s="1121"/>
      <c r="W27" s="1121"/>
      <c r="X27" s="1121"/>
      <c r="Y27" s="1007">
        <f t="shared" si="2"/>
        <v>0</v>
      </c>
      <c r="Z27" s="1007"/>
      <c r="AA27" s="1007"/>
      <c r="AB27" s="1007"/>
      <c r="AC27" s="1007"/>
      <c r="AD27" s="1007"/>
      <c r="AE27" s="1007"/>
      <c r="AF27" s="1007"/>
      <c r="AG27" s="1007"/>
      <c r="AH27" s="1007"/>
      <c r="AI27" s="1007"/>
      <c r="AJ27" s="1007"/>
      <c r="AK27" s="1007"/>
      <c r="AL27" s="1007"/>
      <c r="AM27" s="1007">
        <f>40000000-40000000</f>
        <v>0</v>
      </c>
      <c r="AN27" s="1007"/>
      <c r="AO27" s="1007"/>
      <c r="AP27" s="1007"/>
      <c r="AQ27" s="1007"/>
      <c r="AR27" s="1007"/>
      <c r="AS27" s="1007"/>
      <c r="AU27" s="1010" t="e">
        <f t="shared" si="3"/>
        <v>#DIV/0!</v>
      </c>
      <c r="AV27" s="1007">
        <f t="shared" si="4"/>
        <v>0</v>
      </c>
      <c r="AW27" s="1007"/>
      <c r="AX27" s="1007"/>
      <c r="AY27" s="1007"/>
      <c r="AZ27" s="1007"/>
      <c r="BA27" s="1007"/>
      <c r="BB27" s="1007"/>
      <c r="BC27" s="1007"/>
      <c r="BD27" s="1007"/>
      <c r="BE27" s="1007"/>
      <c r="BF27" s="1007"/>
      <c r="BG27" s="1007"/>
      <c r="BH27" s="1007"/>
      <c r="BI27" s="1007"/>
      <c r="BJ27" s="1007"/>
      <c r="BK27" s="1007"/>
      <c r="BL27" s="1007"/>
      <c r="BM27" s="1007"/>
      <c r="BN27" s="1007"/>
      <c r="BO27" s="1007"/>
      <c r="BP27" s="1007"/>
      <c r="BQ27" s="1010" t="e">
        <f t="shared" si="25"/>
        <v>#DIV/0!</v>
      </c>
      <c r="BR27" s="1007">
        <f t="shared" si="6"/>
        <v>0</v>
      </c>
      <c r="BS27" s="1007">
        <f t="shared" si="7"/>
        <v>0</v>
      </c>
      <c r="BT27" s="1007">
        <f t="shared" si="23"/>
        <v>0</v>
      </c>
      <c r="BU27" s="1007"/>
      <c r="BV27" s="1007">
        <f t="shared" si="9"/>
        <v>0</v>
      </c>
      <c r="BW27" s="1007"/>
      <c r="BX27" s="1007">
        <f t="shared" si="10"/>
        <v>0</v>
      </c>
      <c r="BY27" s="1007">
        <f t="shared" si="10"/>
        <v>0</v>
      </c>
      <c r="BZ27" s="1007"/>
      <c r="CA27" s="1007"/>
      <c r="CB27" s="1007"/>
      <c r="CC27" s="1007"/>
      <c r="CD27" s="1007">
        <f t="shared" si="24"/>
        <v>0</v>
      </c>
      <c r="CE27" s="1007">
        <f t="shared" si="24"/>
        <v>0</v>
      </c>
      <c r="CF27" s="1007">
        <f t="shared" si="24"/>
        <v>0</v>
      </c>
      <c r="CG27" s="1007">
        <f t="shared" si="24"/>
        <v>0</v>
      </c>
      <c r="CH27" s="1007">
        <f t="shared" si="24"/>
        <v>0</v>
      </c>
      <c r="CI27" s="1007">
        <f t="shared" si="24"/>
        <v>0</v>
      </c>
      <c r="CJ27" s="1007"/>
      <c r="CK27" s="1007"/>
      <c r="CL27" s="1007">
        <f t="shared" si="12"/>
        <v>0</v>
      </c>
      <c r="CM27" s="1010" t="e">
        <f t="shared" si="13"/>
        <v>#DIV/0!</v>
      </c>
      <c r="CN27" s="1007">
        <f t="shared" si="14"/>
        <v>0</v>
      </c>
      <c r="CO27" s="1007"/>
      <c r="CP27" s="1007"/>
      <c r="CQ27" s="1007"/>
      <c r="CR27" s="1007"/>
      <c r="CS27" s="1007"/>
      <c r="CT27" s="1007"/>
      <c r="CU27" s="1007"/>
      <c r="CV27" s="1007"/>
      <c r="CW27" s="1007"/>
      <c r="CX27" s="1007"/>
      <c r="CY27" s="1007"/>
      <c r="CZ27" s="1007"/>
      <c r="DA27" s="1007"/>
      <c r="DB27" s="1007"/>
      <c r="DC27" s="1007"/>
      <c r="DD27" s="1007"/>
      <c r="DE27" s="1007"/>
      <c r="DF27" s="1007"/>
      <c r="DG27" s="1007"/>
      <c r="DH27" s="1007"/>
      <c r="DI27" s="1010" t="e">
        <f t="shared" si="15"/>
        <v>#DIV/0!</v>
      </c>
      <c r="DJ27" s="1007">
        <f t="shared" si="16"/>
        <v>0</v>
      </c>
      <c r="DK27" s="1007">
        <f t="shared" si="17"/>
        <v>0</v>
      </c>
      <c r="DL27" s="1007">
        <f t="shared" si="17"/>
        <v>0</v>
      </c>
      <c r="DM27" s="1007"/>
      <c r="DN27" s="1007">
        <f t="shared" si="18"/>
        <v>0</v>
      </c>
      <c r="DO27" s="1007">
        <f t="shared" si="18"/>
        <v>0</v>
      </c>
      <c r="DP27" s="1007">
        <f t="shared" si="18"/>
        <v>0</v>
      </c>
      <c r="DQ27" s="1007">
        <f t="shared" si="18"/>
        <v>0</v>
      </c>
      <c r="DR27" s="1007"/>
      <c r="DS27" s="1007">
        <f t="shared" si="19"/>
        <v>0</v>
      </c>
      <c r="DT27" s="1007">
        <f t="shared" si="19"/>
        <v>0</v>
      </c>
      <c r="DU27" s="1007"/>
      <c r="DV27" s="1007">
        <f t="shared" si="20"/>
        <v>0</v>
      </c>
      <c r="DW27" s="1007">
        <f t="shared" si="20"/>
        <v>0</v>
      </c>
      <c r="DX27" s="1007">
        <f t="shared" si="20"/>
        <v>0</v>
      </c>
      <c r="DY27" s="1007">
        <f t="shared" si="21"/>
        <v>0</v>
      </c>
      <c r="DZ27" s="1007">
        <f t="shared" si="21"/>
        <v>0</v>
      </c>
      <c r="EA27" s="1007">
        <f t="shared" si="21"/>
        <v>0</v>
      </c>
      <c r="EB27" s="1007">
        <f t="shared" si="21"/>
        <v>0</v>
      </c>
      <c r="EC27" s="1007"/>
      <c r="ED27" s="1007">
        <f t="shared" si="22"/>
        <v>0</v>
      </c>
    </row>
    <row r="28" spans="1:134" ht="46.5" customHeight="1" x14ac:dyDescent="0.25">
      <c r="A28" s="1565"/>
      <c r="B28" s="1020"/>
      <c r="C28" s="1114" t="s">
        <v>4598</v>
      </c>
      <c r="D28" s="1018" t="s">
        <v>4578</v>
      </c>
      <c r="E28" s="1019">
        <v>510</v>
      </c>
      <c r="F28" s="1117" t="s">
        <v>4660</v>
      </c>
      <c r="G28" s="1429"/>
      <c r="H28" s="1060">
        <f t="shared" si="0"/>
        <v>0</v>
      </c>
      <c r="I28" s="1060">
        <f t="shared" si="1"/>
        <v>45000000</v>
      </c>
      <c r="J28" s="1429"/>
      <c r="K28" s="1562"/>
      <c r="L28" s="1562"/>
      <c r="M28" s="1113">
        <v>0</v>
      </c>
      <c r="N28" s="1113">
        <v>0</v>
      </c>
      <c r="O28" s="1113">
        <v>0</v>
      </c>
      <c r="P28" s="1113">
        <v>0</v>
      </c>
      <c r="Q28" s="1113">
        <v>0</v>
      </c>
      <c r="R28" s="1113">
        <v>0</v>
      </c>
      <c r="S28" s="1122"/>
      <c r="T28" s="1122"/>
      <c r="U28" s="1122"/>
      <c r="V28" s="1122"/>
      <c r="W28" s="1122"/>
      <c r="X28" s="1122"/>
      <c r="Y28" s="1007">
        <f t="shared" si="2"/>
        <v>45000000</v>
      </c>
      <c r="Z28" s="1007"/>
      <c r="AA28" s="1007"/>
      <c r="AB28" s="1007"/>
      <c r="AC28" s="1007"/>
      <c r="AD28" s="1007"/>
      <c r="AE28" s="1007"/>
      <c r="AF28" s="1007"/>
      <c r="AG28" s="1007"/>
      <c r="AH28" s="1007"/>
      <c r="AI28" s="1007"/>
      <c r="AJ28" s="1007"/>
      <c r="AK28" s="1007"/>
      <c r="AL28" s="1007"/>
      <c r="AM28" s="1007">
        <f>5000000+40000000</f>
        <v>45000000</v>
      </c>
      <c r="AN28" s="1007"/>
      <c r="AO28" s="1007"/>
      <c r="AP28" s="1007"/>
      <c r="AQ28" s="1007"/>
      <c r="AR28" s="1007"/>
      <c r="AS28" s="1007"/>
      <c r="AU28" s="1010">
        <f t="shared" si="3"/>
        <v>0</v>
      </c>
      <c r="AV28" s="1007">
        <f t="shared" si="4"/>
        <v>0</v>
      </c>
      <c r="AW28" s="1007"/>
      <c r="AX28" s="1007"/>
      <c r="AY28" s="1007"/>
      <c r="AZ28" s="1007"/>
      <c r="BA28" s="1007"/>
      <c r="BB28" s="1007"/>
      <c r="BC28" s="1007"/>
      <c r="BD28" s="1007"/>
      <c r="BE28" s="1007"/>
      <c r="BF28" s="1007"/>
      <c r="BG28" s="1007"/>
      <c r="BH28" s="1007"/>
      <c r="BI28" s="1007"/>
      <c r="BJ28" s="1007"/>
      <c r="BK28" s="1007"/>
      <c r="BL28" s="1007"/>
      <c r="BM28" s="1007"/>
      <c r="BN28" s="1007"/>
      <c r="BO28" s="1007"/>
      <c r="BP28" s="1007"/>
      <c r="BQ28" s="1010">
        <f t="shared" si="25"/>
        <v>1</v>
      </c>
      <c r="BR28" s="1007">
        <f t="shared" si="6"/>
        <v>45000000</v>
      </c>
      <c r="BS28" s="1007">
        <f t="shared" si="7"/>
        <v>0</v>
      </c>
      <c r="BT28" s="1007">
        <f t="shared" si="23"/>
        <v>0</v>
      </c>
      <c r="BU28" s="1007"/>
      <c r="BV28" s="1007">
        <f t="shared" si="9"/>
        <v>0</v>
      </c>
      <c r="BW28" s="1007"/>
      <c r="BX28" s="1007">
        <f t="shared" si="10"/>
        <v>0</v>
      </c>
      <c r="BY28" s="1007">
        <f t="shared" si="10"/>
        <v>0</v>
      </c>
      <c r="BZ28" s="1007"/>
      <c r="CA28" s="1007"/>
      <c r="CB28" s="1007"/>
      <c r="CC28" s="1007"/>
      <c r="CD28" s="1007">
        <f t="shared" si="24"/>
        <v>0</v>
      </c>
      <c r="CE28" s="1007">
        <f t="shared" si="24"/>
        <v>0</v>
      </c>
      <c r="CF28" s="1007">
        <f t="shared" si="24"/>
        <v>45000000</v>
      </c>
      <c r="CG28" s="1007">
        <f t="shared" si="24"/>
        <v>0</v>
      </c>
      <c r="CH28" s="1007">
        <f t="shared" si="24"/>
        <v>0</v>
      </c>
      <c r="CI28" s="1007">
        <f t="shared" si="24"/>
        <v>0</v>
      </c>
      <c r="CJ28" s="1007"/>
      <c r="CK28" s="1007"/>
      <c r="CL28" s="1007">
        <f t="shared" si="12"/>
        <v>0</v>
      </c>
      <c r="CM28" s="1010">
        <f t="shared" si="13"/>
        <v>0</v>
      </c>
      <c r="CN28" s="1007">
        <f t="shared" si="14"/>
        <v>0</v>
      </c>
      <c r="CO28" s="1007"/>
      <c r="CP28" s="1007"/>
      <c r="CQ28" s="1007"/>
      <c r="CR28" s="1007"/>
      <c r="CS28" s="1007"/>
      <c r="CT28" s="1007"/>
      <c r="CU28" s="1007"/>
      <c r="CV28" s="1007"/>
      <c r="CW28" s="1007"/>
      <c r="CX28" s="1007"/>
      <c r="CY28" s="1007"/>
      <c r="CZ28" s="1007"/>
      <c r="DA28" s="1007"/>
      <c r="DB28" s="1007"/>
      <c r="DC28" s="1007"/>
      <c r="DD28" s="1007"/>
      <c r="DE28" s="1007"/>
      <c r="DF28" s="1007"/>
      <c r="DG28" s="1007"/>
      <c r="DH28" s="1007"/>
      <c r="DI28" s="1010">
        <f t="shared" si="15"/>
        <v>1</v>
      </c>
      <c r="DJ28" s="1007">
        <f t="shared" si="16"/>
        <v>45000000</v>
      </c>
      <c r="DK28" s="1007">
        <f t="shared" si="17"/>
        <v>0</v>
      </c>
      <c r="DL28" s="1007">
        <f t="shared" si="17"/>
        <v>0</v>
      </c>
      <c r="DM28" s="1007"/>
      <c r="DN28" s="1007">
        <f t="shared" si="18"/>
        <v>0</v>
      </c>
      <c r="DO28" s="1007">
        <f t="shared" si="18"/>
        <v>0</v>
      </c>
      <c r="DP28" s="1007">
        <f t="shared" si="18"/>
        <v>0</v>
      </c>
      <c r="DQ28" s="1007">
        <f t="shared" si="18"/>
        <v>0</v>
      </c>
      <c r="DR28" s="1007"/>
      <c r="DS28" s="1007">
        <f t="shared" si="19"/>
        <v>0</v>
      </c>
      <c r="DT28" s="1007">
        <f t="shared" si="19"/>
        <v>0</v>
      </c>
      <c r="DU28" s="1007"/>
      <c r="DV28" s="1007">
        <f t="shared" si="20"/>
        <v>0</v>
      </c>
      <c r="DW28" s="1007">
        <f t="shared" si="20"/>
        <v>0</v>
      </c>
      <c r="DX28" s="1007">
        <f t="shared" si="20"/>
        <v>45000000</v>
      </c>
      <c r="DY28" s="1007">
        <f t="shared" si="21"/>
        <v>0</v>
      </c>
      <c r="DZ28" s="1007">
        <f t="shared" si="21"/>
        <v>0</v>
      </c>
      <c r="EA28" s="1007">
        <f t="shared" si="21"/>
        <v>0</v>
      </c>
      <c r="EB28" s="1007">
        <f t="shared" si="21"/>
        <v>0</v>
      </c>
      <c r="EC28" s="1007"/>
      <c r="ED28" s="1007">
        <f t="shared" si="22"/>
        <v>0</v>
      </c>
    </row>
    <row r="29" spans="1:134" ht="48.75" customHeight="1" x14ac:dyDescent="0.25">
      <c r="A29" s="1565"/>
      <c r="B29" s="1020"/>
      <c r="C29" s="1114" t="s">
        <v>4599</v>
      </c>
      <c r="D29" s="1018" t="s">
        <v>4686</v>
      </c>
      <c r="E29" s="1019">
        <v>510</v>
      </c>
      <c r="F29" s="1117" t="s">
        <v>4660</v>
      </c>
      <c r="G29" s="1430"/>
      <c r="H29" s="1060">
        <f t="shared" si="0"/>
        <v>0</v>
      </c>
      <c r="I29" s="1060">
        <f t="shared" si="1"/>
        <v>65000000</v>
      </c>
      <c r="J29" s="1430"/>
      <c r="K29" s="1258"/>
      <c r="L29" s="1258"/>
      <c r="M29" s="1113">
        <v>0</v>
      </c>
      <c r="N29" s="1113">
        <v>0</v>
      </c>
      <c r="O29" s="1113">
        <v>0</v>
      </c>
      <c r="P29" s="1113">
        <v>0</v>
      </c>
      <c r="Q29" s="1113">
        <v>20</v>
      </c>
      <c r="R29" s="1113">
        <v>0</v>
      </c>
      <c r="S29" s="1123"/>
      <c r="T29" s="1123"/>
      <c r="U29" s="1123"/>
      <c r="V29" s="1123"/>
      <c r="W29" s="1123"/>
      <c r="X29" s="1123"/>
      <c r="Y29" s="1007">
        <f t="shared" si="2"/>
        <v>65000000</v>
      </c>
      <c r="Z29" s="1007"/>
      <c r="AA29" s="1007"/>
      <c r="AB29" s="1007"/>
      <c r="AC29" s="1007"/>
      <c r="AD29" s="1007"/>
      <c r="AE29" s="1007"/>
      <c r="AF29" s="1007"/>
      <c r="AG29" s="1007"/>
      <c r="AH29" s="1007"/>
      <c r="AI29" s="1007"/>
      <c r="AJ29" s="1007"/>
      <c r="AK29" s="1007"/>
      <c r="AL29" s="1007"/>
      <c r="AM29" s="1007">
        <v>35000000</v>
      </c>
      <c r="AN29" s="1007">
        <v>30000000</v>
      </c>
      <c r="AO29" s="1007"/>
      <c r="AP29" s="1007"/>
      <c r="AQ29" s="1007"/>
      <c r="AR29" s="1007"/>
      <c r="AS29" s="1007"/>
      <c r="AU29" s="1010">
        <f t="shared" si="3"/>
        <v>0</v>
      </c>
      <c r="AV29" s="1007">
        <f t="shared" si="4"/>
        <v>0</v>
      </c>
      <c r="AW29" s="1007"/>
      <c r="AX29" s="1007"/>
      <c r="AY29" s="1007"/>
      <c r="AZ29" s="1007"/>
      <c r="BA29" s="1007"/>
      <c r="BB29" s="1007"/>
      <c r="BC29" s="1007"/>
      <c r="BD29" s="1007"/>
      <c r="BE29" s="1007"/>
      <c r="BF29" s="1007"/>
      <c r="BG29" s="1007"/>
      <c r="BH29" s="1007"/>
      <c r="BI29" s="1007"/>
      <c r="BJ29" s="1007"/>
      <c r="BK29" s="1007"/>
      <c r="BL29" s="1007"/>
      <c r="BM29" s="1007"/>
      <c r="BN29" s="1007"/>
      <c r="BO29" s="1007"/>
      <c r="BP29" s="1007"/>
      <c r="BQ29" s="1010">
        <f t="shared" si="25"/>
        <v>1</v>
      </c>
      <c r="BR29" s="1007">
        <f t="shared" si="6"/>
        <v>65000000</v>
      </c>
      <c r="BS29" s="1007">
        <f t="shared" si="7"/>
        <v>0</v>
      </c>
      <c r="BT29" s="1007">
        <f t="shared" si="23"/>
        <v>0</v>
      </c>
      <c r="BU29" s="1007"/>
      <c r="BV29" s="1007">
        <f t="shared" si="9"/>
        <v>0</v>
      </c>
      <c r="BW29" s="1007"/>
      <c r="BX29" s="1007">
        <f t="shared" si="10"/>
        <v>0</v>
      </c>
      <c r="BY29" s="1007">
        <f t="shared" si="10"/>
        <v>0</v>
      </c>
      <c r="BZ29" s="1007"/>
      <c r="CA29" s="1007"/>
      <c r="CB29" s="1007"/>
      <c r="CC29" s="1007"/>
      <c r="CD29" s="1007">
        <f t="shared" si="24"/>
        <v>0</v>
      </c>
      <c r="CE29" s="1007">
        <f t="shared" si="24"/>
        <v>0</v>
      </c>
      <c r="CF29" s="1007">
        <f t="shared" si="24"/>
        <v>35000000</v>
      </c>
      <c r="CG29" s="1007">
        <f t="shared" si="24"/>
        <v>30000000</v>
      </c>
      <c r="CH29" s="1007">
        <f t="shared" si="24"/>
        <v>0</v>
      </c>
      <c r="CI29" s="1007">
        <f t="shared" si="24"/>
        <v>0</v>
      </c>
      <c r="CJ29" s="1007"/>
      <c r="CK29" s="1007"/>
      <c r="CL29" s="1007">
        <f t="shared" si="12"/>
        <v>0</v>
      </c>
      <c r="CM29" s="1010">
        <f t="shared" si="13"/>
        <v>0</v>
      </c>
      <c r="CN29" s="1007">
        <f t="shared" si="14"/>
        <v>0</v>
      </c>
      <c r="CO29" s="1007"/>
      <c r="CP29" s="1007"/>
      <c r="CQ29" s="1007"/>
      <c r="CR29" s="1007"/>
      <c r="CS29" s="1007"/>
      <c r="CT29" s="1007"/>
      <c r="CU29" s="1007"/>
      <c r="CV29" s="1007"/>
      <c r="CW29" s="1007"/>
      <c r="CX29" s="1007"/>
      <c r="CY29" s="1007"/>
      <c r="CZ29" s="1007"/>
      <c r="DA29" s="1007"/>
      <c r="DB29" s="1007"/>
      <c r="DC29" s="1007"/>
      <c r="DD29" s="1007"/>
      <c r="DE29" s="1007"/>
      <c r="DF29" s="1007"/>
      <c r="DG29" s="1007"/>
      <c r="DH29" s="1007"/>
      <c r="DI29" s="1010">
        <f t="shared" si="15"/>
        <v>1</v>
      </c>
      <c r="DJ29" s="1007">
        <f t="shared" si="16"/>
        <v>65000000</v>
      </c>
      <c r="DK29" s="1007">
        <f t="shared" si="17"/>
        <v>0</v>
      </c>
      <c r="DL29" s="1007">
        <f t="shared" si="17"/>
        <v>0</v>
      </c>
      <c r="DM29" s="1007"/>
      <c r="DN29" s="1007">
        <f t="shared" si="18"/>
        <v>0</v>
      </c>
      <c r="DO29" s="1007">
        <f t="shared" si="18"/>
        <v>0</v>
      </c>
      <c r="DP29" s="1007">
        <f t="shared" si="18"/>
        <v>0</v>
      </c>
      <c r="DQ29" s="1007">
        <f t="shared" si="18"/>
        <v>0</v>
      </c>
      <c r="DR29" s="1007"/>
      <c r="DS29" s="1007">
        <f t="shared" si="19"/>
        <v>0</v>
      </c>
      <c r="DT29" s="1007">
        <f t="shared" si="19"/>
        <v>0</v>
      </c>
      <c r="DU29" s="1007"/>
      <c r="DV29" s="1007">
        <f t="shared" si="20"/>
        <v>0</v>
      </c>
      <c r="DW29" s="1007">
        <f t="shared" si="20"/>
        <v>0</v>
      </c>
      <c r="DX29" s="1007">
        <f t="shared" si="20"/>
        <v>35000000</v>
      </c>
      <c r="DY29" s="1007">
        <f t="shared" si="21"/>
        <v>30000000</v>
      </c>
      <c r="DZ29" s="1007">
        <f t="shared" si="21"/>
        <v>0</v>
      </c>
      <c r="EA29" s="1007">
        <f t="shared" si="21"/>
        <v>0</v>
      </c>
      <c r="EB29" s="1007">
        <f t="shared" si="21"/>
        <v>0</v>
      </c>
      <c r="EC29" s="1007"/>
      <c r="ED29" s="1007">
        <f t="shared" si="22"/>
        <v>0</v>
      </c>
    </row>
    <row r="30" spans="1:134" ht="36" customHeight="1" x14ac:dyDescent="0.25">
      <c r="A30" s="1565"/>
      <c r="B30" s="1566" t="s">
        <v>4305</v>
      </c>
      <c r="C30" s="1114" t="s">
        <v>4404</v>
      </c>
      <c r="D30" s="1018" t="s">
        <v>4700</v>
      </c>
      <c r="E30" s="1019">
        <v>510</v>
      </c>
      <c r="F30" s="1117" t="s">
        <v>4660</v>
      </c>
      <c r="G30" s="1428">
        <v>111000000</v>
      </c>
      <c r="H30" s="1060">
        <f t="shared" si="0"/>
        <v>876100</v>
      </c>
      <c r="I30" s="1060">
        <f t="shared" si="1"/>
        <v>1123900</v>
      </c>
      <c r="J30" s="1428" t="s">
        <v>4776</v>
      </c>
      <c r="K30" s="1257" t="s">
        <v>4777</v>
      </c>
      <c r="L30" s="1257" t="s">
        <v>4778</v>
      </c>
      <c r="M30" s="1113">
        <v>0</v>
      </c>
      <c r="N30" s="1113">
        <v>0</v>
      </c>
      <c r="O30" s="1113">
        <v>0</v>
      </c>
      <c r="P30" s="1113">
        <v>44</v>
      </c>
      <c r="Q30" s="1113">
        <v>10</v>
      </c>
      <c r="R30" s="1113">
        <v>40</v>
      </c>
      <c r="S30" s="1121"/>
      <c r="T30" s="1121"/>
      <c r="U30" s="1121"/>
      <c r="V30" s="1121"/>
      <c r="W30" s="1121"/>
      <c r="X30" s="1121"/>
      <c r="Y30" s="1007">
        <f t="shared" si="2"/>
        <v>2000000</v>
      </c>
      <c r="Z30" s="1007"/>
      <c r="AA30" s="1007"/>
      <c r="AB30" s="1007"/>
      <c r="AC30" s="1007"/>
      <c r="AD30" s="1007"/>
      <c r="AE30" s="1007"/>
      <c r="AF30" s="1007"/>
      <c r="AG30" s="1007"/>
      <c r="AH30" s="1007"/>
      <c r="AI30" s="1007"/>
      <c r="AJ30" s="1007"/>
      <c r="AK30" s="1007"/>
      <c r="AL30" s="1007"/>
      <c r="AM30" s="1007">
        <v>2000000</v>
      </c>
      <c r="AN30" s="1007"/>
      <c r="AO30" s="1007"/>
      <c r="AP30" s="1007"/>
      <c r="AQ30" s="1007"/>
      <c r="AR30" s="1007"/>
      <c r="AS30" s="1007"/>
      <c r="AU30" s="1010">
        <f t="shared" si="3"/>
        <v>0.43804999999999999</v>
      </c>
      <c r="AV30" s="1007">
        <f t="shared" si="4"/>
        <v>876100</v>
      </c>
      <c r="AW30" s="1007"/>
      <c r="AX30" s="1007"/>
      <c r="AY30" s="1007"/>
      <c r="AZ30" s="1007"/>
      <c r="BA30" s="1007"/>
      <c r="BB30" s="1007"/>
      <c r="BC30" s="1007"/>
      <c r="BD30" s="1007"/>
      <c r="BE30" s="1007"/>
      <c r="BF30" s="1007"/>
      <c r="BG30" s="1007"/>
      <c r="BH30" s="1007"/>
      <c r="BI30" s="1007"/>
      <c r="BJ30" s="1007">
        <f>+'[11]MARZO 2015'!$V$1091</f>
        <v>876100</v>
      </c>
      <c r="BK30" s="1007"/>
      <c r="BL30" s="1007"/>
      <c r="BM30" s="1007"/>
      <c r="BN30" s="1007"/>
      <c r="BO30" s="1007"/>
      <c r="BP30" s="1007"/>
      <c r="BQ30" s="1010">
        <f t="shared" si="25"/>
        <v>0.56194999999999995</v>
      </c>
      <c r="BR30" s="1007">
        <f t="shared" si="6"/>
        <v>1123900</v>
      </c>
      <c r="BS30" s="1007">
        <f t="shared" si="7"/>
        <v>0</v>
      </c>
      <c r="BT30" s="1007">
        <f t="shared" si="23"/>
        <v>0</v>
      </c>
      <c r="BU30" s="1007"/>
      <c r="BV30" s="1007">
        <f t="shared" si="9"/>
        <v>0</v>
      </c>
      <c r="BW30" s="1007"/>
      <c r="BX30" s="1007">
        <f t="shared" si="10"/>
        <v>0</v>
      </c>
      <c r="BY30" s="1007">
        <f t="shared" si="10"/>
        <v>0</v>
      </c>
      <c r="BZ30" s="1007"/>
      <c r="CA30" s="1007"/>
      <c r="CB30" s="1007"/>
      <c r="CC30" s="1007"/>
      <c r="CD30" s="1007">
        <f t="shared" si="24"/>
        <v>0</v>
      </c>
      <c r="CE30" s="1007">
        <f t="shared" si="24"/>
        <v>0</v>
      </c>
      <c r="CF30" s="1007">
        <f t="shared" si="24"/>
        <v>1123900</v>
      </c>
      <c r="CG30" s="1007">
        <f t="shared" si="24"/>
        <v>0</v>
      </c>
      <c r="CH30" s="1007">
        <f t="shared" si="24"/>
        <v>0</v>
      </c>
      <c r="CI30" s="1007">
        <f t="shared" si="24"/>
        <v>0</v>
      </c>
      <c r="CJ30" s="1007"/>
      <c r="CK30" s="1007"/>
      <c r="CL30" s="1007">
        <f t="shared" si="12"/>
        <v>0</v>
      </c>
      <c r="CM30" s="1010">
        <f t="shared" si="13"/>
        <v>0.43804999999999999</v>
      </c>
      <c r="CN30" s="1007">
        <f t="shared" si="14"/>
        <v>876100</v>
      </c>
      <c r="CO30" s="1007"/>
      <c r="CP30" s="1007"/>
      <c r="CQ30" s="1007"/>
      <c r="CR30" s="1007"/>
      <c r="CS30" s="1007"/>
      <c r="CT30" s="1007"/>
      <c r="CU30" s="1007"/>
      <c r="CV30" s="1007"/>
      <c r="CW30" s="1007"/>
      <c r="CX30" s="1007"/>
      <c r="CY30" s="1007"/>
      <c r="CZ30" s="1007"/>
      <c r="DA30" s="1007"/>
      <c r="DB30" s="1007">
        <f>+'[11]MARZO 2015'!$H$1089</f>
        <v>876100</v>
      </c>
      <c r="DC30" s="1007"/>
      <c r="DD30" s="1007"/>
      <c r="DE30" s="1007"/>
      <c r="DF30" s="1007"/>
      <c r="DG30" s="1007"/>
      <c r="DH30" s="1007"/>
      <c r="DI30" s="1010">
        <f t="shared" si="15"/>
        <v>0.56194999999999995</v>
      </c>
      <c r="DJ30" s="1007">
        <f t="shared" si="16"/>
        <v>1123900</v>
      </c>
      <c r="DK30" s="1007">
        <f t="shared" si="17"/>
        <v>0</v>
      </c>
      <c r="DL30" s="1007">
        <f t="shared" si="17"/>
        <v>0</v>
      </c>
      <c r="DM30" s="1007"/>
      <c r="DN30" s="1007">
        <f t="shared" si="18"/>
        <v>0</v>
      </c>
      <c r="DO30" s="1007">
        <f t="shared" si="18"/>
        <v>0</v>
      </c>
      <c r="DP30" s="1007">
        <f t="shared" si="18"/>
        <v>0</v>
      </c>
      <c r="DQ30" s="1007">
        <f t="shared" si="18"/>
        <v>0</v>
      </c>
      <c r="DR30" s="1007"/>
      <c r="DS30" s="1007">
        <f t="shared" si="19"/>
        <v>0</v>
      </c>
      <c r="DT30" s="1007">
        <f t="shared" si="19"/>
        <v>0</v>
      </c>
      <c r="DU30" s="1007"/>
      <c r="DV30" s="1007">
        <f t="shared" si="20"/>
        <v>0</v>
      </c>
      <c r="DW30" s="1007">
        <f t="shared" si="20"/>
        <v>0</v>
      </c>
      <c r="DX30" s="1007">
        <f t="shared" si="20"/>
        <v>1123900</v>
      </c>
      <c r="DY30" s="1007">
        <f t="shared" si="21"/>
        <v>0</v>
      </c>
      <c r="DZ30" s="1007">
        <f t="shared" si="21"/>
        <v>0</v>
      </c>
      <c r="EA30" s="1007">
        <f t="shared" si="21"/>
        <v>0</v>
      </c>
      <c r="EB30" s="1007">
        <f t="shared" si="21"/>
        <v>0</v>
      </c>
      <c r="EC30" s="1007"/>
      <c r="ED30" s="1007">
        <f t="shared" si="22"/>
        <v>0</v>
      </c>
    </row>
    <row r="31" spans="1:134" ht="26.25" customHeight="1" x14ac:dyDescent="0.25">
      <c r="A31" s="1565"/>
      <c r="B31" s="1567"/>
      <c r="C31" s="1114" t="s">
        <v>4581</v>
      </c>
      <c r="D31" s="1018" t="s">
        <v>4600</v>
      </c>
      <c r="E31" s="1019">
        <v>510</v>
      </c>
      <c r="F31" s="1117" t="s">
        <v>4660</v>
      </c>
      <c r="G31" s="1429"/>
      <c r="H31" s="1060">
        <f t="shared" si="0"/>
        <v>25219875</v>
      </c>
      <c r="I31" s="1060">
        <f t="shared" si="1"/>
        <v>35780125</v>
      </c>
      <c r="J31" s="1429"/>
      <c r="K31" s="1562"/>
      <c r="L31" s="1562"/>
      <c r="M31" s="1113">
        <v>0</v>
      </c>
      <c r="N31" s="1113">
        <v>0</v>
      </c>
      <c r="O31" s="1113">
        <v>0</v>
      </c>
      <c r="P31" s="1113">
        <v>27</v>
      </c>
      <c r="Q31" s="1113">
        <v>40</v>
      </c>
      <c r="R31" s="1113">
        <v>11</v>
      </c>
      <c r="S31" s="1122"/>
      <c r="T31" s="1122"/>
      <c r="U31" s="1122"/>
      <c r="V31" s="1122"/>
      <c r="W31" s="1122"/>
      <c r="X31" s="1122"/>
      <c r="Y31" s="1007">
        <f t="shared" si="2"/>
        <v>61000000</v>
      </c>
      <c r="Z31" s="1007"/>
      <c r="AA31" s="1007"/>
      <c r="AB31" s="1007"/>
      <c r="AC31" s="1007"/>
      <c r="AD31" s="1007"/>
      <c r="AE31" s="1007"/>
      <c r="AF31" s="1007"/>
      <c r="AG31" s="1007"/>
      <c r="AH31" s="1007"/>
      <c r="AI31" s="1007"/>
      <c r="AJ31" s="1007"/>
      <c r="AK31" s="1007"/>
      <c r="AL31" s="1007"/>
      <c r="AM31" s="1007">
        <v>40000000</v>
      </c>
      <c r="AN31" s="1007"/>
      <c r="AO31" s="1007"/>
      <c r="AP31" s="1007"/>
      <c r="AQ31" s="1007"/>
      <c r="AR31" s="1007"/>
      <c r="AS31" s="1007">
        <v>21000000</v>
      </c>
      <c r="AU31" s="1010">
        <f t="shared" si="3"/>
        <v>0.61704167213114758</v>
      </c>
      <c r="AV31" s="1007">
        <f t="shared" si="4"/>
        <v>37639542</v>
      </c>
      <c r="AW31" s="1007"/>
      <c r="AX31" s="1007"/>
      <c r="AY31" s="1007"/>
      <c r="AZ31" s="1007"/>
      <c r="BA31" s="1007"/>
      <c r="BB31" s="1007"/>
      <c r="BC31" s="1007"/>
      <c r="BD31" s="1007"/>
      <c r="BE31" s="1007"/>
      <c r="BF31" s="1007"/>
      <c r="BG31" s="1007"/>
      <c r="BH31" s="1007"/>
      <c r="BI31" s="1007"/>
      <c r="BJ31" s="1007">
        <f>+'[8]SEPTIEMBRE 2015'!$W$2671</f>
        <v>37639542</v>
      </c>
      <c r="BK31" s="1007"/>
      <c r="BL31" s="1007"/>
      <c r="BM31" s="1007"/>
      <c r="BN31" s="1007"/>
      <c r="BO31" s="1007"/>
      <c r="BP31" s="1007"/>
      <c r="BQ31" s="1010">
        <f t="shared" si="25"/>
        <v>0.38295832786885242</v>
      </c>
      <c r="BR31" s="1007">
        <f t="shared" si="6"/>
        <v>23360458</v>
      </c>
      <c r="BS31" s="1007">
        <f t="shared" si="7"/>
        <v>0</v>
      </c>
      <c r="BT31" s="1007">
        <f t="shared" si="23"/>
        <v>0</v>
      </c>
      <c r="BU31" s="1007"/>
      <c r="BV31" s="1007">
        <f t="shared" si="9"/>
        <v>0</v>
      </c>
      <c r="BW31" s="1007"/>
      <c r="BX31" s="1007">
        <f t="shared" si="10"/>
        <v>0</v>
      </c>
      <c r="BY31" s="1007">
        <f t="shared" si="10"/>
        <v>0</v>
      </c>
      <c r="BZ31" s="1007"/>
      <c r="CA31" s="1007"/>
      <c r="CB31" s="1007"/>
      <c r="CC31" s="1007"/>
      <c r="CD31" s="1007">
        <f t="shared" si="24"/>
        <v>0</v>
      </c>
      <c r="CE31" s="1007">
        <f t="shared" si="24"/>
        <v>0</v>
      </c>
      <c r="CF31" s="1007">
        <f t="shared" si="24"/>
        <v>2360458</v>
      </c>
      <c r="CG31" s="1007">
        <f t="shared" si="24"/>
        <v>0</v>
      </c>
      <c r="CH31" s="1007">
        <f t="shared" si="24"/>
        <v>0</v>
      </c>
      <c r="CI31" s="1007">
        <f t="shared" si="24"/>
        <v>0</v>
      </c>
      <c r="CJ31" s="1007"/>
      <c r="CK31" s="1007"/>
      <c r="CL31" s="1007">
        <f t="shared" si="12"/>
        <v>21000000</v>
      </c>
      <c r="CM31" s="1010">
        <f t="shared" si="13"/>
        <v>0.41344057377049181</v>
      </c>
      <c r="CN31" s="1007">
        <f t="shared" si="14"/>
        <v>25219875</v>
      </c>
      <c r="CO31" s="1007"/>
      <c r="CP31" s="1007"/>
      <c r="CQ31" s="1007"/>
      <c r="CR31" s="1007"/>
      <c r="CS31" s="1007"/>
      <c r="CT31" s="1007"/>
      <c r="CU31" s="1007"/>
      <c r="CV31" s="1007"/>
      <c r="CW31" s="1007"/>
      <c r="CX31" s="1007"/>
      <c r="CY31" s="1007"/>
      <c r="CZ31" s="1007"/>
      <c r="DA31" s="1007"/>
      <c r="DB31" s="1007">
        <f>+'[8]SEPTIEMBRE 2015'!$H$2669</f>
        <v>25219875</v>
      </c>
      <c r="DC31" s="1007"/>
      <c r="DD31" s="1007"/>
      <c r="DE31" s="1007"/>
      <c r="DF31" s="1007"/>
      <c r="DG31" s="1007"/>
      <c r="DH31" s="1007"/>
      <c r="DI31" s="1010">
        <f t="shared" si="15"/>
        <v>0.58655942622950819</v>
      </c>
      <c r="DJ31" s="1007">
        <f t="shared" si="16"/>
        <v>35780125</v>
      </c>
      <c r="DK31" s="1007">
        <f t="shared" si="17"/>
        <v>0</v>
      </c>
      <c r="DL31" s="1007">
        <f t="shared" si="17"/>
        <v>0</v>
      </c>
      <c r="DM31" s="1007"/>
      <c r="DN31" s="1007">
        <f t="shared" si="18"/>
        <v>0</v>
      </c>
      <c r="DO31" s="1007">
        <f t="shared" si="18"/>
        <v>0</v>
      </c>
      <c r="DP31" s="1007">
        <f t="shared" si="18"/>
        <v>0</v>
      </c>
      <c r="DQ31" s="1007">
        <f t="shared" si="18"/>
        <v>0</v>
      </c>
      <c r="DR31" s="1007"/>
      <c r="DS31" s="1007">
        <f t="shared" si="19"/>
        <v>0</v>
      </c>
      <c r="DT31" s="1007">
        <f t="shared" si="19"/>
        <v>0</v>
      </c>
      <c r="DU31" s="1007"/>
      <c r="DV31" s="1007">
        <f t="shared" si="20"/>
        <v>0</v>
      </c>
      <c r="DW31" s="1007">
        <f t="shared" si="20"/>
        <v>0</v>
      </c>
      <c r="DX31" s="1007">
        <f t="shared" si="20"/>
        <v>14780125</v>
      </c>
      <c r="DY31" s="1007">
        <f t="shared" si="21"/>
        <v>0</v>
      </c>
      <c r="DZ31" s="1007">
        <f t="shared" si="21"/>
        <v>0</v>
      </c>
      <c r="EA31" s="1007">
        <f t="shared" si="21"/>
        <v>0</v>
      </c>
      <c r="EB31" s="1007">
        <f t="shared" si="21"/>
        <v>0</v>
      </c>
      <c r="EC31" s="1007"/>
      <c r="ED31" s="1007">
        <f t="shared" si="22"/>
        <v>21000000</v>
      </c>
    </row>
    <row r="32" spans="1:134" ht="39" customHeight="1" x14ac:dyDescent="0.25">
      <c r="A32" s="1565"/>
      <c r="B32" s="1567"/>
      <c r="C32" s="1114" t="s">
        <v>4582</v>
      </c>
      <c r="D32" s="1018" t="s">
        <v>4579</v>
      </c>
      <c r="E32" s="1019">
        <v>510</v>
      </c>
      <c r="F32" s="1117" t="s">
        <v>4660</v>
      </c>
      <c r="G32" s="1429"/>
      <c r="H32" s="1060">
        <f t="shared" si="0"/>
        <v>10640000</v>
      </c>
      <c r="I32" s="1060">
        <f t="shared" si="1"/>
        <v>39360000</v>
      </c>
      <c r="J32" s="1429"/>
      <c r="K32" s="1562"/>
      <c r="L32" s="1562"/>
      <c r="M32" s="1113">
        <v>0</v>
      </c>
      <c r="N32" s="1113">
        <v>0</v>
      </c>
      <c r="O32" s="1113">
        <v>0</v>
      </c>
      <c r="P32" s="1113">
        <v>0</v>
      </c>
      <c r="Q32" s="1113">
        <v>40</v>
      </c>
      <c r="R32" s="1113">
        <v>0</v>
      </c>
      <c r="S32" s="1122"/>
      <c r="T32" s="1122"/>
      <c r="U32" s="1122"/>
      <c r="V32" s="1122"/>
      <c r="W32" s="1122"/>
      <c r="X32" s="1122"/>
      <c r="Y32" s="1007">
        <f t="shared" si="2"/>
        <v>50000000</v>
      </c>
      <c r="Z32" s="1007"/>
      <c r="AA32" s="1007"/>
      <c r="AB32" s="1007"/>
      <c r="AC32" s="1007"/>
      <c r="AD32" s="1007"/>
      <c r="AE32" s="1007"/>
      <c r="AF32" s="1007"/>
      <c r="AG32" s="1007"/>
      <c r="AH32" s="1007"/>
      <c r="AI32" s="1007"/>
      <c r="AJ32" s="1007"/>
      <c r="AK32" s="1007"/>
      <c r="AL32" s="1007"/>
      <c r="AM32" s="1007">
        <v>40000000</v>
      </c>
      <c r="AN32" s="1007">
        <v>10000000</v>
      </c>
      <c r="AO32" s="1007"/>
      <c r="AP32" s="1007"/>
      <c r="AQ32" s="1007"/>
      <c r="AR32" s="1007"/>
      <c r="AS32" s="1007"/>
      <c r="AU32" s="1010">
        <f t="shared" si="3"/>
        <v>0.95281987999999995</v>
      </c>
      <c r="AV32" s="1007">
        <f t="shared" si="4"/>
        <v>47640994</v>
      </c>
      <c r="AW32" s="1007"/>
      <c r="AX32" s="1007"/>
      <c r="AY32" s="1007"/>
      <c r="AZ32" s="1007"/>
      <c r="BA32" s="1007"/>
      <c r="BB32" s="1007"/>
      <c r="BC32" s="1007"/>
      <c r="BD32" s="1007"/>
      <c r="BE32" s="1007"/>
      <c r="BF32" s="1007"/>
      <c r="BG32" s="1007"/>
      <c r="BH32" s="1007"/>
      <c r="BI32" s="1007"/>
      <c r="BJ32" s="1007">
        <f>+'[13]JUNIO 2015'!$W$1673</f>
        <v>40000000</v>
      </c>
      <c r="BK32" s="1007">
        <f>+'[13]JUNIO 2015'!$X$1673</f>
        <v>7640994</v>
      </c>
      <c r="BL32" s="1007"/>
      <c r="BM32" s="1007"/>
      <c r="BN32" s="1007"/>
      <c r="BO32" s="1007"/>
      <c r="BP32" s="1007"/>
      <c r="BQ32" s="1010">
        <f t="shared" si="25"/>
        <v>4.7180120000000048E-2</v>
      </c>
      <c r="BR32" s="1007">
        <f t="shared" si="6"/>
        <v>2359006</v>
      </c>
      <c r="BS32" s="1007">
        <f t="shared" si="7"/>
        <v>0</v>
      </c>
      <c r="BT32" s="1007">
        <f t="shared" si="23"/>
        <v>0</v>
      </c>
      <c r="BU32" s="1007"/>
      <c r="BV32" s="1007">
        <f t="shared" si="9"/>
        <v>0</v>
      </c>
      <c r="BW32" s="1007"/>
      <c r="BX32" s="1007">
        <f t="shared" si="10"/>
        <v>0</v>
      </c>
      <c r="BY32" s="1007">
        <f t="shared" si="10"/>
        <v>0</v>
      </c>
      <c r="BZ32" s="1007"/>
      <c r="CA32" s="1007"/>
      <c r="CB32" s="1007"/>
      <c r="CC32" s="1007"/>
      <c r="CD32" s="1007">
        <f t="shared" si="24"/>
        <v>0</v>
      </c>
      <c r="CE32" s="1007">
        <f t="shared" si="24"/>
        <v>0</v>
      </c>
      <c r="CF32" s="1007">
        <f t="shared" si="24"/>
        <v>0</v>
      </c>
      <c r="CG32" s="1007">
        <f t="shared" si="24"/>
        <v>2359006</v>
      </c>
      <c r="CH32" s="1007">
        <f t="shared" si="24"/>
        <v>0</v>
      </c>
      <c r="CI32" s="1007">
        <f t="shared" si="24"/>
        <v>0</v>
      </c>
      <c r="CJ32" s="1007"/>
      <c r="CK32" s="1007"/>
      <c r="CL32" s="1007">
        <f t="shared" si="12"/>
        <v>0</v>
      </c>
      <c r="CM32" s="1010">
        <f t="shared" si="13"/>
        <v>0.21279999999999999</v>
      </c>
      <c r="CN32" s="1007">
        <f t="shared" si="14"/>
        <v>10640000</v>
      </c>
      <c r="CO32" s="1007"/>
      <c r="CP32" s="1007"/>
      <c r="CQ32" s="1007"/>
      <c r="CR32" s="1007"/>
      <c r="CS32" s="1007"/>
      <c r="CT32" s="1007"/>
      <c r="CU32" s="1007"/>
      <c r="CV32" s="1007"/>
      <c r="CW32" s="1007"/>
      <c r="CX32" s="1007"/>
      <c r="CY32" s="1007"/>
      <c r="CZ32" s="1007"/>
      <c r="DA32" s="1007"/>
      <c r="DB32" s="1007">
        <f>+'[10]JULIO 2015'!$W$1957</f>
        <v>3000000</v>
      </c>
      <c r="DC32" s="1007">
        <f>+'[10]JULIO 2015'!$H$1958-DB32</f>
        <v>7640000</v>
      </c>
      <c r="DD32" s="1007"/>
      <c r="DE32" s="1007"/>
      <c r="DF32" s="1007"/>
      <c r="DG32" s="1007"/>
      <c r="DH32" s="1007"/>
      <c r="DI32" s="1010">
        <f t="shared" si="15"/>
        <v>0.78720000000000001</v>
      </c>
      <c r="DJ32" s="1007">
        <f t="shared" si="16"/>
        <v>39360000</v>
      </c>
      <c r="DK32" s="1007">
        <f t="shared" si="17"/>
        <v>0</v>
      </c>
      <c r="DL32" s="1007">
        <f t="shared" si="17"/>
        <v>0</v>
      </c>
      <c r="DM32" s="1007"/>
      <c r="DN32" s="1007">
        <f t="shared" si="18"/>
        <v>0</v>
      </c>
      <c r="DO32" s="1007">
        <f t="shared" si="18"/>
        <v>0</v>
      </c>
      <c r="DP32" s="1007">
        <f t="shared" si="18"/>
        <v>0</v>
      </c>
      <c r="DQ32" s="1007">
        <f t="shared" si="18"/>
        <v>0</v>
      </c>
      <c r="DR32" s="1007"/>
      <c r="DS32" s="1007">
        <f t="shared" si="19"/>
        <v>0</v>
      </c>
      <c r="DT32" s="1007">
        <f t="shared" si="19"/>
        <v>0</v>
      </c>
      <c r="DU32" s="1007"/>
      <c r="DV32" s="1007">
        <f t="shared" si="20"/>
        <v>0</v>
      </c>
      <c r="DW32" s="1007">
        <f t="shared" si="20"/>
        <v>0</v>
      </c>
      <c r="DX32" s="1007">
        <f t="shared" si="20"/>
        <v>37000000</v>
      </c>
      <c r="DY32" s="1007">
        <f t="shared" si="21"/>
        <v>2360000</v>
      </c>
      <c r="DZ32" s="1007">
        <f t="shared" si="21"/>
        <v>0</v>
      </c>
      <c r="EA32" s="1007">
        <f t="shared" si="21"/>
        <v>0</v>
      </c>
      <c r="EB32" s="1007">
        <f t="shared" si="21"/>
        <v>0</v>
      </c>
      <c r="EC32" s="1007"/>
      <c r="ED32" s="1007">
        <f t="shared" si="22"/>
        <v>0</v>
      </c>
    </row>
    <row r="33" spans="1:134" ht="31.5" customHeight="1" x14ac:dyDescent="0.25">
      <c r="A33" s="1565"/>
      <c r="B33" s="1568"/>
      <c r="C33" s="1114" t="s">
        <v>4583</v>
      </c>
      <c r="D33" s="1018" t="s">
        <v>4580</v>
      </c>
      <c r="E33" s="1019">
        <v>510</v>
      </c>
      <c r="F33" s="1117" t="s">
        <v>4729</v>
      </c>
      <c r="G33" s="1430"/>
      <c r="H33" s="1060">
        <f t="shared" si="0"/>
        <v>949220</v>
      </c>
      <c r="I33" s="1060">
        <f t="shared" si="1"/>
        <v>12050780</v>
      </c>
      <c r="J33" s="1430"/>
      <c r="K33" s="1258"/>
      <c r="L33" s="1258"/>
      <c r="M33" s="1113">
        <v>0</v>
      </c>
      <c r="N33" s="1113">
        <v>0</v>
      </c>
      <c r="O33" s="1113">
        <v>0</v>
      </c>
      <c r="P33" s="1113">
        <v>7</v>
      </c>
      <c r="Q33" s="1113">
        <v>50</v>
      </c>
      <c r="R33" s="1113">
        <v>4</v>
      </c>
      <c r="S33" s="1123"/>
      <c r="T33" s="1123"/>
      <c r="U33" s="1123"/>
      <c r="V33" s="1123"/>
      <c r="W33" s="1123"/>
      <c r="X33" s="1123"/>
      <c r="Y33" s="1007">
        <f t="shared" si="2"/>
        <v>13000000</v>
      </c>
      <c r="Z33" s="1007"/>
      <c r="AA33" s="1007"/>
      <c r="AB33" s="1007"/>
      <c r="AC33" s="1007"/>
      <c r="AD33" s="1007"/>
      <c r="AE33" s="1007"/>
      <c r="AF33" s="1007"/>
      <c r="AG33" s="1007"/>
      <c r="AH33" s="1007"/>
      <c r="AI33" s="1007"/>
      <c r="AJ33" s="1007"/>
      <c r="AK33" s="1007"/>
      <c r="AL33" s="1007"/>
      <c r="AM33" s="1007">
        <v>8000000</v>
      </c>
      <c r="AN33" s="1007"/>
      <c r="AO33" s="1007"/>
      <c r="AP33" s="1007"/>
      <c r="AQ33" s="1007"/>
      <c r="AR33" s="1007"/>
      <c r="AS33" s="1007">
        <v>5000000</v>
      </c>
      <c r="AU33" s="1010">
        <f t="shared" si="3"/>
        <v>0.71816153846153841</v>
      </c>
      <c r="AV33" s="1007">
        <f t="shared" si="4"/>
        <v>9336100</v>
      </c>
      <c r="AW33" s="1007"/>
      <c r="AX33" s="1007"/>
      <c r="AY33" s="1007"/>
      <c r="AZ33" s="1007"/>
      <c r="BA33" s="1007"/>
      <c r="BB33" s="1007"/>
      <c r="BC33" s="1007"/>
      <c r="BD33" s="1007"/>
      <c r="BE33" s="1007"/>
      <c r="BF33" s="1007"/>
      <c r="BG33" s="1007"/>
      <c r="BH33" s="1007"/>
      <c r="BI33" s="1007"/>
      <c r="BJ33" s="1007">
        <f>+'[8]SEPTIEMBRE 2015'!$W$2704</f>
        <v>4336100</v>
      </c>
      <c r="BK33" s="1007"/>
      <c r="BL33" s="1007"/>
      <c r="BM33" s="1007"/>
      <c r="BN33" s="1007"/>
      <c r="BO33" s="1007"/>
      <c r="BP33" s="1007">
        <f>+'[10]JULIO 2015'!$AD$1962</f>
        <v>5000000</v>
      </c>
      <c r="BQ33" s="1010">
        <f t="shared" si="25"/>
        <v>0.28183846153846159</v>
      </c>
      <c r="BR33" s="1007">
        <f t="shared" si="6"/>
        <v>3663900</v>
      </c>
      <c r="BS33" s="1007">
        <f t="shared" si="7"/>
        <v>0</v>
      </c>
      <c r="BT33" s="1007">
        <f t="shared" si="23"/>
        <v>0</v>
      </c>
      <c r="BU33" s="1007"/>
      <c r="BV33" s="1007">
        <f t="shared" si="9"/>
        <v>0</v>
      </c>
      <c r="BW33" s="1007"/>
      <c r="BX33" s="1007">
        <f t="shared" si="10"/>
        <v>0</v>
      </c>
      <c r="BY33" s="1007">
        <f t="shared" si="10"/>
        <v>0</v>
      </c>
      <c r="BZ33" s="1007"/>
      <c r="CA33" s="1007"/>
      <c r="CB33" s="1007"/>
      <c r="CC33" s="1007"/>
      <c r="CD33" s="1007">
        <f t="shared" si="24"/>
        <v>0</v>
      </c>
      <c r="CE33" s="1007">
        <f t="shared" si="24"/>
        <v>0</v>
      </c>
      <c r="CF33" s="1007">
        <f t="shared" si="24"/>
        <v>3663900</v>
      </c>
      <c r="CG33" s="1007">
        <f t="shared" si="24"/>
        <v>0</v>
      </c>
      <c r="CH33" s="1007">
        <f t="shared" si="24"/>
        <v>0</v>
      </c>
      <c r="CI33" s="1007">
        <f t="shared" si="24"/>
        <v>0</v>
      </c>
      <c r="CJ33" s="1007"/>
      <c r="CK33" s="1007"/>
      <c r="CL33" s="1007">
        <f t="shared" si="12"/>
        <v>0</v>
      </c>
      <c r="CM33" s="1010">
        <f t="shared" si="13"/>
        <v>7.3016923076923076E-2</v>
      </c>
      <c r="CN33" s="1007">
        <f t="shared" si="14"/>
        <v>949220</v>
      </c>
      <c r="CO33" s="1007"/>
      <c r="CP33" s="1007"/>
      <c r="CQ33" s="1007"/>
      <c r="CR33" s="1007"/>
      <c r="CS33" s="1007"/>
      <c r="CT33" s="1007"/>
      <c r="CU33" s="1007"/>
      <c r="CV33" s="1007"/>
      <c r="CW33" s="1007"/>
      <c r="CX33" s="1007"/>
      <c r="CY33" s="1007"/>
      <c r="CZ33" s="1007"/>
      <c r="DA33" s="1007"/>
      <c r="DB33" s="1007">
        <f>+'[9]ABRIL 2015'!$H$1316</f>
        <v>949220</v>
      </c>
      <c r="DC33" s="1007"/>
      <c r="DD33" s="1007"/>
      <c r="DE33" s="1007"/>
      <c r="DF33" s="1007"/>
      <c r="DG33" s="1007"/>
      <c r="DH33" s="1007"/>
      <c r="DI33" s="1010">
        <f t="shared" si="15"/>
        <v>0.92698307692307691</v>
      </c>
      <c r="DJ33" s="1007">
        <f t="shared" si="16"/>
        <v>12050780</v>
      </c>
      <c r="DK33" s="1007">
        <f t="shared" si="17"/>
        <v>0</v>
      </c>
      <c r="DL33" s="1007">
        <f t="shared" si="17"/>
        <v>0</v>
      </c>
      <c r="DM33" s="1007"/>
      <c r="DN33" s="1007">
        <f>AC33-CR33</f>
        <v>0</v>
      </c>
      <c r="DO33" s="1007"/>
      <c r="DP33" s="1007">
        <f>AE33-CT33</f>
        <v>0</v>
      </c>
      <c r="DQ33" s="1007">
        <f>AF33-CU33</f>
        <v>0</v>
      </c>
      <c r="DR33" s="1007"/>
      <c r="DS33" s="1007">
        <f t="shared" si="19"/>
        <v>0</v>
      </c>
      <c r="DT33" s="1007">
        <f t="shared" si="19"/>
        <v>0</v>
      </c>
      <c r="DU33" s="1007"/>
      <c r="DV33" s="1007">
        <f t="shared" si="20"/>
        <v>0</v>
      </c>
      <c r="DW33" s="1007">
        <f t="shared" si="20"/>
        <v>0</v>
      </c>
      <c r="DX33" s="1007">
        <f t="shared" si="20"/>
        <v>7050780</v>
      </c>
      <c r="DY33" s="1007">
        <f t="shared" si="21"/>
        <v>0</v>
      </c>
      <c r="DZ33" s="1007">
        <f t="shared" si="21"/>
        <v>0</v>
      </c>
      <c r="EA33" s="1007">
        <f t="shared" si="21"/>
        <v>0</v>
      </c>
      <c r="EB33" s="1007">
        <f t="shared" si="21"/>
        <v>0</v>
      </c>
      <c r="EC33" s="1007"/>
      <c r="ED33" s="1007">
        <f t="shared" si="22"/>
        <v>5000000</v>
      </c>
    </row>
    <row r="34" spans="1:134" s="948" customFormat="1" ht="28.5" customHeight="1" thickBot="1" x14ac:dyDescent="0.3">
      <c r="A34" s="1057"/>
      <c r="B34" s="1572" t="s">
        <v>4339</v>
      </c>
      <c r="C34" s="1573"/>
      <c r="D34" s="1573"/>
      <c r="E34" s="1574"/>
      <c r="F34" s="1050"/>
      <c r="G34" s="1034">
        <f>SUM(G4:G33)</f>
        <v>1741000000</v>
      </c>
      <c r="H34" s="1034">
        <f>SUM(H4:H33)</f>
        <v>955358031</v>
      </c>
      <c r="I34" s="1034">
        <f>SUM(I4:I33)</f>
        <v>921750732</v>
      </c>
      <c r="J34" s="1054"/>
      <c r="K34" s="1078"/>
      <c r="L34" s="1078"/>
      <c r="M34" s="1073"/>
      <c r="N34" s="1073"/>
      <c r="O34" s="1073"/>
      <c r="P34" s="1078"/>
      <c r="Q34" s="1078"/>
      <c r="R34" s="1078"/>
      <c r="S34" s="1054"/>
      <c r="T34" s="1054"/>
      <c r="U34" s="1054"/>
      <c r="V34" s="1054"/>
      <c r="W34" s="1054"/>
      <c r="X34" s="1054"/>
      <c r="Y34" s="1034">
        <f t="shared" ref="Y34:AS34" si="26">SUM(Y4:Y33)</f>
        <v>1877108763</v>
      </c>
      <c r="Z34" s="1034">
        <f t="shared" si="26"/>
        <v>0</v>
      </c>
      <c r="AA34" s="1034">
        <f t="shared" si="26"/>
        <v>0</v>
      </c>
      <c r="AB34" s="1034">
        <f t="shared" si="26"/>
        <v>0</v>
      </c>
      <c r="AC34" s="1034">
        <f t="shared" si="26"/>
        <v>0</v>
      </c>
      <c r="AD34" s="1034">
        <f t="shared" si="26"/>
        <v>0</v>
      </c>
      <c r="AE34" s="1034">
        <f t="shared" si="26"/>
        <v>680000000</v>
      </c>
      <c r="AF34" s="1034">
        <f t="shared" si="26"/>
        <v>321985144</v>
      </c>
      <c r="AG34" s="1034">
        <f t="shared" si="26"/>
        <v>0</v>
      </c>
      <c r="AH34" s="1034">
        <f t="shared" si="26"/>
        <v>0</v>
      </c>
      <c r="AI34" s="1034">
        <f t="shared" si="26"/>
        <v>0</v>
      </c>
      <c r="AJ34" s="1034">
        <f t="shared" si="26"/>
        <v>0</v>
      </c>
      <c r="AK34" s="1034">
        <f t="shared" si="26"/>
        <v>0</v>
      </c>
      <c r="AL34" s="1034">
        <f t="shared" si="26"/>
        <v>0</v>
      </c>
      <c r="AM34" s="1034">
        <f t="shared" si="26"/>
        <v>270000000</v>
      </c>
      <c r="AN34" s="1034">
        <f t="shared" si="26"/>
        <v>186000000</v>
      </c>
      <c r="AO34" s="1034">
        <f t="shared" si="26"/>
        <v>220000000</v>
      </c>
      <c r="AP34" s="1034">
        <f t="shared" si="26"/>
        <v>0</v>
      </c>
      <c r="AQ34" s="1034">
        <f t="shared" si="26"/>
        <v>0</v>
      </c>
      <c r="AR34" s="1034">
        <f t="shared" si="26"/>
        <v>0</v>
      </c>
      <c r="AS34" s="1034">
        <f t="shared" si="26"/>
        <v>199123619</v>
      </c>
      <c r="AT34" s="1025"/>
      <c r="AU34" s="1010">
        <f t="shared" si="3"/>
        <v>0.61055917088593337</v>
      </c>
      <c r="AV34" s="1034">
        <f>SUM(AV4:AV33)</f>
        <v>1146085970</v>
      </c>
      <c r="AW34" s="1034">
        <f>SUM(AW4:AW33)</f>
        <v>0</v>
      </c>
      <c r="AX34" s="1034">
        <f>SUM(AX4:AX33)</f>
        <v>0</v>
      </c>
      <c r="AY34" s="1034"/>
      <c r="AZ34" s="1034">
        <f t="shared" ref="AZ34:BP34" si="27">SUM(AZ4:AZ33)</f>
        <v>0</v>
      </c>
      <c r="BA34" s="1034">
        <f t="shared" si="27"/>
        <v>0</v>
      </c>
      <c r="BB34" s="1034">
        <f t="shared" si="27"/>
        <v>365420869</v>
      </c>
      <c r="BC34" s="1034">
        <f t="shared" si="27"/>
        <v>246740675</v>
      </c>
      <c r="BD34" s="1034">
        <f t="shared" si="27"/>
        <v>0</v>
      </c>
      <c r="BE34" s="1034">
        <f t="shared" si="27"/>
        <v>0</v>
      </c>
      <c r="BF34" s="1034">
        <f t="shared" si="27"/>
        <v>0</v>
      </c>
      <c r="BG34" s="1034">
        <f t="shared" si="27"/>
        <v>0</v>
      </c>
      <c r="BH34" s="1034">
        <f t="shared" si="27"/>
        <v>0</v>
      </c>
      <c r="BI34" s="1034">
        <f t="shared" si="27"/>
        <v>0</v>
      </c>
      <c r="BJ34" s="1034">
        <f t="shared" si="27"/>
        <v>133901272</v>
      </c>
      <c r="BK34" s="1034">
        <f t="shared" si="27"/>
        <v>9709906</v>
      </c>
      <c r="BL34" s="1034">
        <f t="shared" si="27"/>
        <v>220000000</v>
      </c>
      <c r="BM34" s="1034">
        <f t="shared" si="27"/>
        <v>0</v>
      </c>
      <c r="BN34" s="1034">
        <f t="shared" si="27"/>
        <v>0</v>
      </c>
      <c r="BO34" s="1034">
        <f t="shared" si="27"/>
        <v>0</v>
      </c>
      <c r="BP34" s="1034">
        <f t="shared" si="27"/>
        <v>170313248</v>
      </c>
      <c r="BQ34" s="1009">
        <f t="shared" si="25"/>
        <v>0.38944082911406663</v>
      </c>
      <c r="BR34" s="1034">
        <f t="shared" ref="BR34:CL34" si="28">SUM(BR4:BR33)</f>
        <v>731022793</v>
      </c>
      <c r="BS34" s="1034">
        <f t="shared" si="28"/>
        <v>0</v>
      </c>
      <c r="BT34" s="1034">
        <f t="shared" si="28"/>
        <v>0</v>
      </c>
      <c r="BU34" s="1034">
        <f t="shared" si="28"/>
        <v>0</v>
      </c>
      <c r="BV34" s="1034">
        <f t="shared" si="28"/>
        <v>0</v>
      </c>
      <c r="BW34" s="1034">
        <f t="shared" si="28"/>
        <v>0</v>
      </c>
      <c r="BX34" s="1034">
        <f t="shared" si="28"/>
        <v>314579131</v>
      </c>
      <c r="BY34" s="1034">
        <f t="shared" si="28"/>
        <v>75244469</v>
      </c>
      <c r="BZ34" s="1034">
        <f t="shared" si="28"/>
        <v>0</v>
      </c>
      <c r="CA34" s="1034">
        <f t="shared" si="28"/>
        <v>0</v>
      </c>
      <c r="CB34" s="1034">
        <f t="shared" si="28"/>
        <v>0</v>
      </c>
      <c r="CC34" s="1034">
        <f t="shared" si="28"/>
        <v>0</v>
      </c>
      <c r="CD34" s="1034">
        <f t="shared" si="28"/>
        <v>0</v>
      </c>
      <c r="CE34" s="1034">
        <f t="shared" si="28"/>
        <v>0</v>
      </c>
      <c r="CF34" s="1034">
        <f t="shared" si="28"/>
        <v>136098728</v>
      </c>
      <c r="CG34" s="1034">
        <f t="shared" si="28"/>
        <v>176290094</v>
      </c>
      <c r="CH34" s="1034">
        <f t="shared" si="28"/>
        <v>0</v>
      </c>
      <c r="CI34" s="1034">
        <f t="shared" si="28"/>
        <v>0</v>
      </c>
      <c r="CJ34" s="1034">
        <f t="shared" si="28"/>
        <v>0</v>
      </c>
      <c r="CK34" s="1034">
        <f t="shared" si="28"/>
        <v>0</v>
      </c>
      <c r="CL34" s="1034">
        <f t="shared" si="28"/>
        <v>28810371</v>
      </c>
      <c r="CM34" s="1009">
        <f t="shared" si="13"/>
        <v>0.50895187845862722</v>
      </c>
      <c r="CN34" s="1034">
        <f>SUM(CN4:CN33)</f>
        <v>955358031</v>
      </c>
      <c r="CO34" s="1034">
        <f>SUM(CO4:CO33)</f>
        <v>0</v>
      </c>
      <c r="CP34" s="1034">
        <f>SUM(CP4:CP33)</f>
        <v>0</v>
      </c>
      <c r="CQ34" s="1034"/>
      <c r="CR34" s="1034">
        <f t="shared" ref="CR34:DH34" si="29">SUM(CR4:CR33)</f>
        <v>0</v>
      </c>
      <c r="CS34" s="1034">
        <f t="shared" si="29"/>
        <v>0</v>
      </c>
      <c r="CT34" s="1034">
        <f t="shared" si="29"/>
        <v>344798998</v>
      </c>
      <c r="CU34" s="1034">
        <f t="shared" si="29"/>
        <v>233991109</v>
      </c>
      <c r="CV34" s="1034">
        <f t="shared" si="29"/>
        <v>0</v>
      </c>
      <c r="CW34" s="1034">
        <f t="shared" si="29"/>
        <v>0</v>
      </c>
      <c r="CX34" s="1034">
        <f t="shared" si="29"/>
        <v>0</v>
      </c>
      <c r="CY34" s="1034">
        <f t="shared" si="29"/>
        <v>0</v>
      </c>
      <c r="CZ34" s="1034">
        <f t="shared" si="29"/>
        <v>0</v>
      </c>
      <c r="DA34" s="1034">
        <f t="shared" si="29"/>
        <v>0</v>
      </c>
      <c r="DB34" s="1034">
        <f t="shared" si="29"/>
        <v>81094725</v>
      </c>
      <c r="DC34" s="1034">
        <f t="shared" si="29"/>
        <v>9708912</v>
      </c>
      <c r="DD34" s="1034">
        <f t="shared" si="29"/>
        <v>174411916</v>
      </c>
      <c r="DE34" s="1034">
        <f t="shared" si="29"/>
        <v>0</v>
      </c>
      <c r="DF34" s="1034">
        <f t="shared" si="29"/>
        <v>0</v>
      </c>
      <c r="DG34" s="1034">
        <f t="shared" si="29"/>
        <v>0</v>
      </c>
      <c r="DH34" s="1034">
        <f t="shared" si="29"/>
        <v>111352371</v>
      </c>
      <c r="DI34" s="1009">
        <f t="shared" si="15"/>
        <v>0.49104812154137278</v>
      </c>
      <c r="DJ34" s="1034">
        <f>SUM(DJ4:DJ33)</f>
        <v>921750732</v>
      </c>
      <c r="DK34" s="1034">
        <f>SUM(DK4:DK33)</f>
        <v>0</v>
      </c>
      <c r="DL34" s="1034">
        <f>SUM(DL4:DL33)</f>
        <v>0</v>
      </c>
      <c r="DM34" s="1034"/>
      <c r="DN34" s="1034">
        <f t="shared" ref="DN34:ED34" si="30">SUM(DN4:DN33)</f>
        <v>0</v>
      </c>
      <c r="DO34" s="1034">
        <f t="shared" si="30"/>
        <v>0</v>
      </c>
      <c r="DP34" s="1034">
        <f t="shared" si="30"/>
        <v>335201002</v>
      </c>
      <c r="DQ34" s="1034">
        <f t="shared" si="30"/>
        <v>87994035</v>
      </c>
      <c r="DR34" s="1034">
        <f t="shared" si="30"/>
        <v>0</v>
      </c>
      <c r="DS34" s="1034">
        <f t="shared" si="30"/>
        <v>0</v>
      </c>
      <c r="DT34" s="1034">
        <f t="shared" si="30"/>
        <v>0</v>
      </c>
      <c r="DU34" s="1034">
        <f t="shared" si="30"/>
        <v>0</v>
      </c>
      <c r="DV34" s="1034">
        <f t="shared" si="30"/>
        <v>0</v>
      </c>
      <c r="DW34" s="1034">
        <f t="shared" si="30"/>
        <v>0</v>
      </c>
      <c r="DX34" s="1034">
        <f t="shared" si="30"/>
        <v>188905275</v>
      </c>
      <c r="DY34" s="1034">
        <f t="shared" si="30"/>
        <v>176291088</v>
      </c>
      <c r="DZ34" s="1034">
        <f t="shared" si="30"/>
        <v>45588084</v>
      </c>
      <c r="EA34" s="1034">
        <f t="shared" si="30"/>
        <v>0</v>
      </c>
      <c r="EB34" s="1034">
        <f t="shared" si="30"/>
        <v>0</v>
      </c>
      <c r="EC34" s="1034">
        <f t="shared" si="30"/>
        <v>0</v>
      </c>
      <c r="ED34" s="1042">
        <f t="shared" si="30"/>
        <v>87771248</v>
      </c>
    </row>
    <row r="35" spans="1:134" ht="59.25" customHeight="1" thickTop="1" x14ac:dyDescent="0.25">
      <c r="A35" s="1564" t="s">
        <v>4755</v>
      </c>
      <c r="B35" s="1026" t="s">
        <v>4306</v>
      </c>
      <c r="C35" s="1114" t="s">
        <v>4367</v>
      </c>
      <c r="D35" s="1018" t="s">
        <v>4601</v>
      </c>
      <c r="E35" s="1019">
        <v>410</v>
      </c>
      <c r="F35" s="1117" t="s">
        <v>3350</v>
      </c>
      <c r="G35" s="1576">
        <v>1000000000</v>
      </c>
      <c r="H35" s="1060">
        <f t="shared" ref="H35:H66" si="31">+CN35</f>
        <v>611824441</v>
      </c>
      <c r="I35" s="1060">
        <f t="shared" ref="I35:I66" si="32">Y35-H35</f>
        <v>11996440</v>
      </c>
      <c r="J35" s="1121" t="s">
        <v>4779</v>
      </c>
      <c r="K35" s="1115" t="s">
        <v>4780</v>
      </c>
      <c r="L35" s="1115" t="s">
        <v>4781</v>
      </c>
      <c r="M35" s="1113">
        <v>24</v>
      </c>
      <c r="N35" s="1113">
        <v>67</v>
      </c>
      <c r="O35" s="1113">
        <v>16</v>
      </c>
      <c r="P35" s="1115">
        <v>97</v>
      </c>
      <c r="Q35" s="1115">
        <v>200</v>
      </c>
      <c r="R35" s="1115">
        <v>195</v>
      </c>
      <c r="S35" s="1121"/>
      <c r="T35" s="1121"/>
      <c r="U35" s="1121"/>
      <c r="V35" s="1121"/>
      <c r="W35" s="1121"/>
      <c r="X35" s="1121"/>
      <c r="Y35" s="1007">
        <f t="shared" ref="Y35:Y66" si="33">SUM(Z35:AS35)</f>
        <v>623820881</v>
      </c>
      <c r="Z35" s="991"/>
      <c r="AA35" s="1016">
        <f>100000000+180000000-280000000</f>
        <v>0</v>
      </c>
      <c r="AB35" s="1016">
        <v>280000000</v>
      </c>
      <c r="AC35" s="1007">
        <f>300000000+220000000-216179119</f>
        <v>303820881</v>
      </c>
      <c r="AD35" s="991"/>
      <c r="AE35" s="1007">
        <f>20000000+20000000</f>
        <v>40000000</v>
      </c>
      <c r="AF35" s="1016">
        <f>400000000-180000000-220000000</f>
        <v>0</v>
      </c>
      <c r="AG35" s="991"/>
      <c r="AH35" s="991"/>
      <c r="AI35" s="991"/>
      <c r="AJ35" s="991"/>
      <c r="AK35" s="875"/>
      <c r="AL35" s="991"/>
      <c r="AM35" s="991"/>
      <c r="AN35" s="991"/>
      <c r="AO35" s="991"/>
      <c r="AP35" s="991"/>
      <c r="AQ35" s="991"/>
      <c r="AR35" s="991"/>
      <c r="AS35" s="991"/>
      <c r="AU35" s="1010">
        <f t="shared" si="3"/>
        <v>1</v>
      </c>
      <c r="AV35" s="1007">
        <f t="shared" ref="AV35:AV66" si="34">SUM(AW35:BP35)</f>
        <v>623820881</v>
      </c>
      <c r="AW35" s="1007"/>
      <c r="AX35" s="1007"/>
      <c r="AY35" s="1007">
        <v>280000000</v>
      </c>
      <c r="AZ35" s="1007">
        <f>+'[13]JUNIO 2015'!$M$866</f>
        <v>303820881</v>
      </c>
      <c r="BA35" s="1007"/>
      <c r="BB35" s="1007">
        <f>+'[13]JUNIO 2015'!$O$866</f>
        <v>40000000</v>
      </c>
      <c r="BC35" s="1007"/>
      <c r="BD35" s="1007"/>
      <c r="BE35" s="1007"/>
      <c r="BF35" s="1007"/>
      <c r="BG35" s="1007"/>
      <c r="BH35" s="1007"/>
      <c r="BI35" s="1007"/>
      <c r="BJ35" s="1007"/>
      <c r="BK35" s="1007"/>
      <c r="BL35" s="1007"/>
      <c r="BM35" s="1007"/>
      <c r="BN35" s="1007"/>
      <c r="BO35" s="1007"/>
      <c r="BP35" s="1007"/>
      <c r="BQ35" s="1010">
        <f t="shared" si="25"/>
        <v>0</v>
      </c>
      <c r="BR35" s="1007">
        <f t="shared" ref="BR35:BR66" si="35">SUM(BS35:CL35)</f>
        <v>0</v>
      </c>
      <c r="BS35" s="1007">
        <f t="shared" ref="BS35:BS58" si="36">+Z35-AW35</f>
        <v>0</v>
      </c>
      <c r="BT35" s="1007">
        <f t="shared" ref="BT35:BV50" si="37">AA35-AX35</f>
        <v>0</v>
      </c>
      <c r="BU35" s="1007">
        <f t="shared" si="37"/>
        <v>0</v>
      </c>
      <c r="BV35" s="1007">
        <f t="shared" si="37"/>
        <v>0</v>
      </c>
      <c r="BW35" s="1007"/>
      <c r="BX35" s="1007">
        <f t="shared" ref="BX35:BY58" si="38">+AE35-BB35</f>
        <v>0</v>
      </c>
      <c r="BY35" s="1007">
        <f t="shared" si="38"/>
        <v>0</v>
      </c>
      <c r="BZ35" s="1007"/>
      <c r="CA35" s="1007"/>
      <c r="CB35" s="1007">
        <f t="shared" ref="CB35:CB42" si="39">+AI35-BF35</f>
        <v>0</v>
      </c>
      <c r="CC35" s="1007"/>
      <c r="CD35" s="1007">
        <f t="shared" ref="CD35:CI54" si="40">+AK35-BH35</f>
        <v>0</v>
      </c>
      <c r="CE35" s="1007">
        <f t="shared" si="40"/>
        <v>0</v>
      </c>
      <c r="CF35" s="1007">
        <f t="shared" si="40"/>
        <v>0</v>
      </c>
      <c r="CG35" s="1007">
        <f t="shared" si="40"/>
        <v>0</v>
      </c>
      <c r="CH35" s="1007">
        <f t="shared" si="40"/>
        <v>0</v>
      </c>
      <c r="CI35" s="1007">
        <f t="shared" si="40"/>
        <v>0</v>
      </c>
      <c r="CJ35" s="1007"/>
      <c r="CK35" s="1007"/>
      <c r="CL35" s="1007">
        <f t="shared" ref="CL35:CL66" si="41">+AS35-BP35</f>
        <v>0</v>
      </c>
      <c r="CM35" s="1010">
        <f t="shared" si="13"/>
        <v>0.98076941576439469</v>
      </c>
      <c r="CN35" s="1007">
        <f t="shared" ref="CN35:CN66" si="42">SUM(CO35:DH35)</f>
        <v>611824441</v>
      </c>
      <c r="CO35" s="1007"/>
      <c r="CP35" s="1007"/>
      <c r="CQ35" s="1007">
        <f>+'[14]MAYO 2015'!$H$730+'[14]MAYO 2015'!$H$740</f>
        <v>280000000</v>
      </c>
      <c r="CR35" s="1007">
        <f>+'[13]JUNIO 2015'!$H$871+'[13]JUNIO 2015'!$H$882</f>
        <v>303820881</v>
      </c>
      <c r="CS35" s="1007"/>
      <c r="CT35" s="1007">
        <f>+'[10]JULIO 2015'!$H$1039</f>
        <v>28003560</v>
      </c>
      <c r="CU35" s="1007"/>
      <c r="CV35" s="1007"/>
      <c r="CW35" s="1007"/>
      <c r="CX35" s="1007"/>
      <c r="CY35" s="1007"/>
      <c r="CZ35" s="1007"/>
      <c r="DA35" s="1007"/>
      <c r="DB35" s="1007"/>
      <c r="DC35" s="1007"/>
      <c r="DD35" s="1007"/>
      <c r="DE35" s="1007"/>
      <c r="DF35" s="1007"/>
      <c r="DG35" s="1007"/>
      <c r="DH35" s="1007"/>
      <c r="DI35" s="1010">
        <f t="shared" si="15"/>
        <v>1.9230584235605308E-2</v>
      </c>
      <c r="DJ35" s="1007">
        <f t="shared" ref="DJ35:DJ66" si="43">SUM(DK35:ED35)</f>
        <v>11996440</v>
      </c>
      <c r="DK35" s="1007"/>
      <c r="DL35" s="1007">
        <f t="shared" ref="DL35:DN37" si="44">AA35-CP35</f>
        <v>0</v>
      </c>
      <c r="DM35" s="1007">
        <f t="shared" si="44"/>
        <v>0</v>
      </c>
      <c r="DN35" s="1007">
        <f t="shared" si="44"/>
        <v>0</v>
      </c>
      <c r="DO35" s="1007"/>
      <c r="DP35" s="1007">
        <f t="shared" ref="DP35:DQ58" si="45">AE35-CT35</f>
        <v>11996440</v>
      </c>
      <c r="DQ35" s="1007">
        <f t="shared" si="45"/>
        <v>0</v>
      </c>
      <c r="DR35" s="1007"/>
      <c r="DS35" s="1007">
        <f t="shared" ref="DS35:DT58" si="46">+AH35-CW35</f>
        <v>0</v>
      </c>
      <c r="DT35" s="1007">
        <f t="shared" si="46"/>
        <v>0</v>
      </c>
      <c r="DU35" s="1007"/>
      <c r="DV35" s="1007">
        <f t="shared" ref="DV35:DX58" si="47">AK35-CZ35</f>
        <v>0</v>
      </c>
      <c r="DW35" s="1007">
        <f t="shared" si="47"/>
        <v>0</v>
      </c>
      <c r="DX35" s="1007">
        <f t="shared" si="47"/>
        <v>0</v>
      </c>
      <c r="DY35" s="1007">
        <f t="shared" ref="DY35:EB58" si="48">+AN35-DC35</f>
        <v>0</v>
      </c>
      <c r="DZ35" s="1007">
        <f t="shared" si="48"/>
        <v>0</v>
      </c>
      <c r="EA35" s="1007">
        <f t="shared" si="48"/>
        <v>0</v>
      </c>
      <c r="EB35" s="1007">
        <f t="shared" si="48"/>
        <v>0</v>
      </c>
      <c r="EC35" s="1007"/>
      <c r="ED35" s="1007">
        <f t="shared" ref="ED35:ED66" si="49">+AS35-DH35</f>
        <v>0</v>
      </c>
    </row>
    <row r="36" spans="1:134" ht="48" customHeight="1" x14ac:dyDescent="0.25">
      <c r="A36" s="1565"/>
      <c r="B36" s="1018"/>
      <c r="C36" s="1114" t="s">
        <v>4368</v>
      </c>
      <c r="D36" s="1018" t="s">
        <v>4602</v>
      </c>
      <c r="E36" s="1019">
        <v>410</v>
      </c>
      <c r="F36" s="1117" t="s">
        <v>3350</v>
      </c>
      <c r="G36" s="1429"/>
      <c r="H36" s="1060">
        <f t="shared" si="31"/>
        <v>7649518</v>
      </c>
      <c r="I36" s="1060">
        <f t="shared" si="32"/>
        <v>0</v>
      </c>
      <c r="J36" s="1117" t="s">
        <v>4782</v>
      </c>
      <c r="K36" s="1113" t="s">
        <v>4783</v>
      </c>
      <c r="L36" s="1113" t="s">
        <v>4784</v>
      </c>
      <c r="M36" s="1113">
        <v>0</v>
      </c>
      <c r="N36" s="1113">
        <v>0</v>
      </c>
      <c r="O36" s="1113">
        <v>0</v>
      </c>
      <c r="P36" s="1113">
        <v>100</v>
      </c>
      <c r="Q36" s="1113">
        <v>33</v>
      </c>
      <c r="R36" s="1113">
        <v>33</v>
      </c>
      <c r="S36" s="1117"/>
      <c r="T36" s="1117"/>
      <c r="U36" s="1117"/>
      <c r="V36" s="1117"/>
      <c r="W36" s="1117"/>
      <c r="X36" s="1117"/>
      <c r="Y36" s="1007">
        <f t="shared" si="33"/>
        <v>7649518</v>
      </c>
      <c r="Z36" s="1007"/>
      <c r="AA36" s="1007">
        <f>100000000-92350482</f>
        <v>7649518</v>
      </c>
      <c r="AB36" s="1007"/>
      <c r="AC36" s="1007"/>
      <c r="AD36" s="1007"/>
      <c r="AE36" s="1007"/>
      <c r="AF36" s="1007"/>
      <c r="AG36" s="1007"/>
      <c r="AH36" s="1007"/>
      <c r="AI36" s="1007"/>
      <c r="AJ36" s="1007"/>
      <c r="AK36" s="1007"/>
      <c r="AL36" s="1007"/>
      <c r="AM36" s="1007"/>
      <c r="AN36" s="1007"/>
      <c r="AO36" s="1007"/>
      <c r="AP36" s="1007"/>
      <c r="AQ36" s="1007"/>
      <c r="AR36" s="1007"/>
      <c r="AS36" s="1007"/>
      <c r="AU36" s="1010">
        <f t="shared" si="3"/>
        <v>1</v>
      </c>
      <c r="AV36" s="1007">
        <f t="shared" si="34"/>
        <v>7649518</v>
      </c>
      <c r="AW36" s="1007"/>
      <c r="AX36" s="1007">
        <v>7649518</v>
      </c>
      <c r="AY36" s="1007"/>
      <c r="AZ36" s="1007"/>
      <c r="BA36" s="1007"/>
      <c r="BB36" s="1007"/>
      <c r="BC36" s="1007"/>
      <c r="BD36" s="1007"/>
      <c r="BE36" s="1007"/>
      <c r="BF36" s="1007"/>
      <c r="BG36" s="1007"/>
      <c r="BH36" s="1007"/>
      <c r="BI36" s="1007"/>
      <c r="BJ36" s="1007"/>
      <c r="BK36" s="1007"/>
      <c r="BL36" s="1007"/>
      <c r="BM36" s="1007"/>
      <c r="BN36" s="1007"/>
      <c r="BO36" s="1007"/>
      <c r="BP36" s="1007"/>
      <c r="BQ36" s="1010">
        <f t="shared" si="25"/>
        <v>0</v>
      </c>
      <c r="BR36" s="1007">
        <f t="shared" si="35"/>
        <v>0</v>
      </c>
      <c r="BS36" s="1007">
        <f t="shared" si="36"/>
        <v>0</v>
      </c>
      <c r="BT36" s="1007">
        <f t="shared" si="37"/>
        <v>0</v>
      </c>
      <c r="BU36" s="1007">
        <f t="shared" si="37"/>
        <v>0</v>
      </c>
      <c r="BV36" s="1007">
        <f t="shared" si="37"/>
        <v>0</v>
      </c>
      <c r="BW36" s="1007"/>
      <c r="BX36" s="1007">
        <f t="shared" si="38"/>
        <v>0</v>
      </c>
      <c r="BY36" s="1007">
        <f t="shared" si="38"/>
        <v>0</v>
      </c>
      <c r="BZ36" s="1007"/>
      <c r="CA36" s="1007"/>
      <c r="CB36" s="1007">
        <f t="shared" si="39"/>
        <v>0</v>
      </c>
      <c r="CC36" s="1007"/>
      <c r="CD36" s="1007">
        <f t="shared" si="40"/>
        <v>0</v>
      </c>
      <c r="CE36" s="1007">
        <f t="shared" si="40"/>
        <v>0</v>
      </c>
      <c r="CF36" s="1007">
        <f t="shared" si="40"/>
        <v>0</v>
      </c>
      <c r="CG36" s="1007">
        <f t="shared" si="40"/>
        <v>0</v>
      </c>
      <c r="CH36" s="1007">
        <f t="shared" si="40"/>
        <v>0</v>
      </c>
      <c r="CI36" s="1007">
        <f t="shared" si="40"/>
        <v>0</v>
      </c>
      <c r="CJ36" s="1007"/>
      <c r="CK36" s="1007"/>
      <c r="CL36" s="1007">
        <f t="shared" si="41"/>
        <v>0</v>
      </c>
      <c r="CM36" s="1010">
        <f t="shared" si="13"/>
        <v>1</v>
      </c>
      <c r="CN36" s="1007">
        <f t="shared" si="42"/>
        <v>7649518</v>
      </c>
      <c r="CO36" s="1007"/>
      <c r="CP36" s="1007">
        <f>+'[13]JUNIO 2015'!$K$891</f>
        <v>7649518</v>
      </c>
      <c r="CQ36" s="1007"/>
      <c r="CR36" s="1007"/>
      <c r="CS36" s="1007"/>
      <c r="CT36" s="1007"/>
      <c r="CU36" s="1007"/>
      <c r="CV36" s="1007"/>
      <c r="CW36" s="1007"/>
      <c r="CX36" s="1007"/>
      <c r="CY36" s="1007"/>
      <c r="CZ36" s="1007"/>
      <c r="DA36" s="1007"/>
      <c r="DB36" s="1007"/>
      <c r="DC36" s="1007"/>
      <c r="DD36" s="1007"/>
      <c r="DE36" s="1007"/>
      <c r="DF36" s="1007"/>
      <c r="DG36" s="1007"/>
      <c r="DH36" s="1007"/>
      <c r="DI36" s="1010">
        <f t="shared" si="15"/>
        <v>0</v>
      </c>
      <c r="DJ36" s="1007">
        <f t="shared" si="43"/>
        <v>0</v>
      </c>
      <c r="DK36" s="1007"/>
      <c r="DL36" s="1007">
        <f t="shared" si="44"/>
        <v>0</v>
      </c>
      <c r="DM36" s="1007">
        <f t="shared" si="44"/>
        <v>0</v>
      </c>
      <c r="DN36" s="1007">
        <f t="shared" si="44"/>
        <v>0</v>
      </c>
      <c r="DO36" s="1007"/>
      <c r="DP36" s="1007">
        <f t="shared" si="45"/>
        <v>0</v>
      </c>
      <c r="DQ36" s="1007">
        <f t="shared" si="45"/>
        <v>0</v>
      </c>
      <c r="DR36" s="1007"/>
      <c r="DS36" s="1007">
        <f t="shared" si="46"/>
        <v>0</v>
      </c>
      <c r="DT36" s="1007">
        <f t="shared" si="46"/>
        <v>0</v>
      </c>
      <c r="DU36" s="1007"/>
      <c r="DV36" s="1007">
        <f t="shared" si="47"/>
        <v>0</v>
      </c>
      <c r="DW36" s="1007">
        <f t="shared" si="47"/>
        <v>0</v>
      </c>
      <c r="DX36" s="1007">
        <f t="shared" si="47"/>
        <v>0</v>
      </c>
      <c r="DY36" s="1007">
        <f t="shared" si="48"/>
        <v>0</v>
      </c>
      <c r="DZ36" s="1007">
        <f t="shared" si="48"/>
        <v>0</v>
      </c>
      <c r="EA36" s="1007">
        <f t="shared" si="48"/>
        <v>0</v>
      </c>
      <c r="EB36" s="1007">
        <f t="shared" si="48"/>
        <v>0</v>
      </c>
      <c r="EC36" s="1007"/>
      <c r="ED36" s="1007">
        <f t="shared" si="49"/>
        <v>0</v>
      </c>
    </row>
    <row r="37" spans="1:134" ht="75" customHeight="1" x14ac:dyDescent="0.25">
      <c r="A37" s="1565"/>
      <c r="B37" s="1018"/>
      <c r="C37" s="1114" t="s">
        <v>4375</v>
      </c>
      <c r="D37" s="1018" t="s">
        <v>4318</v>
      </c>
      <c r="E37" s="1019">
        <v>410</v>
      </c>
      <c r="F37" s="1117" t="s">
        <v>3350</v>
      </c>
      <c r="G37" s="1430"/>
      <c r="H37" s="1060">
        <f t="shared" si="31"/>
        <v>141979331</v>
      </c>
      <c r="I37" s="1060">
        <f t="shared" si="32"/>
        <v>32388492</v>
      </c>
      <c r="J37" s="1117" t="s">
        <v>4785</v>
      </c>
      <c r="K37" s="1113" t="s">
        <v>4786</v>
      </c>
      <c r="L37" s="1113" t="s">
        <v>4787</v>
      </c>
      <c r="M37" s="1113">
        <v>56</v>
      </c>
      <c r="N37" s="1113">
        <v>100</v>
      </c>
      <c r="O37" s="1113">
        <v>56</v>
      </c>
      <c r="P37" s="1113">
        <v>49</v>
      </c>
      <c r="Q37" s="1113">
        <v>400</v>
      </c>
      <c r="R37" s="1113">
        <v>196</v>
      </c>
      <c r="S37" s="1117"/>
      <c r="T37" s="1117"/>
      <c r="U37" s="1117"/>
      <c r="V37" s="1117"/>
      <c r="W37" s="1117"/>
      <c r="X37" s="1117"/>
      <c r="Y37" s="1007">
        <f t="shared" si="33"/>
        <v>174367823</v>
      </c>
      <c r="Z37" s="1007"/>
      <c r="AA37" s="1007">
        <f>100000000-38824072</f>
        <v>61175928</v>
      </c>
      <c r="AB37" s="1007"/>
      <c r="AC37" s="1007"/>
      <c r="AD37" s="1007"/>
      <c r="AE37" s="1007">
        <v>50000000</v>
      </c>
      <c r="AF37" s="1007"/>
      <c r="AG37" s="1007"/>
      <c r="AH37" s="1007"/>
      <c r="AI37" s="1007"/>
      <c r="AJ37" s="1007"/>
      <c r="AK37" s="1007"/>
      <c r="AL37" s="1007"/>
      <c r="AM37" s="1007"/>
      <c r="AN37" s="1007"/>
      <c r="AO37" s="1007">
        <f>13191895+50000000</f>
        <v>63191895</v>
      </c>
      <c r="AP37" s="1007"/>
      <c r="AQ37" s="1007"/>
      <c r="AR37" s="1007"/>
      <c r="AS37" s="1007"/>
      <c r="AU37" s="1010">
        <f t="shared" si="3"/>
        <v>1</v>
      </c>
      <c r="AV37" s="1007">
        <f t="shared" si="34"/>
        <v>174367823</v>
      </c>
      <c r="AW37" s="1007"/>
      <c r="AX37" s="1007">
        <f>+'[13]JUNIO 2015'!$K$897</f>
        <v>61175928</v>
      </c>
      <c r="AY37" s="1007"/>
      <c r="AZ37" s="1007"/>
      <c r="BA37" s="1007"/>
      <c r="BB37" s="1007">
        <f>+'[13]JUNIO 2015'!$O$897</f>
        <v>50000000</v>
      </c>
      <c r="BC37" s="1007"/>
      <c r="BD37" s="1007"/>
      <c r="BE37" s="1007"/>
      <c r="BF37" s="1007"/>
      <c r="BG37" s="1007"/>
      <c r="BH37" s="1007"/>
      <c r="BI37" s="1007"/>
      <c r="BJ37" s="1007"/>
      <c r="BK37" s="1007"/>
      <c r="BL37" s="1007">
        <f>+'[8]SEPTIEMBRE 2015'!$Y$1352</f>
        <v>63191895</v>
      </c>
      <c r="BM37" s="1007"/>
      <c r="BN37" s="1007"/>
      <c r="BO37" s="1007"/>
      <c r="BP37" s="1007"/>
      <c r="BQ37" s="1010">
        <f t="shared" si="25"/>
        <v>0</v>
      </c>
      <c r="BR37" s="1007">
        <f t="shared" si="35"/>
        <v>0</v>
      </c>
      <c r="BS37" s="1007">
        <f t="shared" si="36"/>
        <v>0</v>
      </c>
      <c r="BT37" s="1007">
        <f t="shared" si="37"/>
        <v>0</v>
      </c>
      <c r="BU37" s="1007">
        <f t="shared" si="37"/>
        <v>0</v>
      </c>
      <c r="BV37" s="1007">
        <f t="shared" si="37"/>
        <v>0</v>
      </c>
      <c r="BW37" s="1007"/>
      <c r="BX37" s="1007">
        <f t="shared" si="38"/>
        <v>0</v>
      </c>
      <c r="BY37" s="1007">
        <f t="shared" si="38"/>
        <v>0</v>
      </c>
      <c r="BZ37" s="1007"/>
      <c r="CA37" s="1007"/>
      <c r="CB37" s="1007">
        <f t="shared" si="39"/>
        <v>0</v>
      </c>
      <c r="CC37" s="1007"/>
      <c r="CD37" s="1007">
        <f t="shared" si="40"/>
        <v>0</v>
      </c>
      <c r="CE37" s="1007">
        <f t="shared" si="40"/>
        <v>0</v>
      </c>
      <c r="CF37" s="1007">
        <f t="shared" si="40"/>
        <v>0</v>
      </c>
      <c r="CG37" s="1007">
        <f t="shared" si="40"/>
        <v>0</v>
      </c>
      <c r="CH37" s="1007">
        <f t="shared" si="40"/>
        <v>0</v>
      </c>
      <c r="CI37" s="1007">
        <f t="shared" si="40"/>
        <v>0</v>
      </c>
      <c r="CJ37" s="1007"/>
      <c r="CK37" s="1007"/>
      <c r="CL37" s="1007">
        <f t="shared" si="41"/>
        <v>0</v>
      </c>
      <c r="CM37" s="1010">
        <f t="shared" si="13"/>
        <v>0.81425189898711992</v>
      </c>
      <c r="CN37" s="1007">
        <f t="shared" si="42"/>
        <v>141979331</v>
      </c>
      <c r="CO37" s="1007"/>
      <c r="CP37" s="1007">
        <f>+'[13]JUNIO 2015'!$H$898</f>
        <v>61175928</v>
      </c>
      <c r="CQ37" s="1007"/>
      <c r="CR37" s="1007"/>
      <c r="CS37" s="1007"/>
      <c r="CT37" s="1007">
        <f>+'[8]SEPTIEMBRE 2015'!$H$1368</f>
        <v>50000000</v>
      </c>
      <c r="CU37" s="1007"/>
      <c r="CV37" s="1007"/>
      <c r="CW37" s="1007"/>
      <c r="CX37" s="1007"/>
      <c r="CY37" s="1007"/>
      <c r="CZ37" s="1007"/>
      <c r="DA37" s="1007"/>
      <c r="DB37" s="1007"/>
      <c r="DC37" s="1007"/>
      <c r="DD37" s="1007">
        <f>+'[8]SEPTIEMBRE 2015'!$H$1381+'[8]SEPTIEMBRE 2015'!$H$1384</f>
        <v>30803403</v>
      </c>
      <c r="DE37" s="1007"/>
      <c r="DF37" s="1007"/>
      <c r="DG37" s="1007"/>
      <c r="DH37" s="1007"/>
      <c r="DI37" s="1010">
        <f t="shared" si="15"/>
        <v>0.18574810101288008</v>
      </c>
      <c r="DJ37" s="1007">
        <f t="shared" si="43"/>
        <v>32388492</v>
      </c>
      <c r="DK37" s="1007"/>
      <c r="DL37" s="1007">
        <f t="shared" si="44"/>
        <v>0</v>
      </c>
      <c r="DM37" s="1007">
        <f t="shared" si="44"/>
        <v>0</v>
      </c>
      <c r="DN37" s="1007">
        <f t="shared" si="44"/>
        <v>0</v>
      </c>
      <c r="DO37" s="1007"/>
      <c r="DP37" s="1007">
        <f t="shared" si="45"/>
        <v>0</v>
      </c>
      <c r="DQ37" s="1007">
        <f t="shared" si="45"/>
        <v>0</v>
      </c>
      <c r="DR37" s="1007"/>
      <c r="DS37" s="1007">
        <f t="shared" si="46"/>
        <v>0</v>
      </c>
      <c r="DT37" s="1007">
        <f t="shared" si="46"/>
        <v>0</v>
      </c>
      <c r="DU37" s="1007"/>
      <c r="DV37" s="1007">
        <f t="shared" si="47"/>
        <v>0</v>
      </c>
      <c r="DW37" s="1007">
        <f t="shared" si="47"/>
        <v>0</v>
      </c>
      <c r="DX37" s="1007">
        <f t="shared" si="47"/>
        <v>0</v>
      </c>
      <c r="DY37" s="1007">
        <f t="shared" si="48"/>
        <v>0</v>
      </c>
      <c r="DZ37" s="1007">
        <f t="shared" si="48"/>
        <v>32388492</v>
      </c>
      <c r="EA37" s="1007">
        <f t="shared" si="48"/>
        <v>0</v>
      </c>
      <c r="EB37" s="1007">
        <f t="shared" si="48"/>
        <v>0</v>
      </c>
      <c r="EC37" s="1007"/>
      <c r="ED37" s="1007">
        <f t="shared" si="49"/>
        <v>0</v>
      </c>
    </row>
    <row r="38" spans="1:134" ht="36.75" customHeight="1" x14ac:dyDescent="0.25">
      <c r="A38" s="1565"/>
      <c r="B38" s="1018" t="s">
        <v>4308</v>
      </c>
      <c r="C38" s="1114" t="s">
        <v>4369</v>
      </c>
      <c r="D38" s="1018" t="s">
        <v>4724</v>
      </c>
      <c r="E38" s="1019">
        <v>410</v>
      </c>
      <c r="F38" s="1117" t="s">
        <v>3350</v>
      </c>
      <c r="G38" s="1428">
        <v>170000000</v>
      </c>
      <c r="H38" s="1060">
        <f t="shared" si="31"/>
        <v>0</v>
      </c>
      <c r="I38" s="1060">
        <f t="shared" si="32"/>
        <v>10000000</v>
      </c>
      <c r="J38" s="1117" t="s">
        <v>4788</v>
      </c>
      <c r="K38" s="1113" t="s">
        <v>4789</v>
      </c>
      <c r="L38" s="1113" t="s">
        <v>4790</v>
      </c>
      <c r="M38" s="1113">
        <v>0</v>
      </c>
      <c r="N38" s="1113">
        <v>0</v>
      </c>
      <c r="O38" s="1113">
        <v>0</v>
      </c>
      <c r="P38" s="1113">
        <v>0</v>
      </c>
      <c r="Q38" s="1113">
        <v>0</v>
      </c>
      <c r="R38" s="1113">
        <v>0</v>
      </c>
      <c r="S38" s="1117"/>
      <c r="T38" s="1117"/>
      <c r="U38" s="1117"/>
      <c r="V38" s="1117"/>
      <c r="W38" s="1117"/>
      <c r="X38" s="1117"/>
      <c r="Y38" s="1007">
        <f t="shared" si="33"/>
        <v>10000000</v>
      </c>
      <c r="Z38" s="1007"/>
      <c r="AA38" s="1007"/>
      <c r="AB38" s="1007"/>
      <c r="AC38" s="1007"/>
      <c r="AD38" s="1007"/>
      <c r="AE38" s="1007">
        <v>10000000</v>
      </c>
      <c r="AF38" s="1007"/>
      <c r="AG38" s="1007"/>
      <c r="AH38" s="1007"/>
      <c r="AI38" s="1007"/>
      <c r="AJ38" s="1007"/>
      <c r="AK38" s="1007"/>
      <c r="AL38" s="1007"/>
      <c r="AM38" s="1007"/>
      <c r="AN38" s="1007"/>
      <c r="AO38" s="1007"/>
      <c r="AP38" s="1007"/>
      <c r="AQ38" s="1007"/>
      <c r="AR38" s="1007"/>
      <c r="AS38" s="1007"/>
      <c r="AU38" s="1010">
        <f t="shared" si="3"/>
        <v>1</v>
      </c>
      <c r="AV38" s="1007">
        <f t="shared" si="34"/>
        <v>10000000</v>
      </c>
      <c r="AW38" s="1007"/>
      <c r="AX38" s="1007"/>
      <c r="AY38" s="1007"/>
      <c r="AZ38" s="1007"/>
      <c r="BA38" s="1007"/>
      <c r="BB38" s="1007">
        <f>+'[15]FEBRERO 2015'!$N$490</f>
        <v>10000000</v>
      </c>
      <c r="BC38" s="1007"/>
      <c r="BD38" s="1007"/>
      <c r="BE38" s="1007"/>
      <c r="BF38" s="1007"/>
      <c r="BG38" s="1007"/>
      <c r="BH38" s="1007"/>
      <c r="BI38" s="1007"/>
      <c r="BJ38" s="1007"/>
      <c r="BK38" s="1007"/>
      <c r="BL38" s="1007"/>
      <c r="BM38" s="1007"/>
      <c r="BN38" s="1007"/>
      <c r="BO38" s="1007"/>
      <c r="BP38" s="1007"/>
      <c r="BQ38" s="1010">
        <f t="shared" si="25"/>
        <v>0</v>
      </c>
      <c r="BR38" s="1007">
        <f t="shared" si="35"/>
        <v>0</v>
      </c>
      <c r="BS38" s="1007">
        <f t="shared" si="36"/>
        <v>0</v>
      </c>
      <c r="BT38" s="1007"/>
      <c r="BU38" s="1007">
        <f t="shared" si="37"/>
        <v>0</v>
      </c>
      <c r="BV38" s="1007">
        <f t="shared" si="37"/>
        <v>0</v>
      </c>
      <c r="BW38" s="1007"/>
      <c r="BX38" s="1007">
        <f t="shared" si="38"/>
        <v>0</v>
      </c>
      <c r="BY38" s="1007">
        <f t="shared" si="38"/>
        <v>0</v>
      </c>
      <c r="BZ38" s="1007"/>
      <c r="CA38" s="1007">
        <f>+AH38-BE38</f>
        <v>0</v>
      </c>
      <c r="CB38" s="1007">
        <f t="shared" si="39"/>
        <v>0</v>
      </c>
      <c r="CC38" s="1007">
        <f>+AJ38-BG38</f>
        <v>0</v>
      </c>
      <c r="CD38" s="1007">
        <f t="shared" si="40"/>
        <v>0</v>
      </c>
      <c r="CE38" s="1007">
        <f t="shared" si="40"/>
        <v>0</v>
      </c>
      <c r="CF38" s="1007">
        <f t="shared" si="40"/>
        <v>0</v>
      </c>
      <c r="CG38" s="1007">
        <f t="shared" si="40"/>
        <v>0</v>
      </c>
      <c r="CH38" s="1007">
        <f t="shared" si="40"/>
        <v>0</v>
      </c>
      <c r="CI38" s="1007">
        <f t="shared" si="40"/>
        <v>0</v>
      </c>
      <c r="CJ38" s="1007"/>
      <c r="CK38" s="1007"/>
      <c r="CL38" s="1007">
        <f t="shared" si="41"/>
        <v>0</v>
      </c>
      <c r="CM38" s="1010">
        <f t="shared" si="13"/>
        <v>0</v>
      </c>
      <c r="CN38" s="1007">
        <f t="shared" si="42"/>
        <v>0</v>
      </c>
      <c r="CO38" s="1007"/>
      <c r="CP38" s="1007"/>
      <c r="CQ38" s="1007"/>
      <c r="CR38" s="1007"/>
      <c r="CS38" s="1007"/>
      <c r="CT38" s="1007"/>
      <c r="CU38" s="1007"/>
      <c r="CV38" s="1007"/>
      <c r="CW38" s="1007"/>
      <c r="CX38" s="1007"/>
      <c r="CY38" s="1007"/>
      <c r="CZ38" s="1007"/>
      <c r="DA38" s="1007"/>
      <c r="DB38" s="1007"/>
      <c r="DC38" s="1007"/>
      <c r="DD38" s="1007"/>
      <c r="DE38" s="1007"/>
      <c r="DF38" s="1007"/>
      <c r="DG38" s="1007"/>
      <c r="DH38" s="1007"/>
      <c r="DI38" s="1010">
        <f t="shared" si="15"/>
        <v>1</v>
      </c>
      <c r="DJ38" s="1007">
        <f t="shared" si="43"/>
        <v>10000000</v>
      </c>
      <c r="DK38" s="1007"/>
      <c r="DL38" s="1007"/>
      <c r="DM38" s="1007"/>
      <c r="DN38" s="1007"/>
      <c r="DO38" s="1007"/>
      <c r="DP38" s="1007">
        <f t="shared" si="45"/>
        <v>10000000</v>
      </c>
      <c r="DQ38" s="1007">
        <f t="shared" si="45"/>
        <v>0</v>
      </c>
      <c r="DR38" s="1007"/>
      <c r="DS38" s="1007">
        <f t="shared" si="46"/>
        <v>0</v>
      </c>
      <c r="DT38" s="1007">
        <f t="shared" si="46"/>
        <v>0</v>
      </c>
      <c r="DU38" s="1007"/>
      <c r="DV38" s="1007">
        <f t="shared" si="47"/>
        <v>0</v>
      </c>
      <c r="DW38" s="1007">
        <f t="shared" si="47"/>
        <v>0</v>
      </c>
      <c r="DX38" s="1007">
        <f t="shared" si="47"/>
        <v>0</v>
      </c>
      <c r="DY38" s="1007">
        <f t="shared" si="48"/>
        <v>0</v>
      </c>
      <c r="DZ38" s="1007">
        <f t="shared" si="48"/>
        <v>0</v>
      </c>
      <c r="EA38" s="1007">
        <f t="shared" si="48"/>
        <v>0</v>
      </c>
      <c r="EB38" s="1007">
        <f t="shared" si="48"/>
        <v>0</v>
      </c>
      <c r="EC38" s="1007"/>
      <c r="ED38" s="1007">
        <f t="shared" si="49"/>
        <v>0</v>
      </c>
    </row>
    <row r="39" spans="1:134" ht="37.5" customHeight="1" x14ac:dyDescent="0.25">
      <c r="A39" s="1565"/>
      <c r="B39" s="1018"/>
      <c r="C39" s="1114" t="s">
        <v>4370</v>
      </c>
      <c r="D39" s="1018" t="s">
        <v>4603</v>
      </c>
      <c r="E39" s="1019">
        <v>410</v>
      </c>
      <c r="F39" s="1117" t="s">
        <v>3350</v>
      </c>
      <c r="G39" s="1429"/>
      <c r="H39" s="1060">
        <f t="shared" si="31"/>
        <v>92697557</v>
      </c>
      <c r="I39" s="1060">
        <f t="shared" si="32"/>
        <v>88146528</v>
      </c>
      <c r="J39" s="1117" t="s">
        <v>4776</v>
      </c>
      <c r="K39" s="1113" t="s">
        <v>4791</v>
      </c>
      <c r="L39" s="1113" t="s">
        <v>4792</v>
      </c>
      <c r="M39" s="1113">
        <v>10</v>
      </c>
      <c r="N39" s="1113">
        <v>0</v>
      </c>
      <c r="O39" s="1113">
        <v>0</v>
      </c>
      <c r="P39" s="1113">
        <v>26</v>
      </c>
      <c r="Q39" s="1113">
        <v>200</v>
      </c>
      <c r="R39" s="1113">
        <v>26</v>
      </c>
      <c r="S39" s="1117"/>
      <c r="T39" s="1117"/>
      <c r="U39" s="1117"/>
      <c r="V39" s="1117"/>
      <c r="W39" s="1117"/>
      <c r="X39" s="1117"/>
      <c r="Y39" s="1007">
        <f t="shared" si="33"/>
        <v>180844085</v>
      </c>
      <c r="Z39" s="1007"/>
      <c r="AA39" s="1007"/>
      <c r="AB39" s="1007"/>
      <c r="AC39" s="1007"/>
      <c r="AD39" s="1007"/>
      <c r="AE39" s="1007">
        <v>20000000</v>
      </c>
      <c r="AF39" s="1007"/>
      <c r="AG39" s="1007"/>
      <c r="AH39" s="1007"/>
      <c r="AI39" s="1007"/>
      <c r="AJ39" s="1007"/>
      <c r="AK39" s="1007"/>
      <c r="AL39" s="1007"/>
      <c r="AM39" s="1007"/>
      <c r="AN39" s="1007">
        <f>100000000-20000000</f>
        <v>80000000</v>
      </c>
      <c r="AO39" s="1007"/>
      <c r="AP39" s="1007"/>
      <c r="AQ39" s="1007">
        <v>80844085</v>
      </c>
      <c r="AR39" s="1007"/>
      <c r="AS39" s="1007"/>
      <c r="AU39" s="1010">
        <f t="shared" si="3"/>
        <v>0.91178572967979576</v>
      </c>
      <c r="AV39" s="1007">
        <f t="shared" si="34"/>
        <v>164891056</v>
      </c>
      <c r="AW39" s="1007"/>
      <c r="AX39" s="1007"/>
      <c r="AY39" s="1007"/>
      <c r="AZ39" s="1007"/>
      <c r="BA39" s="1007"/>
      <c r="BB39" s="1007">
        <f>+'[15]FEBRERO 2015'!$N$495</f>
        <v>20000000</v>
      </c>
      <c r="BC39" s="1007"/>
      <c r="BD39" s="1007"/>
      <c r="BE39" s="1007"/>
      <c r="BF39" s="1007"/>
      <c r="BG39" s="1007"/>
      <c r="BH39" s="1007"/>
      <c r="BI39" s="1007"/>
      <c r="BJ39" s="1007"/>
      <c r="BK39" s="1007">
        <f>+'[10]JULIO 2015'!$X$1091</f>
        <v>64046971</v>
      </c>
      <c r="BL39" s="1007"/>
      <c r="BM39" s="1007"/>
      <c r="BN39" s="1007">
        <f>+'[11]MARZO 2015'!$Z$635</f>
        <v>80844085</v>
      </c>
      <c r="BO39" s="1007"/>
      <c r="BP39" s="1007"/>
      <c r="BQ39" s="1010">
        <f t="shared" si="25"/>
        <v>8.8214270320204236E-2</v>
      </c>
      <c r="BR39" s="1007">
        <f t="shared" si="35"/>
        <v>15953029</v>
      </c>
      <c r="BS39" s="1007">
        <f t="shared" si="36"/>
        <v>0</v>
      </c>
      <c r="BT39" s="1007"/>
      <c r="BU39" s="1007">
        <f t="shared" si="37"/>
        <v>0</v>
      </c>
      <c r="BV39" s="1007">
        <f t="shared" si="37"/>
        <v>0</v>
      </c>
      <c r="BW39" s="1007"/>
      <c r="BX39" s="1007">
        <f t="shared" si="38"/>
        <v>0</v>
      </c>
      <c r="BY39" s="1007">
        <f t="shared" si="38"/>
        <v>0</v>
      </c>
      <c r="BZ39" s="1007"/>
      <c r="CA39" s="1007">
        <f>+AH39-BE39</f>
        <v>0</v>
      </c>
      <c r="CB39" s="1007">
        <f t="shared" si="39"/>
        <v>0</v>
      </c>
      <c r="CC39" s="1007">
        <f>+AJ39-BG39</f>
        <v>0</v>
      </c>
      <c r="CD39" s="1007">
        <f t="shared" si="40"/>
        <v>0</v>
      </c>
      <c r="CE39" s="1007">
        <f t="shared" si="40"/>
        <v>0</v>
      </c>
      <c r="CF39" s="1007">
        <f t="shared" si="40"/>
        <v>0</v>
      </c>
      <c r="CG39" s="1007">
        <f t="shared" si="40"/>
        <v>15953029</v>
      </c>
      <c r="CH39" s="1007">
        <f t="shared" si="40"/>
        <v>0</v>
      </c>
      <c r="CI39" s="1007">
        <f t="shared" si="40"/>
        <v>0</v>
      </c>
      <c r="CJ39" s="1007"/>
      <c r="CK39" s="1007"/>
      <c r="CL39" s="1007">
        <f t="shared" si="41"/>
        <v>0</v>
      </c>
      <c r="CM39" s="1010">
        <f t="shared" si="13"/>
        <v>0.51258274220027711</v>
      </c>
      <c r="CN39" s="1007">
        <f t="shared" si="42"/>
        <v>92697557</v>
      </c>
      <c r="CO39" s="1007"/>
      <c r="CP39" s="1007"/>
      <c r="CQ39" s="1007"/>
      <c r="CR39" s="1007"/>
      <c r="CS39" s="1007"/>
      <c r="CT39" s="1007">
        <f>+'[13]JUNIO 2015'!$H$924</f>
        <v>20000000</v>
      </c>
      <c r="CU39" s="1007"/>
      <c r="CV39" s="1007"/>
      <c r="CW39" s="1007"/>
      <c r="CX39" s="1007"/>
      <c r="CY39" s="1007"/>
      <c r="CZ39" s="1007"/>
      <c r="DA39" s="1007"/>
      <c r="DB39" s="1007"/>
      <c r="DC39" s="1007">
        <f>+'[8]SEPTIEMBRE 2015'!$H$1403+'[8]SEPTIEMBRE 2015'!$H$1412</f>
        <v>42468996</v>
      </c>
      <c r="DD39" s="1007"/>
      <c r="DE39" s="1007"/>
      <c r="DF39" s="1007">
        <f>+'[8]SEPTIEMBRE 2015'!$H$1417</f>
        <v>30228561</v>
      </c>
      <c r="DG39" s="1007"/>
      <c r="DH39" s="1007"/>
      <c r="DI39" s="1010">
        <f t="shared" si="15"/>
        <v>0.48741725779972289</v>
      </c>
      <c r="DJ39" s="1007">
        <f t="shared" si="43"/>
        <v>88146528</v>
      </c>
      <c r="DK39" s="1007"/>
      <c r="DL39" s="1007"/>
      <c r="DM39" s="1007"/>
      <c r="DN39" s="1007"/>
      <c r="DO39" s="1007"/>
      <c r="DP39" s="1007">
        <f t="shared" si="45"/>
        <v>0</v>
      </c>
      <c r="DQ39" s="1007">
        <f t="shared" si="45"/>
        <v>0</v>
      </c>
      <c r="DR39" s="1007"/>
      <c r="DS39" s="1007">
        <f t="shared" si="46"/>
        <v>0</v>
      </c>
      <c r="DT39" s="1007">
        <f t="shared" si="46"/>
        <v>0</v>
      </c>
      <c r="DU39" s="1007"/>
      <c r="DV39" s="1007">
        <f t="shared" si="47"/>
        <v>0</v>
      </c>
      <c r="DW39" s="1007">
        <f t="shared" si="47"/>
        <v>0</v>
      </c>
      <c r="DX39" s="1007">
        <f t="shared" si="47"/>
        <v>0</v>
      </c>
      <c r="DY39" s="1007">
        <f t="shared" si="48"/>
        <v>37531004</v>
      </c>
      <c r="DZ39" s="1007">
        <f t="shared" si="48"/>
        <v>0</v>
      </c>
      <c r="EA39" s="1007">
        <f t="shared" si="48"/>
        <v>0</v>
      </c>
      <c r="EB39" s="1007">
        <f t="shared" si="48"/>
        <v>50615524</v>
      </c>
      <c r="EC39" s="1007"/>
      <c r="ED39" s="1007">
        <f t="shared" si="49"/>
        <v>0</v>
      </c>
    </row>
    <row r="40" spans="1:134" ht="42" customHeight="1" x14ac:dyDescent="0.25">
      <c r="A40" s="1565"/>
      <c r="B40" s="1018"/>
      <c r="C40" s="1114" t="s">
        <v>4371</v>
      </c>
      <c r="D40" s="1018" t="s">
        <v>4604</v>
      </c>
      <c r="E40" s="1019">
        <v>410</v>
      </c>
      <c r="F40" s="1117" t="s">
        <v>3350</v>
      </c>
      <c r="G40" s="1429"/>
      <c r="H40" s="1060">
        <f t="shared" si="31"/>
        <v>1064000</v>
      </c>
      <c r="I40" s="1060">
        <f t="shared" si="32"/>
        <v>8936000</v>
      </c>
      <c r="J40" s="1117" t="s">
        <v>4793</v>
      </c>
      <c r="K40" s="1113" t="s">
        <v>4794</v>
      </c>
      <c r="L40" s="1113" t="s">
        <v>4795</v>
      </c>
      <c r="M40" s="1113">
        <v>0</v>
      </c>
      <c r="N40" s="1113">
        <v>0</v>
      </c>
      <c r="O40" s="1113">
        <v>0</v>
      </c>
      <c r="P40" s="1113">
        <v>6</v>
      </c>
      <c r="Q40" s="1113">
        <v>0</v>
      </c>
      <c r="R40" s="1113">
        <v>0</v>
      </c>
      <c r="S40" s="1117"/>
      <c r="T40" s="1117"/>
      <c r="U40" s="1117"/>
      <c r="V40" s="1117"/>
      <c r="W40" s="1117"/>
      <c r="X40" s="1117"/>
      <c r="Y40" s="1007">
        <f t="shared" si="33"/>
        <v>10000000</v>
      </c>
      <c r="Z40" s="1007"/>
      <c r="AA40" s="1007"/>
      <c r="AB40" s="1007"/>
      <c r="AC40" s="1007"/>
      <c r="AD40" s="1007"/>
      <c r="AE40" s="1007">
        <v>10000000</v>
      </c>
      <c r="AF40" s="1007"/>
      <c r="AG40" s="1007"/>
      <c r="AH40" s="1007"/>
      <c r="AI40" s="1007"/>
      <c r="AJ40" s="1007"/>
      <c r="AK40" s="1007"/>
      <c r="AL40" s="1007"/>
      <c r="AM40" s="1007"/>
      <c r="AN40" s="1007"/>
      <c r="AO40" s="1007"/>
      <c r="AP40" s="1007"/>
      <c r="AQ40" s="1007"/>
      <c r="AR40" s="1007"/>
      <c r="AS40" s="1007"/>
      <c r="AU40" s="1010">
        <f t="shared" si="3"/>
        <v>1</v>
      </c>
      <c r="AV40" s="1007">
        <f t="shared" si="34"/>
        <v>10000000</v>
      </c>
      <c r="AW40" s="1007"/>
      <c r="AX40" s="1007"/>
      <c r="AY40" s="1007"/>
      <c r="AZ40" s="1007"/>
      <c r="BA40" s="1007"/>
      <c r="BB40" s="1007">
        <f>+'[15]FEBRERO 2015'!$N$501</f>
        <v>10000000</v>
      </c>
      <c r="BC40" s="1007"/>
      <c r="BD40" s="1007"/>
      <c r="BE40" s="1007"/>
      <c r="BF40" s="1007"/>
      <c r="BG40" s="1007"/>
      <c r="BH40" s="1007"/>
      <c r="BI40" s="1007"/>
      <c r="BJ40" s="1007"/>
      <c r="BK40" s="1007"/>
      <c r="BL40" s="1007"/>
      <c r="BM40" s="1007"/>
      <c r="BN40" s="1007"/>
      <c r="BO40" s="1007"/>
      <c r="BP40" s="1007"/>
      <c r="BQ40" s="1010">
        <f t="shared" si="25"/>
        <v>0</v>
      </c>
      <c r="BR40" s="1007">
        <f t="shared" si="35"/>
        <v>0</v>
      </c>
      <c r="BS40" s="1007">
        <f t="shared" si="36"/>
        <v>0</v>
      </c>
      <c r="BT40" s="1007"/>
      <c r="BU40" s="1007">
        <f t="shared" si="37"/>
        <v>0</v>
      </c>
      <c r="BV40" s="1007">
        <f t="shared" si="37"/>
        <v>0</v>
      </c>
      <c r="BW40" s="1007"/>
      <c r="BX40" s="1007">
        <f t="shared" si="38"/>
        <v>0</v>
      </c>
      <c r="BY40" s="1007">
        <f t="shared" si="38"/>
        <v>0</v>
      </c>
      <c r="BZ40" s="1007"/>
      <c r="CA40" s="1007">
        <f>+AH40-BE40</f>
        <v>0</v>
      </c>
      <c r="CB40" s="1007">
        <f t="shared" si="39"/>
        <v>0</v>
      </c>
      <c r="CC40" s="1007">
        <f>+AJ40-BG40</f>
        <v>0</v>
      </c>
      <c r="CD40" s="1007">
        <f t="shared" si="40"/>
        <v>0</v>
      </c>
      <c r="CE40" s="1007">
        <f t="shared" si="40"/>
        <v>0</v>
      </c>
      <c r="CF40" s="1007">
        <f t="shared" si="40"/>
        <v>0</v>
      </c>
      <c r="CG40" s="1007">
        <f t="shared" si="40"/>
        <v>0</v>
      </c>
      <c r="CH40" s="1007">
        <f t="shared" si="40"/>
        <v>0</v>
      </c>
      <c r="CI40" s="1007">
        <f t="shared" si="40"/>
        <v>0</v>
      </c>
      <c r="CJ40" s="1007"/>
      <c r="CK40" s="1007"/>
      <c r="CL40" s="1007">
        <f t="shared" si="41"/>
        <v>0</v>
      </c>
      <c r="CM40" s="1010">
        <f t="shared" si="13"/>
        <v>0.10639999999999999</v>
      </c>
      <c r="CN40" s="1007">
        <f t="shared" si="42"/>
        <v>1064000</v>
      </c>
      <c r="CO40" s="1007"/>
      <c r="CP40" s="1007"/>
      <c r="CQ40" s="1007"/>
      <c r="CR40" s="1007"/>
      <c r="CS40" s="1007"/>
      <c r="CT40" s="1007">
        <f>+'[7]AGOSTO 2015'!$H$1265</f>
        <v>1064000</v>
      </c>
      <c r="CU40" s="1007"/>
      <c r="CV40" s="1007"/>
      <c r="CW40" s="1007"/>
      <c r="CX40" s="1007"/>
      <c r="CY40" s="1007"/>
      <c r="CZ40" s="1007"/>
      <c r="DA40" s="1007"/>
      <c r="DB40" s="1007"/>
      <c r="DC40" s="1007"/>
      <c r="DD40" s="1007"/>
      <c r="DE40" s="1007"/>
      <c r="DF40" s="1007"/>
      <c r="DG40" s="1007"/>
      <c r="DH40" s="1007"/>
      <c r="DI40" s="1010">
        <f t="shared" si="15"/>
        <v>0.89359999999999995</v>
      </c>
      <c r="DJ40" s="1007">
        <f t="shared" si="43"/>
        <v>8936000</v>
      </c>
      <c r="DK40" s="1007"/>
      <c r="DL40" s="1007"/>
      <c r="DM40" s="1007"/>
      <c r="DN40" s="1007"/>
      <c r="DO40" s="1007"/>
      <c r="DP40" s="1007">
        <f t="shared" si="45"/>
        <v>8936000</v>
      </c>
      <c r="DQ40" s="1007">
        <f t="shared" si="45"/>
        <v>0</v>
      </c>
      <c r="DR40" s="1007"/>
      <c r="DS40" s="1007">
        <f t="shared" si="46"/>
        <v>0</v>
      </c>
      <c r="DT40" s="1007">
        <f t="shared" si="46"/>
        <v>0</v>
      </c>
      <c r="DU40" s="1007"/>
      <c r="DV40" s="1007">
        <f t="shared" si="47"/>
        <v>0</v>
      </c>
      <c r="DW40" s="1007">
        <f t="shared" si="47"/>
        <v>0</v>
      </c>
      <c r="DX40" s="1007">
        <f t="shared" si="47"/>
        <v>0</v>
      </c>
      <c r="DY40" s="1007">
        <f t="shared" si="48"/>
        <v>0</v>
      </c>
      <c r="DZ40" s="1007">
        <f t="shared" si="48"/>
        <v>0</v>
      </c>
      <c r="EA40" s="1007">
        <f t="shared" si="48"/>
        <v>0</v>
      </c>
      <c r="EB40" s="1007">
        <f t="shared" si="48"/>
        <v>0</v>
      </c>
      <c r="EC40" s="1007"/>
      <c r="ED40" s="1007">
        <f t="shared" si="49"/>
        <v>0</v>
      </c>
    </row>
    <row r="41" spans="1:134" ht="48.75" customHeight="1" x14ac:dyDescent="0.25">
      <c r="A41" s="1565"/>
      <c r="B41" s="1018"/>
      <c r="C41" s="1114" t="s">
        <v>4372</v>
      </c>
      <c r="D41" s="1018" t="s">
        <v>4607</v>
      </c>
      <c r="E41" s="1019">
        <v>410</v>
      </c>
      <c r="F41" s="1117" t="s">
        <v>3350</v>
      </c>
      <c r="G41" s="1429"/>
      <c r="H41" s="1060">
        <f t="shared" si="31"/>
        <v>6500000</v>
      </c>
      <c r="I41" s="1060">
        <f t="shared" si="32"/>
        <v>3500000</v>
      </c>
      <c r="J41" s="1117" t="s">
        <v>4796</v>
      </c>
      <c r="K41" s="1113" t="s">
        <v>4797</v>
      </c>
      <c r="L41" s="1113" t="s">
        <v>4798</v>
      </c>
      <c r="M41" s="1113">
        <v>5</v>
      </c>
      <c r="N41" s="1113">
        <v>0</v>
      </c>
      <c r="O41" s="1113">
        <v>0</v>
      </c>
      <c r="P41" s="1113">
        <v>16</v>
      </c>
      <c r="Q41" s="1113">
        <v>0</v>
      </c>
      <c r="R41" s="1113">
        <v>0</v>
      </c>
      <c r="S41" s="1117"/>
      <c r="T41" s="1117"/>
      <c r="U41" s="1117"/>
      <c r="V41" s="1117"/>
      <c r="W41" s="1117"/>
      <c r="X41" s="1117"/>
      <c r="Y41" s="1007">
        <f t="shared" si="33"/>
        <v>10000000</v>
      </c>
      <c r="Z41" s="1007"/>
      <c r="AA41" s="1007"/>
      <c r="AB41" s="1007"/>
      <c r="AC41" s="1007"/>
      <c r="AD41" s="1007"/>
      <c r="AE41" s="1007">
        <f>30000000-20000000</f>
        <v>10000000</v>
      </c>
      <c r="AF41" s="1007"/>
      <c r="AG41" s="1007"/>
      <c r="AH41" s="1007"/>
      <c r="AI41" s="1007"/>
      <c r="AJ41" s="1007"/>
      <c r="AK41" s="1007"/>
      <c r="AL41" s="1007"/>
      <c r="AM41" s="1007"/>
      <c r="AN41" s="1007"/>
      <c r="AO41" s="1007"/>
      <c r="AP41" s="1007"/>
      <c r="AQ41" s="1007"/>
      <c r="AR41" s="1007"/>
      <c r="AS41" s="1007"/>
      <c r="AU41" s="1010">
        <f t="shared" si="3"/>
        <v>1</v>
      </c>
      <c r="AV41" s="1007">
        <f t="shared" si="34"/>
        <v>10000000</v>
      </c>
      <c r="AW41" s="1007"/>
      <c r="AX41" s="1007"/>
      <c r="AY41" s="1007"/>
      <c r="AZ41" s="1007"/>
      <c r="BA41" s="1007"/>
      <c r="BB41" s="1007">
        <f>+'[13]JUNIO 2015'!$O$956</f>
        <v>10000000</v>
      </c>
      <c r="BC41" s="1007"/>
      <c r="BD41" s="1007"/>
      <c r="BE41" s="1007"/>
      <c r="BF41" s="1007"/>
      <c r="BG41" s="1007"/>
      <c r="BH41" s="1007"/>
      <c r="BI41" s="1007"/>
      <c r="BJ41" s="1007"/>
      <c r="BK41" s="1007"/>
      <c r="BL41" s="1007"/>
      <c r="BM41" s="1007"/>
      <c r="BN41" s="1007"/>
      <c r="BO41" s="1007"/>
      <c r="BP41" s="1007"/>
      <c r="BQ41" s="1010">
        <f t="shared" si="25"/>
        <v>0</v>
      </c>
      <c r="BR41" s="1007">
        <f t="shared" si="35"/>
        <v>0</v>
      </c>
      <c r="BS41" s="1007">
        <f t="shared" si="36"/>
        <v>0</v>
      </c>
      <c r="BT41" s="1007"/>
      <c r="BU41" s="1007">
        <f t="shared" si="37"/>
        <v>0</v>
      </c>
      <c r="BV41" s="1007">
        <f t="shared" si="37"/>
        <v>0</v>
      </c>
      <c r="BW41" s="1007"/>
      <c r="BX41" s="1007">
        <f t="shared" si="38"/>
        <v>0</v>
      </c>
      <c r="BY41" s="1007">
        <f t="shared" si="38"/>
        <v>0</v>
      </c>
      <c r="BZ41" s="1007"/>
      <c r="CA41" s="1007">
        <f>+AH41-BE41</f>
        <v>0</v>
      </c>
      <c r="CB41" s="1007">
        <f t="shared" si="39"/>
        <v>0</v>
      </c>
      <c r="CC41" s="1007">
        <f>+AJ41-BG41</f>
        <v>0</v>
      </c>
      <c r="CD41" s="1007">
        <f t="shared" si="40"/>
        <v>0</v>
      </c>
      <c r="CE41" s="1007">
        <f t="shared" si="40"/>
        <v>0</v>
      </c>
      <c r="CF41" s="1007">
        <f t="shared" si="40"/>
        <v>0</v>
      </c>
      <c r="CG41" s="1007">
        <f t="shared" si="40"/>
        <v>0</v>
      </c>
      <c r="CH41" s="1007">
        <f t="shared" si="40"/>
        <v>0</v>
      </c>
      <c r="CI41" s="1007">
        <f t="shared" si="40"/>
        <v>0</v>
      </c>
      <c r="CJ41" s="1007"/>
      <c r="CK41" s="1007"/>
      <c r="CL41" s="1007">
        <f t="shared" si="41"/>
        <v>0</v>
      </c>
      <c r="CM41" s="1010">
        <f t="shared" si="13"/>
        <v>0.65</v>
      </c>
      <c r="CN41" s="1007">
        <f t="shared" si="42"/>
        <v>6500000</v>
      </c>
      <c r="CO41" s="1007"/>
      <c r="CP41" s="1007"/>
      <c r="CQ41" s="1007"/>
      <c r="CR41" s="1007"/>
      <c r="CS41" s="1007"/>
      <c r="CT41" s="1007">
        <f>+'[10]JULIO 2015'!$H$1127</f>
        <v>6500000</v>
      </c>
      <c r="CU41" s="1007"/>
      <c r="CV41" s="1007"/>
      <c r="CW41" s="1007"/>
      <c r="CX41" s="1007"/>
      <c r="CY41" s="1007"/>
      <c r="CZ41" s="1007"/>
      <c r="DA41" s="1007"/>
      <c r="DB41" s="1007"/>
      <c r="DC41" s="1007"/>
      <c r="DD41" s="1007"/>
      <c r="DE41" s="1007"/>
      <c r="DF41" s="1007"/>
      <c r="DG41" s="1007"/>
      <c r="DH41" s="1007"/>
      <c r="DI41" s="1010">
        <f t="shared" si="15"/>
        <v>0.35</v>
      </c>
      <c r="DJ41" s="1007">
        <f t="shared" si="43"/>
        <v>3500000</v>
      </c>
      <c r="DK41" s="1007"/>
      <c r="DL41" s="1007"/>
      <c r="DM41" s="1007"/>
      <c r="DN41" s="1007"/>
      <c r="DO41" s="1007"/>
      <c r="DP41" s="1007">
        <f t="shared" si="45"/>
        <v>3500000</v>
      </c>
      <c r="DQ41" s="1007">
        <f t="shared" si="45"/>
        <v>0</v>
      </c>
      <c r="DR41" s="1007"/>
      <c r="DS41" s="1007">
        <f t="shared" si="46"/>
        <v>0</v>
      </c>
      <c r="DT41" s="1007">
        <f t="shared" si="46"/>
        <v>0</v>
      </c>
      <c r="DU41" s="1007"/>
      <c r="DV41" s="1007">
        <f t="shared" si="47"/>
        <v>0</v>
      </c>
      <c r="DW41" s="1007">
        <f t="shared" si="47"/>
        <v>0</v>
      </c>
      <c r="DX41" s="1007">
        <f t="shared" si="47"/>
        <v>0</v>
      </c>
      <c r="DY41" s="1007">
        <f t="shared" si="48"/>
        <v>0</v>
      </c>
      <c r="DZ41" s="1007">
        <f t="shared" si="48"/>
        <v>0</v>
      </c>
      <c r="EA41" s="1007">
        <f t="shared" si="48"/>
        <v>0</v>
      </c>
      <c r="EB41" s="1007">
        <f t="shared" si="48"/>
        <v>0</v>
      </c>
      <c r="EC41" s="1007"/>
      <c r="ED41" s="1007">
        <f t="shared" si="49"/>
        <v>0</v>
      </c>
    </row>
    <row r="42" spans="1:134" ht="31.5" customHeight="1" x14ac:dyDescent="0.25">
      <c r="A42" s="1565"/>
      <c r="B42" s="1018"/>
      <c r="C42" s="1114" t="s">
        <v>4373</v>
      </c>
      <c r="D42" s="1018" t="s">
        <v>4606</v>
      </c>
      <c r="E42" s="1019">
        <v>410</v>
      </c>
      <c r="F42" s="1117" t="s">
        <v>4731</v>
      </c>
      <c r="G42" s="1429"/>
      <c r="H42" s="1060">
        <f t="shared" si="31"/>
        <v>42722628</v>
      </c>
      <c r="I42" s="1060">
        <f t="shared" si="32"/>
        <v>8254435</v>
      </c>
      <c r="J42" s="1117" t="s">
        <v>4799</v>
      </c>
      <c r="K42" s="1113" t="s">
        <v>4800</v>
      </c>
      <c r="L42" s="1113" t="s">
        <v>4801</v>
      </c>
      <c r="M42" s="1113">
        <v>0</v>
      </c>
      <c r="N42" s="1113">
        <v>0</v>
      </c>
      <c r="O42" s="1113">
        <v>0</v>
      </c>
      <c r="P42" s="1113">
        <v>3</v>
      </c>
      <c r="Q42" s="1113">
        <v>0</v>
      </c>
      <c r="R42" s="1113">
        <v>0</v>
      </c>
      <c r="S42" s="1117"/>
      <c r="T42" s="1117"/>
      <c r="U42" s="1117"/>
      <c r="V42" s="1117"/>
      <c r="W42" s="1117"/>
      <c r="X42" s="1117"/>
      <c r="Y42" s="1007">
        <f t="shared" si="33"/>
        <v>50977063</v>
      </c>
      <c r="Z42" s="1007"/>
      <c r="AA42" s="1007"/>
      <c r="AB42" s="1007"/>
      <c r="AC42" s="1007"/>
      <c r="AD42" s="1007"/>
      <c r="AE42" s="1007">
        <v>50000000</v>
      </c>
      <c r="AF42" s="1007"/>
      <c r="AG42" s="1007"/>
      <c r="AH42" s="1007"/>
      <c r="AI42" s="1007"/>
      <c r="AJ42" s="1007"/>
      <c r="AK42" s="1007"/>
      <c r="AL42" s="1007"/>
      <c r="AM42" s="1007"/>
      <c r="AN42" s="1007"/>
      <c r="AO42" s="1007"/>
      <c r="AP42" s="1007"/>
      <c r="AQ42" s="1007"/>
      <c r="AR42" s="1007"/>
      <c r="AS42" s="1007">
        <v>977063</v>
      </c>
      <c r="AU42" s="1010">
        <f t="shared" si="3"/>
        <v>0.98083328182323881</v>
      </c>
      <c r="AV42" s="1007">
        <f t="shared" si="34"/>
        <v>50000000</v>
      </c>
      <c r="AW42" s="1007"/>
      <c r="AX42" s="1007"/>
      <c r="AY42" s="1007"/>
      <c r="AZ42" s="1007"/>
      <c r="BA42" s="1007"/>
      <c r="BB42" s="1007">
        <f>+'[15]FEBRERO 2015'!$N$511</f>
        <v>50000000</v>
      </c>
      <c r="BC42" s="1007"/>
      <c r="BD42" s="1007"/>
      <c r="BE42" s="1007"/>
      <c r="BF42" s="1007"/>
      <c r="BG42" s="1007"/>
      <c r="BH42" s="1007"/>
      <c r="BI42" s="1007"/>
      <c r="BJ42" s="1007"/>
      <c r="BK42" s="1007"/>
      <c r="BL42" s="1007"/>
      <c r="BM42" s="1007"/>
      <c r="BN42" s="1007"/>
      <c r="BO42" s="1007"/>
      <c r="BP42" s="1007"/>
      <c r="BQ42" s="1010">
        <f t="shared" si="25"/>
        <v>1.9166718176761188E-2</v>
      </c>
      <c r="BR42" s="1007">
        <f t="shared" si="35"/>
        <v>977063</v>
      </c>
      <c r="BS42" s="1007">
        <f t="shared" si="36"/>
        <v>0</v>
      </c>
      <c r="BT42" s="1007"/>
      <c r="BU42" s="1007">
        <f t="shared" si="37"/>
        <v>0</v>
      </c>
      <c r="BV42" s="1007">
        <f t="shared" si="37"/>
        <v>0</v>
      </c>
      <c r="BW42" s="1007"/>
      <c r="BX42" s="1007">
        <f t="shared" si="38"/>
        <v>0</v>
      </c>
      <c r="BY42" s="1007">
        <f t="shared" si="38"/>
        <v>0</v>
      </c>
      <c r="BZ42" s="1007"/>
      <c r="CA42" s="1007">
        <f>+AH42-BE42</f>
        <v>0</v>
      </c>
      <c r="CB42" s="1007">
        <f t="shared" si="39"/>
        <v>0</v>
      </c>
      <c r="CC42" s="1007">
        <f>+AJ42-BG42</f>
        <v>0</v>
      </c>
      <c r="CD42" s="1007">
        <f t="shared" si="40"/>
        <v>0</v>
      </c>
      <c r="CE42" s="1007">
        <f t="shared" si="40"/>
        <v>0</v>
      </c>
      <c r="CF42" s="1007">
        <f t="shared" si="40"/>
        <v>0</v>
      </c>
      <c r="CG42" s="1007">
        <f t="shared" si="40"/>
        <v>0</v>
      </c>
      <c r="CH42" s="1007">
        <f t="shared" si="40"/>
        <v>0</v>
      </c>
      <c r="CI42" s="1007">
        <f t="shared" si="40"/>
        <v>0</v>
      </c>
      <c r="CJ42" s="1007"/>
      <c r="CK42" s="1007"/>
      <c r="CL42" s="1007">
        <f t="shared" si="41"/>
        <v>977063</v>
      </c>
      <c r="CM42" s="1010">
        <f t="shared" si="13"/>
        <v>0.83807550858706792</v>
      </c>
      <c r="CN42" s="1007">
        <f t="shared" si="42"/>
        <v>42722628</v>
      </c>
      <c r="CO42" s="1007"/>
      <c r="CP42" s="1007"/>
      <c r="CQ42" s="1007"/>
      <c r="CR42" s="1007"/>
      <c r="CS42" s="1007"/>
      <c r="CT42" s="1007">
        <f>+'[8]SEPTIEMBRE 2015'!$H$1448</f>
        <v>42722628</v>
      </c>
      <c r="CU42" s="1007"/>
      <c r="CV42" s="1007"/>
      <c r="CW42" s="1007"/>
      <c r="CX42" s="1007"/>
      <c r="CY42" s="1007"/>
      <c r="CZ42" s="1007"/>
      <c r="DA42" s="1007"/>
      <c r="DB42" s="1007"/>
      <c r="DC42" s="1007"/>
      <c r="DD42" s="1007"/>
      <c r="DE42" s="1007"/>
      <c r="DF42" s="1007"/>
      <c r="DG42" s="1007"/>
      <c r="DH42" s="1007"/>
      <c r="DI42" s="1010">
        <f t="shared" si="15"/>
        <v>0.16192449141293208</v>
      </c>
      <c r="DJ42" s="1007">
        <f t="shared" si="43"/>
        <v>8254435</v>
      </c>
      <c r="DK42" s="1007"/>
      <c r="DL42" s="1007"/>
      <c r="DM42" s="1007"/>
      <c r="DN42" s="1007"/>
      <c r="DO42" s="1007"/>
      <c r="DP42" s="1007">
        <f t="shared" si="45"/>
        <v>7277372</v>
      </c>
      <c r="DQ42" s="1007">
        <f t="shared" si="45"/>
        <v>0</v>
      </c>
      <c r="DR42" s="1007"/>
      <c r="DS42" s="1007">
        <f t="shared" si="46"/>
        <v>0</v>
      </c>
      <c r="DT42" s="1007">
        <f t="shared" si="46"/>
        <v>0</v>
      </c>
      <c r="DU42" s="1007"/>
      <c r="DV42" s="1007">
        <f t="shared" si="47"/>
        <v>0</v>
      </c>
      <c r="DW42" s="1007">
        <f t="shared" si="47"/>
        <v>0</v>
      </c>
      <c r="DX42" s="1007">
        <f t="shared" si="47"/>
        <v>0</v>
      </c>
      <c r="DY42" s="1007">
        <f t="shared" si="48"/>
        <v>0</v>
      </c>
      <c r="DZ42" s="1007">
        <f t="shared" si="48"/>
        <v>0</v>
      </c>
      <c r="EA42" s="1007">
        <f t="shared" si="48"/>
        <v>0</v>
      </c>
      <c r="EB42" s="1007">
        <f t="shared" si="48"/>
        <v>0</v>
      </c>
      <c r="EC42" s="1007"/>
      <c r="ED42" s="1007">
        <f t="shared" si="49"/>
        <v>977063</v>
      </c>
    </row>
    <row r="43" spans="1:134" ht="46.5" customHeight="1" x14ac:dyDescent="0.25">
      <c r="A43" s="1565"/>
      <c r="B43" s="1018"/>
      <c r="C43" s="1114" t="s">
        <v>4374</v>
      </c>
      <c r="D43" s="1018" t="s">
        <v>4605</v>
      </c>
      <c r="E43" s="1019">
        <v>410</v>
      </c>
      <c r="F43" s="1117" t="s">
        <v>3350</v>
      </c>
      <c r="G43" s="1430"/>
      <c r="H43" s="1060">
        <f t="shared" si="31"/>
        <v>69605000</v>
      </c>
      <c r="I43" s="1060">
        <f t="shared" si="32"/>
        <v>395000</v>
      </c>
      <c r="J43" s="1117" t="s">
        <v>4802</v>
      </c>
      <c r="K43" s="1113" t="s">
        <v>4804</v>
      </c>
      <c r="L43" s="1113" t="s">
        <v>4803</v>
      </c>
      <c r="M43" s="1113">
        <v>31</v>
      </c>
      <c r="N43" s="1113">
        <v>95</v>
      </c>
      <c r="O43" s="1113">
        <v>30</v>
      </c>
      <c r="P43" s="1113">
        <v>71</v>
      </c>
      <c r="Q43" s="1113">
        <v>585</v>
      </c>
      <c r="R43" s="1113">
        <v>414</v>
      </c>
      <c r="S43" s="1117"/>
      <c r="T43" s="1117"/>
      <c r="U43" s="1117"/>
      <c r="V43" s="1117"/>
      <c r="W43" s="1117"/>
      <c r="X43" s="1117"/>
      <c r="Y43" s="1007">
        <f t="shared" si="33"/>
        <v>70000000</v>
      </c>
      <c r="Z43" s="1007"/>
      <c r="AA43" s="1007"/>
      <c r="AB43" s="1007"/>
      <c r="AC43" s="1007"/>
      <c r="AD43" s="1007"/>
      <c r="AE43" s="1007">
        <f>50000000+20000000</f>
        <v>70000000</v>
      </c>
      <c r="AF43" s="1007"/>
      <c r="AG43" s="1007"/>
      <c r="AH43" s="1007"/>
      <c r="AI43" s="1007"/>
      <c r="AJ43" s="1007"/>
      <c r="AK43" s="1007"/>
      <c r="AL43" s="1007"/>
      <c r="AM43" s="1007"/>
      <c r="AN43" s="1007"/>
      <c r="AO43" s="1007"/>
      <c r="AP43" s="1007"/>
      <c r="AQ43" s="1007"/>
      <c r="AR43" s="1007"/>
      <c r="AS43" s="1007"/>
      <c r="AU43" s="1010">
        <f t="shared" si="3"/>
        <v>1</v>
      </c>
      <c r="AV43" s="1007">
        <f t="shared" si="34"/>
        <v>70000000</v>
      </c>
      <c r="AW43" s="1007"/>
      <c r="AX43" s="1007"/>
      <c r="AY43" s="1007"/>
      <c r="AZ43" s="1007"/>
      <c r="BA43" s="1007"/>
      <c r="BB43" s="1007">
        <f>+'[13]JUNIO 2015'!$O$970</f>
        <v>70000000</v>
      </c>
      <c r="BC43" s="1007"/>
      <c r="BD43" s="1007"/>
      <c r="BE43" s="1007"/>
      <c r="BF43" s="1007"/>
      <c r="BG43" s="1007"/>
      <c r="BH43" s="1007"/>
      <c r="BI43" s="1007"/>
      <c r="BJ43" s="1007"/>
      <c r="BK43" s="1007"/>
      <c r="BL43" s="1007"/>
      <c r="BM43" s="1007"/>
      <c r="BN43" s="1007"/>
      <c r="BO43" s="1007"/>
      <c r="BP43" s="1007"/>
      <c r="BQ43" s="1010">
        <f t="shared" si="25"/>
        <v>0</v>
      </c>
      <c r="BR43" s="1007">
        <f t="shared" si="35"/>
        <v>0</v>
      </c>
      <c r="BS43" s="1007">
        <f t="shared" si="36"/>
        <v>0</v>
      </c>
      <c r="BT43" s="1007"/>
      <c r="BU43" s="1007">
        <f t="shared" si="37"/>
        <v>0</v>
      </c>
      <c r="BV43" s="1007">
        <f t="shared" si="37"/>
        <v>0</v>
      </c>
      <c r="BW43" s="1007"/>
      <c r="BX43" s="1007">
        <f t="shared" si="38"/>
        <v>0</v>
      </c>
      <c r="BY43" s="1007">
        <f t="shared" si="38"/>
        <v>0</v>
      </c>
      <c r="BZ43" s="1007"/>
      <c r="CA43" s="1007"/>
      <c r="CB43" s="1007"/>
      <c r="CC43" s="1007"/>
      <c r="CD43" s="1007">
        <f t="shared" si="40"/>
        <v>0</v>
      </c>
      <c r="CE43" s="1007">
        <f t="shared" si="40"/>
        <v>0</v>
      </c>
      <c r="CF43" s="1007">
        <f t="shared" si="40"/>
        <v>0</v>
      </c>
      <c r="CG43" s="1007">
        <f t="shared" si="40"/>
        <v>0</v>
      </c>
      <c r="CH43" s="1007">
        <f t="shared" si="40"/>
        <v>0</v>
      </c>
      <c r="CI43" s="1007">
        <f t="shared" si="40"/>
        <v>0</v>
      </c>
      <c r="CJ43" s="1007"/>
      <c r="CK43" s="1007"/>
      <c r="CL43" s="1007">
        <f t="shared" si="41"/>
        <v>0</v>
      </c>
      <c r="CM43" s="1010">
        <f t="shared" si="13"/>
        <v>0.99435714285714283</v>
      </c>
      <c r="CN43" s="1007">
        <f t="shared" si="42"/>
        <v>69605000</v>
      </c>
      <c r="CO43" s="1007"/>
      <c r="CP43" s="1007"/>
      <c r="CQ43" s="1007"/>
      <c r="CR43" s="1007"/>
      <c r="CS43" s="1007"/>
      <c r="CT43" s="1007">
        <f>+'[8]SEPTIEMBRE 2015'!$H$1465</f>
        <v>69605000</v>
      </c>
      <c r="CU43" s="1007"/>
      <c r="CV43" s="1007"/>
      <c r="CW43" s="1007"/>
      <c r="CX43" s="1007"/>
      <c r="CY43" s="1007"/>
      <c r="CZ43" s="1007"/>
      <c r="DA43" s="1007"/>
      <c r="DB43" s="1007"/>
      <c r="DC43" s="1007"/>
      <c r="DD43" s="1007"/>
      <c r="DE43" s="1007"/>
      <c r="DF43" s="1007"/>
      <c r="DG43" s="1007"/>
      <c r="DH43" s="1007"/>
      <c r="DI43" s="1010">
        <f t="shared" si="15"/>
        <v>5.6428571428571717E-3</v>
      </c>
      <c r="DJ43" s="1007">
        <f t="shared" si="43"/>
        <v>395000</v>
      </c>
      <c r="DK43" s="1007"/>
      <c r="DL43" s="1007"/>
      <c r="DM43" s="1007"/>
      <c r="DN43" s="1007"/>
      <c r="DO43" s="1007"/>
      <c r="DP43" s="1007">
        <f t="shared" si="45"/>
        <v>395000</v>
      </c>
      <c r="DQ43" s="1007">
        <f t="shared" si="45"/>
        <v>0</v>
      </c>
      <c r="DR43" s="1007"/>
      <c r="DS43" s="1007">
        <f t="shared" si="46"/>
        <v>0</v>
      </c>
      <c r="DT43" s="1007">
        <f t="shared" si="46"/>
        <v>0</v>
      </c>
      <c r="DU43" s="1007"/>
      <c r="DV43" s="1007">
        <f t="shared" si="47"/>
        <v>0</v>
      </c>
      <c r="DW43" s="1007">
        <f t="shared" si="47"/>
        <v>0</v>
      </c>
      <c r="DX43" s="1007">
        <f t="shared" si="47"/>
        <v>0</v>
      </c>
      <c r="DY43" s="1007">
        <f t="shared" si="48"/>
        <v>0</v>
      </c>
      <c r="DZ43" s="1007">
        <f t="shared" si="48"/>
        <v>0</v>
      </c>
      <c r="EA43" s="1007">
        <f t="shared" si="48"/>
        <v>0</v>
      </c>
      <c r="EB43" s="1007">
        <f t="shared" si="48"/>
        <v>0</v>
      </c>
      <c r="EC43" s="1007"/>
      <c r="ED43" s="1007">
        <f t="shared" si="49"/>
        <v>0</v>
      </c>
    </row>
    <row r="44" spans="1:134" ht="45" customHeight="1" x14ac:dyDescent="0.25">
      <c r="A44" s="1565"/>
      <c r="B44" s="1027" t="s">
        <v>4309</v>
      </c>
      <c r="C44" s="1114" t="s">
        <v>4376</v>
      </c>
      <c r="D44" s="1018" t="s">
        <v>4320</v>
      </c>
      <c r="E44" s="1129">
        <v>410</v>
      </c>
      <c r="F44" s="1117" t="s">
        <v>3350</v>
      </c>
      <c r="G44" s="1428">
        <v>303000000</v>
      </c>
      <c r="H44" s="1060">
        <f t="shared" si="31"/>
        <v>39121546</v>
      </c>
      <c r="I44" s="1060">
        <f t="shared" si="32"/>
        <v>15301125</v>
      </c>
      <c r="J44" s="1117" t="s">
        <v>4805</v>
      </c>
      <c r="K44" s="1113" t="s">
        <v>4806</v>
      </c>
      <c r="L44" s="1113" t="s">
        <v>4815</v>
      </c>
      <c r="M44" s="1113">
        <v>0</v>
      </c>
      <c r="N44" s="1113">
        <v>21</v>
      </c>
      <c r="O44" s="1113">
        <v>0</v>
      </c>
      <c r="P44" s="1113">
        <v>18</v>
      </c>
      <c r="Q44" s="1113">
        <v>25</v>
      </c>
      <c r="R44" s="1113">
        <v>4</v>
      </c>
      <c r="S44" s="1117"/>
      <c r="T44" s="1117"/>
      <c r="U44" s="1117"/>
      <c r="V44" s="1117"/>
      <c r="W44" s="1117"/>
      <c r="X44" s="1117"/>
      <c r="Y44" s="1007">
        <f t="shared" si="33"/>
        <v>54422671</v>
      </c>
      <c r="Z44" s="1007"/>
      <c r="AA44" s="1007">
        <f>80000000-69189100</f>
        <v>10810900</v>
      </c>
      <c r="AB44" s="1007"/>
      <c r="AC44" s="1007"/>
      <c r="AD44" s="1007"/>
      <c r="AE44" s="1007"/>
      <c r="AF44" s="1007">
        <f>20000000</f>
        <v>20000000</v>
      </c>
      <c r="AG44" s="1007"/>
      <c r="AH44" s="1007"/>
      <c r="AI44" s="1007"/>
      <c r="AJ44" s="1007"/>
      <c r="AK44" s="1007"/>
      <c r="AL44" s="1007"/>
      <c r="AM44" s="1007"/>
      <c r="AN44" s="1007"/>
      <c r="AO44" s="1007">
        <v>23611771</v>
      </c>
      <c r="AP44" s="1007"/>
      <c r="AQ44" s="1007"/>
      <c r="AR44" s="1007"/>
      <c r="AS44" s="1007"/>
      <c r="AU44" s="1010">
        <f t="shared" si="3"/>
        <v>0.97676078779742359</v>
      </c>
      <c r="AV44" s="1007">
        <f t="shared" si="34"/>
        <v>53157931</v>
      </c>
      <c r="AW44" s="1007"/>
      <c r="AX44" s="1007">
        <f>+'[13]JUNIO 2015'!$K$1009</f>
        <v>9546220</v>
      </c>
      <c r="AY44" s="1007"/>
      <c r="AZ44" s="1007"/>
      <c r="BA44" s="1007"/>
      <c r="BB44" s="1007"/>
      <c r="BC44" s="1007">
        <f>+'[13]JUNIO 2015'!$P$1009</f>
        <v>20000000</v>
      </c>
      <c r="BD44" s="1007"/>
      <c r="BE44" s="1007"/>
      <c r="BF44" s="1007"/>
      <c r="BG44" s="1007"/>
      <c r="BH44" s="1007"/>
      <c r="BI44" s="1007"/>
      <c r="BJ44" s="1007"/>
      <c r="BK44" s="1007"/>
      <c r="BL44" s="1007">
        <f>+'[10]JULIO 2015'!$Y$1192</f>
        <v>23611711</v>
      </c>
      <c r="BM44" s="1007"/>
      <c r="BN44" s="1007"/>
      <c r="BO44" s="1007"/>
      <c r="BP44" s="1007"/>
      <c r="BQ44" s="1010">
        <f t="shared" si="25"/>
        <v>2.3239212202576409E-2</v>
      </c>
      <c r="BR44" s="1007">
        <f t="shared" si="35"/>
        <v>1264740</v>
      </c>
      <c r="BS44" s="1007">
        <f t="shared" si="36"/>
        <v>0</v>
      </c>
      <c r="BT44" s="1007">
        <f>AA44-AX44</f>
        <v>1264680</v>
      </c>
      <c r="BU44" s="1007">
        <f t="shared" si="37"/>
        <v>0</v>
      </c>
      <c r="BV44" s="1007">
        <f t="shared" si="37"/>
        <v>0</v>
      </c>
      <c r="BW44" s="1007"/>
      <c r="BX44" s="1007">
        <f t="shared" si="38"/>
        <v>0</v>
      </c>
      <c r="BY44" s="1007">
        <f t="shared" si="38"/>
        <v>0</v>
      </c>
      <c r="BZ44" s="1007"/>
      <c r="CA44" s="1007">
        <f t="shared" ref="CA44:CC48" si="50">+AH44-BE44</f>
        <v>0</v>
      </c>
      <c r="CB44" s="1007">
        <f t="shared" si="50"/>
        <v>0</v>
      </c>
      <c r="CC44" s="1007">
        <f t="shared" si="50"/>
        <v>0</v>
      </c>
      <c r="CD44" s="1007">
        <f t="shared" si="40"/>
        <v>0</v>
      </c>
      <c r="CE44" s="1007">
        <f t="shared" si="40"/>
        <v>0</v>
      </c>
      <c r="CF44" s="1007">
        <f t="shared" si="40"/>
        <v>0</v>
      </c>
      <c r="CG44" s="1007">
        <f t="shared" si="40"/>
        <v>0</v>
      </c>
      <c r="CH44" s="1007">
        <f t="shared" si="40"/>
        <v>60</v>
      </c>
      <c r="CI44" s="1007">
        <f t="shared" si="40"/>
        <v>0</v>
      </c>
      <c r="CJ44" s="1007"/>
      <c r="CK44" s="1007"/>
      <c r="CL44" s="1007">
        <f t="shared" si="41"/>
        <v>0</v>
      </c>
      <c r="CM44" s="1010">
        <f t="shared" si="13"/>
        <v>0.71884648954477082</v>
      </c>
      <c r="CN44" s="1007">
        <f t="shared" si="42"/>
        <v>39121546</v>
      </c>
      <c r="CO44" s="1007"/>
      <c r="CP44" s="1007">
        <f>+'[13]JUNIO 2015'!$H$1010</f>
        <v>9546220</v>
      </c>
      <c r="CQ44" s="1007"/>
      <c r="CR44" s="1007"/>
      <c r="CS44" s="1007"/>
      <c r="CT44" s="1007"/>
      <c r="CU44" s="1007">
        <f>+'[7]AGOSTO 2015'!$H$1349</f>
        <v>19911458</v>
      </c>
      <c r="CV44" s="1007"/>
      <c r="CW44" s="1007"/>
      <c r="CX44" s="1007"/>
      <c r="CY44" s="1007"/>
      <c r="CZ44" s="1007"/>
      <c r="DA44" s="1007"/>
      <c r="DB44" s="1007"/>
      <c r="DC44" s="1007"/>
      <c r="DD44" s="1007">
        <f>+'[8]SEPTIEMBRE 2015'!$H$1542</f>
        <v>9663868</v>
      </c>
      <c r="DE44" s="1007"/>
      <c r="DF44" s="1007"/>
      <c r="DG44" s="1007"/>
      <c r="DH44" s="1007"/>
      <c r="DI44" s="1010">
        <f t="shared" si="15"/>
        <v>0.28115351045522918</v>
      </c>
      <c r="DJ44" s="1007">
        <f t="shared" si="43"/>
        <v>15301125</v>
      </c>
      <c r="DK44" s="1007"/>
      <c r="DL44" s="1007">
        <f t="shared" ref="DL44:DN58" si="51">AA44-CP44</f>
        <v>1264680</v>
      </c>
      <c r="DM44" s="1007">
        <f t="shared" si="51"/>
        <v>0</v>
      </c>
      <c r="DN44" s="1007">
        <f t="shared" si="51"/>
        <v>0</v>
      </c>
      <c r="DO44" s="1007"/>
      <c r="DP44" s="1007">
        <f t="shared" si="45"/>
        <v>0</v>
      </c>
      <c r="DQ44" s="1007">
        <f t="shared" si="45"/>
        <v>88542</v>
      </c>
      <c r="DR44" s="1007"/>
      <c r="DS44" s="1007">
        <f t="shared" si="46"/>
        <v>0</v>
      </c>
      <c r="DT44" s="1007">
        <f t="shared" si="46"/>
        <v>0</v>
      </c>
      <c r="DU44" s="1007"/>
      <c r="DV44" s="1007">
        <f t="shared" si="47"/>
        <v>0</v>
      </c>
      <c r="DW44" s="1007">
        <f t="shared" si="47"/>
        <v>0</v>
      </c>
      <c r="DX44" s="1007">
        <f t="shared" si="47"/>
        <v>0</v>
      </c>
      <c r="DY44" s="1007">
        <f t="shared" si="48"/>
        <v>0</v>
      </c>
      <c r="DZ44" s="1007">
        <f t="shared" si="48"/>
        <v>13947903</v>
      </c>
      <c r="EA44" s="1007">
        <f t="shared" si="48"/>
        <v>0</v>
      </c>
      <c r="EB44" s="1007">
        <f t="shared" si="48"/>
        <v>0</v>
      </c>
      <c r="EC44" s="1007"/>
      <c r="ED44" s="1007">
        <f t="shared" si="49"/>
        <v>0</v>
      </c>
    </row>
    <row r="45" spans="1:134" ht="39" customHeight="1" x14ac:dyDescent="0.25">
      <c r="A45" s="1565"/>
      <c r="B45" s="1018"/>
      <c r="C45" s="1114" t="s">
        <v>4377</v>
      </c>
      <c r="D45" s="1127" t="s">
        <v>4321</v>
      </c>
      <c r="E45" s="1019">
        <v>410</v>
      </c>
      <c r="F45" s="1117" t="s">
        <v>3350</v>
      </c>
      <c r="G45" s="1429"/>
      <c r="H45" s="1060">
        <f t="shared" si="31"/>
        <v>24645401</v>
      </c>
      <c r="I45" s="1060">
        <f t="shared" si="32"/>
        <v>22436529</v>
      </c>
      <c r="J45" s="1117" t="s">
        <v>4807</v>
      </c>
      <c r="K45" s="1113" t="s">
        <v>4808</v>
      </c>
      <c r="L45" s="1113" t="s">
        <v>4816</v>
      </c>
      <c r="M45" s="1113">
        <v>0</v>
      </c>
      <c r="N45" s="1113">
        <v>107</v>
      </c>
      <c r="O45" s="1113">
        <v>0</v>
      </c>
      <c r="P45" s="1113">
        <v>4</v>
      </c>
      <c r="Q45" s="1113">
        <v>107</v>
      </c>
      <c r="R45" s="1113">
        <v>5</v>
      </c>
      <c r="S45" s="1117"/>
      <c r="T45" s="1117"/>
      <c r="U45" s="1117"/>
      <c r="V45" s="1117"/>
      <c r="W45" s="1117"/>
      <c r="X45" s="1117"/>
      <c r="Y45" s="1007">
        <f t="shared" si="33"/>
        <v>47081930</v>
      </c>
      <c r="Z45" s="1007"/>
      <c r="AA45" s="1007">
        <f>64000000-61918070</f>
        <v>2081930</v>
      </c>
      <c r="AB45" s="1007"/>
      <c r="AC45" s="1007"/>
      <c r="AD45" s="1007"/>
      <c r="AE45" s="1007"/>
      <c r="AF45" s="1007">
        <f>20000000</f>
        <v>20000000</v>
      </c>
      <c r="AG45" s="1007"/>
      <c r="AH45" s="1007"/>
      <c r="AI45" s="1007"/>
      <c r="AJ45" s="1007"/>
      <c r="AK45" s="1007"/>
      <c r="AL45" s="1007"/>
      <c r="AM45" s="1007"/>
      <c r="AN45" s="1007"/>
      <c r="AO45" s="1007">
        <v>25000000</v>
      </c>
      <c r="AP45" s="1007"/>
      <c r="AQ45" s="1007"/>
      <c r="AR45" s="1007"/>
      <c r="AS45" s="1007"/>
      <c r="AU45" s="1010">
        <f t="shared" si="3"/>
        <v>1</v>
      </c>
      <c r="AV45" s="1007">
        <f t="shared" si="34"/>
        <v>47081930</v>
      </c>
      <c r="AW45" s="1007"/>
      <c r="AX45" s="1007">
        <f>+'[13]JUNIO 2015'!$K$1023</f>
        <v>2081930</v>
      </c>
      <c r="AY45" s="1007"/>
      <c r="AZ45" s="1007"/>
      <c r="BA45" s="1007"/>
      <c r="BB45" s="1007"/>
      <c r="BC45" s="1007">
        <f>+'[13]JUNIO 2015'!$P$1023</f>
        <v>20000000</v>
      </c>
      <c r="BD45" s="1007"/>
      <c r="BE45" s="1007"/>
      <c r="BF45" s="1007"/>
      <c r="BG45" s="1007"/>
      <c r="BH45" s="1007"/>
      <c r="BI45" s="1007"/>
      <c r="BJ45" s="1007"/>
      <c r="BK45" s="1007"/>
      <c r="BL45" s="1007">
        <f>+'[10]JULIO 2015'!$Y$1215</f>
        <v>25000000</v>
      </c>
      <c r="BM45" s="1007"/>
      <c r="BN45" s="1007"/>
      <c r="BO45" s="1007"/>
      <c r="BP45" s="1007"/>
      <c r="BQ45" s="1010">
        <f t="shared" si="25"/>
        <v>0</v>
      </c>
      <c r="BR45" s="1007">
        <f t="shared" si="35"/>
        <v>0</v>
      </c>
      <c r="BS45" s="1007">
        <f t="shared" si="36"/>
        <v>0</v>
      </c>
      <c r="BT45" s="1007">
        <f>AA45-AX45</f>
        <v>0</v>
      </c>
      <c r="BU45" s="1007">
        <f t="shared" si="37"/>
        <v>0</v>
      </c>
      <c r="BV45" s="1007">
        <f t="shared" si="37"/>
        <v>0</v>
      </c>
      <c r="BW45" s="1007"/>
      <c r="BX45" s="1007">
        <f t="shared" si="38"/>
        <v>0</v>
      </c>
      <c r="BY45" s="1007">
        <f t="shared" si="38"/>
        <v>0</v>
      </c>
      <c r="BZ45" s="1007"/>
      <c r="CA45" s="1007">
        <f t="shared" si="50"/>
        <v>0</v>
      </c>
      <c r="CB45" s="1007">
        <f t="shared" si="50"/>
        <v>0</v>
      </c>
      <c r="CC45" s="1007">
        <f t="shared" si="50"/>
        <v>0</v>
      </c>
      <c r="CD45" s="1007">
        <f t="shared" si="40"/>
        <v>0</v>
      </c>
      <c r="CE45" s="1007">
        <f t="shared" si="40"/>
        <v>0</v>
      </c>
      <c r="CF45" s="1007">
        <f t="shared" si="40"/>
        <v>0</v>
      </c>
      <c r="CG45" s="1007">
        <f t="shared" si="40"/>
        <v>0</v>
      </c>
      <c r="CH45" s="1007">
        <f t="shared" si="40"/>
        <v>0</v>
      </c>
      <c r="CI45" s="1007">
        <f t="shared" si="40"/>
        <v>0</v>
      </c>
      <c r="CJ45" s="1007"/>
      <c r="CK45" s="1007"/>
      <c r="CL45" s="1007">
        <f t="shared" si="41"/>
        <v>0</v>
      </c>
      <c r="CM45" s="1010">
        <f t="shared" si="13"/>
        <v>0.52345774695302427</v>
      </c>
      <c r="CN45" s="1007">
        <f t="shared" si="42"/>
        <v>24645401</v>
      </c>
      <c r="CO45" s="1007"/>
      <c r="CP45" s="1007">
        <f>+'[14]MAYO 2015'!$H$858</f>
        <v>2081930</v>
      </c>
      <c r="CQ45" s="1007"/>
      <c r="CR45" s="1007"/>
      <c r="CS45" s="1007"/>
      <c r="CT45" s="1007"/>
      <c r="CU45" s="1007">
        <f>+'[8]SEPTIEMBRE 2015'!$H$1555</f>
        <v>20000000</v>
      </c>
      <c r="CV45" s="1007"/>
      <c r="CW45" s="1007"/>
      <c r="CX45" s="1007"/>
      <c r="CY45" s="1007"/>
      <c r="CZ45" s="1007"/>
      <c r="DA45" s="1007"/>
      <c r="DB45" s="1007"/>
      <c r="DC45" s="1007"/>
      <c r="DD45" s="1007">
        <f>+'[8]SEPTIEMBRE 2015'!$H$1582</f>
        <v>2563471</v>
      </c>
      <c r="DE45" s="1007"/>
      <c r="DF45" s="1007"/>
      <c r="DG45" s="1007"/>
      <c r="DH45" s="1007"/>
      <c r="DI45" s="1010">
        <f t="shared" si="15"/>
        <v>0.47654225304697573</v>
      </c>
      <c r="DJ45" s="1007">
        <f t="shared" si="43"/>
        <v>22436529</v>
      </c>
      <c r="DK45" s="1007"/>
      <c r="DL45" s="1007">
        <f t="shared" si="51"/>
        <v>0</v>
      </c>
      <c r="DM45" s="1007">
        <f t="shared" si="51"/>
        <v>0</v>
      </c>
      <c r="DN45" s="1007">
        <f t="shared" si="51"/>
        <v>0</v>
      </c>
      <c r="DO45" s="1007"/>
      <c r="DP45" s="1007">
        <f t="shared" si="45"/>
        <v>0</v>
      </c>
      <c r="DQ45" s="1007">
        <f t="shared" si="45"/>
        <v>0</v>
      </c>
      <c r="DR45" s="1007"/>
      <c r="DS45" s="1007">
        <f t="shared" si="46"/>
        <v>0</v>
      </c>
      <c r="DT45" s="1007">
        <f t="shared" si="46"/>
        <v>0</v>
      </c>
      <c r="DU45" s="1007"/>
      <c r="DV45" s="1007">
        <f t="shared" si="47"/>
        <v>0</v>
      </c>
      <c r="DW45" s="1007">
        <f t="shared" si="47"/>
        <v>0</v>
      </c>
      <c r="DX45" s="1007">
        <f t="shared" si="47"/>
        <v>0</v>
      </c>
      <c r="DY45" s="1007">
        <f t="shared" si="48"/>
        <v>0</v>
      </c>
      <c r="DZ45" s="1007">
        <f t="shared" si="48"/>
        <v>22436529</v>
      </c>
      <c r="EA45" s="1007">
        <f t="shared" si="48"/>
        <v>0</v>
      </c>
      <c r="EB45" s="1007">
        <f t="shared" si="48"/>
        <v>0</v>
      </c>
      <c r="EC45" s="1007"/>
      <c r="ED45" s="1007">
        <f t="shared" si="49"/>
        <v>0</v>
      </c>
    </row>
    <row r="46" spans="1:134" ht="49.5" customHeight="1" x14ac:dyDescent="0.25">
      <c r="A46" s="1565"/>
      <c r="B46" s="1018"/>
      <c r="C46" s="1114" t="s">
        <v>4378</v>
      </c>
      <c r="D46" s="1018" t="s">
        <v>4322</v>
      </c>
      <c r="E46" s="1019">
        <v>410</v>
      </c>
      <c r="F46" s="1117" t="s">
        <v>4670</v>
      </c>
      <c r="G46" s="1429"/>
      <c r="H46" s="1060">
        <f t="shared" si="31"/>
        <v>6478000</v>
      </c>
      <c r="I46" s="1060">
        <f t="shared" si="32"/>
        <v>1522000</v>
      </c>
      <c r="J46" s="1117" t="s">
        <v>4809</v>
      </c>
      <c r="K46" s="1113" t="s">
        <v>4810</v>
      </c>
      <c r="L46" s="1113" t="s">
        <v>4817</v>
      </c>
      <c r="M46" s="1113">
        <v>17</v>
      </c>
      <c r="N46" s="1113">
        <v>20</v>
      </c>
      <c r="O46" s="1113">
        <v>3</v>
      </c>
      <c r="P46" s="1113">
        <v>31</v>
      </c>
      <c r="Q46" s="1113">
        <v>45</v>
      </c>
      <c r="R46" s="1113">
        <v>14</v>
      </c>
      <c r="S46" s="1117"/>
      <c r="T46" s="1117"/>
      <c r="U46" s="1117"/>
      <c r="V46" s="1117"/>
      <c r="W46" s="1117"/>
      <c r="X46" s="1117"/>
      <c r="Y46" s="1007">
        <f t="shared" si="33"/>
        <v>8000000</v>
      </c>
      <c r="Z46" s="1007"/>
      <c r="AA46" s="1007"/>
      <c r="AB46" s="1007"/>
      <c r="AC46" s="1007"/>
      <c r="AD46" s="1007"/>
      <c r="AE46" s="1007"/>
      <c r="AF46" s="1007"/>
      <c r="AG46" s="1007"/>
      <c r="AH46" s="1007"/>
      <c r="AI46" s="1007"/>
      <c r="AJ46" s="1007"/>
      <c r="AK46" s="1007"/>
      <c r="AL46" s="1007"/>
      <c r="AM46" s="1007"/>
      <c r="AN46" s="1007"/>
      <c r="AO46" s="1007"/>
      <c r="AP46" s="1007"/>
      <c r="AQ46" s="1007"/>
      <c r="AR46" s="1007"/>
      <c r="AS46" s="1007">
        <f>3000000+5000000</f>
        <v>8000000</v>
      </c>
      <c r="AU46" s="1010">
        <f t="shared" si="3"/>
        <v>1</v>
      </c>
      <c r="AV46" s="1007">
        <f t="shared" si="34"/>
        <v>8000000</v>
      </c>
      <c r="AW46" s="1007"/>
      <c r="AX46" s="1007"/>
      <c r="AY46" s="1007"/>
      <c r="AZ46" s="1007"/>
      <c r="BA46" s="1007"/>
      <c r="BB46" s="1007"/>
      <c r="BC46" s="1007"/>
      <c r="BD46" s="1007"/>
      <c r="BE46" s="1007"/>
      <c r="BF46" s="1007"/>
      <c r="BG46" s="1007"/>
      <c r="BH46" s="1007"/>
      <c r="BI46" s="1007"/>
      <c r="BJ46" s="1007"/>
      <c r="BK46" s="1007"/>
      <c r="BL46" s="1007"/>
      <c r="BM46" s="1007"/>
      <c r="BN46" s="1007"/>
      <c r="BO46" s="1007"/>
      <c r="BP46" s="1007">
        <f>+'[10]JULIO 2015'!$G$1233</f>
        <v>8000000</v>
      </c>
      <c r="BQ46" s="1010">
        <f t="shared" si="25"/>
        <v>0</v>
      </c>
      <c r="BR46" s="1007">
        <f t="shared" si="35"/>
        <v>0</v>
      </c>
      <c r="BS46" s="1007">
        <f t="shared" si="36"/>
        <v>0</v>
      </c>
      <c r="BT46" s="1007"/>
      <c r="BU46" s="1007">
        <f t="shared" si="37"/>
        <v>0</v>
      </c>
      <c r="BV46" s="1007">
        <f t="shared" si="37"/>
        <v>0</v>
      </c>
      <c r="BW46" s="1007"/>
      <c r="BX46" s="1007">
        <f t="shared" si="38"/>
        <v>0</v>
      </c>
      <c r="BY46" s="1007">
        <f t="shared" si="38"/>
        <v>0</v>
      </c>
      <c r="BZ46" s="1007"/>
      <c r="CA46" s="1007">
        <f t="shared" si="50"/>
        <v>0</v>
      </c>
      <c r="CB46" s="1007">
        <f t="shared" si="50"/>
        <v>0</v>
      </c>
      <c r="CC46" s="1007">
        <f t="shared" si="50"/>
        <v>0</v>
      </c>
      <c r="CD46" s="1007">
        <f t="shared" si="40"/>
        <v>0</v>
      </c>
      <c r="CE46" s="1007">
        <f t="shared" si="40"/>
        <v>0</v>
      </c>
      <c r="CF46" s="1007">
        <f t="shared" si="40"/>
        <v>0</v>
      </c>
      <c r="CG46" s="1007">
        <f t="shared" si="40"/>
        <v>0</v>
      </c>
      <c r="CH46" s="1007">
        <f t="shared" si="40"/>
        <v>0</v>
      </c>
      <c r="CI46" s="1007">
        <f t="shared" si="40"/>
        <v>0</v>
      </c>
      <c r="CJ46" s="1007"/>
      <c r="CK46" s="1007"/>
      <c r="CL46" s="1007">
        <f t="shared" si="41"/>
        <v>0</v>
      </c>
      <c r="CM46" s="1010">
        <f t="shared" si="13"/>
        <v>0.80974999999999997</v>
      </c>
      <c r="CN46" s="1007">
        <f t="shared" si="42"/>
        <v>6478000</v>
      </c>
      <c r="CO46" s="1007"/>
      <c r="CP46" s="1007"/>
      <c r="CQ46" s="1007"/>
      <c r="CR46" s="1007"/>
      <c r="CS46" s="1007"/>
      <c r="CT46" s="1007"/>
      <c r="CU46" s="1007"/>
      <c r="CV46" s="1007"/>
      <c r="CW46" s="1007"/>
      <c r="CX46" s="1007"/>
      <c r="CY46" s="1007"/>
      <c r="CZ46" s="1007"/>
      <c r="DA46" s="1007"/>
      <c r="DB46" s="1007"/>
      <c r="DC46" s="1007"/>
      <c r="DD46" s="1007"/>
      <c r="DE46" s="1007"/>
      <c r="DF46" s="1007"/>
      <c r="DG46" s="1007"/>
      <c r="DH46" s="1007">
        <f>+'[8]SEPTIEMBRE 2015'!$H$1588</f>
        <v>6478000</v>
      </c>
      <c r="DI46" s="1010">
        <f t="shared" si="15"/>
        <v>0.19025000000000003</v>
      </c>
      <c r="DJ46" s="1007">
        <f t="shared" si="43"/>
        <v>1522000</v>
      </c>
      <c r="DK46" s="1007"/>
      <c r="DL46" s="1007"/>
      <c r="DM46" s="1007"/>
      <c r="DN46" s="1007">
        <f t="shared" si="51"/>
        <v>0</v>
      </c>
      <c r="DO46" s="1007"/>
      <c r="DP46" s="1007">
        <f t="shared" si="45"/>
        <v>0</v>
      </c>
      <c r="DQ46" s="1007">
        <f t="shared" si="45"/>
        <v>0</v>
      </c>
      <c r="DR46" s="1007"/>
      <c r="DS46" s="1007">
        <f t="shared" si="46"/>
        <v>0</v>
      </c>
      <c r="DT46" s="1007">
        <f t="shared" si="46"/>
        <v>0</v>
      </c>
      <c r="DU46" s="1007"/>
      <c r="DV46" s="1007">
        <f t="shared" si="47"/>
        <v>0</v>
      </c>
      <c r="DW46" s="1007">
        <f t="shared" si="47"/>
        <v>0</v>
      </c>
      <c r="DX46" s="1007">
        <f t="shared" si="47"/>
        <v>0</v>
      </c>
      <c r="DY46" s="1007">
        <f t="shared" si="48"/>
        <v>0</v>
      </c>
      <c r="DZ46" s="1007">
        <f t="shared" si="48"/>
        <v>0</v>
      </c>
      <c r="EA46" s="1007">
        <f t="shared" si="48"/>
        <v>0</v>
      </c>
      <c r="EB46" s="1007">
        <f t="shared" si="48"/>
        <v>0</v>
      </c>
      <c r="EC46" s="1007"/>
      <c r="ED46" s="1007">
        <f t="shared" si="49"/>
        <v>1522000</v>
      </c>
    </row>
    <row r="47" spans="1:134" ht="51" customHeight="1" x14ac:dyDescent="0.25">
      <c r="A47" s="1565"/>
      <c r="B47" s="1018"/>
      <c r="C47" s="1114" t="s">
        <v>4379</v>
      </c>
      <c r="D47" s="1018" t="s">
        <v>4323</v>
      </c>
      <c r="E47" s="1019">
        <v>410</v>
      </c>
      <c r="F47" s="1117" t="s">
        <v>3350</v>
      </c>
      <c r="G47" s="1430"/>
      <c r="H47" s="1060">
        <f t="shared" si="31"/>
        <v>142910666</v>
      </c>
      <c r="I47" s="1060">
        <f t="shared" si="32"/>
        <v>3089334</v>
      </c>
      <c r="J47" s="1117" t="s">
        <v>4825</v>
      </c>
      <c r="K47" s="1113" t="s">
        <v>4825</v>
      </c>
      <c r="L47" s="1113" t="s">
        <v>4825</v>
      </c>
      <c r="M47" s="1113">
        <v>67</v>
      </c>
      <c r="N47" s="1113">
        <v>500</v>
      </c>
      <c r="O47" s="1113">
        <v>337</v>
      </c>
      <c r="P47" s="1128">
        <v>94</v>
      </c>
      <c r="Q47" s="1128">
        <v>650</v>
      </c>
      <c r="R47" s="1128">
        <v>613</v>
      </c>
      <c r="S47" s="1117"/>
      <c r="T47" s="1117"/>
      <c r="U47" s="1117"/>
      <c r="V47" s="1117"/>
      <c r="W47" s="1117"/>
      <c r="X47" s="1117"/>
      <c r="Y47" s="1007">
        <f t="shared" si="33"/>
        <v>146000000</v>
      </c>
      <c r="Z47" s="1007"/>
      <c r="AA47" s="1007">
        <f>98670877-98670877</f>
        <v>0</v>
      </c>
      <c r="AB47" s="1007">
        <v>98670877</v>
      </c>
      <c r="AC47" s="1007"/>
      <c r="AD47" s="1007"/>
      <c r="AE47" s="1007"/>
      <c r="AF47" s="1007"/>
      <c r="AG47" s="1007"/>
      <c r="AH47" s="1007"/>
      <c r="AI47" s="1007"/>
      <c r="AJ47" s="1007"/>
      <c r="AK47" s="1007"/>
      <c r="AL47" s="1007"/>
      <c r="AM47" s="1007">
        <f>57329123-10000000</f>
        <v>47329123</v>
      </c>
      <c r="AN47" s="1007"/>
      <c r="AO47" s="1007"/>
      <c r="AP47" s="1007"/>
      <c r="AQ47" s="1007"/>
      <c r="AR47" s="1007"/>
      <c r="AS47" s="1007"/>
      <c r="AU47" s="1010">
        <f t="shared" si="3"/>
        <v>1</v>
      </c>
      <c r="AV47" s="1007">
        <f t="shared" si="34"/>
        <v>146000000</v>
      </c>
      <c r="AW47" s="1007"/>
      <c r="AX47" s="1007"/>
      <c r="AY47" s="1007">
        <v>98670877</v>
      </c>
      <c r="AZ47" s="1007"/>
      <c r="BA47" s="1007"/>
      <c r="BB47" s="1007"/>
      <c r="BC47" s="1007"/>
      <c r="BD47" s="1007"/>
      <c r="BE47" s="1007"/>
      <c r="BF47" s="1007"/>
      <c r="BG47" s="1007"/>
      <c r="BH47" s="1007"/>
      <c r="BI47" s="1007"/>
      <c r="BJ47" s="1007">
        <f>+'[11]MARZO 2015'!$V$700-10000000</f>
        <v>47329123</v>
      </c>
      <c r="BK47" s="1007"/>
      <c r="BL47" s="1007"/>
      <c r="BM47" s="1007"/>
      <c r="BN47" s="1007"/>
      <c r="BO47" s="1007"/>
      <c r="BP47" s="1007"/>
      <c r="BQ47" s="1010">
        <f t="shared" si="25"/>
        <v>0</v>
      </c>
      <c r="BR47" s="1007">
        <f t="shared" si="35"/>
        <v>0</v>
      </c>
      <c r="BS47" s="1007">
        <f t="shared" si="36"/>
        <v>0</v>
      </c>
      <c r="BT47" s="1007">
        <f t="shared" ref="BT47:BV62" si="52">AA47-AX47</f>
        <v>0</v>
      </c>
      <c r="BU47" s="1007">
        <f t="shared" si="37"/>
        <v>0</v>
      </c>
      <c r="BV47" s="1007">
        <f t="shared" si="37"/>
        <v>0</v>
      </c>
      <c r="BW47" s="1007"/>
      <c r="BX47" s="1007">
        <f t="shared" si="38"/>
        <v>0</v>
      </c>
      <c r="BY47" s="1007">
        <f t="shared" si="38"/>
        <v>0</v>
      </c>
      <c r="BZ47" s="1007"/>
      <c r="CA47" s="1007">
        <f t="shared" si="50"/>
        <v>0</v>
      </c>
      <c r="CB47" s="1007">
        <f t="shared" si="50"/>
        <v>0</v>
      </c>
      <c r="CC47" s="1007">
        <f t="shared" si="50"/>
        <v>0</v>
      </c>
      <c r="CD47" s="1007">
        <f t="shared" si="40"/>
        <v>0</v>
      </c>
      <c r="CE47" s="1007">
        <f t="shared" si="40"/>
        <v>0</v>
      </c>
      <c r="CF47" s="1007">
        <f t="shared" si="40"/>
        <v>0</v>
      </c>
      <c r="CG47" s="1007">
        <f t="shared" si="40"/>
        <v>0</v>
      </c>
      <c r="CH47" s="1007">
        <f t="shared" si="40"/>
        <v>0</v>
      </c>
      <c r="CI47" s="1007">
        <f t="shared" si="40"/>
        <v>0</v>
      </c>
      <c r="CJ47" s="1007"/>
      <c r="CK47" s="1007"/>
      <c r="CL47" s="1007">
        <f t="shared" si="41"/>
        <v>0</v>
      </c>
      <c r="CM47" s="1010">
        <f t="shared" si="13"/>
        <v>0.97884017808219181</v>
      </c>
      <c r="CN47" s="1007">
        <f t="shared" si="42"/>
        <v>142910666</v>
      </c>
      <c r="CO47" s="1007"/>
      <c r="CP47" s="1007"/>
      <c r="CQ47" s="1007">
        <v>98670877</v>
      </c>
      <c r="CR47" s="1007"/>
      <c r="CS47" s="1007"/>
      <c r="CT47" s="1007"/>
      <c r="CU47" s="1007"/>
      <c r="CV47" s="1007"/>
      <c r="CW47" s="1007"/>
      <c r="CX47" s="1007"/>
      <c r="CY47" s="1007"/>
      <c r="CZ47" s="1007"/>
      <c r="DA47" s="1007"/>
      <c r="DB47" s="1007">
        <f>+'[7]AGOSTO 2015'!$H$1417</f>
        <v>44239789</v>
      </c>
      <c r="DC47" s="1007"/>
      <c r="DD47" s="1007"/>
      <c r="DE47" s="1007"/>
      <c r="DF47" s="1007"/>
      <c r="DG47" s="1007"/>
      <c r="DH47" s="1007"/>
      <c r="DI47" s="1010">
        <f t="shared" si="15"/>
        <v>2.1159821917808186E-2</v>
      </c>
      <c r="DJ47" s="1007">
        <f t="shared" si="43"/>
        <v>3089334</v>
      </c>
      <c r="DK47" s="1007"/>
      <c r="DL47" s="1007">
        <f t="shared" ref="DL47:DM49" si="53">AA47-CP47</f>
        <v>0</v>
      </c>
      <c r="DM47" s="1007">
        <f t="shared" si="53"/>
        <v>0</v>
      </c>
      <c r="DN47" s="1007">
        <f t="shared" si="51"/>
        <v>0</v>
      </c>
      <c r="DO47" s="1007"/>
      <c r="DP47" s="1007">
        <f t="shared" si="45"/>
        <v>0</v>
      </c>
      <c r="DQ47" s="1007">
        <f t="shared" si="45"/>
        <v>0</v>
      </c>
      <c r="DR47" s="1007"/>
      <c r="DS47" s="1007">
        <f t="shared" si="46"/>
        <v>0</v>
      </c>
      <c r="DT47" s="1007">
        <f t="shared" si="46"/>
        <v>0</v>
      </c>
      <c r="DU47" s="1007"/>
      <c r="DV47" s="1007">
        <f t="shared" si="47"/>
        <v>0</v>
      </c>
      <c r="DW47" s="1007">
        <f t="shared" si="47"/>
        <v>0</v>
      </c>
      <c r="DX47" s="1007">
        <f t="shared" si="47"/>
        <v>3089334</v>
      </c>
      <c r="DY47" s="1007">
        <f t="shared" si="48"/>
        <v>0</v>
      </c>
      <c r="DZ47" s="1007">
        <f t="shared" si="48"/>
        <v>0</v>
      </c>
      <c r="EA47" s="1007">
        <f t="shared" si="48"/>
        <v>0</v>
      </c>
      <c r="EB47" s="1007">
        <f t="shared" si="48"/>
        <v>0</v>
      </c>
      <c r="EC47" s="1007"/>
      <c r="ED47" s="1007">
        <f t="shared" si="49"/>
        <v>0</v>
      </c>
    </row>
    <row r="48" spans="1:134" ht="35.25" customHeight="1" x14ac:dyDescent="0.25">
      <c r="A48" s="1565"/>
      <c r="B48" s="1018" t="s">
        <v>4310</v>
      </c>
      <c r="C48" s="1114" t="s">
        <v>4380</v>
      </c>
      <c r="D48" s="1018" t="s">
        <v>4608</v>
      </c>
      <c r="E48" s="1019">
        <v>410</v>
      </c>
      <c r="F48" s="1117" t="s">
        <v>3350</v>
      </c>
      <c r="G48" s="1428">
        <v>1150000000</v>
      </c>
      <c r="H48" s="1060">
        <f t="shared" si="31"/>
        <v>460457196</v>
      </c>
      <c r="I48" s="1060">
        <f t="shared" si="32"/>
        <v>154423804</v>
      </c>
      <c r="J48" s="1428" t="s">
        <v>4811</v>
      </c>
      <c r="K48" s="1257" t="s">
        <v>4812</v>
      </c>
      <c r="L48" s="1257" t="s">
        <v>4818</v>
      </c>
      <c r="M48" s="1113">
        <v>6</v>
      </c>
      <c r="N48" s="1113">
        <v>112</v>
      </c>
      <c r="O48" s="1113">
        <v>7</v>
      </c>
      <c r="P48" s="1113">
        <v>42</v>
      </c>
      <c r="Q48" s="1113">
        <v>132</v>
      </c>
      <c r="R48" s="1113">
        <v>55</v>
      </c>
      <c r="S48" s="1117"/>
      <c r="T48" s="1117"/>
      <c r="U48" s="1117"/>
      <c r="V48" s="1117"/>
      <c r="W48" s="1117"/>
      <c r="X48" s="1117"/>
      <c r="Y48" s="1051">
        <f t="shared" si="33"/>
        <v>614881000</v>
      </c>
      <c r="Z48" s="944"/>
      <c r="AA48" s="1007">
        <f>420000000-415119000</f>
        <v>4881000</v>
      </c>
      <c r="AB48" s="1007"/>
      <c r="AC48" s="1007"/>
      <c r="AD48" s="1007"/>
      <c r="AE48" s="1007">
        <f>30000000+30000000+10000000+20000000</f>
        <v>90000000</v>
      </c>
      <c r="AF48" s="1007">
        <f>5000000+10000000</f>
        <v>15000000</v>
      </c>
      <c r="AG48" s="1007">
        <v>102810569</v>
      </c>
      <c r="AH48" s="1007">
        <v>219471348</v>
      </c>
      <c r="AI48" s="1007"/>
      <c r="AJ48" s="1007"/>
      <c r="AK48" s="1007"/>
      <c r="AL48" s="1007"/>
      <c r="AM48" s="1007">
        <f>10000000</f>
        <v>10000000</v>
      </c>
      <c r="AN48" s="1007">
        <f>82718083+10000000+20000000+10000000</f>
        <v>122718083</v>
      </c>
      <c r="AO48" s="1007">
        <f>30000000+10000000+10000000</f>
        <v>50000000</v>
      </c>
      <c r="AP48" s="1007"/>
      <c r="AQ48" s="1007"/>
      <c r="AR48" s="1007"/>
      <c r="AS48" s="1007"/>
      <c r="AU48" s="1010">
        <f t="shared" si="3"/>
        <v>1</v>
      </c>
      <c r="AV48" s="1007">
        <f t="shared" si="34"/>
        <v>614881000</v>
      </c>
      <c r="AW48" s="1007"/>
      <c r="AX48" s="1007">
        <f>+'[13]JUNIO 2015'!$K$1062</f>
        <v>4881000</v>
      </c>
      <c r="AY48" s="1007"/>
      <c r="AZ48" s="1007"/>
      <c r="BA48" s="1007"/>
      <c r="BB48" s="1007">
        <f>+'[13]JUNIO 2015'!$O$1062</f>
        <v>90000000</v>
      </c>
      <c r="BC48" s="1007">
        <f>+'[13]JUNIO 2015'!$P$1062</f>
        <v>15000000</v>
      </c>
      <c r="BD48" s="1007">
        <f>+'[12]FEBRERO 2015'!$P$585</f>
        <v>102810569</v>
      </c>
      <c r="BE48" s="1007">
        <f>+'[12]FEBRERO 2015'!$Q$585</f>
        <v>219471348</v>
      </c>
      <c r="BF48" s="1007"/>
      <c r="BG48" s="1007"/>
      <c r="BH48" s="1007"/>
      <c r="BI48" s="1007"/>
      <c r="BJ48" s="1007">
        <f>+'[13]JUNIO 2015'!$W$1062</f>
        <v>10000000</v>
      </c>
      <c r="BK48" s="1007">
        <f>+'[13]JUNIO 2015'!$X$1062</f>
        <v>122718083</v>
      </c>
      <c r="BL48" s="1007">
        <f>+'[13]JUNIO 2015'!$Y$1062</f>
        <v>50000000</v>
      </c>
      <c r="BM48" s="1007"/>
      <c r="BN48" s="1007"/>
      <c r="BO48" s="1007"/>
      <c r="BP48" s="1007"/>
      <c r="BQ48" s="1010">
        <f t="shared" si="25"/>
        <v>0</v>
      </c>
      <c r="BR48" s="1007">
        <f t="shared" si="35"/>
        <v>0</v>
      </c>
      <c r="BS48" s="1007">
        <f t="shared" si="36"/>
        <v>0</v>
      </c>
      <c r="BT48" s="1007">
        <f t="shared" si="52"/>
        <v>0</v>
      </c>
      <c r="BU48" s="1007">
        <f t="shared" si="37"/>
        <v>0</v>
      </c>
      <c r="BV48" s="1007">
        <f t="shared" si="37"/>
        <v>0</v>
      </c>
      <c r="BW48" s="1007"/>
      <c r="BX48" s="1007">
        <f t="shared" si="38"/>
        <v>0</v>
      </c>
      <c r="BY48" s="1007">
        <f t="shared" si="38"/>
        <v>0</v>
      </c>
      <c r="BZ48" s="1007">
        <f>+AG48-BD48</f>
        <v>0</v>
      </c>
      <c r="CA48" s="1007">
        <f t="shared" si="50"/>
        <v>0</v>
      </c>
      <c r="CB48" s="1007">
        <f t="shared" si="50"/>
        <v>0</v>
      </c>
      <c r="CC48" s="1007">
        <f t="shared" si="50"/>
        <v>0</v>
      </c>
      <c r="CD48" s="1007">
        <f t="shared" si="40"/>
        <v>0</v>
      </c>
      <c r="CE48" s="1007">
        <f t="shared" si="40"/>
        <v>0</v>
      </c>
      <c r="CF48" s="1007">
        <f t="shared" si="40"/>
        <v>0</v>
      </c>
      <c r="CG48" s="1007">
        <f t="shared" si="40"/>
        <v>0</v>
      </c>
      <c r="CH48" s="1007">
        <f t="shared" si="40"/>
        <v>0</v>
      </c>
      <c r="CI48" s="1007">
        <f t="shared" si="40"/>
        <v>0</v>
      </c>
      <c r="CJ48" s="1007"/>
      <c r="CK48" s="1007"/>
      <c r="CL48" s="1007">
        <f t="shared" si="41"/>
        <v>0</v>
      </c>
      <c r="CM48" s="1010">
        <f t="shared" si="13"/>
        <v>0.74885578835579569</v>
      </c>
      <c r="CN48" s="1007">
        <f t="shared" si="42"/>
        <v>460457196</v>
      </c>
      <c r="CO48" s="1007"/>
      <c r="CP48" s="1007">
        <f>+'[7]AGOSTO 2015'!$H$1429+'[7]AGOSTO 2015'!$H$1430</f>
        <v>4881000</v>
      </c>
      <c r="CQ48" s="1007"/>
      <c r="CR48" s="1007"/>
      <c r="CS48" s="1007"/>
      <c r="CT48" s="1007">
        <f>+'[8]SEPTIEMBRE 2015'!$H$1734</f>
        <v>89690665</v>
      </c>
      <c r="CU48" s="1007">
        <f>+'[8]SEPTIEMBRE 2015'!$H$1790</f>
        <v>15000000</v>
      </c>
      <c r="CV48" s="1007">
        <f>+'[13]JUNIO 2015'!$H$1093</f>
        <v>102810569</v>
      </c>
      <c r="CW48" s="1007">
        <f>+'[8]SEPTIEMBRE 2015'!$H$1680</f>
        <v>129471348</v>
      </c>
      <c r="CX48" s="1007"/>
      <c r="CY48" s="1007"/>
      <c r="CZ48" s="1007"/>
      <c r="DA48" s="1007"/>
      <c r="DB48" s="1007"/>
      <c r="DC48" s="1007">
        <f>+'[7]AGOSTO 2015'!$H$1432</f>
        <v>82718083</v>
      </c>
      <c r="DD48" s="1007">
        <f>+'[8]SEPTIEMBRE 2015'!$H$1771</f>
        <v>35885531</v>
      </c>
      <c r="DE48" s="1007"/>
      <c r="DF48" s="1007"/>
      <c r="DG48" s="1007"/>
      <c r="DH48" s="1007"/>
      <c r="DI48" s="1010">
        <f t="shared" si="15"/>
        <v>0.25114421164420431</v>
      </c>
      <c r="DJ48" s="1007">
        <f t="shared" si="43"/>
        <v>154423804</v>
      </c>
      <c r="DK48" s="1007"/>
      <c r="DL48" s="1007">
        <f t="shared" si="53"/>
        <v>0</v>
      </c>
      <c r="DM48" s="1007">
        <f t="shared" si="53"/>
        <v>0</v>
      </c>
      <c r="DN48" s="1007">
        <f t="shared" si="51"/>
        <v>0</v>
      </c>
      <c r="DO48" s="1007"/>
      <c r="DP48" s="1007">
        <f t="shared" si="45"/>
        <v>309335</v>
      </c>
      <c r="DQ48" s="1007">
        <f t="shared" si="45"/>
        <v>0</v>
      </c>
      <c r="DR48" s="1007">
        <f>AG48-CV48</f>
        <v>0</v>
      </c>
      <c r="DS48" s="1007">
        <f t="shared" si="46"/>
        <v>90000000</v>
      </c>
      <c r="DT48" s="1007">
        <f t="shared" si="46"/>
        <v>0</v>
      </c>
      <c r="DU48" s="1007"/>
      <c r="DV48" s="1007">
        <f t="shared" si="47"/>
        <v>0</v>
      </c>
      <c r="DW48" s="1007">
        <f t="shared" si="47"/>
        <v>0</v>
      </c>
      <c r="DX48" s="1007">
        <f t="shared" si="47"/>
        <v>10000000</v>
      </c>
      <c r="DY48" s="1007">
        <f t="shared" si="48"/>
        <v>40000000</v>
      </c>
      <c r="DZ48" s="1007">
        <f t="shared" si="48"/>
        <v>14114469</v>
      </c>
      <c r="EA48" s="1007">
        <f t="shared" si="48"/>
        <v>0</v>
      </c>
      <c r="EB48" s="1007">
        <f t="shared" si="48"/>
        <v>0</v>
      </c>
      <c r="EC48" s="1007"/>
      <c r="ED48" s="1007">
        <f t="shared" si="49"/>
        <v>0</v>
      </c>
    </row>
    <row r="49" spans="1:135" ht="37.5" customHeight="1" x14ac:dyDescent="0.25">
      <c r="A49" s="1565"/>
      <c r="B49" s="1018"/>
      <c r="C49" s="1114" t="s">
        <v>4381</v>
      </c>
      <c r="D49" s="1018" t="s">
        <v>4609</v>
      </c>
      <c r="E49" s="1019">
        <v>410</v>
      </c>
      <c r="F49" s="1117" t="s">
        <v>3350</v>
      </c>
      <c r="G49" s="1429"/>
      <c r="H49" s="1060">
        <f t="shared" si="31"/>
        <v>18550000</v>
      </c>
      <c r="I49" s="1060">
        <f t="shared" si="32"/>
        <v>1450000</v>
      </c>
      <c r="J49" s="1430"/>
      <c r="K49" s="1258"/>
      <c r="L49" s="1258"/>
      <c r="M49" s="1113">
        <v>93</v>
      </c>
      <c r="N49" s="1113">
        <v>100</v>
      </c>
      <c r="O49" s="1113">
        <v>93</v>
      </c>
      <c r="P49" s="1113">
        <v>93</v>
      </c>
      <c r="Q49" s="1113">
        <v>100</v>
      </c>
      <c r="R49" s="1113">
        <v>93</v>
      </c>
      <c r="S49" s="1117"/>
      <c r="T49" s="1117"/>
      <c r="U49" s="1117"/>
      <c r="V49" s="1117"/>
      <c r="W49" s="1117"/>
      <c r="X49" s="1117"/>
      <c r="Y49" s="1007">
        <f t="shared" si="33"/>
        <v>20000000</v>
      </c>
      <c r="Z49" s="944"/>
      <c r="AA49" s="1007">
        <f>20000000-18055657-1450000</f>
        <v>494343</v>
      </c>
      <c r="AB49" s="1007">
        <v>18055657</v>
      </c>
      <c r="AC49" s="1007"/>
      <c r="AD49" s="1007"/>
      <c r="AE49" s="1007"/>
      <c r="AF49" s="1007"/>
      <c r="AG49" s="1007"/>
      <c r="AH49" s="1007"/>
      <c r="AI49" s="1007"/>
      <c r="AJ49" s="1007"/>
      <c r="AK49" s="1007"/>
      <c r="AL49" s="1007"/>
      <c r="AM49" s="1007"/>
      <c r="AN49" s="1007"/>
      <c r="AO49" s="1007">
        <v>1450000</v>
      </c>
      <c r="AP49" s="1007"/>
      <c r="AQ49" s="1007"/>
      <c r="AR49" s="1007"/>
      <c r="AS49" s="1007"/>
      <c r="AU49" s="1010">
        <f t="shared" si="3"/>
        <v>1</v>
      </c>
      <c r="AV49" s="1007">
        <f t="shared" si="34"/>
        <v>20000000</v>
      </c>
      <c r="AW49" s="1007"/>
      <c r="AX49" s="1007">
        <v>494343</v>
      </c>
      <c r="AY49" s="1007">
        <v>18055657</v>
      </c>
      <c r="AZ49" s="1007"/>
      <c r="BA49" s="1007"/>
      <c r="BB49" s="1007"/>
      <c r="BC49" s="1007"/>
      <c r="BD49" s="1007"/>
      <c r="BE49" s="1007"/>
      <c r="BF49" s="1007"/>
      <c r="BG49" s="1007"/>
      <c r="BH49" s="1007"/>
      <c r="BI49" s="1007"/>
      <c r="BJ49" s="1007"/>
      <c r="BK49" s="1007"/>
      <c r="BL49" s="1007">
        <f>+'[10]JULIO 2015'!$Y$1386</f>
        <v>1450000</v>
      </c>
      <c r="BM49" s="1007"/>
      <c r="BN49" s="1007"/>
      <c r="BO49" s="1007"/>
      <c r="BP49" s="1007"/>
      <c r="BQ49" s="1010">
        <f t="shared" si="25"/>
        <v>0</v>
      </c>
      <c r="BR49" s="1007">
        <f t="shared" si="35"/>
        <v>0</v>
      </c>
      <c r="BS49" s="1007">
        <f t="shared" si="36"/>
        <v>0</v>
      </c>
      <c r="BT49" s="1007">
        <f t="shared" si="52"/>
        <v>0</v>
      </c>
      <c r="BU49" s="1007">
        <f t="shared" si="37"/>
        <v>0</v>
      </c>
      <c r="BV49" s="1007">
        <f t="shared" si="37"/>
        <v>0</v>
      </c>
      <c r="BW49" s="1007"/>
      <c r="BX49" s="1007">
        <f t="shared" si="38"/>
        <v>0</v>
      </c>
      <c r="BY49" s="1007">
        <f t="shared" si="38"/>
        <v>0</v>
      </c>
      <c r="BZ49" s="1007"/>
      <c r="CA49" s="1007"/>
      <c r="CB49" s="1007">
        <f>+AI49-BF49</f>
        <v>0</v>
      </c>
      <c r="CC49" s="1007"/>
      <c r="CD49" s="1007">
        <f t="shared" si="40"/>
        <v>0</v>
      </c>
      <c r="CE49" s="1007">
        <f t="shared" si="40"/>
        <v>0</v>
      </c>
      <c r="CF49" s="1007">
        <f t="shared" si="40"/>
        <v>0</v>
      </c>
      <c r="CG49" s="1007">
        <f t="shared" si="40"/>
        <v>0</v>
      </c>
      <c r="CH49" s="1007">
        <f t="shared" si="40"/>
        <v>0</v>
      </c>
      <c r="CI49" s="1007">
        <f t="shared" si="40"/>
        <v>0</v>
      </c>
      <c r="CJ49" s="1007"/>
      <c r="CK49" s="1007"/>
      <c r="CL49" s="1007">
        <f t="shared" si="41"/>
        <v>0</v>
      </c>
      <c r="CM49" s="1010">
        <f t="shared" si="13"/>
        <v>0.92749999999999999</v>
      </c>
      <c r="CN49" s="1007">
        <f t="shared" si="42"/>
        <v>18550000</v>
      </c>
      <c r="CO49" s="1007"/>
      <c r="CP49" s="1007">
        <f>20000000-18055657-1450000</f>
        <v>494343</v>
      </c>
      <c r="CQ49" s="1007">
        <v>18055657</v>
      </c>
      <c r="CR49" s="1007"/>
      <c r="CS49" s="1007"/>
      <c r="CT49" s="1007"/>
      <c r="CU49" s="1007"/>
      <c r="CV49" s="1007"/>
      <c r="CW49" s="1007"/>
      <c r="CX49" s="1007"/>
      <c r="CY49" s="1007"/>
      <c r="CZ49" s="1007"/>
      <c r="DA49" s="1007"/>
      <c r="DB49" s="1007"/>
      <c r="DC49" s="1007"/>
      <c r="DD49" s="1007"/>
      <c r="DE49" s="1007"/>
      <c r="DF49" s="1007"/>
      <c r="DG49" s="1007"/>
      <c r="DH49" s="1007"/>
      <c r="DI49" s="1010">
        <f t="shared" si="15"/>
        <v>7.2500000000000009E-2</v>
      </c>
      <c r="DJ49" s="1007">
        <f t="shared" si="43"/>
        <v>1450000</v>
      </c>
      <c r="DK49" s="1007"/>
      <c r="DL49" s="1007">
        <f t="shared" si="53"/>
        <v>0</v>
      </c>
      <c r="DM49" s="1007">
        <f t="shared" si="53"/>
        <v>0</v>
      </c>
      <c r="DN49" s="1007">
        <f t="shared" si="51"/>
        <v>0</v>
      </c>
      <c r="DO49" s="1007"/>
      <c r="DP49" s="1007">
        <f t="shared" si="45"/>
        <v>0</v>
      </c>
      <c r="DQ49" s="1007">
        <f t="shared" si="45"/>
        <v>0</v>
      </c>
      <c r="DR49" s="1007"/>
      <c r="DS49" s="1007">
        <f t="shared" si="46"/>
        <v>0</v>
      </c>
      <c r="DT49" s="1007">
        <f t="shared" si="46"/>
        <v>0</v>
      </c>
      <c r="DU49" s="1007"/>
      <c r="DV49" s="1007">
        <f t="shared" si="47"/>
        <v>0</v>
      </c>
      <c r="DW49" s="1007">
        <f t="shared" si="47"/>
        <v>0</v>
      </c>
      <c r="DX49" s="1007">
        <f t="shared" si="47"/>
        <v>0</v>
      </c>
      <c r="DY49" s="1007">
        <f t="shared" si="48"/>
        <v>0</v>
      </c>
      <c r="DZ49" s="1007">
        <f t="shared" si="48"/>
        <v>1450000</v>
      </c>
      <c r="EA49" s="1007">
        <f t="shared" si="48"/>
        <v>0</v>
      </c>
      <c r="EB49" s="1007">
        <f t="shared" si="48"/>
        <v>0</v>
      </c>
      <c r="EC49" s="1007"/>
      <c r="ED49" s="1007">
        <f t="shared" si="49"/>
        <v>0</v>
      </c>
    </row>
    <row r="50" spans="1:135" ht="44.25" customHeight="1" x14ac:dyDescent="0.25">
      <c r="A50" s="1565"/>
      <c r="B50" s="1018"/>
      <c r="C50" s="1114" t="s">
        <v>4382</v>
      </c>
      <c r="D50" s="1018" t="s">
        <v>4311</v>
      </c>
      <c r="E50" s="1019">
        <v>410</v>
      </c>
      <c r="F50" s="1117" t="s">
        <v>4704</v>
      </c>
      <c r="G50" s="1429"/>
      <c r="H50" s="1060">
        <f t="shared" si="31"/>
        <v>8774500</v>
      </c>
      <c r="I50" s="1060">
        <f t="shared" si="32"/>
        <v>22725500</v>
      </c>
      <c r="J50" s="1428" t="s">
        <v>4813</v>
      </c>
      <c r="K50" s="1257" t="s">
        <v>4814</v>
      </c>
      <c r="L50" s="1257" t="s">
        <v>4813</v>
      </c>
      <c r="M50" s="1113">
        <v>0</v>
      </c>
      <c r="N50" s="1113">
        <v>0</v>
      </c>
      <c r="O50" s="1113">
        <v>0</v>
      </c>
      <c r="P50" s="1113">
        <v>8</v>
      </c>
      <c r="Q50" s="1113">
        <v>0</v>
      </c>
      <c r="R50" s="1113">
        <v>0</v>
      </c>
      <c r="S50" s="1117"/>
      <c r="T50" s="1117"/>
      <c r="U50" s="1117"/>
      <c r="V50" s="1117"/>
      <c r="W50" s="1117"/>
      <c r="X50" s="1117"/>
      <c r="Y50" s="1007">
        <f t="shared" si="33"/>
        <v>31500000</v>
      </c>
      <c r="Z50" s="944"/>
      <c r="AA50" s="1007"/>
      <c r="AB50" s="1007"/>
      <c r="AC50" s="1007"/>
      <c r="AD50" s="1007"/>
      <c r="AE50" s="1007"/>
      <c r="AF50" s="1007"/>
      <c r="AG50" s="1007"/>
      <c r="AH50" s="1007"/>
      <c r="AI50" s="1007"/>
      <c r="AJ50" s="1007"/>
      <c r="AK50" s="1007"/>
      <c r="AL50" s="1007"/>
      <c r="AM50" s="1007"/>
      <c r="AN50" s="1007">
        <f>14000000-10000000</f>
        <v>4000000</v>
      </c>
      <c r="AO50" s="1007"/>
      <c r="AP50" s="1007"/>
      <c r="AQ50" s="1007"/>
      <c r="AR50" s="1007"/>
      <c r="AS50" s="1007">
        <f>5000000+2500000+5000000+15000000</f>
        <v>27500000</v>
      </c>
      <c r="AU50" s="1010">
        <f t="shared" si="3"/>
        <v>0.36507936507936506</v>
      </c>
      <c r="AV50" s="1007">
        <f t="shared" si="34"/>
        <v>11500000</v>
      </c>
      <c r="AW50" s="1007"/>
      <c r="AX50" s="1007"/>
      <c r="AY50" s="1007"/>
      <c r="AZ50" s="1007"/>
      <c r="BA50" s="1007"/>
      <c r="BB50" s="1007"/>
      <c r="BC50" s="1007"/>
      <c r="BD50" s="1007"/>
      <c r="BE50" s="1007"/>
      <c r="BF50" s="1007"/>
      <c r="BG50" s="1007"/>
      <c r="BH50" s="1007"/>
      <c r="BI50" s="1007"/>
      <c r="BJ50" s="1007"/>
      <c r="BK50" s="1007">
        <v>4000000</v>
      </c>
      <c r="BL50" s="1007"/>
      <c r="BM50" s="1007"/>
      <c r="BN50" s="1007"/>
      <c r="BO50" s="1007"/>
      <c r="BP50" s="1007">
        <f>+'[15]FEBRERO 2015'!$AC$565</f>
        <v>7500000</v>
      </c>
      <c r="BQ50" s="1010">
        <f t="shared" si="25"/>
        <v>0.63492063492063489</v>
      </c>
      <c r="BR50" s="1007">
        <f t="shared" si="35"/>
        <v>20000000</v>
      </c>
      <c r="BS50" s="1007">
        <f t="shared" si="36"/>
        <v>0</v>
      </c>
      <c r="BT50" s="1007">
        <f t="shared" si="52"/>
        <v>0</v>
      </c>
      <c r="BU50" s="1007">
        <f t="shared" si="37"/>
        <v>0</v>
      </c>
      <c r="BV50" s="1007">
        <f t="shared" si="37"/>
        <v>0</v>
      </c>
      <c r="BW50" s="1007"/>
      <c r="BX50" s="1007">
        <f t="shared" si="38"/>
        <v>0</v>
      </c>
      <c r="BY50" s="1007">
        <f t="shared" si="38"/>
        <v>0</v>
      </c>
      <c r="BZ50" s="1007"/>
      <c r="CA50" s="1007"/>
      <c r="CB50" s="1007">
        <f>+AI50-BF50</f>
        <v>0</v>
      </c>
      <c r="CC50" s="1007"/>
      <c r="CD50" s="1007">
        <f t="shared" si="40"/>
        <v>0</v>
      </c>
      <c r="CE50" s="1007">
        <f t="shared" si="40"/>
        <v>0</v>
      </c>
      <c r="CF50" s="1007">
        <f t="shared" si="40"/>
        <v>0</v>
      </c>
      <c r="CG50" s="1007">
        <f t="shared" si="40"/>
        <v>0</v>
      </c>
      <c r="CH50" s="1007">
        <f t="shared" si="40"/>
        <v>0</v>
      </c>
      <c r="CI50" s="1007">
        <f t="shared" si="40"/>
        <v>0</v>
      </c>
      <c r="CJ50" s="1007"/>
      <c r="CK50" s="1007"/>
      <c r="CL50" s="1007">
        <f t="shared" si="41"/>
        <v>20000000</v>
      </c>
      <c r="CM50" s="1010">
        <f t="shared" si="13"/>
        <v>0.27855555555555556</v>
      </c>
      <c r="CN50" s="1007">
        <f t="shared" si="42"/>
        <v>8774500</v>
      </c>
      <c r="CO50" s="1007"/>
      <c r="CP50" s="1007"/>
      <c r="CQ50" s="1007"/>
      <c r="CR50" s="1007"/>
      <c r="CS50" s="1007"/>
      <c r="CT50" s="1007"/>
      <c r="CU50" s="1007"/>
      <c r="CV50" s="1007"/>
      <c r="CW50" s="1007"/>
      <c r="CX50" s="1007"/>
      <c r="CY50" s="1007"/>
      <c r="CZ50" s="1007"/>
      <c r="DA50" s="1007"/>
      <c r="DB50" s="1007"/>
      <c r="DC50" s="1007">
        <f>+'[10]JULIO 2015'!$H$1401</f>
        <v>4000000</v>
      </c>
      <c r="DD50" s="1007"/>
      <c r="DE50" s="1007"/>
      <c r="DF50" s="1007"/>
      <c r="DG50" s="1007"/>
      <c r="DH50" s="1007">
        <f>+'[8]SEPTIEMBRE 2015'!$H$1812</f>
        <v>4774500</v>
      </c>
      <c r="DI50" s="1010">
        <f t="shared" si="15"/>
        <v>0.72144444444444444</v>
      </c>
      <c r="DJ50" s="1007">
        <f t="shared" si="43"/>
        <v>22725500</v>
      </c>
      <c r="DK50" s="1007"/>
      <c r="DL50" s="1007"/>
      <c r="DM50" s="1007"/>
      <c r="DN50" s="1007">
        <f t="shared" si="51"/>
        <v>0</v>
      </c>
      <c r="DO50" s="1007"/>
      <c r="DP50" s="1007">
        <f t="shared" si="45"/>
        <v>0</v>
      </c>
      <c r="DQ50" s="1007">
        <f t="shared" si="45"/>
        <v>0</v>
      </c>
      <c r="DR50" s="1007"/>
      <c r="DS50" s="1007">
        <f t="shared" si="46"/>
        <v>0</v>
      </c>
      <c r="DT50" s="1007">
        <f t="shared" si="46"/>
        <v>0</v>
      </c>
      <c r="DU50" s="1007"/>
      <c r="DV50" s="1007">
        <f t="shared" si="47"/>
        <v>0</v>
      </c>
      <c r="DW50" s="1007">
        <f t="shared" si="47"/>
        <v>0</v>
      </c>
      <c r="DX50" s="1007">
        <f t="shared" si="47"/>
        <v>0</v>
      </c>
      <c r="DY50" s="1007">
        <f t="shared" si="48"/>
        <v>0</v>
      </c>
      <c r="DZ50" s="1007">
        <f t="shared" si="48"/>
        <v>0</v>
      </c>
      <c r="EA50" s="1007">
        <f t="shared" si="48"/>
        <v>0</v>
      </c>
      <c r="EB50" s="1007">
        <f t="shared" si="48"/>
        <v>0</v>
      </c>
      <c r="EC50" s="1007"/>
      <c r="ED50" s="1007">
        <f t="shared" si="49"/>
        <v>22725500</v>
      </c>
    </row>
    <row r="51" spans="1:135" ht="36.75" customHeight="1" x14ac:dyDescent="0.25">
      <c r="A51" s="1565"/>
      <c r="B51" s="1018"/>
      <c r="C51" s="1114" t="s">
        <v>4383</v>
      </c>
      <c r="D51" s="1018" t="s">
        <v>4324</v>
      </c>
      <c r="E51" s="1019">
        <v>410</v>
      </c>
      <c r="F51" s="1117" t="s">
        <v>4347</v>
      </c>
      <c r="G51" s="1429"/>
      <c r="H51" s="1060">
        <f t="shared" si="31"/>
        <v>0</v>
      </c>
      <c r="I51" s="1060">
        <f t="shared" si="32"/>
        <v>7000000</v>
      </c>
      <c r="J51" s="1429"/>
      <c r="K51" s="1562"/>
      <c r="L51" s="1562"/>
      <c r="M51" s="1113">
        <v>0</v>
      </c>
      <c r="N51" s="1113">
        <v>0</v>
      </c>
      <c r="O51" s="1113">
        <v>0</v>
      </c>
      <c r="P51" s="1113">
        <v>0</v>
      </c>
      <c r="Q51" s="1113">
        <v>0</v>
      </c>
      <c r="R51" s="1113">
        <v>0</v>
      </c>
      <c r="S51" s="1117"/>
      <c r="T51" s="1117"/>
      <c r="U51" s="1117"/>
      <c r="V51" s="1117"/>
      <c r="W51" s="1117"/>
      <c r="X51" s="1117"/>
      <c r="Y51" s="1007">
        <f t="shared" si="33"/>
        <v>7000000</v>
      </c>
      <c r="Z51" s="944"/>
      <c r="AA51" s="1007"/>
      <c r="AB51" s="1007"/>
      <c r="AC51" s="1007"/>
      <c r="AD51" s="1007"/>
      <c r="AE51" s="1007"/>
      <c r="AF51" s="1007"/>
      <c r="AG51" s="1007"/>
      <c r="AH51" s="1007"/>
      <c r="AI51" s="1007"/>
      <c r="AJ51" s="1007"/>
      <c r="AK51" s="1007"/>
      <c r="AL51" s="1007"/>
      <c r="AM51" s="1007"/>
      <c r="AN51" s="1007"/>
      <c r="AO51" s="1007"/>
      <c r="AP51" s="1007"/>
      <c r="AQ51" s="1007"/>
      <c r="AR51" s="1007"/>
      <c r="AS51" s="1007">
        <f>2000000+5000000</f>
        <v>7000000</v>
      </c>
      <c r="AU51" s="1010">
        <f t="shared" si="3"/>
        <v>0.2857142857142857</v>
      </c>
      <c r="AV51" s="1007">
        <f t="shared" si="34"/>
        <v>2000000</v>
      </c>
      <c r="AW51" s="1007"/>
      <c r="AX51" s="1007"/>
      <c r="AY51" s="1007"/>
      <c r="AZ51" s="1007"/>
      <c r="BA51" s="1007"/>
      <c r="BB51" s="1007"/>
      <c r="BC51" s="1007"/>
      <c r="BD51" s="1007"/>
      <c r="BE51" s="1007"/>
      <c r="BF51" s="1007"/>
      <c r="BG51" s="1007"/>
      <c r="BH51" s="1007"/>
      <c r="BI51" s="1007"/>
      <c r="BJ51" s="1007"/>
      <c r="BK51" s="1007"/>
      <c r="BL51" s="1007"/>
      <c r="BM51" s="1007"/>
      <c r="BN51" s="1007"/>
      <c r="BO51" s="1007"/>
      <c r="BP51" s="1007">
        <f>+'[15]FEBRERO 2015'!$AC$571</f>
        <v>2000000</v>
      </c>
      <c r="BQ51" s="1010">
        <f t="shared" si="25"/>
        <v>0.7142857142857143</v>
      </c>
      <c r="BR51" s="1007">
        <f t="shared" si="35"/>
        <v>5000000</v>
      </c>
      <c r="BS51" s="1007">
        <f t="shared" si="36"/>
        <v>0</v>
      </c>
      <c r="BT51" s="1007">
        <f t="shared" si="52"/>
        <v>0</v>
      </c>
      <c r="BU51" s="1007">
        <f t="shared" si="52"/>
        <v>0</v>
      </c>
      <c r="BV51" s="1007">
        <f t="shared" si="52"/>
        <v>0</v>
      </c>
      <c r="BW51" s="1007"/>
      <c r="BX51" s="1007">
        <f t="shared" si="38"/>
        <v>0</v>
      </c>
      <c r="BY51" s="1007">
        <f t="shared" si="38"/>
        <v>0</v>
      </c>
      <c r="BZ51" s="1007"/>
      <c r="CA51" s="1007"/>
      <c r="CB51" s="1007">
        <f>+AI51-BF51</f>
        <v>0</v>
      </c>
      <c r="CC51" s="1007"/>
      <c r="CD51" s="1007">
        <f t="shared" si="40"/>
        <v>0</v>
      </c>
      <c r="CE51" s="1007">
        <f t="shared" si="40"/>
        <v>0</v>
      </c>
      <c r="CF51" s="1007">
        <f t="shared" si="40"/>
        <v>0</v>
      </c>
      <c r="CG51" s="1007">
        <f t="shared" si="40"/>
        <v>0</v>
      </c>
      <c r="CH51" s="1007">
        <f t="shared" si="40"/>
        <v>0</v>
      </c>
      <c r="CI51" s="1007">
        <f t="shared" si="40"/>
        <v>0</v>
      </c>
      <c r="CJ51" s="1007"/>
      <c r="CK51" s="1007"/>
      <c r="CL51" s="1007">
        <f t="shared" si="41"/>
        <v>5000000</v>
      </c>
      <c r="CM51" s="1010">
        <f t="shared" si="13"/>
        <v>0</v>
      </c>
      <c r="CN51" s="1007">
        <f t="shared" si="42"/>
        <v>0</v>
      </c>
      <c r="CO51" s="1007"/>
      <c r="CP51" s="1007"/>
      <c r="CQ51" s="1007"/>
      <c r="CR51" s="1007"/>
      <c r="CS51" s="1007"/>
      <c r="CT51" s="1007"/>
      <c r="CU51" s="1007"/>
      <c r="CV51" s="1007"/>
      <c r="CW51" s="1007"/>
      <c r="CX51" s="1007"/>
      <c r="CY51" s="1007"/>
      <c r="CZ51" s="1007"/>
      <c r="DA51" s="1007"/>
      <c r="DB51" s="1007"/>
      <c r="DC51" s="1007"/>
      <c r="DD51" s="1007"/>
      <c r="DE51" s="1007"/>
      <c r="DF51" s="1007"/>
      <c r="DG51" s="1007"/>
      <c r="DH51" s="1007"/>
      <c r="DI51" s="1010">
        <f t="shared" si="15"/>
        <v>1</v>
      </c>
      <c r="DJ51" s="1007">
        <f t="shared" si="43"/>
        <v>7000000</v>
      </c>
      <c r="DK51" s="1007"/>
      <c r="DL51" s="1007"/>
      <c r="DM51" s="1007"/>
      <c r="DN51" s="1007">
        <f t="shared" si="51"/>
        <v>0</v>
      </c>
      <c r="DO51" s="1007"/>
      <c r="DP51" s="1007">
        <f t="shared" si="45"/>
        <v>0</v>
      </c>
      <c r="DQ51" s="1007">
        <f t="shared" si="45"/>
        <v>0</v>
      </c>
      <c r="DR51" s="1007"/>
      <c r="DS51" s="1007">
        <f t="shared" si="46"/>
        <v>0</v>
      </c>
      <c r="DT51" s="1007">
        <f t="shared" si="46"/>
        <v>0</v>
      </c>
      <c r="DU51" s="1007"/>
      <c r="DV51" s="1007">
        <f t="shared" si="47"/>
        <v>0</v>
      </c>
      <c r="DW51" s="1007">
        <f t="shared" si="47"/>
        <v>0</v>
      </c>
      <c r="DX51" s="1007">
        <f t="shared" si="47"/>
        <v>0</v>
      </c>
      <c r="DY51" s="1007">
        <f t="shared" si="48"/>
        <v>0</v>
      </c>
      <c r="DZ51" s="1007">
        <f t="shared" si="48"/>
        <v>0</v>
      </c>
      <c r="EA51" s="1007">
        <f t="shared" si="48"/>
        <v>0</v>
      </c>
      <c r="EB51" s="1007">
        <f t="shared" si="48"/>
        <v>0</v>
      </c>
      <c r="EC51" s="1007"/>
      <c r="ED51" s="1007">
        <f t="shared" si="49"/>
        <v>7000000</v>
      </c>
    </row>
    <row r="52" spans="1:135" s="203" customFormat="1" ht="21.75" customHeight="1" x14ac:dyDescent="0.25">
      <c r="A52" s="1565"/>
      <c r="B52" s="1018"/>
      <c r="C52" s="1080" t="s">
        <v>4384</v>
      </c>
      <c r="D52" s="1018" t="s">
        <v>4325</v>
      </c>
      <c r="E52" s="1019">
        <v>410</v>
      </c>
      <c r="F52" s="1117" t="s">
        <v>3350</v>
      </c>
      <c r="G52" s="1430"/>
      <c r="H52" s="1060">
        <f t="shared" si="31"/>
        <v>478086868</v>
      </c>
      <c r="I52" s="1060">
        <f t="shared" si="32"/>
        <v>221913132</v>
      </c>
      <c r="J52" s="1430"/>
      <c r="K52" s="1258"/>
      <c r="L52" s="1258"/>
      <c r="M52" s="1074"/>
      <c r="N52" s="1074"/>
      <c r="O52" s="1074"/>
      <c r="P52" s="1074"/>
      <c r="Q52" s="1074"/>
      <c r="R52" s="1074"/>
      <c r="S52" s="1117"/>
      <c r="T52" s="1117"/>
      <c r="U52" s="1117"/>
      <c r="V52" s="1117"/>
      <c r="W52" s="1117"/>
      <c r="X52" s="1117"/>
      <c r="Y52" s="1066">
        <f t="shared" si="33"/>
        <v>700000000</v>
      </c>
      <c r="Z52" s="149"/>
      <c r="AA52" s="1066"/>
      <c r="AB52" s="1066"/>
      <c r="AC52" s="1066"/>
      <c r="AD52" s="1066"/>
      <c r="AE52" s="1066"/>
      <c r="AF52" s="1066"/>
      <c r="AG52" s="1066"/>
      <c r="AH52" s="1066"/>
      <c r="AI52" s="1066"/>
      <c r="AJ52" s="1066"/>
      <c r="AK52" s="1066"/>
      <c r="AL52" s="1066">
        <v>700000000</v>
      </c>
      <c r="AM52" s="1066"/>
      <c r="AN52" s="1066"/>
      <c r="AO52" s="1066"/>
      <c r="AP52" s="1066"/>
      <c r="AQ52" s="1066"/>
      <c r="AR52" s="1066"/>
      <c r="AS52" s="1066"/>
      <c r="AU52" s="1081">
        <f t="shared" si="3"/>
        <v>0.87039913571428573</v>
      </c>
      <c r="AV52" s="1066">
        <f t="shared" si="34"/>
        <v>609279395</v>
      </c>
      <c r="AW52" s="1066"/>
      <c r="AX52" s="1066"/>
      <c r="AY52" s="1066"/>
      <c r="AZ52" s="1066"/>
      <c r="BA52" s="1066"/>
      <c r="BB52" s="1066"/>
      <c r="BC52" s="1066"/>
      <c r="BD52" s="1066"/>
      <c r="BE52" s="1066"/>
      <c r="BF52" s="1066"/>
      <c r="BG52" s="1066"/>
      <c r="BH52" s="1066"/>
      <c r="BI52" s="1066">
        <v>609279395</v>
      </c>
      <c r="BJ52" s="1066"/>
      <c r="BK52" s="1066"/>
      <c r="BL52" s="1066"/>
      <c r="BM52" s="1066"/>
      <c r="BN52" s="1066"/>
      <c r="BO52" s="1066"/>
      <c r="BP52" s="1066"/>
      <c r="BQ52" s="1081">
        <f t="shared" si="25"/>
        <v>0.12960086428571427</v>
      </c>
      <c r="BR52" s="1066">
        <f t="shared" si="35"/>
        <v>90720605</v>
      </c>
      <c r="BS52" s="1066">
        <f t="shared" si="36"/>
        <v>0</v>
      </c>
      <c r="BT52" s="1066">
        <f t="shared" si="52"/>
        <v>0</v>
      </c>
      <c r="BU52" s="1066">
        <f t="shared" si="52"/>
        <v>0</v>
      </c>
      <c r="BV52" s="1066">
        <f t="shared" si="52"/>
        <v>0</v>
      </c>
      <c r="BW52" s="1066"/>
      <c r="BX52" s="1066">
        <f t="shared" si="38"/>
        <v>0</v>
      </c>
      <c r="BY52" s="1066">
        <f t="shared" si="38"/>
        <v>0</v>
      </c>
      <c r="BZ52" s="1066"/>
      <c r="CA52" s="1066">
        <f>+AH52-BE52</f>
        <v>0</v>
      </c>
      <c r="CB52" s="1066">
        <f>+AI52-BF52</f>
        <v>0</v>
      </c>
      <c r="CC52" s="1066">
        <f>+AJ52-BG52</f>
        <v>0</v>
      </c>
      <c r="CD52" s="1066">
        <f t="shared" si="40"/>
        <v>0</v>
      </c>
      <c r="CE52" s="1066">
        <f t="shared" si="40"/>
        <v>90720605</v>
      </c>
      <c r="CF52" s="1066">
        <f t="shared" si="40"/>
        <v>0</v>
      </c>
      <c r="CG52" s="1066">
        <f t="shared" si="40"/>
        <v>0</v>
      </c>
      <c r="CH52" s="1066">
        <f t="shared" si="40"/>
        <v>0</v>
      </c>
      <c r="CI52" s="1066">
        <f t="shared" si="40"/>
        <v>0</v>
      </c>
      <c r="CJ52" s="1066"/>
      <c r="CK52" s="1066"/>
      <c r="CL52" s="1066">
        <f t="shared" si="41"/>
        <v>0</v>
      </c>
      <c r="CM52" s="1081">
        <f t="shared" si="13"/>
        <v>0.68298124000000004</v>
      </c>
      <c r="CN52" s="1066">
        <f t="shared" si="42"/>
        <v>478086868</v>
      </c>
      <c r="CO52" s="1066"/>
      <c r="CP52" s="1066"/>
      <c r="CQ52" s="1066"/>
      <c r="CR52" s="1066"/>
      <c r="CS52" s="1066"/>
      <c r="CT52" s="1066"/>
      <c r="CU52" s="1066"/>
      <c r="CV52" s="1066"/>
      <c r="CW52" s="1066"/>
      <c r="CX52" s="1066"/>
      <c r="CY52" s="1066"/>
      <c r="CZ52" s="1066"/>
      <c r="DA52" s="1066">
        <f>+'[8]SEPTIEMBRE 2015'!$H$1829</f>
        <v>478086868</v>
      </c>
      <c r="DB52" s="1066"/>
      <c r="DC52" s="1066"/>
      <c r="DD52" s="1066"/>
      <c r="DE52" s="1066"/>
      <c r="DF52" s="1066"/>
      <c r="DG52" s="1066"/>
      <c r="DH52" s="1066"/>
      <c r="DI52" s="1081">
        <f t="shared" si="15"/>
        <v>0.31701875999999996</v>
      </c>
      <c r="DJ52" s="1066">
        <f t="shared" si="43"/>
        <v>221913132</v>
      </c>
      <c r="DK52" s="1066"/>
      <c r="DL52" s="1066"/>
      <c r="DM52" s="1066"/>
      <c r="DN52" s="1066">
        <f t="shared" si="51"/>
        <v>0</v>
      </c>
      <c r="DO52" s="1066"/>
      <c r="DP52" s="1066">
        <f t="shared" si="45"/>
        <v>0</v>
      </c>
      <c r="DQ52" s="1066">
        <f t="shared" si="45"/>
        <v>0</v>
      </c>
      <c r="DR52" s="1066"/>
      <c r="DS52" s="1066">
        <f t="shared" si="46"/>
        <v>0</v>
      </c>
      <c r="DT52" s="1066">
        <f t="shared" si="46"/>
        <v>0</v>
      </c>
      <c r="DU52" s="1066"/>
      <c r="DV52" s="1066">
        <f t="shared" si="47"/>
        <v>0</v>
      </c>
      <c r="DW52" s="1066">
        <f t="shared" si="47"/>
        <v>221913132</v>
      </c>
      <c r="DX52" s="1066">
        <f t="shared" si="47"/>
        <v>0</v>
      </c>
      <c r="DY52" s="1066">
        <f t="shared" si="48"/>
        <v>0</v>
      </c>
      <c r="DZ52" s="1066">
        <f t="shared" si="48"/>
        <v>0</v>
      </c>
      <c r="EA52" s="1066">
        <f t="shared" si="48"/>
        <v>0</v>
      </c>
      <c r="EB52" s="1066">
        <f t="shared" si="48"/>
        <v>0</v>
      </c>
      <c r="EC52" s="1066"/>
      <c r="ED52" s="1066">
        <f t="shared" si="49"/>
        <v>0</v>
      </c>
    </row>
    <row r="53" spans="1:135" ht="53.25" customHeight="1" x14ac:dyDescent="0.25">
      <c r="A53" s="1565"/>
      <c r="B53" s="1018" t="s">
        <v>4312</v>
      </c>
      <c r="C53" s="1114" t="s">
        <v>4385</v>
      </c>
      <c r="D53" s="1018" t="s">
        <v>4327</v>
      </c>
      <c r="E53" s="1019">
        <v>410</v>
      </c>
      <c r="F53" s="1117" t="s">
        <v>4732</v>
      </c>
      <c r="G53" s="1428">
        <v>1104000000</v>
      </c>
      <c r="H53" s="1060">
        <f t="shared" si="31"/>
        <v>237292</v>
      </c>
      <c r="I53" s="1060">
        <f t="shared" si="32"/>
        <v>5762708</v>
      </c>
      <c r="J53" s="1117" t="s">
        <v>4826</v>
      </c>
      <c r="K53" s="1113" t="s">
        <v>4828</v>
      </c>
      <c r="L53" s="1113" t="s">
        <v>4830</v>
      </c>
      <c r="M53" s="1113">
        <v>0</v>
      </c>
      <c r="N53" s="1113">
        <v>0</v>
      </c>
      <c r="O53" s="1113">
        <v>0</v>
      </c>
      <c r="P53" s="1113">
        <v>0</v>
      </c>
      <c r="Q53" s="1113">
        <v>0</v>
      </c>
      <c r="R53" s="1113">
        <v>0</v>
      </c>
      <c r="S53" s="1117"/>
      <c r="T53" s="1117"/>
      <c r="U53" s="1117"/>
      <c r="V53" s="1117"/>
      <c r="W53" s="1117"/>
      <c r="X53" s="1117"/>
      <c r="Y53" s="1007">
        <f t="shared" si="33"/>
        <v>6000000</v>
      </c>
      <c r="Z53" s="944"/>
      <c r="AA53" s="1007"/>
      <c r="AB53" s="1007"/>
      <c r="AC53" s="1007"/>
      <c r="AD53" s="1007"/>
      <c r="AE53" s="1007"/>
      <c r="AF53" s="1007"/>
      <c r="AG53" s="1007"/>
      <c r="AH53" s="1007"/>
      <c r="AI53" s="1007"/>
      <c r="AJ53" s="1007"/>
      <c r="AK53" s="1007"/>
      <c r="AL53" s="1007"/>
      <c r="AM53" s="1007"/>
      <c r="AN53" s="1007"/>
      <c r="AO53" s="1007"/>
      <c r="AP53" s="1007"/>
      <c r="AQ53" s="1007"/>
      <c r="AR53" s="1007"/>
      <c r="AS53" s="1007">
        <f>4000000+2000000</f>
        <v>6000000</v>
      </c>
      <c r="AU53" s="1010">
        <f t="shared" si="3"/>
        <v>1</v>
      </c>
      <c r="AV53" s="1007">
        <f t="shared" si="34"/>
        <v>6000000</v>
      </c>
      <c r="AW53" s="1007"/>
      <c r="AX53" s="1007"/>
      <c r="AY53" s="1007"/>
      <c r="AZ53" s="1007"/>
      <c r="BA53" s="1007"/>
      <c r="BB53" s="1007"/>
      <c r="BC53" s="1007"/>
      <c r="BD53" s="1007"/>
      <c r="BE53" s="1007"/>
      <c r="BF53" s="1007"/>
      <c r="BG53" s="1007"/>
      <c r="BH53" s="1007"/>
      <c r="BI53" s="1007"/>
      <c r="BJ53" s="1007"/>
      <c r="BK53" s="1007"/>
      <c r="BL53" s="1007"/>
      <c r="BM53" s="1007"/>
      <c r="BN53" s="1007"/>
      <c r="BO53" s="1007"/>
      <c r="BP53" s="1007">
        <f>+'[10]JULIO 2015'!$AD$1462</f>
        <v>6000000</v>
      </c>
      <c r="BQ53" s="1010">
        <f t="shared" si="25"/>
        <v>0</v>
      </c>
      <c r="BR53" s="1007">
        <f t="shared" si="35"/>
        <v>0</v>
      </c>
      <c r="BS53" s="1007">
        <f t="shared" si="36"/>
        <v>0</v>
      </c>
      <c r="BT53" s="1007">
        <f t="shared" si="52"/>
        <v>0</v>
      </c>
      <c r="BU53" s="1007">
        <f t="shared" si="52"/>
        <v>0</v>
      </c>
      <c r="BV53" s="1007">
        <f t="shared" si="52"/>
        <v>0</v>
      </c>
      <c r="BW53" s="1007"/>
      <c r="BX53" s="1007">
        <f t="shared" si="38"/>
        <v>0</v>
      </c>
      <c r="BY53" s="1007">
        <f t="shared" si="38"/>
        <v>0</v>
      </c>
      <c r="BZ53" s="1007"/>
      <c r="CA53" s="1007">
        <f>+AH53-BF53</f>
        <v>0</v>
      </c>
      <c r="CB53" s="1007">
        <f>+AI53-BF53</f>
        <v>0</v>
      </c>
      <c r="CC53" s="1007">
        <f>+AJ53-BG53</f>
        <v>0</v>
      </c>
      <c r="CD53" s="1007">
        <f t="shared" si="40"/>
        <v>0</v>
      </c>
      <c r="CE53" s="1007">
        <f t="shared" si="40"/>
        <v>0</v>
      </c>
      <c r="CF53" s="1007">
        <f t="shared" si="40"/>
        <v>0</v>
      </c>
      <c r="CG53" s="1007">
        <f t="shared" si="40"/>
        <v>0</v>
      </c>
      <c r="CH53" s="1007">
        <f t="shared" si="40"/>
        <v>0</v>
      </c>
      <c r="CI53" s="1007">
        <f t="shared" si="40"/>
        <v>0</v>
      </c>
      <c r="CJ53" s="1007">
        <f>+AQ53-BN53</f>
        <v>0</v>
      </c>
      <c r="CK53" s="1007">
        <f>+AR53-BO53</f>
        <v>0</v>
      </c>
      <c r="CL53" s="1007">
        <f t="shared" si="41"/>
        <v>0</v>
      </c>
      <c r="CM53" s="1010">
        <f t="shared" si="13"/>
        <v>3.9548666666666669E-2</v>
      </c>
      <c r="CN53" s="1007">
        <f t="shared" si="42"/>
        <v>237292</v>
      </c>
      <c r="CO53" s="1007"/>
      <c r="CP53" s="1007"/>
      <c r="CQ53" s="1007"/>
      <c r="CR53" s="1007"/>
      <c r="CS53" s="1007"/>
      <c r="CT53" s="1007"/>
      <c r="CU53" s="1007"/>
      <c r="CV53" s="1007"/>
      <c r="CW53" s="1007"/>
      <c r="CX53" s="1007"/>
      <c r="CY53" s="1007"/>
      <c r="CZ53" s="1007"/>
      <c r="DA53" s="1007"/>
      <c r="DB53" s="1007"/>
      <c r="DC53" s="1007"/>
      <c r="DD53" s="1007"/>
      <c r="DE53" s="1007"/>
      <c r="DF53" s="1007"/>
      <c r="DG53" s="1007"/>
      <c r="DH53" s="1007">
        <f>+'[7]AGOSTO 2015'!$H$1644</f>
        <v>237292</v>
      </c>
      <c r="DI53" s="1010">
        <f t="shared" si="15"/>
        <v>0.96045133333333332</v>
      </c>
      <c r="DJ53" s="1007">
        <f t="shared" si="43"/>
        <v>5762708</v>
      </c>
      <c r="DK53" s="1007"/>
      <c r="DL53" s="1007"/>
      <c r="DM53" s="1007"/>
      <c r="DN53" s="1007">
        <f t="shared" si="51"/>
        <v>0</v>
      </c>
      <c r="DO53" s="1007"/>
      <c r="DP53" s="1007">
        <f t="shared" si="45"/>
        <v>0</v>
      </c>
      <c r="DQ53" s="1007">
        <f t="shared" si="45"/>
        <v>0</v>
      </c>
      <c r="DR53" s="1007"/>
      <c r="DS53" s="1007">
        <f t="shared" si="46"/>
        <v>0</v>
      </c>
      <c r="DT53" s="1007">
        <f t="shared" si="46"/>
        <v>0</v>
      </c>
      <c r="DU53" s="1007"/>
      <c r="DV53" s="1007">
        <f t="shared" si="47"/>
        <v>0</v>
      </c>
      <c r="DW53" s="1007">
        <f t="shared" si="47"/>
        <v>0</v>
      </c>
      <c r="DX53" s="1007">
        <f t="shared" si="47"/>
        <v>0</v>
      </c>
      <c r="DY53" s="1007">
        <f t="shared" si="48"/>
        <v>0</v>
      </c>
      <c r="DZ53" s="1007">
        <f t="shared" si="48"/>
        <v>0</v>
      </c>
      <c r="EA53" s="1007">
        <f t="shared" si="48"/>
        <v>0</v>
      </c>
      <c r="EB53" s="1007">
        <f t="shared" si="48"/>
        <v>0</v>
      </c>
      <c r="EC53" s="1007"/>
      <c r="ED53" s="1007">
        <f t="shared" si="49"/>
        <v>5762708</v>
      </c>
    </row>
    <row r="54" spans="1:135" ht="36.75" customHeight="1" x14ac:dyDescent="0.25">
      <c r="A54" s="1565"/>
      <c r="B54" s="1018"/>
      <c r="C54" s="1114" t="s">
        <v>4386</v>
      </c>
      <c r="D54" s="1018" t="s">
        <v>4326</v>
      </c>
      <c r="E54" s="1019">
        <v>410</v>
      </c>
      <c r="F54" s="1117" t="s">
        <v>3350</v>
      </c>
      <c r="G54" s="1429"/>
      <c r="H54" s="1060">
        <f t="shared" si="31"/>
        <v>68304224</v>
      </c>
      <c r="I54" s="1060">
        <f t="shared" si="32"/>
        <v>49135813</v>
      </c>
      <c r="J54" s="1428" t="s">
        <v>4827</v>
      </c>
      <c r="K54" s="1257" t="s">
        <v>4829</v>
      </c>
      <c r="L54" s="1257" t="s">
        <v>4831</v>
      </c>
      <c r="M54" s="1113">
        <v>6</v>
      </c>
      <c r="N54" s="1113">
        <v>400</v>
      </c>
      <c r="O54" s="1113">
        <v>25</v>
      </c>
      <c r="P54" s="1113">
        <v>44</v>
      </c>
      <c r="Q54" s="1113">
        <v>450</v>
      </c>
      <c r="R54" s="1113">
        <v>200</v>
      </c>
      <c r="S54" s="1117"/>
      <c r="T54" s="1117"/>
      <c r="U54" s="1117"/>
      <c r="V54" s="1117"/>
      <c r="W54" s="1117"/>
      <c r="X54" s="1117"/>
      <c r="Y54" s="1007">
        <f t="shared" si="33"/>
        <v>117440037</v>
      </c>
      <c r="Z54" s="944"/>
      <c r="AA54" s="1007">
        <f>400000000-352559963</f>
        <v>47440037</v>
      </c>
      <c r="AB54" s="1007"/>
      <c r="AC54" s="1007"/>
      <c r="AD54" s="1007"/>
      <c r="AE54" s="1007">
        <v>50000000</v>
      </c>
      <c r="AF54" s="1007"/>
      <c r="AG54" s="1007"/>
      <c r="AH54" s="1007"/>
      <c r="AI54" s="1007"/>
      <c r="AJ54" s="1007"/>
      <c r="AK54" s="1007"/>
      <c r="AL54" s="1007"/>
      <c r="AM54" s="1007"/>
      <c r="AN54" s="1007"/>
      <c r="AO54" s="1007">
        <v>20000000</v>
      </c>
      <c r="AP54" s="1007"/>
      <c r="AQ54" s="1007"/>
      <c r="AR54" s="1007"/>
      <c r="AS54" s="1007"/>
      <c r="AU54" s="1010">
        <f t="shared" si="3"/>
        <v>1</v>
      </c>
      <c r="AV54" s="1007">
        <f t="shared" si="34"/>
        <v>117440037</v>
      </c>
      <c r="AW54" s="1007"/>
      <c r="AX54" s="1007">
        <f>+'[13]JUNIO 2015'!$K$1243</f>
        <v>47440037</v>
      </c>
      <c r="AY54" s="1007"/>
      <c r="AZ54" s="1007"/>
      <c r="BA54" s="1007"/>
      <c r="BB54" s="1007">
        <f>+'[13]JUNIO 2015'!$O$1243</f>
        <v>50000000</v>
      </c>
      <c r="BC54" s="1007"/>
      <c r="BD54" s="1007"/>
      <c r="BE54" s="1007"/>
      <c r="BF54" s="1007"/>
      <c r="BG54" s="1007"/>
      <c r="BH54" s="1007"/>
      <c r="BI54" s="1007"/>
      <c r="BJ54" s="1007"/>
      <c r="BK54" s="1007"/>
      <c r="BL54" s="1007">
        <f>+'[10]JULIO 2015'!$Y$1469</f>
        <v>20000000</v>
      </c>
      <c r="BM54" s="1007"/>
      <c r="BN54" s="1007"/>
      <c r="BO54" s="1007"/>
      <c r="BP54" s="1007"/>
      <c r="BQ54" s="1010">
        <f t="shared" si="25"/>
        <v>0</v>
      </c>
      <c r="BR54" s="1007">
        <f t="shared" si="35"/>
        <v>0</v>
      </c>
      <c r="BS54" s="1007">
        <f t="shared" si="36"/>
        <v>0</v>
      </c>
      <c r="BT54" s="1007">
        <f t="shared" si="52"/>
        <v>0</v>
      </c>
      <c r="BU54" s="1007">
        <f t="shared" si="52"/>
        <v>0</v>
      </c>
      <c r="BV54" s="1007">
        <f t="shared" si="52"/>
        <v>0</v>
      </c>
      <c r="BW54" s="1007"/>
      <c r="BX54" s="1007">
        <f t="shared" si="38"/>
        <v>0</v>
      </c>
      <c r="BY54" s="1007">
        <f t="shared" si="38"/>
        <v>0</v>
      </c>
      <c r="BZ54" s="1007"/>
      <c r="CA54" s="1007">
        <f>+AH54-BF54</f>
        <v>0</v>
      </c>
      <c r="CB54" s="1007">
        <f>+AI54-BG54</f>
        <v>0</v>
      </c>
      <c r="CC54" s="1007">
        <f>+AJ54-BH54</f>
        <v>0</v>
      </c>
      <c r="CD54" s="1007">
        <f t="shared" si="40"/>
        <v>0</v>
      </c>
      <c r="CE54" s="1007">
        <f t="shared" si="40"/>
        <v>0</v>
      </c>
      <c r="CF54" s="1007">
        <f t="shared" si="40"/>
        <v>0</v>
      </c>
      <c r="CG54" s="1007">
        <f t="shared" si="40"/>
        <v>0</v>
      </c>
      <c r="CH54" s="1007">
        <f t="shared" si="40"/>
        <v>0</v>
      </c>
      <c r="CI54" s="1007">
        <f t="shared" si="40"/>
        <v>0</v>
      </c>
      <c r="CJ54" s="1007">
        <f>+AQ54-BN54</f>
        <v>0</v>
      </c>
      <c r="CK54" s="1007">
        <f>+AR54-BO54</f>
        <v>0</v>
      </c>
      <c r="CL54" s="1007">
        <f t="shared" si="41"/>
        <v>0</v>
      </c>
      <c r="CM54" s="1010">
        <f t="shared" si="13"/>
        <v>0.58160935354609944</v>
      </c>
      <c r="CN54" s="1007">
        <f t="shared" si="42"/>
        <v>68304224</v>
      </c>
      <c r="CO54" s="1007"/>
      <c r="CP54" s="1007">
        <f>+'[10]JULIO 2015'!$H$1471+'[10]JULIO 2015'!$H$1473+'[10]JULIO 2015'!$H$1477+'[10]JULIO 2015'!$H$1480+'[10]JULIO 2015'!$H$1485+'[10]JULIO 2015'!$H$1490+'[10]JULIO 2015'!$H$1493+'[10]JULIO 2015'!$H$1496+'[10]JULIO 2015'!$H$1502+'[10]JULIO 2015'!$H$1504</f>
        <v>47440037</v>
      </c>
      <c r="CQ54" s="1007"/>
      <c r="CR54" s="1007"/>
      <c r="CS54" s="1007"/>
      <c r="CT54" s="1007">
        <f>+'[10]JULIO 2015'!$H$1506</f>
        <v>14002131</v>
      </c>
      <c r="CU54" s="1007"/>
      <c r="CV54" s="1007"/>
      <c r="CW54" s="1007"/>
      <c r="CX54" s="1007"/>
      <c r="CY54" s="1007"/>
      <c r="CZ54" s="1007"/>
      <c r="DA54" s="1007"/>
      <c r="DB54" s="1007"/>
      <c r="DC54" s="1007"/>
      <c r="DD54" s="1007">
        <f>+'[10]JULIO 2015'!$H$1511</f>
        <v>6862056</v>
      </c>
      <c r="DE54" s="1007"/>
      <c r="DF54" s="1007"/>
      <c r="DG54" s="1007"/>
      <c r="DH54" s="1007"/>
      <c r="DI54" s="1010">
        <f t="shared" si="15"/>
        <v>0.41839064645390056</v>
      </c>
      <c r="DJ54" s="1007">
        <f t="shared" si="43"/>
        <v>49135813</v>
      </c>
      <c r="DK54" s="1007"/>
      <c r="DL54" s="1007">
        <f>AA54-CP54</f>
        <v>0</v>
      </c>
      <c r="DM54" s="1007">
        <f>AB54-CQ54</f>
        <v>0</v>
      </c>
      <c r="DN54" s="1007">
        <f t="shared" si="51"/>
        <v>0</v>
      </c>
      <c r="DO54" s="1007"/>
      <c r="DP54" s="1007">
        <f t="shared" si="45"/>
        <v>35997869</v>
      </c>
      <c r="DQ54" s="1007">
        <f t="shared" si="45"/>
        <v>0</v>
      </c>
      <c r="DR54" s="1007"/>
      <c r="DS54" s="1007">
        <f t="shared" si="46"/>
        <v>0</v>
      </c>
      <c r="DT54" s="1007">
        <f t="shared" si="46"/>
        <v>0</v>
      </c>
      <c r="DU54" s="1007"/>
      <c r="DV54" s="1007">
        <f t="shared" si="47"/>
        <v>0</v>
      </c>
      <c r="DW54" s="1007">
        <f t="shared" si="47"/>
        <v>0</v>
      </c>
      <c r="DX54" s="1007">
        <f t="shared" si="47"/>
        <v>0</v>
      </c>
      <c r="DY54" s="1007">
        <f t="shared" si="48"/>
        <v>0</v>
      </c>
      <c r="DZ54" s="1007">
        <f t="shared" si="48"/>
        <v>13137944</v>
      </c>
      <c r="EA54" s="1007">
        <f t="shared" si="48"/>
        <v>0</v>
      </c>
      <c r="EB54" s="1007">
        <f t="shared" si="48"/>
        <v>0</v>
      </c>
      <c r="EC54" s="1007"/>
      <c r="ED54" s="1007">
        <f t="shared" si="49"/>
        <v>0</v>
      </c>
    </row>
    <row r="55" spans="1:135" ht="20.25" customHeight="1" x14ac:dyDescent="0.25">
      <c r="A55" s="1565"/>
      <c r="B55" s="1018"/>
      <c r="C55" s="1114" t="s">
        <v>4387</v>
      </c>
      <c r="D55" s="1018" t="s">
        <v>4610</v>
      </c>
      <c r="E55" s="1019">
        <v>410</v>
      </c>
      <c r="F55" s="1117" t="s">
        <v>3350</v>
      </c>
      <c r="G55" s="1430"/>
      <c r="H55" s="1060">
        <f t="shared" si="31"/>
        <v>777018788</v>
      </c>
      <c r="I55" s="1060">
        <f t="shared" si="32"/>
        <v>2026994892</v>
      </c>
      <c r="J55" s="1430"/>
      <c r="K55" s="1258"/>
      <c r="L55" s="1258"/>
      <c r="M55" s="1113">
        <v>56</v>
      </c>
      <c r="N55" s="1113">
        <v>150</v>
      </c>
      <c r="O55" s="1113">
        <v>84</v>
      </c>
      <c r="P55" s="1113">
        <v>20</v>
      </c>
      <c r="Q55" s="1113">
        <v>100</v>
      </c>
      <c r="R55" s="1113">
        <v>20</v>
      </c>
      <c r="S55" s="1117"/>
      <c r="T55" s="1117"/>
      <c r="U55" s="1117"/>
      <c r="V55" s="1117"/>
      <c r="W55" s="1117"/>
      <c r="X55" s="1117"/>
      <c r="Y55" s="1007">
        <f t="shared" si="33"/>
        <v>2804013680</v>
      </c>
      <c r="Z55" s="944"/>
      <c r="AA55" s="1007"/>
      <c r="AB55" s="1007"/>
      <c r="AC55" s="1007"/>
      <c r="AD55" s="1007"/>
      <c r="AE55" s="1007"/>
      <c r="AF55" s="1007"/>
      <c r="AG55" s="1007"/>
      <c r="AH55" s="1007"/>
      <c r="AI55" s="1007"/>
      <c r="AJ55" s="1007"/>
      <c r="AK55" s="1007"/>
      <c r="AL55" s="1007">
        <f>700000000+2104013680</f>
        <v>2804013680</v>
      </c>
      <c r="AM55" s="1007"/>
      <c r="AN55" s="1007"/>
      <c r="AO55" s="1007"/>
      <c r="AP55" s="1007"/>
      <c r="AQ55" s="1007"/>
      <c r="AR55" s="1007"/>
      <c r="AS55" s="1007"/>
      <c r="AU55" s="1010">
        <f t="shared" si="3"/>
        <v>0.64077857815586692</v>
      </c>
      <c r="AV55" s="1007">
        <f t="shared" si="34"/>
        <v>1796751899</v>
      </c>
      <c r="AW55" s="1007"/>
      <c r="AX55" s="1007"/>
      <c r="AY55" s="1007"/>
      <c r="AZ55" s="1007"/>
      <c r="BA55" s="1007"/>
      <c r="BB55" s="1007"/>
      <c r="BC55" s="1007"/>
      <c r="BD55" s="1007"/>
      <c r="BE55" s="1007"/>
      <c r="BF55" s="1007"/>
      <c r="BG55" s="1007"/>
      <c r="BH55" s="1007"/>
      <c r="BI55" s="1007">
        <f>+'[8]SEPTIEMBRE 2015'!$V$1941</f>
        <v>1796751899</v>
      </c>
      <c r="BJ55" s="1007"/>
      <c r="BK55" s="1007"/>
      <c r="BL55" s="1007"/>
      <c r="BM55" s="1007"/>
      <c r="BN55" s="1007"/>
      <c r="BO55" s="1007"/>
      <c r="BP55" s="1007"/>
      <c r="BQ55" s="1010">
        <f t="shared" si="25"/>
        <v>0.35922142184413308</v>
      </c>
      <c r="BR55" s="1007">
        <f t="shared" si="35"/>
        <v>1007261781</v>
      </c>
      <c r="BS55" s="1007">
        <f t="shared" si="36"/>
        <v>0</v>
      </c>
      <c r="BT55" s="1007">
        <f t="shared" si="52"/>
        <v>0</v>
      </c>
      <c r="BU55" s="1007">
        <f t="shared" si="52"/>
        <v>0</v>
      </c>
      <c r="BV55" s="1007">
        <f t="shared" si="52"/>
        <v>0</v>
      </c>
      <c r="BW55" s="1007"/>
      <c r="BX55" s="1007">
        <f t="shared" si="38"/>
        <v>0</v>
      </c>
      <c r="BY55" s="1007">
        <f t="shared" si="38"/>
        <v>0</v>
      </c>
      <c r="BZ55" s="1007"/>
      <c r="CA55" s="1007"/>
      <c r="CB55" s="1007">
        <f>+AI55-BG55</f>
        <v>0</v>
      </c>
      <c r="CC55" s="1007"/>
      <c r="CD55" s="1007">
        <f t="shared" ref="CD55:CF58" si="54">+AK55-BH55</f>
        <v>0</v>
      </c>
      <c r="CE55" s="1007">
        <f t="shared" si="54"/>
        <v>1007261781</v>
      </c>
      <c r="CF55" s="1007">
        <f t="shared" si="54"/>
        <v>0</v>
      </c>
      <c r="CG55" s="1007"/>
      <c r="CH55" s="1007">
        <f t="shared" ref="CH55:CI58" si="55">+AO55-BL55</f>
        <v>0</v>
      </c>
      <c r="CI55" s="1007">
        <f t="shared" si="55"/>
        <v>0</v>
      </c>
      <c r="CJ55" s="1007"/>
      <c r="CK55" s="1007"/>
      <c r="CL55" s="1007">
        <f t="shared" si="41"/>
        <v>0</v>
      </c>
      <c r="CM55" s="1010">
        <f t="shared" si="13"/>
        <v>0.27710948542875868</v>
      </c>
      <c r="CN55" s="1007">
        <f t="shared" si="42"/>
        <v>777018788</v>
      </c>
      <c r="CO55" s="1007"/>
      <c r="CP55" s="1007"/>
      <c r="CQ55" s="1007"/>
      <c r="CR55" s="1007"/>
      <c r="CS55" s="1007"/>
      <c r="CT55" s="1007"/>
      <c r="CU55" s="1007"/>
      <c r="CV55" s="1007"/>
      <c r="CW55" s="1007"/>
      <c r="CX55" s="1007"/>
      <c r="CY55" s="1007"/>
      <c r="CZ55" s="1007"/>
      <c r="DA55" s="1007">
        <f>+'[8]SEPTIEMBRE 2015'!$H$1939</f>
        <v>777018788</v>
      </c>
      <c r="DB55" s="1007"/>
      <c r="DC55" s="1007"/>
      <c r="DD55" s="1007"/>
      <c r="DE55" s="1007"/>
      <c r="DF55" s="1007"/>
      <c r="DG55" s="1007"/>
      <c r="DH55" s="1007"/>
      <c r="DI55" s="1010">
        <f t="shared" si="15"/>
        <v>0.72289051457124132</v>
      </c>
      <c r="DJ55" s="1007">
        <f t="shared" si="43"/>
        <v>2026994892</v>
      </c>
      <c r="DK55" s="1007"/>
      <c r="DL55" s="1007"/>
      <c r="DM55" s="1007"/>
      <c r="DN55" s="1007">
        <f t="shared" si="51"/>
        <v>0</v>
      </c>
      <c r="DO55" s="1007"/>
      <c r="DP55" s="1007">
        <f t="shared" si="45"/>
        <v>0</v>
      </c>
      <c r="DQ55" s="1007">
        <f t="shared" si="45"/>
        <v>0</v>
      </c>
      <c r="DR55" s="1007"/>
      <c r="DS55" s="1007">
        <f t="shared" si="46"/>
        <v>0</v>
      </c>
      <c r="DT55" s="1007">
        <f t="shared" si="46"/>
        <v>0</v>
      </c>
      <c r="DU55" s="1007"/>
      <c r="DV55" s="1007">
        <f t="shared" si="47"/>
        <v>0</v>
      </c>
      <c r="DW55" s="1007">
        <f t="shared" si="47"/>
        <v>2026994892</v>
      </c>
      <c r="DX55" s="1007">
        <f t="shared" si="47"/>
        <v>0</v>
      </c>
      <c r="DY55" s="1007">
        <f t="shared" si="48"/>
        <v>0</v>
      </c>
      <c r="DZ55" s="1007">
        <f t="shared" si="48"/>
        <v>0</v>
      </c>
      <c r="EA55" s="1007">
        <f t="shared" si="48"/>
        <v>0</v>
      </c>
      <c r="EB55" s="1007">
        <f t="shared" si="48"/>
        <v>0</v>
      </c>
      <c r="EC55" s="1007"/>
      <c r="ED55" s="1007">
        <f t="shared" si="49"/>
        <v>0</v>
      </c>
    </row>
    <row r="56" spans="1:135" ht="46.5" customHeight="1" x14ac:dyDescent="0.25">
      <c r="A56" s="1565"/>
      <c r="B56" s="1018" t="s">
        <v>4313</v>
      </c>
      <c r="C56" s="1114" t="s">
        <v>4388</v>
      </c>
      <c r="D56" s="1018" t="s">
        <v>4611</v>
      </c>
      <c r="E56" s="1019">
        <v>410</v>
      </c>
      <c r="F56" s="1117" t="s">
        <v>3350</v>
      </c>
      <c r="G56" s="1428">
        <v>50000000</v>
      </c>
      <c r="H56" s="1060">
        <f t="shared" si="31"/>
        <v>35000000</v>
      </c>
      <c r="I56" s="1060">
        <f t="shared" si="32"/>
        <v>0</v>
      </c>
      <c r="J56" s="1117" t="s">
        <v>4832</v>
      </c>
      <c r="K56" s="1113" t="s">
        <v>4833</v>
      </c>
      <c r="L56" s="1113" t="s">
        <v>4834</v>
      </c>
      <c r="M56" s="1113">
        <v>73</v>
      </c>
      <c r="N56" s="1113">
        <v>0</v>
      </c>
      <c r="O56" s="1113">
        <v>0</v>
      </c>
      <c r="P56" s="1113">
        <v>85</v>
      </c>
      <c r="Q56" s="1113">
        <v>50</v>
      </c>
      <c r="R56" s="1113">
        <v>42</v>
      </c>
      <c r="S56" s="1117"/>
      <c r="T56" s="1117"/>
      <c r="U56" s="1117"/>
      <c r="V56" s="1117"/>
      <c r="W56" s="1117"/>
      <c r="X56" s="1117"/>
      <c r="Y56" s="1007">
        <f t="shared" si="33"/>
        <v>35000000</v>
      </c>
      <c r="Z56" s="944"/>
      <c r="AA56" s="1007"/>
      <c r="AB56" s="1007"/>
      <c r="AC56" s="1007"/>
      <c r="AD56" s="1007"/>
      <c r="AE56" s="1007">
        <v>35000000</v>
      </c>
      <c r="AF56" s="1007"/>
      <c r="AG56" s="1007"/>
      <c r="AH56" s="1007"/>
      <c r="AI56" s="1007"/>
      <c r="AJ56" s="1007"/>
      <c r="AK56" s="1007"/>
      <c r="AL56" s="1007"/>
      <c r="AM56" s="1007"/>
      <c r="AN56" s="1007"/>
      <c r="AO56" s="1007"/>
      <c r="AP56" s="1007"/>
      <c r="AQ56" s="1007"/>
      <c r="AR56" s="1007"/>
      <c r="AS56" s="1007"/>
      <c r="AU56" s="1010">
        <f t="shared" si="3"/>
        <v>1</v>
      </c>
      <c r="AV56" s="1007">
        <f t="shared" si="34"/>
        <v>35000000</v>
      </c>
      <c r="AW56" s="1007"/>
      <c r="AX56" s="1007"/>
      <c r="AY56" s="1007"/>
      <c r="AZ56" s="1007"/>
      <c r="BA56" s="1007"/>
      <c r="BB56" s="1007">
        <f>+'[15]FEBRERO 2015'!$N$658</f>
        <v>35000000</v>
      </c>
      <c r="BC56" s="1007"/>
      <c r="BD56" s="1007"/>
      <c r="BE56" s="1007"/>
      <c r="BF56" s="1007"/>
      <c r="BG56" s="1007"/>
      <c r="BH56" s="1007"/>
      <c r="BI56" s="1007"/>
      <c r="BJ56" s="1007"/>
      <c r="BK56" s="1007"/>
      <c r="BL56" s="1007"/>
      <c r="BM56" s="1007"/>
      <c r="BN56" s="1007"/>
      <c r="BO56" s="1007"/>
      <c r="BP56" s="1007"/>
      <c r="BQ56" s="1010">
        <f t="shared" si="25"/>
        <v>0</v>
      </c>
      <c r="BR56" s="1007">
        <f t="shared" si="35"/>
        <v>0</v>
      </c>
      <c r="BS56" s="1007">
        <f t="shared" si="36"/>
        <v>0</v>
      </c>
      <c r="BT56" s="1007">
        <f t="shared" si="52"/>
        <v>0</v>
      </c>
      <c r="BU56" s="1007">
        <f t="shared" si="52"/>
        <v>0</v>
      </c>
      <c r="BV56" s="1007">
        <f t="shared" si="52"/>
        <v>0</v>
      </c>
      <c r="BW56" s="1007"/>
      <c r="BX56" s="1007">
        <f t="shared" si="38"/>
        <v>0</v>
      </c>
      <c r="BY56" s="1007">
        <f t="shared" si="38"/>
        <v>0</v>
      </c>
      <c r="BZ56" s="1007"/>
      <c r="CA56" s="1007">
        <f>+AH56-BE56</f>
        <v>0</v>
      </c>
      <c r="CB56" s="1007">
        <f>+AI56-BF56</f>
        <v>0</v>
      </c>
      <c r="CC56" s="1007">
        <f>+AJ56-BG56</f>
        <v>0</v>
      </c>
      <c r="CD56" s="1007">
        <f t="shared" si="54"/>
        <v>0</v>
      </c>
      <c r="CE56" s="1007">
        <f t="shared" si="54"/>
        <v>0</v>
      </c>
      <c r="CF56" s="1007">
        <f t="shared" si="54"/>
        <v>0</v>
      </c>
      <c r="CG56" s="1007">
        <f>+AN56-BK56</f>
        <v>0</v>
      </c>
      <c r="CH56" s="1007">
        <f t="shared" si="55"/>
        <v>0</v>
      </c>
      <c r="CI56" s="1007">
        <f t="shared" si="55"/>
        <v>0</v>
      </c>
      <c r="CJ56" s="1007">
        <f>+AQ56-BN56</f>
        <v>0</v>
      </c>
      <c r="CK56" s="1007">
        <f>+AR56-BO56</f>
        <v>0</v>
      </c>
      <c r="CL56" s="1007">
        <f t="shared" si="41"/>
        <v>0</v>
      </c>
      <c r="CM56" s="1010">
        <f t="shared" si="13"/>
        <v>1</v>
      </c>
      <c r="CN56" s="1007">
        <f t="shared" si="42"/>
        <v>35000000</v>
      </c>
      <c r="CO56" s="1007"/>
      <c r="CP56" s="1007"/>
      <c r="CQ56" s="1007"/>
      <c r="CR56" s="1007"/>
      <c r="CS56" s="1007"/>
      <c r="CT56" s="1007">
        <f>+'[8]SEPTIEMBRE 2015'!$H$2273</f>
        <v>35000000</v>
      </c>
      <c r="CU56" s="1007"/>
      <c r="CV56" s="1007"/>
      <c r="CW56" s="1007"/>
      <c r="CX56" s="1007"/>
      <c r="CY56" s="1007"/>
      <c r="CZ56" s="1007"/>
      <c r="DA56" s="1007"/>
      <c r="DB56" s="1007"/>
      <c r="DC56" s="1007"/>
      <c r="DD56" s="1007"/>
      <c r="DE56" s="1007"/>
      <c r="DF56" s="1007"/>
      <c r="DG56" s="1007"/>
      <c r="DH56" s="1007"/>
      <c r="DI56" s="1010">
        <f t="shared" si="15"/>
        <v>0</v>
      </c>
      <c r="DJ56" s="1007">
        <f t="shared" si="43"/>
        <v>0</v>
      </c>
      <c r="DK56" s="1007"/>
      <c r="DL56" s="1007"/>
      <c r="DM56" s="1007"/>
      <c r="DN56" s="1007">
        <f t="shared" si="51"/>
        <v>0</v>
      </c>
      <c r="DO56" s="1007"/>
      <c r="DP56" s="1007">
        <f t="shared" si="45"/>
        <v>0</v>
      </c>
      <c r="DQ56" s="1007">
        <f t="shared" si="45"/>
        <v>0</v>
      </c>
      <c r="DR56" s="1007"/>
      <c r="DS56" s="1007">
        <f t="shared" si="46"/>
        <v>0</v>
      </c>
      <c r="DT56" s="1007">
        <f t="shared" si="46"/>
        <v>0</v>
      </c>
      <c r="DU56" s="1007"/>
      <c r="DV56" s="1007">
        <f t="shared" si="47"/>
        <v>0</v>
      </c>
      <c r="DW56" s="1007">
        <f t="shared" si="47"/>
        <v>0</v>
      </c>
      <c r="DX56" s="1007">
        <f t="shared" si="47"/>
        <v>0</v>
      </c>
      <c r="DY56" s="1007">
        <f t="shared" si="48"/>
        <v>0</v>
      </c>
      <c r="DZ56" s="1007">
        <f t="shared" si="48"/>
        <v>0</v>
      </c>
      <c r="EA56" s="1007">
        <f t="shared" si="48"/>
        <v>0</v>
      </c>
      <c r="EB56" s="1007">
        <f t="shared" si="48"/>
        <v>0</v>
      </c>
      <c r="EC56" s="1007"/>
      <c r="ED56" s="1007">
        <f t="shared" si="49"/>
        <v>0</v>
      </c>
    </row>
    <row r="57" spans="1:135" ht="35.25" customHeight="1" x14ac:dyDescent="0.25">
      <c r="A57" s="1565"/>
      <c r="B57" s="1018"/>
      <c r="C57" s="1114" t="s">
        <v>4556</v>
      </c>
      <c r="D57" s="1018" t="s">
        <v>4612</v>
      </c>
      <c r="E57" s="1019">
        <v>410</v>
      </c>
      <c r="F57" s="1117" t="s">
        <v>3350</v>
      </c>
      <c r="G57" s="1430"/>
      <c r="H57" s="1060">
        <f t="shared" si="31"/>
        <v>14594526</v>
      </c>
      <c r="I57" s="1060">
        <f t="shared" si="32"/>
        <v>405474</v>
      </c>
      <c r="J57" s="1117" t="s">
        <v>4832</v>
      </c>
      <c r="K57" s="1113" t="s">
        <v>4833</v>
      </c>
      <c r="L57" s="1113" t="s">
        <v>4834</v>
      </c>
      <c r="M57" s="1113">
        <v>0</v>
      </c>
      <c r="N57" s="1113">
        <v>100</v>
      </c>
      <c r="O57" s="1113">
        <v>0</v>
      </c>
      <c r="P57" s="1113">
        <v>47</v>
      </c>
      <c r="Q57" s="1113">
        <v>50</v>
      </c>
      <c r="R57" s="1113">
        <v>23</v>
      </c>
      <c r="S57" s="1117"/>
      <c r="T57" s="1117"/>
      <c r="U57" s="1117"/>
      <c r="V57" s="1117"/>
      <c r="W57" s="1117"/>
      <c r="X57" s="1117"/>
      <c r="Y57" s="1007">
        <f t="shared" si="33"/>
        <v>15000000</v>
      </c>
      <c r="Z57" s="944"/>
      <c r="AA57" s="1007"/>
      <c r="AB57" s="1007"/>
      <c r="AC57" s="1007"/>
      <c r="AD57" s="1007"/>
      <c r="AE57" s="1007">
        <v>15000000</v>
      </c>
      <c r="AF57" s="1007"/>
      <c r="AG57" s="1007"/>
      <c r="AH57" s="1007"/>
      <c r="AI57" s="1007"/>
      <c r="AJ57" s="1007"/>
      <c r="AK57" s="1007"/>
      <c r="AL57" s="1007"/>
      <c r="AM57" s="1007"/>
      <c r="AN57" s="1007"/>
      <c r="AO57" s="1007"/>
      <c r="AP57" s="1007"/>
      <c r="AQ57" s="1007"/>
      <c r="AR57" s="1007"/>
      <c r="AS57" s="1007"/>
      <c r="AU57" s="1010">
        <f t="shared" si="3"/>
        <v>1</v>
      </c>
      <c r="AV57" s="1007">
        <f t="shared" si="34"/>
        <v>15000000</v>
      </c>
      <c r="AW57" s="1007"/>
      <c r="AX57" s="1007"/>
      <c r="AY57" s="1007"/>
      <c r="AZ57" s="1007"/>
      <c r="BA57" s="1007"/>
      <c r="BB57" s="1007">
        <f>+'[15]FEBRERO 2015'!$G$661</f>
        <v>15000000</v>
      </c>
      <c r="BC57" s="1007"/>
      <c r="BD57" s="1007"/>
      <c r="BE57" s="1007"/>
      <c r="BF57" s="1007"/>
      <c r="BG57" s="1007"/>
      <c r="BH57" s="1007"/>
      <c r="BI57" s="1007"/>
      <c r="BJ57" s="1007"/>
      <c r="BK57" s="1007"/>
      <c r="BL57" s="1007"/>
      <c r="BM57" s="1007"/>
      <c r="BN57" s="1007"/>
      <c r="BO57" s="1007"/>
      <c r="BP57" s="1007"/>
      <c r="BQ57" s="1010">
        <f t="shared" si="25"/>
        <v>0</v>
      </c>
      <c r="BR57" s="1007">
        <f t="shared" si="35"/>
        <v>0</v>
      </c>
      <c r="BS57" s="1007">
        <f t="shared" si="36"/>
        <v>0</v>
      </c>
      <c r="BT57" s="1007"/>
      <c r="BU57" s="1007">
        <f t="shared" si="52"/>
        <v>0</v>
      </c>
      <c r="BV57" s="1007">
        <f t="shared" si="52"/>
        <v>0</v>
      </c>
      <c r="BW57" s="1007"/>
      <c r="BX57" s="1007">
        <f t="shared" si="38"/>
        <v>0</v>
      </c>
      <c r="BY57" s="1007">
        <f t="shared" si="38"/>
        <v>0</v>
      </c>
      <c r="BZ57" s="1007"/>
      <c r="CA57" s="1007"/>
      <c r="CB57" s="1007">
        <f>+AI57-BF57</f>
        <v>0</v>
      </c>
      <c r="CC57" s="1007"/>
      <c r="CD57" s="1007">
        <f t="shared" si="54"/>
        <v>0</v>
      </c>
      <c r="CE57" s="1007">
        <f t="shared" si="54"/>
        <v>0</v>
      </c>
      <c r="CF57" s="1007">
        <f t="shared" si="54"/>
        <v>0</v>
      </c>
      <c r="CG57" s="1007">
        <f>+AN57-BK57</f>
        <v>0</v>
      </c>
      <c r="CH57" s="1007">
        <f t="shared" si="55"/>
        <v>0</v>
      </c>
      <c r="CI57" s="1007">
        <f t="shared" si="55"/>
        <v>0</v>
      </c>
      <c r="CJ57" s="1007"/>
      <c r="CK57" s="1007"/>
      <c r="CL57" s="1007">
        <f t="shared" si="41"/>
        <v>0</v>
      </c>
      <c r="CM57" s="1010">
        <f t="shared" si="13"/>
        <v>0.97296839999999996</v>
      </c>
      <c r="CN57" s="1007">
        <f t="shared" si="42"/>
        <v>14594526</v>
      </c>
      <c r="CO57" s="1007"/>
      <c r="CP57" s="1007"/>
      <c r="CQ57" s="1007"/>
      <c r="CR57" s="1007"/>
      <c r="CS57" s="1007"/>
      <c r="CT57" s="1007">
        <f>+'[8]SEPTIEMBRE 2015'!$H$2283</f>
        <v>14594526</v>
      </c>
      <c r="CU57" s="1007"/>
      <c r="CV57" s="1007"/>
      <c r="CW57" s="1007"/>
      <c r="CX57" s="1007"/>
      <c r="CY57" s="1007"/>
      <c r="CZ57" s="1007"/>
      <c r="DA57" s="1007"/>
      <c r="DB57" s="1007"/>
      <c r="DC57" s="1007"/>
      <c r="DD57" s="1007"/>
      <c r="DE57" s="1007"/>
      <c r="DF57" s="1007"/>
      <c r="DG57" s="1007"/>
      <c r="DH57" s="1007"/>
      <c r="DI57" s="1010">
        <f t="shared" si="15"/>
        <v>2.7031600000000044E-2</v>
      </c>
      <c r="DJ57" s="1007">
        <f t="shared" si="43"/>
        <v>405474</v>
      </c>
      <c r="DK57" s="1007"/>
      <c r="DL57" s="1007"/>
      <c r="DM57" s="1007"/>
      <c r="DN57" s="1007">
        <f t="shared" si="51"/>
        <v>0</v>
      </c>
      <c r="DO57" s="1007"/>
      <c r="DP57" s="1007">
        <f t="shared" si="45"/>
        <v>405474</v>
      </c>
      <c r="DQ57" s="1007">
        <f t="shared" si="45"/>
        <v>0</v>
      </c>
      <c r="DR57" s="1007"/>
      <c r="DS57" s="1007">
        <f t="shared" si="46"/>
        <v>0</v>
      </c>
      <c r="DT57" s="1007">
        <f t="shared" si="46"/>
        <v>0</v>
      </c>
      <c r="DU57" s="1007"/>
      <c r="DV57" s="1007">
        <f t="shared" si="47"/>
        <v>0</v>
      </c>
      <c r="DW57" s="1007">
        <f t="shared" si="47"/>
        <v>0</v>
      </c>
      <c r="DX57" s="1007">
        <f t="shared" si="47"/>
        <v>0</v>
      </c>
      <c r="DY57" s="1007">
        <f t="shared" si="48"/>
        <v>0</v>
      </c>
      <c r="DZ57" s="1007">
        <f t="shared" si="48"/>
        <v>0</v>
      </c>
      <c r="EA57" s="1007">
        <f t="shared" si="48"/>
        <v>0</v>
      </c>
      <c r="EB57" s="1007">
        <f t="shared" si="48"/>
        <v>0</v>
      </c>
      <c r="EC57" s="1007"/>
      <c r="ED57" s="1007">
        <f t="shared" si="49"/>
        <v>0</v>
      </c>
    </row>
    <row r="58" spans="1:135" ht="67.5" customHeight="1" x14ac:dyDescent="0.25">
      <c r="A58" s="1565"/>
      <c r="B58" s="1018" t="s">
        <v>4314</v>
      </c>
      <c r="C58" s="1114" t="s">
        <v>4389</v>
      </c>
      <c r="D58" s="1018" t="s">
        <v>4328</v>
      </c>
      <c r="E58" s="1019">
        <v>410</v>
      </c>
      <c r="F58" s="1117" t="s">
        <v>4590</v>
      </c>
      <c r="G58" s="1428">
        <v>291000000</v>
      </c>
      <c r="H58" s="1060">
        <f t="shared" si="31"/>
        <v>129011140</v>
      </c>
      <c r="I58" s="1060">
        <f t="shared" si="32"/>
        <v>214252150</v>
      </c>
      <c r="J58" s="1428" t="s">
        <v>4835</v>
      </c>
      <c r="K58" s="1257" t="s">
        <v>4836</v>
      </c>
      <c r="L58" s="1257" t="s">
        <v>4837</v>
      </c>
      <c r="M58" s="1113">
        <v>5</v>
      </c>
      <c r="N58" s="1113">
        <v>100</v>
      </c>
      <c r="O58" s="1113">
        <v>5</v>
      </c>
      <c r="P58" s="1113">
        <v>27</v>
      </c>
      <c r="Q58" s="1113">
        <v>300</v>
      </c>
      <c r="R58" s="1113">
        <v>82</v>
      </c>
      <c r="S58" s="1117"/>
      <c r="T58" s="1117"/>
      <c r="U58" s="1117"/>
      <c r="V58" s="1117"/>
      <c r="W58" s="1117"/>
      <c r="X58" s="1117"/>
      <c r="Y58" s="1007">
        <f t="shared" si="33"/>
        <v>343263290</v>
      </c>
      <c r="Z58" s="944"/>
      <c r="AA58" s="1007"/>
      <c r="AB58" s="1007"/>
      <c r="AC58" s="1007">
        <f>181000000-87736710+250000000</f>
        <v>343263290</v>
      </c>
      <c r="AD58" s="1007"/>
      <c r="AE58" s="1007">
        <f>100000000-100000000</f>
        <v>0</v>
      </c>
      <c r="AF58" s="1007"/>
      <c r="AG58" s="1007"/>
      <c r="AH58" s="1007"/>
      <c r="AI58" s="1007"/>
      <c r="AJ58" s="1007"/>
      <c r="AK58" s="1007"/>
      <c r="AL58" s="1007"/>
      <c r="AM58" s="1007"/>
      <c r="AN58" s="1007"/>
      <c r="AO58" s="1007"/>
      <c r="AP58" s="1007"/>
      <c r="AQ58" s="1007"/>
      <c r="AR58" s="1007"/>
      <c r="AS58" s="1007">
        <f>10455882-10455882</f>
        <v>0</v>
      </c>
      <c r="AU58" s="1010">
        <f t="shared" si="3"/>
        <v>1</v>
      </c>
      <c r="AV58" s="1007">
        <f t="shared" si="34"/>
        <v>343263290</v>
      </c>
      <c r="AW58" s="1007"/>
      <c r="AX58" s="1007"/>
      <c r="AY58" s="1007"/>
      <c r="AZ58" s="1007">
        <f>+'[13]JUNIO 2015'!$M$1391</f>
        <v>343263290</v>
      </c>
      <c r="BA58" s="1007"/>
      <c r="BB58" s="1007"/>
      <c r="BC58" s="1007"/>
      <c r="BD58" s="1007"/>
      <c r="BE58" s="1007"/>
      <c r="BF58" s="1007"/>
      <c r="BG58" s="1007"/>
      <c r="BH58" s="1007"/>
      <c r="BI58" s="1007"/>
      <c r="BJ58" s="1007"/>
      <c r="BK58" s="1007"/>
      <c r="BL58" s="1007"/>
      <c r="BM58" s="1007"/>
      <c r="BN58" s="1007"/>
      <c r="BO58" s="1007"/>
      <c r="BP58" s="1007"/>
      <c r="BQ58" s="1010">
        <f t="shared" si="25"/>
        <v>0</v>
      </c>
      <c r="BR58" s="1007">
        <f t="shared" si="35"/>
        <v>0</v>
      </c>
      <c r="BS58" s="1007">
        <f t="shared" si="36"/>
        <v>0</v>
      </c>
      <c r="BT58" s="1007"/>
      <c r="BU58" s="1007">
        <f t="shared" si="52"/>
        <v>0</v>
      </c>
      <c r="BV58" s="1007">
        <f t="shared" si="52"/>
        <v>0</v>
      </c>
      <c r="BW58" s="1007"/>
      <c r="BX58" s="1007">
        <f t="shared" si="38"/>
        <v>0</v>
      </c>
      <c r="BY58" s="1007">
        <f t="shared" si="38"/>
        <v>0</v>
      </c>
      <c r="BZ58" s="1007"/>
      <c r="CA58" s="1007"/>
      <c r="CB58" s="1007">
        <f>+AI58-BF58</f>
        <v>0</v>
      </c>
      <c r="CC58" s="1007"/>
      <c r="CD58" s="1007">
        <f t="shared" si="54"/>
        <v>0</v>
      </c>
      <c r="CE58" s="1007">
        <f t="shared" si="54"/>
        <v>0</v>
      </c>
      <c r="CF58" s="1007">
        <f t="shared" si="54"/>
        <v>0</v>
      </c>
      <c r="CG58" s="1007">
        <f>+AN58-BK58</f>
        <v>0</v>
      </c>
      <c r="CH58" s="1007">
        <f t="shared" si="55"/>
        <v>0</v>
      </c>
      <c r="CI58" s="1007">
        <f t="shared" si="55"/>
        <v>0</v>
      </c>
      <c r="CJ58" s="1007"/>
      <c r="CK58" s="1007"/>
      <c r="CL58" s="1007">
        <f t="shared" si="41"/>
        <v>0</v>
      </c>
      <c r="CM58" s="1010">
        <f t="shared" si="13"/>
        <v>0.37583727639503778</v>
      </c>
      <c r="CN58" s="1007">
        <f t="shared" si="42"/>
        <v>129011140</v>
      </c>
      <c r="CO58" s="1007"/>
      <c r="CP58" s="1007"/>
      <c r="CQ58" s="1007"/>
      <c r="CR58" s="1007">
        <f>+'[8]SEPTIEMBRE 2015'!$H$2288</f>
        <v>129011140</v>
      </c>
      <c r="CS58" s="1007"/>
      <c r="CT58" s="1007"/>
      <c r="CU58" s="1007"/>
      <c r="CV58" s="1007"/>
      <c r="CW58" s="1007"/>
      <c r="CX58" s="1007"/>
      <c r="CY58" s="1007"/>
      <c r="CZ58" s="1007"/>
      <c r="DA58" s="1007"/>
      <c r="DB58" s="1007"/>
      <c r="DC58" s="1007"/>
      <c r="DD58" s="1007"/>
      <c r="DE58" s="1007"/>
      <c r="DF58" s="1007"/>
      <c r="DG58" s="1007"/>
      <c r="DH58" s="1007"/>
      <c r="DI58" s="1010">
        <f t="shared" si="15"/>
        <v>0.62416272360496228</v>
      </c>
      <c r="DJ58" s="1007">
        <f t="shared" si="43"/>
        <v>214252150</v>
      </c>
      <c r="DK58" s="1007"/>
      <c r="DL58" s="1007"/>
      <c r="DM58" s="1007"/>
      <c r="DN58" s="1007">
        <f t="shared" si="51"/>
        <v>214252150</v>
      </c>
      <c r="DO58" s="1007"/>
      <c r="DP58" s="1007">
        <f t="shared" si="45"/>
        <v>0</v>
      </c>
      <c r="DQ58" s="1007">
        <f t="shared" si="45"/>
        <v>0</v>
      </c>
      <c r="DR58" s="1007"/>
      <c r="DS58" s="1007">
        <f t="shared" si="46"/>
        <v>0</v>
      </c>
      <c r="DT58" s="1007">
        <f t="shared" si="46"/>
        <v>0</v>
      </c>
      <c r="DU58" s="1007"/>
      <c r="DV58" s="1007">
        <f t="shared" si="47"/>
        <v>0</v>
      </c>
      <c r="DW58" s="1007">
        <f t="shared" si="47"/>
        <v>0</v>
      </c>
      <c r="DX58" s="1007">
        <f t="shared" si="47"/>
        <v>0</v>
      </c>
      <c r="DY58" s="1007">
        <f t="shared" si="48"/>
        <v>0</v>
      </c>
      <c r="DZ58" s="1007">
        <f t="shared" si="48"/>
        <v>0</v>
      </c>
      <c r="EA58" s="1007">
        <f t="shared" si="48"/>
        <v>0</v>
      </c>
      <c r="EB58" s="1007">
        <f t="shared" si="48"/>
        <v>0</v>
      </c>
      <c r="EC58" s="1007"/>
      <c r="ED58" s="1007">
        <f t="shared" si="49"/>
        <v>0</v>
      </c>
    </row>
    <row r="59" spans="1:135" s="203" customFormat="1" ht="37.5" customHeight="1" x14ac:dyDescent="0.25">
      <c r="A59" s="1565"/>
      <c r="B59" s="1018"/>
      <c r="C59" s="1080" t="s">
        <v>4719</v>
      </c>
      <c r="D59" s="1018" t="s">
        <v>4720</v>
      </c>
      <c r="E59" s="1019">
        <v>410</v>
      </c>
      <c r="F59" s="1117" t="s">
        <v>4670</v>
      </c>
      <c r="G59" s="1430"/>
      <c r="H59" s="1060">
        <f t="shared" si="31"/>
        <v>0</v>
      </c>
      <c r="I59" s="1060">
        <f t="shared" si="32"/>
        <v>2000000</v>
      </c>
      <c r="J59" s="1430"/>
      <c r="K59" s="1258"/>
      <c r="L59" s="1258"/>
      <c r="M59" s="1082"/>
      <c r="N59" s="1082"/>
      <c r="O59" s="1082"/>
      <c r="P59" s="1074"/>
      <c r="Q59" s="1074"/>
      <c r="R59" s="1074"/>
      <c r="S59" s="1117"/>
      <c r="T59" s="1117"/>
      <c r="U59" s="1117"/>
      <c r="V59" s="1117"/>
      <c r="W59" s="1117"/>
      <c r="X59" s="1117"/>
      <c r="Y59" s="1066">
        <f t="shared" si="33"/>
        <v>2000000</v>
      </c>
      <c r="Z59" s="149"/>
      <c r="AA59" s="1083"/>
      <c r="AB59" s="1083"/>
      <c r="AC59" s="1066"/>
      <c r="AD59" s="1066"/>
      <c r="AE59" s="1083"/>
      <c r="AF59" s="1066"/>
      <c r="AG59" s="1066"/>
      <c r="AH59" s="1066"/>
      <c r="AI59" s="1066"/>
      <c r="AJ59" s="1066"/>
      <c r="AK59" s="1066"/>
      <c r="AL59" s="1066"/>
      <c r="AM59" s="1066"/>
      <c r="AN59" s="1066"/>
      <c r="AO59" s="1066"/>
      <c r="AP59" s="1066"/>
      <c r="AQ59" s="1066"/>
      <c r="AR59" s="1066"/>
      <c r="AS59" s="1066">
        <f>2000000</f>
        <v>2000000</v>
      </c>
      <c r="AU59" s="1081">
        <f t="shared" si="3"/>
        <v>1</v>
      </c>
      <c r="AV59" s="1066">
        <f t="shared" si="34"/>
        <v>2000000</v>
      </c>
      <c r="AW59" s="1066"/>
      <c r="AX59" s="1066"/>
      <c r="AY59" s="1066"/>
      <c r="AZ59" s="1066"/>
      <c r="BA59" s="1066"/>
      <c r="BB59" s="1066"/>
      <c r="BC59" s="1066"/>
      <c r="BD59" s="1066"/>
      <c r="BE59" s="1066"/>
      <c r="BF59" s="1066"/>
      <c r="BG59" s="1066"/>
      <c r="BH59" s="1066"/>
      <c r="BI59" s="1066"/>
      <c r="BJ59" s="1066"/>
      <c r="BK59" s="1066"/>
      <c r="BL59" s="1066"/>
      <c r="BM59" s="1066"/>
      <c r="BN59" s="1066"/>
      <c r="BO59" s="1066"/>
      <c r="BP59" s="1066">
        <f>+'[10]JULIO 2015'!$G$1634</f>
        <v>2000000</v>
      </c>
      <c r="BQ59" s="1081">
        <f t="shared" si="25"/>
        <v>0</v>
      </c>
      <c r="BR59" s="1066">
        <f t="shared" si="35"/>
        <v>0</v>
      </c>
      <c r="BS59" s="1066"/>
      <c r="BT59" s="1066"/>
      <c r="BU59" s="1066">
        <f t="shared" si="52"/>
        <v>0</v>
      </c>
      <c r="BV59" s="1066"/>
      <c r="BW59" s="1066"/>
      <c r="BX59" s="1066"/>
      <c r="BY59" s="1066"/>
      <c r="BZ59" s="1066"/>
      <c r="CA59" s="1066"/>
      <c r="CB59" s="1066"/>
      <c r="CC59" s="1066"/>
      <c r="CD59" s="1066"/>
      <c r="CE59" s="1066"/>
      <c r="CF59" s="1066"/>
      <c r="CG59" s="1066"/>
      <c r="CH59" s="1066"/>
      <c r="CI59" s="1066"/>
      <c r="CJ59" s="1066"/>
      <c r="CK59" s="1066"/>
      <c r="CL59" s="1066">
        <f t="shared" si="41"/>
        <v>0</v>
      </c>
      <c r="CM59" s="1081">
        <f t="shared" si="13"/>
        <v>0</v>
      </c>
      <c r="CN59" s="1066">
        <f t="shared" si="42"/>
        <v>0</v>
      </c>
      <c r="CO59" s="1066"/>
      <c r="CP59" s="1066"/>
      <c r="CQ59" s="1066"/>
      <c r="CR59" s="1066"/>
      <c r="CS59" s="1066"/>
      <c r="CT59" s="1066"/>
      <c r="CU59" s="1066"/>
      <c r="CV59" s="1066"/>
      <c r="CW59" s="1066"/>
      <c r="CX59" s="1066"/>
      <c r="CY59" s="1066"/>
      <c r="CZ59" s="1066"/>
      <c r="DA59" s="1066"/>
      <c r="DB59" s="1066"/>
      <c r="DC59" s="1066"/>
      <c r="DD59" s="1066"/>
      <c r="DE59" s="1066"/>
      <c r="DF59" s="1066"/>
      <c r="DG59" s="1066"/>
      <c r="DH59" s="1066"/>
      <c r="DI59" s="1081">
        <f t="shared" si="15"/>
        <v>1</v>
      </c>
      <c r="DJ59" s="1066">
        <f t="shared" si="43"/>
        <v>2000000</v>
      </c>
      <c r="DK59" s="1066"/>
      <c r="DL59" s="1066"/>
      <c r="DM59" s="1066"/>
      <c r="DN59" s="1066"/>
      <c r="DO59" s="1066"/>
      <c r="DP59" s="1066"/>
      <c r="DQ59" s="1066"/>
      <c r="DR59" s="1066"/>
      <c r="DS59" s="1066"/>
      <c r="DT59" s="1066"/>
      <c r="DU59" s="1066"/>
      <c r="DV59" s="1066"/>
      <c r="DW59" s="1066"/>
      <c r="DX59" s="1066"/>
      <c r="DY59" s="1066"/>
      <c r="DZ59" s="1066"/>
      <c r="EA59" s="1066"/>
      <c r="EB59" s="1066"/>
      <c r="EC59" s="1066"/>
      <c r="ED59" s="1066">
        <f t="shared" si="49"/>
        <v>2000000</v>
      </c>
    </row>
    <row r="60" spans="1:135" ht="78" customHeight="1" x14ac:dyDescent="0.25">
      <c r="A60" s="1565"/>
      <c r="B60" s="1018" t="s">
        <v>4315</v>
      </c>
      <c r="C60" s="1114" t="s">
        <v>4390</v>
      </c>
      <c r="D60" s="1018" t="s">
        <v>4329</v>
      </c>
      <c r="E60" s="1019">
        <v>410</v>
      </c>
      <c r="F60" s="1117" t="s">
        <v>3350</v>
      </c>
      <c r="G60" s="1117">
        <v>300000000</v>
      </c>
      <c r="H60" s="1060">
        <f t="shared" si="31"/>
        <v>214914190</v>
      </c>
      <c r="I60" s="1060">
        <f t="shared" si="32"/>
        <v>7904547</v>
      </c>
      <c r="J60" s="1117" t="s">
        <v>4838</v>
      </c>
      <c r="K60" s="1113" t="s">
        <v>4839</v>
      </c>
      <c r="L60" s="1113" t="s">
        <v>4838</v>
      </c>
      <c r="M60" s="1113">
        <v>23</v>
      </c>
      <c r="N60" s="1113">
        <v>100</v>
      </c>
      <c r="O60" s="1113">
        <v>23</v>
      </c>
      <c r="P60" s="1113">
        <v>78</v>
      </c>
      <c r="Q60" s="1113">
        <v>200</v>
      </c>
      <c r="R60" s="1113">
        <v>155</v>
      </c>
      <c r="S60" s="1117"/>
      <c r="T60" s="1117"/>
      <c r="U60" s="1117"/>
      <c r="V60" s="1117"/>
      <c r="W60" s="1117"/>
      <c r="X60" s="1117"/>
      <c r="Y60" s="1007">
        <f t="shared" si="33"/>
        <v>222818737</v>
      </c>
      <c r="Z60" s="944"/>
      <c r="AA60" s="1016">
        <f>55819123-55819123</f>
        <v>0</v>
      </c>
      <c r="AB60" s="1016"/>
      <c r="AC60" s="1007">
        <f>150000000-21362140</f>
        <v>128637860</v>
      </c>
      <c r="AD60" s="1007"/>
      <c r="AE60" s="1016">
        <f>150000000-55819123+20000000-20000000</f>
        <v>94180877</v>
      </c>
      <c r="AF60" s="944"/>
      <c r="AG60" s="944"/>
      <c r="AH60" s="944"/>
      <c r="AI60" s="1007"/>
      <c r="AJ60" s="1007"/>
      <c r="AK60" s="1007"/>
      <c r="AL60" s="1007"/>
      <c r="AM60" s="1007"/>
      <c r="AN60" s="1007"/>
      <c r="AO60" s="1007"/>
      <c r="AP60" s="1007"/>
      <c r="AQ60" s="1007"/>
      <c r="AR60" s="1007"/>
      <c r="AS60" s="1007"/>
      <c r="AU60" s="1010">
        <f t="shared" si="3"/>
        <v>1</v>
      </c>
      <c r="AV60" s="1007">
        <f t="shared" si="34"/>
        <v>222818737</v>
      </c>
      <c r="AW60" s="1007"/>
      <c r="AX60" s="1007"/>
      <c r="AY60" s="1007"/>
      <c r="AZ60" s="1007">
        <f>+'[13]JUNIO 2015'!$M$1412</f>
        <v>128637860</v>
      </c>
      <c r="BA60" s="1007"/>
      <c r="BB60" s="1007">
        <f>+'[13]JUNIO 2015'!$O$1412</f>
        <v>94180877</v>
      </c>
      <c r="BC60" s="1007"/>
      <c r="BD60" s="1007"/>
      <c r="BE60" s="1007"/>
      <c r="BF60" s="1007"/>
      <c r="BG60" s="1007"/>
      <c r="BH60" s="1007"/>
      <c r="BI60" s="1007"/>
      <c r="BJ60" s="1007"/>
      <c r="BK60" s="1007"/>
      <c r="BL60" s="1007"/>
      <c r="BM60" s="1007"/>
      <c r="BN60" s="1007"/>
      <c r="BO60" s="1007"/>
      <c r="BP60" s="1007"/>
      <c r="BQ60" s="1010">
        <f t="shared" si="25"/>
        <v>0</v>
      </c>
      <c r="BR60" s="1007">
        <f t="shared" si="35"/>
        <v>0</v>
      </c>
      <c r="BS60" s="1007">
        <f t="shared" ref="BS60:BS66" si="56">+Z60-AW60</f>
        <v>0</v>
      </c>
      <c r="BT60" s="1007">
        <f>AA60-AX60</f>
        <v>0</v>
      </c>
      <c r="BU60" s="1007">
        <f t="shared" si="52"/>
        <v>0</v>
      </c>
      <c r="BV60" s="1007">
        <f t="shared" si="52"/>
        <v>0</v>
      </c>
      <c r="BW60" s="1007"/>
      <c r="BX60" s="1007">
        <f t="shared" ref="BX60:BY66" si="57">+AE60-BB60</f>
        <v>0</v>
      </c>
      <c r="BY60" s="1007">
        <f t="shared" si="57"/>
        <v>0</v>
      </c>
      <c r="BZ60" s="1007"/>
      <c r="CA60" s="1007"/>
      <c r="CB60" s="1007">
        <f t="shared" ref="CB60:CB66" si="58">+AI60-BF60</f>
        <v>0</v>
      </c>
      <c r="CC60" s="1007"/>
      <c r="CD60" s="1007">
        <f t="shared" ref="CD60:CI66" si="59">+AK60-BH60</f>
        <v>0</v>
      </c>
      <c r="CE60" s="1007">
        <f t="shared" si="59"/>
        <v>0</v>
      </c>
      <c r="CF60" s="1007">
        <f t="shared" si="59"/>
        <v>0</v>
      </c>
      <c r="CG60" s="1007">
        <f t="shared" si="59"/>
        <v>0</v>
      </c>
      <c r="CH60" s="1007">
        <f t="shared" si="59"/>
        <v>0</v>
      </c>
      <c r="CI60" s="1007">
        <f t="shared" si="59"/>
        <v>0</v>
      </c>
      <c r="CJ60" s="1007"/>
      <c r="CK60" s="1007"/>
      <c r="CL60" s="1007">
        <f t="shared" si="41"/>
        <v>0</v>
      </c>
      <c r="CM60" s="1010">
        <f t="shared" si="13"/>
        <v>0.96452476525795938</v>
      </c>
      <c r="CN60" s="1007">
        <f t="shared" si="42"/>
        <v>214914190</v>
      </c>
      <c r="CO60" s="1007"/>
      <c r="CP60" s="1007"/>
      <c r="CQ60" s="1007"/>
      <c r="CR60" s="1007">
        <f>+'[7]AGOSTO 2015'!$H$1852</f>
        <v>128637860</v>
      </c>
      <c r="CS60" s="1007"/>
      <c r="CT60" s="1007">
        <f>+'[8]SEPTIEMBRE 2015'!$H$2314+'[8]SEPTIEMBRE 2015'!$H$2332</f>
        <v>86276330</v>
      </c>
      <c r="CU60" s="1007"/>
      <c r="CV60" s="1007"/>
      <c r="CW60" s="1007"/>
      <c r="CX60" s="1007"/>
      <c r="CY60" s="1007"/>
      <c r="CZ60" s="1007"/>
      <c r="DA60" s="1007"/>
      <c r="DB60" s="1007"/>
      <c r="DC60" s="1007"/>
      <c r="DD60" s="1007"/>
      <c r="DE60" s="1007"/>
      <c r="DF60" s="1007"/>
      <c r="DG60" s="1007"/>
      <c r="DH60" s="1007"/>
      <c r="DI60" s="1010">
        <f t="shared" si="15"/>
        <v>3.5475234742040618E-2</v>
      </c>
      <c r="DJ60" s="1007">
        <f t="shared" si="43"/>
        <v>7904547</v>
      </c>
      <c r="DK60" s="1007"/>
      <c r="DL60" s="1007">
        <f>AA60-CP60</f>
        <v>0</v>
      </c>
      <c r="DM60" s="1007">
        <f>AB60-CQ60</f>
        <v>0</v>
      </c>
      <c r="DN60" s="1007">
        <f>AC60-CR60</f>
        <v>0</v>
      </c>
      <c r="DO60" s="1007"/>
      <c r="DP60" s="1007">
        <f t="shared" ref="DP60:DQ66" si="60">AE60-CT60</f>
        <v>7904547</v>
      </c>
      <c r="DQ60" s="1007">
        <f t="shared" si="60"/>
        <v>0</v>
      </c>
      <c r="DR60" s="1007"/>
      <c r="DS60" s="1007">
        <f t="shared" ref="DS60:DT66" si="61">+AH60-CW60</f>
        <v>0</v>
      </c>
      <c r="DT60" s="1007">
        <f t="shared" si="61"/>
        <v>0</v>
      </c>
      <c r="DU60" s="1007"/>
      <c r="DV60" s="1007">
        <f t="shared" ref="DV60:DX66" si="62">AK60-CZ60</f>
        <v>0</v>
      </c>
      <c r="DW60" s="1007">
        <f t="shared" si="62"/>
        <v>0</v>
      </c>
      <c r="DX60" s="1007">
        <f t="shared" si="62"/>
        <v>0</v>
      </c>
      <c r="DY60" s="1007">
        <f t="shared" ref="DY60:EB66" si="63">+AN60-DC60</f>
        <v>0</v>
      </c>
      <c r="DZ60" s="1007">
        <f t="shared" si="63"/>
        <v>0</v>
      </c>
      <c r="EA60" s="1007">
        <f t="shared" si="63"/>
        <v>0</v>
      </c>
      <c r="EB60" s="1007">
        <f t="shared" si="63"/>
        <v>0</v>
      </c>
      <c r="EC60" s="1007"/>
      <c r="ED60" s="1007">
        <f t="shared" si="49"/>
        <v>0</v>
      </c>
      <c r="EE60" s="948"/>
    </row>
    <row r="61" spans="1:135" ht="61.5" customHeight="1" x14ac:dyDescent="0.25">
      <c r="A61" s="1565"/>
      <c r="B61" s="1018" t="s">
        <v>4316</v>
      </c>
      <c r="C61" s="1114" t="s">
        <v>4391</v>
      </c>
      <c r="D61" s="1018" t="s">
        <v>4330</v>
      </c>
      <c r="E61" s="1019">
        <v>410</v>
      </c>
      <c r="F61" s="1117" t="s">
        <v>4335</v>
      </c>
      <c r="G61" s="1428">
        <v>225000000</v>
      </c>
      <c r="H61" s="1060">
        <f t="shared" si="31"/>
        <v>0</v>
      </c>
      <c r="I61" s="1060">
        <f t="shared" si="32"/>
        <v>5000000</v>
      </c>
      <c r="J61" s="1117" t="s">
        <v>4840</v>
      </c>
      <c r="K61" s="1113" t="s">
        <v>4841</v>
      </c>
      <c r="L61" s="1113" t="s">
        <v>4847</v>
      </c>
      <c r="M61" s="1113">
        <v>0</v>
      </c>
      <c r="N61" s="1113">
        <v>0</v>
      </c>
      <c r="O61" s="1113">
        <v>0</v>
      </c>
      <c r="P61" s="1113">
        <v>0</v>
      </c>
      <c r="Q61" s="1113">
        <v>0</v>
      </c>
      <c r="R61" s="1113">
        <v>0</v>
      </c>
      <c r="S61" s="1117"/>
      <c r="T61" s="1117"/>
      <c r="U61" s="1117"/>
      <c r="V61" s="1117"/>
      <c r="W61" s="1117"/>
      <c r="X61" s="1117"/>
      <c r="Y61" s="1007">
        <f t="shared" si="33"/>
        <v>5000000</v>
      </c>
      <c r="Z61" s="944"/>
      <c r="AA61" s="944"/>
      <c r="AB61" s="944"/>
      <c r="AC61" s="1007"/>
      <c r="AD61" s="1007"/>
      <c r="AE61" s="944"/>
      <c r="AF61" s="944"/>
      <c r="AG61" s="944"/>
      <c r="AH61" s="944"/>
      <c r="AI61" s="1007"/>
      <c r="AJ61" s="1007"/>
      <c r="AK61" s="1007"/>
      <c r="AL61" s="1007"/>
      <c r="AM61" s="1007"/>
      <c r="AN61" s="1007"/>
      <c r="AO61" s="1007"/>
      <c r="AP61" s="1007"/>
      <c r="AQ61" s="1007"/>
      <c r="AR61" s="1007"/>
      <c r="AS61" s="1007">
        <f>5000000</f>
        <v>5000000</v>
      </c>
      <c r="AU61" s="1010">
        <f t="shared" si="3"/>
        <v>1</v>
      </c>
      <c r="AV61" s="1007">
        <f t="shared" si="34"/>
        <v>5000000</v>
      </c>
      <c r="AW61" s="1007"/>
      <c r="AX61" s="1007"/>
      <c r="AY61" s="1007"/>
      <c r="AZ61" s="1007"/>
      <c r="BA61" s="1007"/>
      <c r="BB61" s="1007"/>
      <c r="BC61" s="1007"/>
      <c r="BD61" s="1007"/>
      <c r="BE61" s="1007"/>
      <c r="BF61" s="1007"/>
      <c r="BG61" s="1007"/>
      <c r="BH61" s="1007"/>
      <c r="BI61" s="1007"/>
      <c r="BJ61" s="1007"/>
      <c r="BK61" s="1007"/>
      <c r="BL61" s="1007"/>
      <c r="BM61" s="1007"/>
      <c r="BN61" s="1007"/>
      <c r="BO61" s="1007"/>
      <c r="BP61" s="1007">
        <f>+'[15]FEBRERO 2015'!$AC$685</f>
        <v>5000000</v>
      </c>
      <c r="BQ61" s="1010">
        <f t="shared" si="25"/>
        <v>0</v>
      </c>
      <c r="BR61" s="1007">
        <f t="shared" si="35"/>
        <v>0</v>
      </c>
      <c r="BS61" s="1007">
        <f t="shared" si="56"/>
        <v>0</v>
      </c>
      <c r="BT61" s="1007"/>
      <c r="BU61" s="1007">
        <f t="shared" si="52"/>
        <v>0</v>
      </c>
      <c r="BV61" s="1007">
        <f t="shared" si="52"/>
        <v>0</v>
      </c>
      <c r="BW61" s="1007"/>
      <c r="BX61" s="1007">
        <f t="shared" si="57"/>
        <v>0</v>
      </c>
      <c r="BY61" s="1007">
        <f t="shared" si="57"/>
        <v>0</v>
      </c>
      <c r="BZ61" s="1007"/>
      <c r="CA61" s="1007"/>
      <c r="CB61" s="1007">
        <f t="shared" si="58"/>
        <v>0</v>
      </c>
      <c r="CC61" s="1007"/>
      <c r="CD61" s="1007">
        <f t="shared" si="59"/>
        <v>0</v>
      </c>
      <c r="CE61" s="1007">
        <f t="shared" si="59"/>
        <v>0</v>
      </c>
      <c r="CF61" s="1007">
        <f t="shared" si="59"/>
        <v>0</v>
      </c>
      <c r="CG61" s="1007">
        <f t="shared" si="59"/>
        <v>0</v>
      </c>
      <c r="CH61" s="1007">
        <f t="shared" si="59"/>
        <v>0</v>
      </c>
      <c r="CI61" s="1007">
        <f t="shared" si="59"/>
        <v>0</v>
      </c>
      <c r="CJ61" s="1007"/>
      <c r="CK61" s="1007"/>
      <c r="CL61" s="1007">
        <f t="shared" si="41"/>
        <v>0</v>
      </c>
      <c r="CM61" s="1010">
        <f t="shared" si="13"/>
        <v>0</v>
      </c>
      <c r="CN61" s="1007">
        <f t="shared" si="42"/>
        <v>0</v>
      </c>
      <c r="CO61" s="1007"/>
      <c r="CP61" s="1007"/>
      <c r="CQ61" s="1007"/>
      <c r="CR61" s="1007"/>
      <c r="CS61" s="1007"/>
      <c r="CT61" s="1007"/>
      <c r="CU61" s="1007"/>
      <c r="CV61" s="1007"/>
      <c r="CW61" s="1007"/>
      <c r="CX61" s="1007"/>
      <c r="CY61" s="1007"/>
      <c r="CZ61" s="1007"/>
      <c r="DA61" s="1007"/>
      <c r="DB61" s="1007"/>
      <c r="DC61" s="1007"/>
      <c r="DD61" s="1007"/>
      <c r="DE61" s="1007"/>
      <c r="DF61" s="1007"/>
      <c r="DG61" s="1007"/>
      <c r="DH61" s="1007"/>
      <c r="DI61" s="1010">
        <f t="shared" si="15"/>
        <v>1</v>
      </c>
      <c r="DJ61" s="1007">
        <f t="shared" si="43"/>
        <v>5000000</v>
      </c>
      <c r="DK61" s="1007"/>
      <c r="DL61" s="1007"/>
      <c r="DM61" s="1007"/>
      <c r="DN61" s="1007">
        <f t="shared" ref="DN61:DN66" si="64">AC61-CR61</f>
        <v>0</v>
      </c>
      <c r="DO61" s="1007"/>
      <c r="DP61" s="1007">
        <f t="shared" si="60"/>
        <v>0</v>
      </c>
      <c r="DQ61" s="1007">
        <f t="shared" si="60"/>
        <v>0</v>
      </c>
      <c r="DR61" s="1007"/>
      <c r="DS61" s="1007">
        <f t="shared" si="61"/>
        <v>0</v>
      </c>
      <c r="DT61" s="1007">
        <f t="shared" si="61"/>
        <v>0</v>
      </c>
      <c r="DU61" s="1007"/>
      <c r="DV61" s="1007">
        <f t="shared" si="62"/>
        <v>0</v>
      </c>
      <c r="DW61" s="1007">
        <f t="shared" si="62"/>
        <v>0</v>
      </c>
      <c r="DX61" s="1007">
        <f t="shared" si="62"/>
        <v>0</v>
      </c>
      <c r="DY61" s="1007">
        <f t="shared" si="63"/>
        <v>0</v>
      </c>
      <c r="DZ61" s="1007">
        <f t="shared" si="63"/>
        <v>0</v>
      </c>
      <c r="EA61" s="1007">
        <f t="shared" si="63"/>
        <v>0</v>
      </c>
      <c r="EB61" s="1007">
        <f t="shared" si="63"/>
        <v>0</v>
      </c>
      <c r="EC61" s="1007"/>
      <c r="ED61" s="1007">
        <f t="shared" si="49"/>
        <v>5000000</v>
      </c>
    </row>
    <row r="62" spans="1:135" ht="54.75" customHeight="1" x14ac:dyDescent="0.25">
      <c r="A62" s="1565"/>
      <c r="B62" s="1018"/>
      <c r="C62" s="1114" t="s">
        <v>4392</v>
      </c>
      <c r="D62" s="1018" t="s">
        <v>4337</v>
      </c>
      <c r="E62" s="1019">
        <v>410</v>
      </c>
      <c r="F62" s="1117" t="s">
        <v>4319</v>
      </c>
      <c r="G62" s="1429"/>
      <c r="H62" s="1060">
        <f t="shared" si="31"/>
        <v>46441999</v>
      </c>
      <c r="I62" s="1060">
        <f t="shared" si="32"/>
        <v>43558001</v>
      </c>
      <c r="J62" s="1117" t="s">
        <v>4842</v>
      </c>
      <c r="K62" s="1113" t="s">
        <v>4843</v>
      </c>
      <c r="L62" s="1113" t="s">
        <v>4848</v>
      </c>
      <c r="M62" s="1113">
        <v>13</v>
      </c>
      <c r="N62" s="1113">
        <v>0</v>
      </c>
      <c r="O62" s="1113">
        <v>0</v>
      </c>
      <c r="P62" s="1113">
        <v>18</v>
      </c>
      <c r="Q62" s="1113">
        <v>60</v>
      </c>
      <c r="R62" s="1113">
        <v>11</v>
      </c>
      <c r="S62" s="1117"/>
      <c r="T62" s="1117"/>
      <c r="U62" s="1117"/>
      <c r="V62" s="1117"/>
      <c r="W62" s="1117"/>
      <c r="X62" s="1117"/>
      <c r="Y62" s="1007">
        <f t="shared" si="33"/>
        <v>90000000</v>
      </c>
      <c r="Z62" s="944"/>
      <c r="AA62" s="944"/>
      <c r="AB62" s="944"/>
      <c r="AC62" s="1007"/>
      <c r="AD62" s="1007"/>
      <c r="AE62" s="944"/>
      <c r="AF62" s="944"/>
      <c r="AG62" s="944"/>
      <c r="AH62" s="944"/>
      <c r="AI62" s="1007"/>
      <c r="AJ62" s="1007"/>
      <c r="AK62" s="1007"/>
      <c r="AL62" s="1007"/>
      <c r="AM62" s="1007"/>
      <c r="AN62" s="1007">
        <v>15000000</v>
      </c>
      <c r="AO62" s="1007">
        <f>105000000-30000000</f>
        <v>75000000</v>
      </c>
      <c r="AP62" s="1007"/>
      <c r="AQ62" s="1007"/>
      <c r="AR62" s="1007"/>
      <c r="AS62" s="1007"/>
      <c r="AU62" s="1010">
        <f t="shared" si="3"/>
        <v>0.9302111111111111</v>
      </c>
      <c r="AV62" s="1007">
        <f t="shared" si="34"/>
        <v>83719000</v>
      </c>
      <c r="AW62" s="1007"/>
      <c r="AX62" s="1007"/>
      <c r="AY62" s="1007"/>
      <c r="AZ62" s="1007"/>
      <c r="BA62" s="1007"/>
      <c r="BB62" s="1007"/>
      <c r="BC62" s="1007"/>
      <c r="BD62" s="1007"/>
      <c r="BE62" s="1007"/>
      <c r="BF62" s="1007"/>
      <c r="BG62" s="1007"/>
      <c r="BH62" s="1007"/>
      <c r="BI62" s="1007"/>
      <c r="BJ62" s="1007"/>
      <c r="BK62" s="1007">
        <f>+'[12]FEBRERO 2015'!$W$740</f>
        <v>15000000</v>
      </c>
      <c r="BL62" s="1007">
        <f>+'[8]SEPTIEMBRE 2015'!$Y$2347</f>
        <v>68719000</v>
      </c>
      <c r="BM62" s="1007"/>
      <c r="BN62" s="1007"/>
      <c r="BO62" s="1007"/>
      <c r="BP62" s="1007"/>
      <c r="BQ62" s="1010">
        <f t="shared" si="25"/>
        <v>6.97888888888889E-2</v>
      </c>
      <c r="BR62" s="1007">
        <f t="shared" si="35"/>
        <v>6281000</v>
      </c>
      <c r="BS62" s="1007">
        <f t="shared" si="56"/>
        <v>0</v>
      </c>
      <c r="BT62" s="1007"/>
      <c r="BU62" s="1007">
        <f t="shared" si="52"/>
        <v>0</v>
      </c>
      <c r="BV62" s="1007">
        <f t="shared" si="52"/>
        <v>0</v>
      </c>
      <c r="BW62" s="1007"/>
      <c r="BX62" s="1007">
        <f t="shared" si="57"/>
        <v>0</v>
      </c>
      <c r="BY62" s="1007">
        <f t="shared" si="57"/>
        <v>0</v>
      </c>
      <c r="BZ62" s="1007"/>
      <c r="CA62" s="1007"/>
      <c r="CB62" s="1007">
        <f t="shared" si="58"/>
        <v>0</v>
      </c>
      <c r="CC62" s="1007"/>
      <c r="CD62" s="1007">
        <f t="shared" si="59"/>
        <v>0</v>
      </c>
      <c r="CE62" s="1007">
        <f t="shared" si="59"/>
        <v>0</v>
      </c>
      <c r="CF62" s="1007">
        <f t="shared" si="59"/>
        <v>0</v>
      </c>
      <c r="CG62" s="1007">
        <f t="shared" si="59"/>
        <v>0</v>
      </c>
      <c r="CH62" s="1007">
        <f t="shared" si="59"/>
        <v>6281000</v>
      </c>
      <c r="CI62" s="1007">
        <f t="shared" si="59"/>
        <v>0</v>
      </c>
      <c r="CJ62" s="1007"/>
      <c r="CK62" s="1007"/>
      <c r="CL62" s="1007">
        <f t="shared" si="41"/>
        <v>0</v>
      </c>
      <c r="CM62" s="1010">
        <f t="shared" si="13"/>
        <v>0.51602221111111113</v>
      </c>
      <c r="CN62" s="1007">
        <f t="shared" si="42"/>
        <v>46441999</v>
      </c>
      <c r="CO62" s="1007"/>
      <c r="CP62" s="1007"/>
      <c r="CQ62" s="1007"/>
      <c r="CR62" s="1007"/>
      <c r="CS62" s="1007"/>
      <c r="CT62" s="1007"/>
      <c r="CU62" s="1007"/>
      <c r="CV62" s="1007"/>
      <c r="CW62" s="1007"/>
      <c r="CX62" s="1007"/>
      <c r="CY62" s="1007"/>
      <c r="CZ62" s="1007"/>
      <c r="DA62" s="1007"/>
      <c r="DB62" s="1007"/>
      <c r="DC62" s="1007">
        <f>+'[9]ABRIL 2015'!$H$1101</f>
        <v>15000000</v>
      </c>
      <c r="DD62" s="1007">
        <f>+'[8]SEPTIEMBRE 2015'!$H$2348</f>
        <v>31441999</v>
      </c>
      <c r="DE62" s="1007"/>
      <c r="DF62" s="1007"/>
      <c r="DG62" s="1007"/>
      <c r="DH62" s="1007"/>
      <c r="DI62" s="1010">
        <f t="shared" si="15"/>
        <v>0.48397778888888887</v>
      </c>
      <c r="DJ62" s="1007">
        <f t="shared" si="43"/>
        <v>43558001</v>
      </c>
      <c r="DK62" s="1007"/>
      <c r="DL62" s="1007"/>
      <c r="DM62" s="1007"/>
      <c r="DN62" s="1007">
        <f t="shared" si="64"/>
        <v>0</v>
      </c>
      <c r="DO62" s="1007"/>
      <c r="DP62" s="1007">
        <f t="shared" si="60"/>
        <v>0</v>
      </c>
      <c r="DQ62" s="1007">
        <f t="shared" si="60"/>
        <v>0</v>
      </c>
      <c r="DR62" s="1007"/>
      <c r="DS62" s="1007">
        <f t="shared" si="61"/>
        <v>0</v>
      </c>
      <c r="DT62" s="1007">
        <f t="shared" si="61"/>
        <v>0</v>
      </c>
      <c r="DU62" s="1007"/>
      <c r="DV62" s="1007">
        <f t="shared" si="62"/>
        <v>0</v>
      </c>
      <c r="DW62" s="1007">
        <f t="shared" si="62"/>
        <v>0</v>
      </c>
      <c r="DX62" s="1007">
        <f t="shared" si="62"/>
        <v>0</v>
      </c>
      <c r="DY62" s="1007">
        <f t="shared" si="63"/>
        <v>0</v>
      </c>
      <c r="DZ62" s="1007">
        <f t="shared" si="63"/>
        <v>43558001</v>
      </c>
      <c r="EA62" s="1007">
        <f t="shared" si="63"/>
        <v>0</v>
      </c>
      <c r="EB62" s="1007">
        <f t="shared" si="63"/>
        <v>0</v>
      </c>
      <c r="EC62" s="1007"/>
      <c r="ED62" s="1007">
        <f t="shared" si="49"/>
        <v>0</v>
      </c>
    </row>
    <row r="63" spans="1:135" ht="49.5" customHeight="1" x14ac:dyDescent="0.25">
      <c r="A63" s="1565"/>
      <c r="B63" s="1018"/>
      <c r="C63" s="1114" t="s">
        <v>4393</v>
      </c>
      <c r="D63" s="1018" t="s">
        <v>4331</v>
      </c>
      <c r="E63" s="1019">
        <v>410</v>
      </c>
      <c r="F63" s="1117" t="s">
        <v>4319</v>
      </c>
      <c r="G63" s="1429"/>
      <c r="H63" s="1060">
        <f t="shared" si="31"/>
        <v>3078500</v>
      </c>
      <c r="I63" s="1060">
        <f t="shared" si="32"/>
        <v>1921500</v>
      </c>
      <c r="J63" s="1428" t="s">
        <v>4844</v>
      </c>
      <c r="K63" s="1257" t="s">
        <v>4845</v>
      </c>
      <c r="L63" s="1257" t="s">
        <v>4849</v>
      </c>
      <c r="M63" s="1113">
        <v>62</v>
      </c>
      <c r="N63" s="1113">
        <v>100</v>
      </c>
      <c r="O63" s="1113">
        <v>62</v>
      </c>
      <c r="P63" s="1113">
        <v>62</v>
      </c>
      <c r="Q63" s="1113">
        <v>100</v>
      </c>
      <c r="R63" s="1113">
        <v>62</v>
      </c>
      <c r="S63" s="1117"/>
      <c r="T63" s="1117"/>
      <c r="U63" s="1117"/>
      <c r="V63" s="1117"/>
      <c r="W63" s="1117"/>
      <c r="X63" s="1117"/>
      <c r="Y63" s="1007">
        <f t="shared" si="33"/>
        <v>5000000</v>
      </c>
      <c r="Z63" s="944"/>
      <c r="AA63" s="944"/>
      <c r="AB63" s="944"/>
      <c r="AC63" s="1007"/>
      <c r="AD63" s="1007"/>
      <c r="AE63" s="944"/>
      <c r="AF63" s="944"/>
      <c r="AG63" s="944"/>
      <c r="AH63" s="944"/>
      <c r="AI63" s="1007"/>
      <c r="AJ63" s="1007"/>
      <c r="AK63" s="1007"/>
      <c r="AL63" s="1007"/>
      <c r="AM63" s="1007"/>
      <c r="AN63" s="1007"/>
      <c r="AO63" s="1007">
        <v>5000000</v>
      </c>
      <c r="AP63" s="1007"/>
      <c r="AQ63" s="1007"/>
      <c r="AR63" s="1007"/>
      <c r="AS63" s="1007"/>
      <c r="AU63" s="1010">
        <f t="shared" si="3"/>
        <v>1</v>
      </c>
      <c r="AV63" s="1007">
        <f t="shared" si="34"/>
        <v>5000000</v>
      </c>
      <c r="AW63" s="1007"/>
      <c r="AX63" s="1007"/>
      <c r="AY63" s="1007"/>
      <c r="AZ63" s="1007"/>
      <c r="BA63" s="1007"/>
      <c r="BB63" s="1007"/>
      <c r="BC63" s="1007"/>
      <c r="BD63" s="1007"/>
      <c r="BE63" s="1007"/>
      <c r="BF63" s="1007"/>
      <c r="BG63" s="1007"/>
      <c r="BH63" s="1007"/>
      <c r="BI63" s="1007"/>
      <c r="BJ63" s="1007"/>
      <c r="BK63" s="1007"/>
      <c r="BL63" s="1007">
        <f>+'[15]FEBRERO 2015'!$X$695</f>
        <v>5000000</v>
      </c>
      <c r="BM63" s="1007"/>
      <c r="BN63" s="1007"/>
      <c r="BO63" s="1007"/>
      <c r="BP63" s="1007"/>
      <c r="BQ63" s="1010">
        <f t="shared" si="25"/>
        <v>0</v>
      </c>
      <c r="BR63" s="1007">
        <f t="shared" si="35"/>
        <v>0</v>
      </c>
      <c r="BS63" s="1007">
        <f t="shared" si="56"/>
        <v>0</v>
      </c>
      <c r="BT63" s="1007"/>
      <c r="BU63" s="1007">
        <f t="shared" ref="BU63:BV66" si="65">AB63-AY63</f>
        <v>0</v>
      </c>
      <c r="BV63" s="1007">
        <f t="shared" si="65"/>
        <v>0</v>
      </c>
      <c r="BW63" s="1007"/>
      <c r="BX63" s="1007">
        <f t="shared" si="57"/>
        <v>0</v>
      </c>
      <c r="BY63" s="1007">
        <f t="shared" si="57"/>
        <v>0</v>
      </c>
      <c r="BZ63" s="1007"/>
      <c r="CA63" s="1007"/>
      <c r="CB63" s="1007">
        <f t="shared" si="58"/>
        <v>0</v>
      </c>
      <c r="CC63" s="1007"/>
      <c r="CD63" s="1007">
        <f t="shared" si="59"/>
        <v>0</v>
      </c>
      <c r="CE63" s="1007">
        <f t="shared" si="59"/>
        <v>0</v>
      </c>
      <c r="CF63" s="1007">
        <f t="shared" si="59"/>
        <v>0</v>
      </c>
      <c r="CG63" s="1007">
        <f t="shared" si="59"/>
        <v>0</v>
      </c>
      <c r="CH63" s="1007">
        <f t="shared" si="59"/>
        <v>0</v>
      </c>
      <c r="CI63" s="1007">
        <f t="shared" si="59"/>
        <v>0</v>
      </c>
      <c r="CJ63" s="1007"/>
      <c r="CK63" s="1007"/>
      <c r="CL63" s="1007">
        <f t="shared" si="41"/>
        <v>0</v>
      </c>
      <c r="CM63" s="1010">
        <f t="shared" si="13"/>
        <v>0.61570000000000003</v>
      </c>
      <c r="CN63" s="1007">
        <f t="shared" si="42"/>
        <v>3078500</v>
      </c>
      <c r="CO63" s="1007"/>
      <c r="CP63" s="1007"/>
      <c r="CQ63" s="1007"/>
      <c r="CR63" s="1007"/>
      <c r="CS63" s="1007"/>
      <c r="CT63" s="1007"/>
      <c r="CU63" s="1007"/>
      <c r="CV63" s="1007"/>
      <c r="CW63" s="1007"/>
      <c r="CX63" s="1007"/>
      <c r="CY63" s="1007"/>
      <c r="CZ63" s="1007"/>
      <c r="DA63" s="1007"/>
      <c r="DB63" s="1007"/>
      <c r="DC63" s="1007"/>
      <c r="DD63" s="1007">
        <f>+'[9]ABRIL 2015'!$H$1104</f>
        <v>3078500</v>
      </c>
      <c r="DE63" s="1007"/>
      <c r="DF63" s="1007"/>
      <c r="DG63" s="1007"/>
      <c r="DH63" s="1007"/>
      <c r="DI63" s="1010">
        <f t="shared" si="15"/>
        <v>0.38429999999999997</v>
      </c>
      <c r="DJ63" s="1007">
        <f t="shared" si="43"/>
        <v>1921500</v>
      </c>
      <c r="DK63" s="1007"/>
      <c r="DL63" s="1007"/>
      <c r="DM63" s="1007"/>
      <c r="DN63" s="1007">
        <f t="shared" si="64"/>
        <v>0</v>
      </c>
      <c r="DO63" s="1007"/>
      <c r="DP63" s="1007">
        <f t="shared" si="60"/>
        <v>0</v>
      </c>
      <c r="DQ63" s="1007">
        <f t="shared" si="60"/>
        <v>0</v>
      </c>
      <c r="DR63" s="1007"/>
      <c r="DS63" s="1007">
        <f t="shared" si="61"/>
        <v>0</v>
      </c>
      <c r="DT63" s="1007">
        <f t="shared" si="61"/>
        <v>0</v>
      </c>
      <c r="DU63" s="1007"/>
      <c r="DV63" s="1007">
        <f t="shared" si="62"/>
        <v>0</v>
      </c>
      <c r="DW63" s="1007">
        <f t="shared" si="62"/>
        <v>0</v>
      </c>
      <c r="DX63" s="1007">
        <f t="shared" si="62"/>
        <v>0</v>
      </c>
      <c r="DY63" s="1007">
        <f t="shared" si="63"/>
        <v>0</v>
      </c>
      <c r="DZ63" s="1007">
        <f t="shared" si="63"/>
        <v>1921500</v>
      </c>
      <c r="EA63" s="1007">
        <f t="shared" si="63"/>
        <v>0</v>
      </c>
      <c r="EB63" s="1007">
        <f t="shared" si="63"/>
        <v>0</v>
      </c>
      <c r="EC63" s="1007"/>
      <c r="ED63" s="1007">
        <f t="shared" si="49"/>
        <v>0</v>
      </c>
    </row>
    <row r="64" spans="1:135" ht="51" customHeight="1" x14ac:dyDescent="0.25">
      <c r="A64" s="1565"/>
      <c r="B64" s="1018"/>
      <c r="C64" s="1114" t="s">
        <v>4394</v>
      </c>
      <c r="D64" s="1018" t="s">
        <v>4820</v>
      </c>
      <c r="E64" s="1019">
        <v>410</v>
      </c>
      <c r="F64" s="1117" t="s">
        <v>4733</v>
      </c>
      <c r="G64" s="1429"/>
      <c r="H64" s="1060">
        <f t="shared" si="31"/>
        <v>17499959</v>
      </c>
      <c r="I64" s="1060">
        <f t="shared" si="32"/>
        <v>49774801</v>
      </c>
      <c r="J64" s="1430"/>
      <c r="K64" s="1258"/>
      <c r="L64" s="1258"/>
      <c r="M64" s="1113">
        <v>6</v>
      </c>
      <c r="N64" s="1113">
        <v>0</v>
      </c>
      <c r="O64" s="1113">
        <v>0</v>
      </c>
      <c r="P64" s="1113">
        <v>19</v>
      </c>
      <c r="Q64" s="1113">
        <v>0</v>
      </c>
      <c r="R64" s="1113">
        <v>0</v>
      </c>
      <c r="S64" s="1117"/>
      <c r="T64" s="1117"/>
      <c r="U64" s="1117"/>
      <c r="V64" s="1117"/>
      <c r="W64" s="1117"/>
      <c r="X64" s="1117"/>
      <c r="Y64" s="1007">
        <f t="shared" si="33"/>
        <v>67274760</v>
      </c>
      <c r="Z64" s="944"/>
      <c r="AA64" s="944"/>
      <c r="AB64" s="944"/>
      <c r="AC64" s="944"/>
      <c r="AD64" s="944"/>
      <c r="AE64" s="944"/>
      <c r="AF64" s="944"/>
      <c r="AG64" s="944"/>
      <c r="AH64" s="944"/>
      <c r="AI64" s="1007"/>
      <c r="AJ64" s="1007"/>
      <c r="AK64" s="1007"/>
      <c r="AL64" s="1007"/>
      <c r="AM64" s="1007"/>
      <c r="AN64" s="1007">
        <v>15000000</v>
      </c>
      <c r="AO64" s="1007">
        <f>55000000-10000000</f>
        <v>45000000</v>
      </c>
      <c r="AP64" s="1007"/>
      <c r="AQ64" s="1007"/>
      <c r="AR64" s="1007"/>
      <c r="AS64" s="1007">
        <f>4000000+3274760</f>
        <v>7274760</v>
      </c>
      <c r="AU64" s="1010">
        <f t="shared" si="3"/>
        <v>0.99995540675284456</v>
      </c>
      <c r="AV64" s="1007">
        <f t="shared" si="34"/>
        <v>67271760</v>
      </c>
      <c r="AW64" s="1007"/>
      <c r="AX64" s="1007"/>
      <c r="AY64" s="1007"/>
      <c r="AZ64" s="1007"/>
      <c r="BA64" s="1007"/>
      <c r="BB64" s="1007"/>
      <c r="BC64" s="1007"/>
      <c r="BD64" s="1007"/>
      <c r="BE64" s="1007"/>
      <c r="BF64" s="1007"/>
      <c r="BG64" s="1007"/>
      <c r="BH64" s="1007"/>
      <c r="BI64" s="1007"/>
      <c r="BJ64" s="1007"/>
      <c r="BK64" s="1007">
        <f>+'[12]FEBRERO 2015'!$W$753</f>
        <v>15000000</v>
      </c>
      <c r="BL64" s="1007">
        <f>+'[13]JUNIO 2015'!$Y$1453</f>
        <v>45000000</v>
      </c>
      <c r="BM64" s="1007"/>
      <c r="BN64" s="1007"/>
      <c r="BO64" s="1007"/>
      <c r="BP64" s="1007">
        <f>+'[8]SEPTIEMBRE 2015'!$AD$2368</f>
        <v>7271760</v>
      </c>
      <c r="BQ64" s="1010">
        <f t="shared" si="25"/>
        <v>4.4593247155444438E-5</v>
      </c>
      <c r="BR64" s="1007">
        <f t="shared" si="35"/>
        <v>3000</v>
      </c>
      <c r="BS64" s="1007">
        <f t="shared" si="56"/>
        <v>0</v>
      </c>
      <c r="BT64" s="1007"/>
      <c r="BU64" s="1007">
        <f t="shared" si="65"/>
        <v>0</v>
      </c>
      <c r="BV64" s="1007">
        <f t="shared" si="65"/>
        <v>0</v>
      </c>
      <c r="BW64" s="1007"/>
      <c r="BX64" s="1007">
        <f t="shared" si="57"/>
        <v>0</v>
      </c>
      <c r="BY64" s="1007">
        <f t="shared" si="57"/>
        <v>0</v>
      </c>
      <c r="BZ64" s="1007"/>
      <c r="CA64" s="1007"/>
      <c r="CB64" s="1007">
        <f t="shared" si="58"/>
        <v>0</v>
      </c>
      <c r="CC64" s="1007"/>
      <c r="CD64" s="1007">
        <f t="shared" si="59"/>
        <v>0</v>
      </c>
      <c r="CE64" s="1007">
        <f t="shared" si="59"/>
        <v>0</v>
      </c>
      <c r="CF64" s="1007">
        <f t="shared" si="59"/>
        <v>0</v>
      </c>
      <c r="CG64" s="1007">
        <f t="shared" si="59"/>
        <v>0</v>
      </c>
      <c r="CH64" s="1007">
        <f t="shared" si="59"/>
        <v>0</v>
      </c>
      <c r="CI64" s="1007">
        <f t="shared" si="59"/>
        <v>0</v>
      </c>
      <c r="CJ64" s="1007"/>
      <c r="CK64" s="1007"/>
      <c r="CL64" s="1007">
        <f t="shared" si="41"/>
        <v>3000</v>
      </c>
      <c r="CM64" s="1010">
        <f t="shared" si="13"/>
        <v>0.26012666563210335</v>
      </c>
      <c r="CN64" s="1007">
        <f t="shared" si="42"/>
        <v>17499959</v>
      </c>
      <c r="CO64" s="1007"/>
      <c r="CP64" s="1007"/>
      <c r="CQ64" s="1007"/>
      <c r="CR64" s="1007"/>
      <c r="CS64" s="1007"/>
      <c r="CT64" s="1007"/>
      <c r="CU64" s="1007"/>
      <c r="CV64" s="1007"/>
      <c r="CW64" s="1007"/>
      <c r="CX64" s="1007"/>
      <c r="CY64" s="1007"/>
      <c r="CZ64" s="1007"/>
      <c r="DA64" s="1007"/>
      <c r="DB64" s="1007"/>
      <c r="DC64" s="1007">
        <f>+'[10]JULIO 2015'!$H$1694</f>
        <v>14408959</v>
      </c>
      <c r="DD64" s="1007">
        <f>+'[9]ABRIL 2015'!$H$1115</f>
        <v>3091000</v>
      </c>
      <c r="DE64" s="1007"/>
      <c r="DF64" s="1007"/>
      <c r="DG64" s="1007"/>
      <c r="DH64" s="1007"/>
      <c r="DI64" s="1010">
        <f t="shared" si="15"/>
        <v>0.73987333436789671</v>
      </c>
      <c r="DJ64" s="1007">
        <f t="shared" si="43"/>
        <v>49774801</v>
      </c>
      <c r="DK64" s="1007"/>
      <c r="DL64" s="1007"/>
      <c r="DM64" s="1007"/>
      <c r="DN64" s="1007">
        <f t="shared" si="64"/>
        <v>0</v>
      </c>
      <c r="DO64" s="1007"/>
      <c r="DP64" s="1007">
        <f t="shared" si="60"/>
        <v>0</v>
      </c>
      <c r="DQ64" s="1007">
        <f t="shared" si="60"/>
        <v>0</v>
      </c>
      <c r="DR64" s="1007"/>
      <c r="DS64" s="1007">
        <f t="shared" si="61"/>
        <v>0</v>
      </c>
      <c r="DT64" s="1007">
        <f t="shared" si="61"/>
        <v>0</v>
      </c>
      <c r="DU64" s="1007"/>
      <c r="DV64" s="1007">
        <f t="shared" si="62"/>
        <v>0</v>
      </c>
      <c r="DW64" s="1007">
        <f t="shared" si="62"/>
        <v>0</v>
      </c>
      <c r="DX64" s="1007">
        <f t="shared" si="62"/>
        <v>0</v>
      </c>
      <c r="DY64" s="1007">
        <f t="shared" si="63"/>
        <v>591041</v>
      </c>
      <c r="DZ64" s="1007">
        <f t="shared" si="63"/>
        <v>41909000</v>
      </c>
      <c r="EA64" s="1007">
        <f t="shared" si="63"/>
        <v>0</v>
      </c>
      <c r="EB64" s="1007">
        <f t="shared" si="63"/>
        <v>0</v>
      </c>
      <c r="EC64" s="1007"/>
      <c r="ED64" s="1007">
        <f t="shared" si="49"/>
        <v>7274760</v>
      </c>
    </row>
    <row r="65" spans="1:134" ht="51" customHeight="1" x14ac:dyDescent="0.25">
      <c r="A65" s="1565"/>
      <c r="B65" s="1018"/>
      <c r="C65" s="1114" t="s">
        <v>4395</v>
      </c>
      <c r="D65" s="1018" t="s">
        <v>4332</v>
      </c>
      <c r="E65" s="1019">
        <v>410</v>
      </c>
      <c r="F65" s="1117" t="s">
        <v>4319</v>
      </c>
      <c r="G65" s="1429"/>
      <c r="H65" s="1060">
        <f t="shared" si="31"/>
        <v>24466293</v>
      </c>
      <c r="I65" s="1060">
        <f t="shared" si="32"/>
        <v>15533707</v>
      </c>
      <c r="J65" s="1428" t="s">
        <v>4846</v>
      </c>
      <c r="K65" s="1257" t="s">
        <v>4846</v>
      </c>
      <c r="L65" s="1257" t="s">
        <v>4846</v>
      </c>
      <c r="M65" s="1113">
        <v>37</v>
      </c>
      <c r="N65" s="1113">
        <v>0</v>
      </c>
      <c r="O65" s="1113">
        <v>0</v>
      </c>
      <c r="P65" s="1113">
        <v>49</v>
      </c>
      <c r="Q65" s="1113">
        <v>100</v>
      </c>
      <c r="R65" s="1113">
        <v>49</v>
      </c>
      <c r="S65" s="1117"/>
      <c r="T65" s="1117"/>
      <c r="U65" s="1117"/>
      <c r="V65" s="1117"/>
      <c r="W65" s="1117"/>
      <c r="X65" s="1117"/>
      <c r="Y65" s="1007">
        <f t="shared" si="33"/>
        <v>40000000</v>
      </c>
      <c r="Z65" s="944"/>
      <c r="AA65" s="944"/>
      <c r="AB65" s="944"/>
      <c r="AC65" s="944"/>
      <c r="AD65" s="944"/>
      <c r="AE65" s="944"/>
      <c r="AF65" s="944"/>
      <c r="AG65" s="944"/>
      <c r="AH65" s="944"/>
      <c r="AI65" s="1007"/>
      <c r="AJ65" s="1007"/>
      <c r="AK65" s="1007"/>
      <c r="AL65" s="1007"/>
      <c r="AM65" s="1007">
        <v>21280016</v>
      </c>
      <c r="AN65" s="1007">
        <v>15000000</v>
      </c>
      <c r="AO65" s="1007">
        <f>13719984-10000000</f>
        <v>3719984</v>
      </c>
      <c r="AP65" s="1007"/>
      <c r="AQ65" s="1007"/>
      <c r="AR65" s="1007"/>
      <c r="AS65" s="1007"/>
      <c r="AU65" s="1010">
        <f t="shared" si="3"/>
        <v>0.75</v>
      </c>
      <c r="AV65" s="1007">
        <f t="shared" si="34"/>
        <v>30000000</v>
      </c>
      <c r="AW65" s="1007"/>
      <c r="AX65" s="1007"/>
      <c r="AY65" s="1007"/>
      <c r="AZ65" s="1007"/>
      <c r="BA65" s="1007"/>
      <c r="BB65" s="1007"/>
      <c r="BC65" s="1007"/>
      <c r="BD65" s="1007"/>
      <c r="BE65" s="1007"/>
      <c r="BF65" s="1007"/>
      <c r="BG65" s="1007"/>
      <c r="BH65" s="1007"/>
      <c r="BI65" s="1007"/>
      <c r="BJ65" s="1007">
        <f>+'[13]JUNIO 2015'!$W$1466</f>
        <v>11280016</v>
      </c>
      <c r="BK65" s="1007">
        <f>+'[12]FEBRERO 2015'!$W$759</f>
        <v>15000000</v>
      </c>
      <c r="BL65" s="1007">
        <v>3719984</v>
      </c>
      <c r="BM65" s="1007"/>
      <c r="BN65" s="1007"/>
      <c r="BO65" s="1007"/>
      <c r="BP65" s="1007"/>
      <c r="BQ65" s="1010">
        <f t="shared" si="25"/>
        <v>0.25</v>
      </c>
      <c r="BR65" s="1007">
        <f t="shared" si="35"/>
        <v>10000000</v>
      </c>
      <c r="BS65" s="1007">
        <f t="shared" si="56"/>
        <v>0</v>
      </c>
      <c r="BT65" s="1007"/>
      <c r="BU65" s="1007">
        <f t="shared" si="65"/>
        <v>0</v>
      </c>
      <c r="BV65" s="1007">
        <f t="shared" si="65"/>
        <v>0</v>
      </c>
      <c r="BW65" s="1007"/>
      <c r="BX65" s="1007">
        <f t="shared" si="57"/>
        <v>0</v>
      </c>
      <c r="BY65" s="1007">
        <f t="shared" si="57"/>
        <v>0</v>
      </c>
      <c r="BZ65" s="1007"/>
      <c r="CA65" s="1007"/>
      <c r="CB65" s="1007">
        <f t="shared" si="58"/>
        <v>0</v>
      </c>
      <c r="CC65" s="1007"/>
      <c r="CD65" s="1007">
        <f t="shared" si="59"/>
        <v>0</v>
      </c>
      <c r="CE65" s="1007">
        <f t="shared" si="59"/>
        <v>0</v>
      </c>
      <c r="CF65" s="1007">
        <f t="shared" si="59"/>
        <v>10000000</v>
      </c>
      <c r="CG65" s="1007">
        <f t="shared" si="59"/>
        <v>0</v>
      </c>
      <c r="CH65" s="1007">
        <f t="shared" si="59"/>
        <v>0</v>
      </c>
      <c r="CI65" s="1007">
        <f t="shared" si="59"/>
        <v>0</v>
      </c>
      <c r="CJ65" s="1007"/>
      <c r="CK65" s="1007"/>
      <c r="CL65" s="1007">
        <f t="shared" si="41"/>
        <v>0</v>
      </c>
      <c r="CM65" s="1010">
        <f t="shared" si="13"/>
        <v>0.61165732500000003</v>
      </c>
      <c r="CN65" s="1007">
        <f t="shared" si="42"/>
        <v>24466293</v>
      </c>
      <c r="CO65" s="1007"/>
      <c r="CP65" s="1007"/>
      <c r="CQ65" s="1007"/>
      <c r="CR65" s="1007"/>
      <c r="CS65" s="1007"/>
      <c r="CT65" s="1007"/>
      <c r="CU65" s="1007"/>
      <c r="CV65" s="1007"/>
      <c r="CW65" s="1007"/>
      <c r="CX65" s="1007"/>
      <c r="CY65" s="1007"/>
      <c r="CZ65" s="1007"/>
      <c r="DA65" s="1007"/>
      <c r="DB65" s="1007">
        <f>+'[8]SEPTIEMBRE 2015'!$H$2401</f>
        <v>9466293</v>
      </c>
      <c r="DC65" s="1007">
        <f>+'[8]SEPTIEMBRE 2015'!$H$2405</f>
        <v>15000000</v>
      </c>
      <c r="DD65" s="1007"/>
      <c r="DE65" s="1007"/>
      <c r="DF65" s="1007"/>
      <c r="DG65" s="1007"/>
      <c r="DH65" s="1007"/>
      <c r="DI65" s="1010">
        <f t="shared" si="15"/>
        <v>0.38834267499999997</v>
      </c>
      <c r="DJ65" s="1007">
        <f t="shared" si="43"/>
        <v>15533707</v>
      </c>
      <c r="DK65" s="1007"/>
      <c r="DL65" s="1007"/>
      <c r="DM65" s="1007"/>
      <c r="DN65" s="1007">
        <f t="shared" si="64"/>
        <v>0</v>
      </c>
      <c r="DO65" s="1007"/>
      <c r="DP65" s="1007">
        <f t="shared" si="60"/>
        <v>0</v>
      </c>
      <c r="DQ65" s="1007">
        <f t="shared" si="60"/>
        <v>0</v>
      </c>
      <c r="DR65" s="1007"/>
      <c r="DS65" s="1007">
        <f t="shared" si="61"/>
        <v>0</v>
      </c>
      <c r="DT65" s="1007">
        <f t="shared" si="61"/>
        <v>0</v>
      </c>
      <c r="DU65" s="1007"/>
      <c r="DV65" s="1007">
        <f t="shared" si="62"/>
        <v>0</v>
      </c>
      <c r="DW65" s="1007">
        <f t="shared" si="62"/>
        <v>0</v>
      </c>
      <c r="DX65" s="1007">
        <f t="shared" si="62"/>
        <v>11813723</v>
      </c>
      <c r="DY65" s="1007">
        <f t="shared" si="63"/>
        <v>0</v>
      </c>
      <c r="DZ65" s="1007">
        <f t="shared" si="63"/>
        <v>3719984</v>
      </c>
      <c r="EA65" s="1007">
        <f t="shared" si="63"/>
        <v>0</v>
      </c>
      <c r="EB65" s="1007">
        <f t="shared" si="63"/>
        <v>0</v>
      </c>
      <c r="EC65" s="1007"/>
      <c r="ED65" s="1007">
        <f t="shared" si="49"/>
        <v>0</v>
      </c>
    </row>
    <row r="66" spans="1:134" ht="50.25" customHeight="1" x14ac:dyDescent="0.25">
      <c r="A66" s="1575"/>
      <c r="B66" s="1018"/>
      <c r="C66" s="1114" t="s">
        <v>4396</v>
      </c>
      <c r="D66" s="1018" t="s">
        <v>4333</v>
      </c>
      <c r="E66" s="1019">
        <v>410</v>
      </c>
      <c r="F66" s="1117" t="s">
        <v>4334</v>
      </c>
      <c r="G66" s="1430"/>
      <c r="H66" s="1060">
        <f t="shared" si="31"/>
        <v>14389000</v>
      </c>
      <c r="I66" s="1060">
        <f t="shared" si="32"/>
        <v>2048254</v>
      </c>
      <c r="J66" s="1430"/>
      <c r="K66" s="1258"/>
      <c r="L66" s="1258"/>
      <c r="M66" s="1113">
        <v>39</v>
      </c>
      <c r="N66" s="1113">
        <v>35</v>
      </c>
      <c r="O66" s="1113">
        <v>14</v>
      </c>
      <c r="P66" s="1113">
        <v>49</v>
      </c>
      <c r="Q66" s="1113">
        <v>35</v>
      </c>
      <c r="R66" s="1113">
        <v>17</v>
      </c>
      <c r="S66" s="1117"/>
      <c r="T66" s="1117"/>
      <c r="U66" s="1117"/>
      <c r="V66" s="1117"/>
      <c r="W66" s="1117"/>
      <c r="X66" s="1117"/>
      <c r="Y66" s="1007">
        <f t="shared" si="33"/>
        <v>16437254</v>
      </c>
      <c r="Z66" s="944"/>
      <c r="AA66" s="944"/>
      <c r="AB66" s="944"/>
      <c r="AC66" s="944"/>
      <c r="AD66" s="944"/>
      <c r="AE66" s="944"/>
      <c r="AF66" s="944"/>
      <c r="AG66" s="944"/>
      <c r="AH66" s="944"/>
      <c r="AI66" s="944"/>
      <c r="AJ66" s="944"/>
      <c r="AK66" s="149"/>
      <c r="AL66" s="944"/>
      <c r="AM66" s="944"/>
      <c r="AN66" s="944"/>
      <c r="AO66" s="944"/>
      <c r="AP66" s="944"/>
      <c r="AQ66" s="944"/>
      <c r="AR66" s="944"/>
      <c r="AS66" s="1007">
        <f>20437254-4000000</f>
        <v>16437254</v>
      </c>
      <c r="AU66" s="1010">
        <f t="shared" si="3"/>
        <v>1</v>
      </c>
      <c r="AV66" s="1007">
        <f t="shared" si="34"/>
        <v>16437254</v>
      </c>
      <c r="AW66" s="1007"/>
      <c r="AX66" s="1007"/>
      <c r="AY66" s="1007"/>
      <c r="AZ66" s="1007"/>
      <c r="BA66" s="1007"/>
      <c r="BB66" s="1007"/>
      <c r="BC66" s="1007"/>
      <c r="BD66" s="1007"/>
      <c r="BE66" s="1007"/>
      <c r="BF66" s="1007"/>
      <c r="BG66" s="1007"/>
      <c r="BH66" s="1007"/>
      <c r="BI66" s="1007"/>
      <c r="BJ66" s="1007"/>
      <c r="BK66" s="1007"/>
      <c r="BL66" s="1007"/>
      <c r="BM66" s="1007"/>
      <c r="BN66" s="1007"/>
      <c r="BO66" s="1007"/>
      <c r="BP66" s="1007">
        <v>16437254</v>
      </c>
      <c r="BQ66" s="1010">
        <f t="shared" si="25"/>
        <v>0</v>
      </c>
      <c r="BR66" s="1007">
        <f t="shared" si="35"/>
        <v>0</v>
      </c>
      <c r="BS66" s="1007">
        <f t="shared" si="56"/>
        <v>0</v>
      </c>
      <c r="BT66" s="1007"/>
      <c r="BU66" s="1007">
        <f t="shared" si="65"/>
        <v>0</v>
      </c>
      <c r="BV66" s="1007">
        <f t="shared" si="65"/>
        <v>0</v>
      </c>
      <c r="BW66" s="1007"/>
      <c r="BX66" s="1007">
        <f t="shared" si="57"/>
        <v>0</v>
      </c>
      <c r="BY66" s="1007">
        <f t="shared" si="57"/>
        <v>0</v>
      </c>
      <c r="BZ66" s="1007"/>
      <c r="CA66" s="1007">
        <f>+AH66-BE66</f>
        <v>0</v>
      </c>
      <c r="CB66" s="1007">
        <f t="shared" si="58"/>
        <v>0</v>
      </c>
      <c r="CC66" s="1007">
        <f>+AJ66-BG66</f>
        <v>0</v>
      </c>
      <c r="CD66" s="1007">
        <f t="shared" si="59"/>
        <v>0</v>
      </c>
      <c r="CE66" s="1007">
        <f t="shared" si="59"/>
        <v>0</v>
      </c>
      <c r="CF66" s="1007">
        <f t="shared" si="59"/>
        <v>0</v>
      </c>
      <c r="CG66" s="1007">
        <f t="shared" si="59"/>
        <v>0</v>
      </c>
      <c r="CH66" s="1007">
        <f t="shared" si="59"/>
        <v>0</v>
      </c>
      <c r="CI66" s="1007">
        <f t="shared" si="59"/>
        <v>0</v>
      </c>
      <c r="CJ66" s="1007">
        <f>+AQ66-BN66</f>
        <v>0</v>
      </c>
      <c r="CK66" s="1007">
        <f>+AR66-BO66</f>
        <v>0</v>
      </c>
      <c r="CL66" s="1007">
        <f t="shared" si="41"/>
        <v>0</v>
      </c>
      <c r="CM66" s="1010">
        <f t="shared" si="13"/>
        <v>0.8753895267421189</v>
      </c>
      <c r="CN66" s="1007">
        <f t="shared" si="42"/>
        <v>14389000</v>
      </c>
      <c r="CO66" s="1007"/>
      <c r="CP66" s="1007"/>
      <c r="CQ66" s="1007"/>
      <c r="CR66" s="1007"/>
      <c r="CS66" s="1007"/>
      <c r="CT66" s="1007"/>
      <c r="CU66" s="1007"/>
      <c r="CV66" s="1007"/>
      <c r="CW66" s="1007"/>
      <c r="CX66" s="1007"/>
      <c r="CY66" s="1007"/>
      <c r="CZ66" s="1007"/>
      <c r="DA66" s="1007"/>
      <c r="DB66" s="1007"/>
      <c r="DC66" s="1007"/>
      <c r="DD66" s="1007"/>
      <c r="DE66" s="1007"/>
      <c r="DF66" s="1007"/>
      <c r="DG66" s="1007"/>
      <c r="DH66" s="1007">
        <f>+'[8]SEPTIEMBRE 2015'!$H$2412</f>
        <v>14389000</v>
      </c>
      <c r="DI66" s="1010">
        <f t="shared" si="15"/>
        <v>0.1246104732578811</v>
      </c>
      <c r="DJ66" s="1007">
        <f t="shared" si="43"/>
        <v>2048254</v>
      </c>
      <c r="DK66" s="1007"/>
      <c r="DL66" s="1007">
        <f>AA66-CP66</f>
        <v>0</v>
      </c>
      <c r="DM66" s="1007"/>
      <c r="DN66" s="1007">
        <f t="shared" si="64"/>
        <v>0</v>
      </c>
      <c r="DO66" s="1007"/>
      <c r="DP66" s="1007">
        <f t="shared" si="60"/>
        <v>0</v>
      </c>
      <c r="DQ66" s="1007">
        <f t="shared" si="60"/>
        <v>0</v>
      </c>
      <c r="DR66" s="1007"/>
      <c r="DS66" s="1007">
        <f t="shared" si="61"/>
        <v>0</v>
      </c>
      <c r="DT66" s="1007">
        <f t="shared" si="61"/>
        <v>0</v>
      </c>
      <c r="DU66" s="1007"/>
      <c r="DV66" s="1007">
        <f t="shared" si="62"/>
        <v>0</v>
      </c>
      <c r="DW66" s="1007">
        <f t="shared" si="62"/>
        <v>0</v>
      </c>
      <c r="DX66" s="1007">
        <f t="shared" si="62"/>
        <v>0</v>
      </c>
      <c r="DY66" s="1007">
        <f t="shared" si="63"/>
        <v>0</v>
      </c>
      <c r="DZ66" s="1007">
        <f t="shared" si="63"/>
        <v>0</v>
      </c>
      <c r="EA66" s="1007">
        <f t="shared" si="63"/>
        <v>0</v>
      </c>
      <c r="EB66" s="1007">
        <f t="shared" si="63"/>
        <v>0</v>
      </c>
      <c r="EC66" s="1007"/>
      <c r="ED66" s="1007">
        <f t="shared" si="49"/>
        <v>2048254</v>
      </c>
    </row>
    <row r="67" spans="1:134" s="948" customFormat="1" ht="22.5" customHeight="1" thickBot="1" x14ac:dyDescent="0.3">
      <c r="A67" s="1055"/>
      <c r="B67" s="1577" t="s">
        <v>4338</v>
      </c>
      <c r="C67" s="1577"/>
      <c r="D67" s="1577"/>
      <c r="E67" s="1577"/>
      <c r="F67" s="1050"/>
      <c r="G67" s="1008">
        <f>SUM(G35:G66)</f>
        <v>4593000000</v>
      </c>
      <c r="H67" s="1008">
        <f>SUM(H35:H66)</f>
        <v>3498022563</v>
      </c>
      <c r="I67" s="1008">
        <f>SUM(I35:I66)</f>
        <v>3037770166</v>
      </c>
      <c r="J67" s="1054"/>
      <c r="K67" s="1078"/>
      <c r="L67" s="1078"/>
      <c r="M67" s="1073"/>
      <c r="N67" s="1073"/>
      <c r="O67" s="1073"/>
      <c r="P67" s="1078"/>
      <c r="Q67" s="1078"/>
      <c r="R67" s="1078"/>
      <c r="S67" s="1054"/>
      <c r="T67" s="1054"/>
      <c r="U67" s="1054"/>
      <c r="V67" s="1054"/>
      <c r="W67" s="1054"/>
      <c r="X67" s="1054"/>
      <c r="Y67" s="1008">
        <f t="shared" ref="Y67:AS67" si="66">SUM(Y35:Y66)</f>
        <v>6535792729</v>
      </c>
      <c r="Z67" s="1008">
        <f t="shared" si="66"/>
        <v>0</v>
      </c>
      <c r="AA67" s="1008">
        <f t="shared" si="66"/>
        <v>134533656</v>
      </c>
      <c r="AB67" s="1008">
        <f t="shared" si="66"/>
        <v>396726534</v>
      </c>
      <c r="AC67" s="1008">
        <f t="shared" si="66"/>
        <v>775722031</v>
      </c>
      <c r="AD67" s="1008">
        <f t="shared" si="66"/>
        <v>0</v>
      </c>
      <c r="AE67" s="1008">
        <f t="shared" si="66"/>
        <v>544180877</v>
      </c>
      <c r="AF67" s="1008">
        <f t="shared" si="66"/>
        <v>55000000</v>
      </c>
      <c r="AG67" s="1008">
        <f t="shared" si="66"/>
        <v>102810569</v>
      </c>
      <c r="AH67" s="1008">
        <f t="shared" si="66"/>
        <v>219471348</v>
      </c>
      <c r="AI67" s="1008">
        <f t="shared" si="66"/>
        <v>0</v>
      </c>
      <c r="AJ67" s="1008">
        <f t="shared" si="66"/>
        <v>0</v>
      </c>
      <c r="AK67" s="1008">
        <f t="shared" si="66"/>
        <v>0</v>
      </c>
      <c r="AL67" s="1008">
        <f t="shared" si="66"/>
        <v>3504013680</v>
      </c>
      <c r="AM67" s="1008">
        <f t="shared" si="66"/>
        <v>78609139</v>
      </c>
      <c r="AN67" s="1008">
        <f t="shared" si="66"/>
        <v>251718083</v>
      </c>
      <c r="AO67" s="1008">
        <f t="shared" si="66"/>
        <v>311973650</v>
      </c>
      <c r="AP67" s="1008">
        <f t="shared" si="66"/>
        <v>0</v>
      </c>
      <c r="AQ67" s="1008">
        <f t="shared" si="66"/>
        <v>80844085</v>
      </c>
      <c r="AR67" s="1008">
        <f t="shared" si="66"/>
        <v>0</v>
      </c>
      <c r="AS67" s="1008">
        <f t="shared" si="66"/>
        <v>80189077</v>
      </c>
      <c r="AU67" s="1009">
        <f t="shared" si="3"/>
        <v>0.82290423426920767</v>
      </c>
      <c r="AV67" s="1008">
        <f t="shared" ref="AV67:BP67" si="67">SUM(AV35:AV66)</f>
        <v>5378331511</v>
      </c>
      <c r="AW67" s="1008">
        <f t="shared" si="67"/>
        <v>0</v>
      </c>
      <c r="AX67" s="1008">
        <f t="shared" si="67"/>
        <v>133268976</v>
      </c>
      <c r="AY67" s="1008">
        <f t="shared" si="67"/>
        <v>396726534</v>
      </c>
      <c r="AZ67" s="1008">
        <f t="shared" si="67"/>
        <v>775722031</v>
      </c>
      <c r="BA67" s="1008">
        <f t="shared" si="67"/>
        <v>0</v>
      </c>
      <c r="BB67" s="1008">
        <f t="shared" si="67"/>
        <v>544180877</v>
      </c>
      <c r="BC67" s="1008">
        <f t="shared" si="67"/>
        <v>55000000</v>
      </c>
      <c r="BD67" s="1008">
        <f t="shared" si="67"/>
        <v>102810569</v>
      </c>
      <c r="BE67" s="1008">
        <f t="shared" si="67"/>
        <v>219471348</v>
      </c>
      <c r="BF67" s="1008">
        <f t="shared" si="67"/>
        <v>0</v>
      </c>
      <c r="BG67" s="1008">
        <f t="shared" si="67"/>
        <v>0</v>
      </c>
      <c r="BH67" s="1008">
        <f t="shared" si="67"/>
        <v>0</v>
      </c>
      <c r="BI67" s="1008">
        <f t="shared" si="67"/>
        <v>2406031294</v>
      </c>
      <c r="BJ67" s="1008">
        <f t="shared" si="67"/>
        <v>68609139</v>
      </c>
      <c r="BK67" s="1008">
        <f t="shared" si="67"/>
        <v>235765054</v>
      </c>
      <c r="BL67" s="1008">
        <f t="shared" si="67"/>
        <v>305692590</v>
      </c>
      <c r="BM67" s="1008">
        <f t="shared" si="67"/>
        <v>0</v>
      </c>
      <c r="BN67" s="1008">
        <f t="shared" si="67"/>
        <v>80844085</v>
      </c>
      <c r="BO67" s="1008">
        <f t="shared" si="67"/>
        <v>0</v>
      </c>
      <c r="BP67" s="1008">
        <f t="shared" si="67"/>
        <v>54209014</v>
      </c>
      <c r="BQ67" s="1009">
        <f t="shared" si="25"/>
        <v>0.17709576573079233</v>
      </c>
      <c r="BR67" s="1008">
        <f t="shared" ref="BR67:CL67" si="68">SUM(BR35:BR66)</f>
        <v>1157461218</v>
      </c>
      <c r="BS67" s="1008">
        <f t="shared" si="68"/>
        <v>0</v>
      </c>
      <c r="BT67" s="1008">
        <f t="shared" si="68"/>
        <v>1264680</v>
      </c>
      <c r="BU67" s="1008">
        <f t="shared" si="68"/>
        <v>0</v>
      </c>
      <c r="BV67" s="1008">
        <f t="shared" si="68"/>
        <v>0</v>
      </c>
      <c r="BW67" s="1008">
        <f t="shared" si="68"/>
        <v>0</v>
      </c>
      <c r="BX67" s="1008">
        <f t="shared" si="68"/>
        <v>0</v>
      </c>
      <c r="BY67" s="1008">
        <f t="shared" si="68"/>
        <v>0</v>
      </c>
      <c r="BZ67" s="1008">
        <f t="shared" si="68"/>
        <v>0</v>
      </c>
      <c r="CA67" s="1008">
        <f t="shared" si="68"/>
        <v>0</v>
      </c>
      <c r="CB67" s="1008">
        <f t="shared" si="68"/>
        <v>0</v>
      </c>
      <c r="CC67" s="1008">
        <f t="shared" si="68"/>
        <v>0</v>
      </c>
      <c r="CD67" s="1008">
        <f t="shared" si="68"/>
        <v>0</v>
      </c>
      <c r="CE67" s="1008">
        <f t="shared" si="68"/>
        <v>1097982386</v>
      </c>
      <c r="CF67" s="1008">
        <f t="shared" si="68"/>
        <v>10000000</v>
      </c>
      <c r="CG67" s="1008">
        <f t="shared" si="68"/>
        <v>15953029</v>
      </c>
      <c r="CH67" s="1008">
        <f t="shared" si="68"/>
        <v>6281060</v>
      </c>
      <c r="CI67" s="1008">
        <f t="shared" si="68"/>
        <v>0</v>
      </c>
      <c r="CJ67" s="1008">
        <f t="shared" si="68"/>
        <v>0</v>
      </c>
      <c r="CK67" s="1008">
        <f t="shared" si="68"/>
        <v>0</v>
      </c>
      <c r="CL67" s="1008">
        <f t="shared" si="68"/>
        <v>25980063</v>
      </c>
      <c r="CM67" s="1009">
        <f t="shared" si="13"/>
        <v>0.53521014328971994</v>
      </c>
      <c r="CN67" s="1008">
        <f t="shared" ref="CN67:ED67" si="69">SUM(CN35:CN66)</f>
        <v>3498022563</v>
      </c>
      <c r="CO67" s="1008">
        <f t="shared" si="69"/>
        <v>0</v>
      </c>
      <c r="CP67" s="1008">
        <f t="shared" si="69"/>
        <v>133268976</v>
      </c>
      <c r="CQ67" s="1008">
        <f t="shared" si="69"/>
        <v>396726534</v>
      </c>
      <c r="CR67" s="1008">
        <f t="shared" si="69"/>
        <v>561469881</v>
      </c>
      <c r="CS67" s="1008">
        <f t="shared" si="69"/>
        <v>0</v>
      </c>
      <c r="CT67" s="1008">
        <f t="shared" si="69"/>
        <v>457458840</v>
      </c>
      <c r="CU67" s="1008">
        <f t="shared" si="69"/>
        <v>54911458</v>
      </c>
      <c r="CV67" s="1008">
        <f t="shared" si="69"/>
        <v>102810569</v>
      </c>
      <c r="CW67" s="1008">
        <f t="shared" si="69"/>
        <v>129471348</v>
      </c>
      <c r="CX67" s="1008">
        <f t="shared" si="69"/>
        <v>0</v>
      </c>
      <c r="CY67" s="1008">
        <f t="shared" si="69"/>
        <v>0</v>
      </c>
      <c r="CZ67" s="1008">
        <f t="shared" si="69"/>
        <v>0</v>
      </c>
      <c r="DA67" s="1008">
        <f t="shared" si="69"/>
        <v>1255105656</v>
      </c>
      <c r="DB67" s="1008">
        <f t="shared" si="69"/>
        <v>53706082</v>
      </c>
      <c r="DC67" s="1008">
        <f t="shared" si="69"/>
        <v>173596038</v>
      </c>
      <c r="DD67" s="1008">
        <f t="shared" si="69"/>
        <v>123389828</v>
      </c>
      <c r="DE67" s="1008">
        <f t="shared" si="69"/>
        <v>0</v>
      </c>
      <c r="DF67" s="1008">
        <f t="shared" si="69"/>
        <v>30228561</v>
      </c>
      <c r="DG67" s="1008">
        <f t="shared" si="69"/>
        <v>0</v>
      </c>
      <c r="DH67" s="1008">
        <f t="shared" si="69"/>
        <v>25878792</v>
      </c>
      <c r="DI67" s="1008">
        <f t="shared" si="69"/>
        <v>13.344282617332807</v>
      </c>
      <c r="DJ67" s="1008">
        <f t="shared" si="69"/>
        <v>3037770166</v>
      </c>
      <c r="DK67" s="1008">
        <f t="shared" si="69"/>
        <v>0</v>
      </c>
      <c r="DL67" s="1008">
        <f t="shared" si="69"/>
        <v>1264680</v>
      </c>
      <c r="DM67" s="1008">
        <f t="shared" si="69"/>
        <v>0</v>
      </c>
      <c r="DN67" s="1008">
        <f t="shared" si="69"/>
        <v>214252150</v>
      </c>
      <c r="DO67" s="1008">
        <f t="shared" si="69"/>
        <v>0</v>
      </c>
      <c r="DP67" s="1008">
        <f t="shared" si="69"/>
        <v>86722037</v>
      </c>
      <c r="DQ67" s="1008">
        <f t="shared" si="69"/>
        <v>88542</v>
      </c>
      <c r="DR67" s="1008">
        <f t="shared" si="69"/>
        <v>0</v>
      </c>
      <c r="DS67" s="1008">
        <f t="shared" si="69"/>
        <v>90000000</v>
      </c>
      <c r="DT67" s="1008">
        <f t="shared" si="69"/>
        <v>0</v>
      </c>
      <c r="DU67" s="1008">
        <f t="shared" si="69"/>
        <v>0</v>
      </c>
      <c r="DV67" s="1008">
        <f t="shared" si="69"/>
        <v>0</v>
      </c>
      <c r="DW67" s="1008">
        <f t="shared" si="69"/>
        <v>2248908024</v>
      </c>
      <c r="DX67" s="1008">
        <f t="shared" si="69"/>
        <v>24903057</v>
      </c>
      <c r="DY67" s="1008">
        <f t="shared" si="69"/>
        <v>78122045</v>
      </c>
      <c r="DZ67" s="1008">
        <f t="shared" si="69"/>
        <v>188583822</v>
      </c>
      <c r="EA67" s="1008">
        <f t="shared" si="69"/>
        <v>0</v>
      </c>
      <c r="EB67" s="1008">
        <f t="shared" si="69"/>
        <v>50615524</v>
      </c>
      <c r="EC67" s="1008">
        <f t="shared" si="69"/>
        <v>0</v>
      </c>
      <c r="ED67" s="1043">
        <f t="shared" si="69"/>
        <v>54310285</v>
      </c>
    </row>
    <row r="68" spans="1:134" ht="66.75" customHeight="1" thickTop="1" x14ac:dyDescent="0.25">
      <c r="A68" s="1578" t="s">
        <v>4756</v>
      </c>
      <c r="B68" s="1018" t="s">
        <v>4340</v>
      </c>
      <c r="C68" s="1114" t="s">
        <v>4405</v>
      </c>
      <c r="D68" s="1018" t="s">
        <v>4344</v>
      </c>
      <c r="E68" s="1019">
        <v>520</v>
      </c>
      <c r="F68" s="1117" t="s">
        <v>4732</v>
      </c>
      <c r="G68" s="1576">
        <v>331000000</v>
      </c>
      <c r="H68" s="1060">
        <f t="shared" ref="H68:H103" si="70">+CN68</f>
        <v>1671542</v>
      </c>
      <c r="I68" s="1060">
        <f t="shared" ref="I68:I99" si="71">Y68-H68</f>
        <v>1328458</v>
      </c>
      <c r="J68" s="1117" t="s">
        <v>4850</v>
      </c>
      <c r="K68" s="1113" t="s">
        <v>4854</v>
      </c>
      <c r="L68" s="1113" t="s">
        <v>4860</v>
      </c>
      <c r="M68" s="1113">
        <v>0</v>
      </c>
      <c r="N68" s="1113">
        <v>0</v>
      </c>
      <c r="O68" s="1113">
        <v>0</v>
      </c>
      <c r="P68" s="1113">
        <v>0</v>
      </c>
      <c r="Q68" s="1113">
        <v>0</v>
      </c>
      <c r="R68" s="1113">
        <v>0</v>
      </c>
      <c r="S68" s="1117"/>
      <c r="T68" s="1117"/>
      <c r="U68" s="1117"/>
      <c r="V68" s="1117"/>
      <c r="W68" s="1117"/>
      <c r="X68" s="1117"/>
      <c r="Y68" s="1007">
        <f t="shared" ref="Y68:Y103" si="72">SUM(Z68:AS68)</f>
        <v>3000000</v>
      </c>
      <c r="Z68" s="944"/>
      <c r="AA68" s="1007"/>
      <c r="AB68" s="1007"/>
      <c r="AC68" s="1007"/>
      <c r="AD68" s="1007"/>
      <c r="AE68" s="1007"/>
      <c r="AF68" s="1007"/>
      <c r="AG68" s="1007"/>
      <c r="AH68" s="1007"/>
      <c r="AI68" s="1007"/>
      <c r="AJ68" s="1007"/>
      <c r="AK68" s="1007"/>
      <c r="AL68" s="1007"/>
      <c r="AM68" s="1007"/>
      <c r="AN68" s="1007"/>
      <c r="AO68" s="1007"/>
      <c r="AP68" s="1007"/>
      <c r="AQ68" s="1007"/>
      <c r="AR68" s="1007"/>
      <c r="AS68" s="1007">
        <f>2000000+1000000</f>
        <v>3000000</v>
      </c>
      <c r="AU68" s="1010">
        <f t="shared" ref="AU68:AU104" si="73">+AV68/Y68</f>
        <v>0.66666666666666663</v>
      </c>
      <c r="AV68" s="1007">
        <f t="shared" ref="AV68:AV103" si="74">SUM(AW68:BP68)</f>
        <v>2000000</v>
      </c>
      <c r="AW68" s="1007"/>
      <c r="AX68" s="1007"/>
      <c r="AY68" s="1007"/>
      <c r="AZ68" s="1007"/>
      <c r="BA68" s="1007"/>
      <c r="BB68" s="1007"/>
      <c r="BC68" s="1007"/>
      <c r="BD68" s="1007"/>
      <c r="BE68" s="1007"/>
      <c r="BF68" s="1007"/>
      <c r="BG68" s="1007"/>
      <c r="BH68" s="1007"/>
      <c r="BI68" s="1007"/>
      <c r="BJ68" s="1007"/>
      <c r="BK68" s="1007"/>
      <c r="BL68" s="1007"/>
      <c r="BM68" s="1007"/>
      <c r="BN68" s="1007"/>
      <c r="BO68" s="1007"/>
      <c r="BP68" s="1007">
        <f>+'[8]SEPTIEMBRE 2015'!$G$2914</f>
        <v>2000000</v>
      </c>
      <c r="BQ68" s="1010">
        <f t="shared" si="25"/>
        <v>0.33333333333333337</v>
      </c>
      <c r="BR68" s="1007">
        <f t="shared" ref="BR68:BR103" si="75">SUM(BS68:CL68)</f>
        <v>1000000</v>
      </c>
      <c r="BS68" s="1007">
        <f t="shared" ref="BS68:BS103" si="76">+Z68-AW68</f>
        <v>0</v>
      </c>
      <c r="BT68" s="1007">
        <f t="shared" ref="BT68:BT103" si="77">AA68-AX68</f>
        <v>0</v>
      </c>
      <c r="BU68" s="1007"/>
      <c r="BV68" s="1007">
        <f t="shared" ref="BV68:BV103" si="78">AC68-AZ68</f>
        <v>0</v>
      </c>
      <c r="BW68" s="1007"/>
      <c r="BX68" s="1007">
        <f t="shared" ref="BX68:BY103" si="79">+AE68-BB68</f>
        <v>0</v>
      </c>
      <c r="BY68" s="1007">
        <f t="shared" si="79"/>
        <v>0</v>
      </c>
      <c r="BZ68" s="1007"/>
      <c r="CA68" s="1007">
        <f t="shared" ref="CA68:CI83" si="80">+AH68-BE68</f>
        <v>0</v>
      </c>
      <c r="CB68" s="1007">
        <f t="shared" si="80"/>
        <v>0</v>
      </c>
      <c r="CC68" s="1007">
        <f t="shared" si="80"/>
        <v>0</v>
      </c>
      <c r="CD68" s="1007">
        <f t="shared" si="80"/>
        <v>0</v>
      </c>
      <c r="CE68" s="1007">
        <f t="shared" si="80"/>
        <v>0</v>
      </c>
      <c r="CF68" s="1007">
        <f t="shared" si="80"/>
        <v>0</v>
      </c>
      <c r="CG68" s="1007">
        <f t="shared" si="80"/>
        <v>0</v>
      </c>
      <c r="CH68" s="1007">
        <f t="shared" si="80"/>
        <v>0</v>
      </c>
      <c r="CI68" s="1007">
        <f t="shared" si="80"/>
        <v>0</v>
      </c>
      <c r="CJ68" s="1007"/>
      <c r="CK68" s="1007"/>
      <c r="CL68" s="1007">
        <f t="shared" ref="CL68:CL103" si="81">+AS68-BP68</f>
        <v>1000000</v>
      </c>
      <c r="CM68" s="1010">
        <f t="shared" ref="CM68:CM104" si="82">+CN68/Y68</f>
        <v>0.55718066666666666</v>
      </c>
      <c r="CN68" s="1007">
        <f t="shared" ref="CN68:CN103" si="83">SUM(CO68:DH68)</f>
        <v>1671542</v>
      </c>
      <c r="CO68" s="1007"/>
      <c r="CP68" s="1007"/>
      <c r="CQ68" s="1007"/>
      <c r="CR68" s="1007"/>
      <c r="CS68" s="1007"/>
      <c r="CT68" s="1007"/>
      <c r="CU68" s="1007"/>
      <c r="CV68" s="1007"/>
      <c r="CW68" s="1007"/>
      <c r="CX68" s="1007"/>
      <c r="CY68" s="1007"/>
      <c r="CZ68" s="1007"/>
      <c r="DA68" s="1007"/>
      <c r="DB68" s="1007"/>
      <c r="DC68" s="1007"/>
      <c r="DD68" s="1007"/>
      <c r="DE68" s="1007"/>
      <c r="DF68" s="1007"/>
      <c r="DG68" s="1007"/>
      <c r="DH68" s="1007">
        <f>+'[8]SEPTIEMBRE 2015'!$H$2914</f>
        <v>1671542</v>
      </c>
      <c r="DI68" s="1010">
        <f t="shared" ref="DI68:DI104" si="84">1-CM68</f>
        <v>0.44281933333333334</v>
      </c>
      <c r="DJ68" s="1007">
        <f t="shared" ref="DJ68:DJ103" si="85">SUM(DK68:ED68)</f>
        <v>1328458</v>
      </c>
      <c r="DK68" s="1007"/>
      <c r="DL68" s="1007"/>
      <c r="DM68" s="1007"/>
      <c r="DN68" s="1007">
        <f t="shared" ref="DN68:DN103" si="86">AC68-CR68</f>
        <v>0</v>
      </c>
      <c r="DO68" s="1007"/>
      <c r="DP68" s="1007">
        <f t="shared" ref="DP68:DQ103" si="87">AE68-CT68</f>
        <v>0</v>
      </c>
      <c r="DQ68" s="1007">
        <f t="shared" si="87"/>
        <v>0</v>
      </c>
      <c r="DR68" s="1007"/>
      <c r="DS68" s="1007">
        <f t="shared" ref="DS68:DT103" si="88">+AH68-CW68</f>
        <v>0</v>
      </c>
      <c r="DT68" s="1007">
        <f t="shared" si="88"/>
        <v>0</v>
      </c>
      <c r="DU68" s="1007"/>
      <c r="DV68" s="1007">
        <f t="shared" ref="DV68:DX103" si="89">AK68-CZ68</f>
        <v>0</v>
      </c>
      <c r="DW68" s="1007">
        <f t="shared" si="89"/>
        <v>0</v>
      </c>
      <c r="DX68" s="1007">
        <f t="shared" si="89"/>
        <v>0</v>
      </c>
      <c r="DY68" s="1007">
        <f t="shared" ref="DY68:EB103" si="90">+AN68-DC68</f>
        <v>0</v>
      </c>
      <c r="DZ68" s="1007">
        <f t="shared" si="90"/>
        <v>0</v>
      </c>
      <c r="EA68" s="1007">
        <f t="shared" si="90"/>
        <v>0</v>
      </c>
      <c r="EB68" s="1007">
        <f t="shared" si="90"/>
        <v>0</v>
      </c>
      <c r="EC68" s="1007"/>
      <c r="ED68" s="1007">
        <f t="shared" ref="ED68:ED103" si="91">+AS68-DH68</f>
        <v>1328458</v>
      </c>
    </row>
    <row r="69" spans="1:134" ht="30.75" customHeight="1" x14ac:dyDescent="0.25">
      <c r="A69" s="1578"/>
      <c r="B69" s="1018"/>
      <c r="C69" s="1114" t="s">
        <v>4406</v>
      </c>
      <c r="D69" s="1018" t="s">
        <v>4341</v>
      </c>
      <c r="E69" s="1019">
        <v>520</v>
      </c>
      <c r="F69" s="1117" t="s">
        <v>3350</v>
      </c>
      <c r="G69" s="1429"/>
      <c r="H69" s="1060">
        <f t="shared" si="70"/>
        <v>18740479</v>
      </c>
      <c r="I69" s="1060">
        <f t="shared" si="71"/>
        <v>11259521</v>
      </c>
      <c r="J69" s="1428" t="s">
        <v>4851</v>
      </c>
      <c r="K69" s="1257" t="s">
        <v>4855</v>
      </c>
      <c r="L69" s="1257" t="s">
        <v>4861</v>
      </c>
      <c r="M69" s="1113">
        <v>13</v>
      </c>
      <c r="N69" s="1113">
        <v>10</v>
      </c>
      <c r="O69" s="1113">
        <v>1</v>
      </c>
      <c r="P69" s="1113">
        <v>24</v>
      </c>
      <c r="Q69" s="1113">
        <v>20</v>
      </c>
      <c r="R69" s="1113">
        <v>5</v>
      </c>
      <c r="S69" s="1117"/>
      <c r="T69" s="1117"/>
      <c r="U69" s="1117"/>
      <c r="V69" s="1117"/>
      <c r="W69" s="1117"/>
      <c r="X69" s="1117"/>
      <c r="Y69" s="1007">
        <f t="shared" si="72"/>
        <v>30000000</v>
      </c>
      <c r="Z69" s="1007"/>
      <c r="AA69" s="1007"/>
      <c r="AB69" s="1007"/>
      <c r="AC69" s="1007"/>
      <c r="AD69" s="1007"/>
      <c r="AE69" s="1007">
        <f>50000000-20000000</f>
        <v>30000000</v>
      </c>
      <c r="AF69" s="1007"/>
      <c r="AG69" s="1007"/>
      <c r="AH69" s="1007"/>
      <c r="AI69" s="1007"/>
      <c r="AJ69" s="1007"/>
      <c r="AK69" s="1007"/>
      <c r="AL69" s="1007"/>
      <c r="AM69" s="1007"/>
      <c r="AN69" s="1007"/>
      <c r="AO69" s="1007"/>
      <c r="AP69" s="1007"/>
      <c r="AQ69" s="1007"/>
      <c r="AR69" s="1007"/>
      <c r="AS69" s="1007"/>
      <c r="AU69" s="1010">
        <f t="shared" si="73"/>
        <v>1</v>
      </c>
      <c r="AV69" s="1007">
        <f t="shared" si="74"/>
        <v>30000000</v>
      </c>
      <c r="AW69" s="1007"/>
      <c r="AX69" s="1007"/>
      <c r="AY69" s="1007"/>
      <c r="AZ69" s="1007"/>
      <c r="BA69" s="1007"/>
      <c r="BB69" s="1007">
        <f>+'[15]FEBRERO 2015'!$N$1017-20000000</f>
        <v>30000000</v>
      </c>
      <c r="BC69" s="1007"/>
      <c r="BD69" s="1007"/>
      <c r="BE69" s="1007"/>
      <c r="BF69" s="1007"/>
      <c r="BG69" s="1007"/>
      <c r="BH69" s="1007"/>
      <c r="BI69" s="1007"/>
      <c r="BJ69" s="1007"/>
      <c r="BK69" s="1007"/>
      <c r="BL69" s="1007"/>
      <c r="BM69" s="1007"/>
      <c r="BN69" s="1007"/>
      <c r="BO69" s="1007"/>
      <c r="BP69" s="1007"/>
      <c r="BQ69" s="1010">
        <f t="shared" si="25"/>
        <v>0</v>
      </c>
      <c r="BR69" s="1007">
        <f t="shared" si="75"/>
        <v>0</v>
      </c>
      <c r="BS69" s="1007">
        <f t="shared" si="76"/>
        <v>0</v>
      </c>
      <c r="BT69" s="1007">
        <f t="shared" si="77"/>
        <v>0</v>
      </c>
      <c r="BU69" s="1007"/>
      <c r="BV69" s="1007">
        <f t="shared" si="78"/>
        <v>0</v>
      </c>
      <c r="BW69" s="1007"/>
      <c r="BX69" s="1007">
        <f t="shared" si="79"/>
        <v>0</v>
      </c>
      <c r="BY69" s="1007">
        <f t="shared" si="79"/>
        <v>0</v>
      </c>
      <c r="BZ69" s="1007"/>
      <c r="CA69" s="1007"/>
      <c r="CB69" s="1007">
        <f t="shared" si="80"/>
        <v>0</v>
      </c>
      <c r="CC69" s="1007"/>
      <c r="CD69" s="1007">
        <f t="shared" si="80"/>
        <v>0</v>
      </c>
      <c r="CE69" s="1007">
        <f t="shared" si="80"/>
        <v>0</v>
      </c>
      <c r="CF69" s="1007">
        <f t="shared" si="80"/>
        <v>0</v>
      </c>
      <c r="CG69" s="1007">
        <f t="shared" si="80"/>
        <v>0</v>
      </c>
      <c r="CH69" s="1007">
        <f t="shared" si="80"/>
        <v>0</v>
      </c>
      <c r="CI69" s="1007">
        <f t="shared" si="80"/>
        <v>0</v>
      </c>
      <c r="CJ69" s="1007"/>
      <c r="CK69" s="1007"/>
      <c r="CL69" s="1007">
        <f t="shared" si="81"/>
        <v>0</v>
      </c>
      <c r="CM69" s="1010">
        <f t="shared" si="82"/>
        <v>0.62468263333333329</v>
      </c>
      <c r="CN69" s="1007">
        <f t="shared" si="83"/>
        <v>18740479</v>
      </c>
      <c r="CO69" s="1007"/>
      <c r="CP69" s="1007"/>
      <c r="CQ69" s="1007"/>
      <c r="CR69" s="1007"/>
      <c r="CS69" s="1007"/>
      <c r="CT69" s="1007">
        <f>+'[8]SEPTIEMBRE 2015'!$H$2922</f>
        <v>18740479</v>
      </c>
      <c r="CU69" s="1007"/>
      <c r="CV69" s="1007"/>
      <c r="CW69" s="1007"/>
      <c r="CX69" s="1007"/>
      <c r="CY69" s="1007"/>
      <c r="CZ69" s="1007"/>
      <c r="DA69" s="1007"/>
      <c r="DB69" s="1007"/>
      <c r="DC69" s="1007"/>
      <c r="DD69" s="1007"/>
      <c r="DE69" s="1007"/>
      <c r="DF69" s="1007"/>
      <c r="DG69" s="1007"/>
      <c r="DH69" s="1007"/>
      <c r="DI69" s="1010">
        <f t="shared" si="84"/>
        <v>0.37531736666666671</v>
      </c>
      <c r="DJ69" s="1007">
        <f t="shared" si="85"/>
        <v>11259521</v>
      </c>
      <c r="DK69" s="1007"/>
      <c r="DL69" s="1007"/>
      <c r="DM69" s="1007"/>
      <c r="DN69" s="1007">
        <f t="shared" si="86"/>
        <v>0</v>
      </c>
      <c r="DO69" s="1007"/>
      <c r="DP69" s="1007">
        <f t="shared" si="87"/>
        <v>11259521</v>
      </c>
      <c r="DQ69" s="1007">
        <f t="shared" si="87"/>
        <v>0</v>
      </c>
      <c r="DR69" s="1007"/>
      <c r="DS69" s="1007">
        <f t="shared" si="88"/>
        <v>0</v>
      </c>
      <c r="DT69" s="1007">
        <f t="shared" si="88"/>
        <v>0</v>
      </c>
      <c r="DU69" s="1007"/>
      <c r="DV69" s="1007">
        <f t="shared" si="89"/>
        <v>0</v>
      </c>
      <c r="DW69" s="1007">
        <f t="shared" si="89"/>
        <v>0</v>
      </c>
      <c r="DX69" s="1007">
        <f t="shared" si="89"/>
        <v>0</v>
      </c>
      <c r="DY69" s="1007">
        <f t="shared" si="90"/>
        <v>0</v>
      </c>
      <c r="DZ69" s="1007">
        <f t="shared" si="90"/>
        <v>0</v>
      </c>
      <c r="EA69" s="1007">
        <f t="shared" si="90"/>
        <v>0</v>
      </c>
      <c r="EB69" s="1007">
        <f t="shared" si="90"/>
        <v>0</v>
      </c>
      <c r="EC69" s="1007"/>
      <c r="ED69" s="1007">
        <f t="shared" si="91"/>
        <v>0</v>
      </c>
    </row>
    <row r="70" spans="1:134" ht="27" customHeight="1" x14ac:dyDescent="0.25">
      <c r="A70" s="1578"/>
      <c r="B70" s="1018"/>
      <c r="C70" s="1114" t="s">
        <v>4407</v>
      </c>
      <c r="D70" s="1018" t="s">
        <v>4342</v>
      </c>
      <c r="E70" s="1019">
        <v>520</v>
      </c>
      <c r="F70" s="1117" t="s">
        <v>3350</v>
      </c>
      <c r="G70" s="1429"/>
      <c r="H70" s="1060">
        <f t="shared" si="70"/>
        <v>15854838</v>
      </c>
      <c r="I70" s="1060">
        <f t="shared" si="71"/>
        <v>4145162</v>
      </c>
      <c r="J70" s="1430"/>
      <c r="K70" s="1258"/>
      <c r="L70" s="1258"/>
      <c r="M70" s="1113">
        <v>0</v>
      </c>
      <c r="N70" s="1113">
        <v>0</v>
      </c>
      <c r="O70" s="1113">
        <v>0</v>
      </c>
      <c r="P70" s="1113">
        <v>0</v>
      </c>
      <c r="Q70" s="1113">
        <v>10</v>
      </c>
      <c r="R70" s="1113">
        <v>0</v>
      </c>
      <c r="S70" s="1117"/>
      <c r="T70" s="1117"/>
      <c r="U70" s="1117"/>
      <c r="V70" s="1117"/>
      <c r="W70" s="1117"/>
      <c r="X70" s="1117"/>
      <c r="Y70" s="1007">
        <f t="shared" si="72"/>
        <v>20000000</v>
      </c>
      <c r="Z70" s="1007"/>
      <c r="AA70" s="1007"/>
      <c r="AB70" s="1007"/>
      <c r="AC70" s="1007"/>
      <c r="AD70" s="1007"/>
      <c r="AE70" s="1007">
        <f>50000000-20000000-20000000</f>
        <v>10000000</v>
      </c>
      <c r="AF70" s="1007"/>
      <c r="AG70" s="1007"/>
      <c r="AH70" s="1007"/>
      <c r="AI70" s="1007"/>
      <c r="AJ70" s="1007"/>
      <c r="AK70" s="1007"/>
      <c r="AL70" s="1007"/>
      <c r="AM70" s="1007"/>
      <c r="AN70" s="1007">
        <v>10000000</v>
      </c>
      <c r="AO70" s="1007"/>
      <c r="AP70" s="1007"/>
      <c r="AQ70" s="1007"/>
      <c r="AR70" s="1007"/>
      <c r="AS70" s="1007"/>
      <c r="AU70" s="1010">
        <f t="shared" si="73"/>
        <v>1</v>
      </c>
      <c r="AV70" s="1007">
        <f t="shared" si="74"/>
        <v>20000000</v>
      </c>
      <c r="AW70" s="1007"/>
      <c r="AX70" s="1007"/>
      <c r="AY70" s="1007"/>
      <c r="AZ70" s="1007"/>
      <c r="BA70" s="1007"/>
      <c r="BB70" s="1007">
        <f>+'[15]FEBRERO 2015'!$N$1024-40000000</f>
        <v>10000000</v>
      </c>
      <c r="BC70" s="1007"/>
      <c r="BD70" s="1007"/>
      <c r="BE70" s="1007"/>
      <c r="BF70" s="1007"/>
      <c r="BG70" s="1007"/>
      <c r="BH70" s="1007"/>
      <c r="BI70" s="1007"/>
      <c r="BJ70" s="1007"/>
      <c r="BK70" s="1007">
        <f>+'[12]FEBRERO 2015'!$W$1086</f>
        <v>10000000</v>
      </c>
      <c r="BL70" s="1007"/>
      <c r="BM70" s="1007"/>
      <c r="BN70" s="1007"/>
      <c r="BO70" s="1007"/>
      <c r="BP70" s="1007"/>
      <c r="BQ70" s="1010">
        <f t="shared" si="25"/>
        <v>0</v>
      </c>
      <c r="BR70" s="1007">
        <f t="shared" si="75"/>
        <v>0</v>
      </c>
      <c r="BS70" s="1007">
        <f t="shared" si="76"/>
        <v>0</v>
      </c>
      <c r="BT70" s="1007">
        <f t="shared" si="77"/>
        <v>0</v>
      </c>
      <c r="BU70" s="1007"/>
      <c r="BV70" s="1007">
        <f t="shared" si="78"/>
        <v>0</v>
      </c>
      <c r="BW70" s="1007"/>
      <c r="BX70" s="1007">
        <f t="shared" si="79"/>
        <v>0</v>
      </c>
      <c r="BY70" s="1007">
        <f t="shared" si="79"/>
        <v>0</v>
      </c>
      <c r="BZ70" s="1007"/>
      <c r="CA70" s="1007"/>
      <c r="CB70" s="1007">
        <f t="shared" si="80"/>
        <v>0</v>
      </c>
      <c r="CC70" s="1007"/>
      <c r="CD70" s="1007">
        <f t="shared" si="80"/>
        <v>0</v>
      </c>
      <c r="CE70" s="1007">
        <f t="shared" si="80"/>
        <v>0</v>
      </c>
      <c r="CF70" s="1007">
        <f t="shared" si="80"/>
        <v>0</v>
      </c>
      <c r="CG70" s="1007">
        <f t="shared" si="80"/>
        <v>0</v>
      </c>
      <c r="CH70" s="1007">
        <f t="shared" si="80"/>
        <v>0</v>
      </c>
      <c r="CI70" s="1007">
        <f t="shared" si="80"/>
        <v>0</v>
      </c>
      <c r="CJ70" s="1007"/>
      <c r="CK70" s="1007"/>
      <c r="CL70" s="1007">
        <f t="shared" si="81"/>
        <v>0</v>
      </c>
      <c r="CM70" s="1010">
        <f t="shared" si="82"/>
        <v>0.7927419</v>
      </c>
      <c r="CN70" s="1007">
        <f t="shared" si="83"/>
        <v>15854838</v>
      </c>
      <c r="CO70" s="1007"/>
      <c r="CP70" s="1007"/>
      <c r="CQ70" s="1007"/>
      <c r="CR70" s="1007"/>
      <c r="CS70" s="1007"/>
      <c r="CT70" s="1007">
        <f>+'[8]SEPTIEMBRE 2015'!$H$2949</f>
        <v>5854838</v>
      </c>
      <c r="CU70" s="1007"/>
      <c r="CV70" s="1007"/>
      <c r="CW70" s="1007"/>
      <c r="CX70" s="1007"/>
      <c r="CY70" s="1007"/>
      <c r="CZ70" s="1007"/>
      <c r="DA70" s="1007"/>
      <c r="DB70" s="1007"/>
      <c r="DC70" s="1007">
        <f>+'[8]SEPTIEMBRE 2015'!$H$2955</f>
        <v>10000000</v>
      </c>
      <c r="DD70" s="1007"/>
      <c r="DE70" s="1007"/>
      <c r="DF70" s="1007"/>
      <c r="DG70" s="1007"/>
      <c r="DH70" s="1007"/>
      <c r="DI70" s="1010">
        <f t="shared" si="84"/>
        <v>0.2072581</v>
      </c>
      <c r="DJ70" s="1007">
        <f t="shared" si="85"/>
        <v>4145162</v>
      </c>
      <c r="DK70" s="1007"/>
      <c r="DL70" s="1007"/>
      <c r="DM70" s="1007"/>
      <c r="DN70" s="1007">
        <f t="shared" si="86"/>
        <v>0</v>
      </c>
      <c r="DO70" s="1007"/>
      <c r="DP70" s="1007">
        <f t="shared" si="87"/>
        <v>4145162</v>
      </c>
      <c r="DQ70" s="1007">
        <f t="shared" si="87"/>
        <v>0</v>
      </c>
      <c r="DR70" s="1007"/>
      <c r="DS70" s="1007">
        <f t="shared" si="88"/>
        <v>0</v>
      </c>
      <c r="DT70" s="1007">
        <f t="shared" si="88"/>
        <v>0</v>
      </c>
      <c r="DU70" s="1007"/>
      <c r="DV70" s="1007">
        <f t="shared" si="89"/>
        <v>0</v>
      </c>
      <c r="DW70" s="1007">
        <f t="shared" si="89"/>
        <v>0</v>
      </c>
      <c r="DX70" s="1007">
        <f t="shared" si="89"/>
        <v>0</v>
      </c>
      <c r="DY70" s="1007">
        <f t="shared" si="90"/>
        <v>0</v>
      </c>
      <c r="DZ70" s="1007">
        <f t="shared" si="90"/>
        <v>0</v>
      </c>
      <c r="EA70" s="1007">
        <f t="shared" si="90"/>
        <v>0</v>
      </c>
      <c r="EB70" s="1007">
        <f t="shared" si="90"/>
        <v>0</v>
      </c>
      <c r="EC70" s="1007"/>
      <c r="ED70" s="1007">
        <f t="shared" si="91"/>
        <v>0</v>
      </c>
    </row>
    <row r="71" spans="1:134" ht="55.5" customHeight="1" x14ac:dyDescent="0.25">
      <c r="A71" s="1578"/>
      <c r="B71" s="1018"/>
      <c r="C71" s="1114" t="s">
        <v>4408</v>
      </c>
      <c r="D71" s="1018" t="s">
        <v>4343</v>
      </c>
      <c r="E71" s="1019">
        <v>520</v>
      </c>
      <c r="F71" s="1117" t="s">
        <v>4734</v>
      </c>
      <c r="G71" s="1429"/>
      <c r="H71" s="1060">
        <f t="shared" si="70"/>
        <v>204763116</v>
      </c>
      <c r="I71" s="1060">
        <f t="shared" si="71"/>
        <v>24736884</v>
      </c>
      <c r="J71" s="1117" t="s">
        <v>4852</v>
      </c>
      <c r="K71" s="1113" t="s">
        <v>4856</v>
      </c>
      <c r="L71" s="1113" t="s">
        <v>4862</v>
      </c>
      <c r="M71" s="1113">
        <v>15</v>
      </c>
      <c r="N71" s="1113">
        <v>67</v>
      </c>
      <c r="O71" s="1113">
        <v>10</v>
      </c>
      <c r="P71" s="1113">
        <v>69</v>
      </c>
      <c r="Q71" s="1113">
        <v>18</v>
      </c>
      <c r="R71" s="1113">
        <v>12</v>
      </c>
      <c r="S71" s="1117"/>
      <c r="T71" s="1117"/>
      <c r="U71" s="1117"/>
      <c r="V71" s="1117"/>
      <c r="W71" s="1117"/>
      <c r="X71" s="1117"/>
      <c r="Y71" s="1007">
        <f t="shared" si="72"/>
        <v>229500000</v>
      </c>
      <c r="Z71" s="944"/>
      <c r="AA71" s="1007"/>
      <c r="AB71" s="1007"/>
      <c r="AC71" s="1007"/>
      <c r="AD71" s="1007"/>
      <c r="AE71" s="1007">
        <v>200000000</v>
      </c>
      <c r="AF71" s="1007"/>
      <c r="AG71" s="1007"/>
      <c r="AH71" s="1007"/>
      <c r="AI71" s="1007"/>
      <c r="AJ71" s="1007"/>
      <c r="AK71" s="1007"/>
      <c r="AL71" s="1007"/>
      <c r="AM71" s="1007"/>
      <c r="AN71" s="1007">
        <f>25000000</f>
        <v>25000000</v>
      </c>
      <c r="AO71" s="1007"/>
      <c r="AP71" s="1007"/>
      <c r="AQ71" s="1007"/>
      <c r="AR71" s="1007"/>
      <c r="AS71" s="1007">
        <f>2000000+2500000</f>
        <v>4500000</v>
      </c>
      <c r="AU71" s="1010">
        <f t="shared" si="73"/>
        <v>0.92096165577342048</v>
      </c>
      <c r="AV71" s="1007">
        <f t="shared" si="74"/>
        <v>211360700</v>
      </c>
      <c r="AW71" s="1007"/>
      <c r="AX71" s="1007"/>
      <c r="AY71" s="1007"/>
      <c r="AZ71" s="1007"/>
      <c r="BA71" s="1007"/>
      <c r="BB71" s="1007">
        <f>+'[15]FEBRERO 2015'!$N$1029</f>
        <v>200000000</v>
      </c>
      <c r="BC71" s="1007"/>
      <c r="BD71" s="1007"/>
      <c r="BE71" s="1007"/>
      <c r="BF71" s="1007"/>
      <c r="BG71" s="1007"/>
      <c r="BH71" s="1007"/>
      <c r="BI71" s="1007"/>
      <c r="BJ71" s="1007"/>
      <c r="BK71" s="1007">
        <f>+'[8]SEPTIEMBRE 2015'!$X$2960</f>
        <v>6860700</v>
      </c>
      <c r="BL71" s="1007"/>
      <c r="BM71" s="1007"/>
      <c r="BN71" s="1007"/>
      <c r="BO71" s="1007"/>
      <c r="BP71" s="1007">
        <f>+'[10]JULIO 2015'!$AD$2168</f>
        <v>4500000</v>
      </c>
      <c r="BQ71" s="1010">
        <f t="shared" si="25"/>
        <v>7.9038344226579516E-2</v>
      </c>
      <c r="BR71" s="1007">
        <f t="shared" si="75"/>
        <v>18139300</v>
      </c>
      <c r="BS71" s="1007">
        <f t="shared" si="76"/>
        <v>0</v>
      </c>
      <c r="BT71" s="1007">
        <f t="shared" si="77"/>
        <v>0</v>
      </c>
      <c r="BU71" s="1007"/>
      <c r="BV71" s="1007">
        <f t="shared" si="78"/>
        <v>0</v>
      </c>
      <c r="BW71" s="1007"/>
      <c r="BX71" s="1007">
        <f t="shared" si="79"/>
        <v>0</v>
      </c>
      <c r="BY71" s="1007">
        <f t="shared" si="79"/>
        <v>0</v>
      </c>
      <c r="BZ71" s="1007"/>
      <c r="CA71" s="1007">
        <f>+AH71-BE71</f>
        <v>0</v>
      </c>
      <c r="CB71" s="1007">
        <f t="shared" si="80"/>
        <v>0</v>
      </c>
      <c r="CC71" s="1007">
        <f t="shared" si="80"/>
        <v>0</v>
      </c>
      <c r="CD71" s="1007">
        <f t="shared" si="80"/>
        <v>0</v>
      </c>
      <c r="CE71" s="1007">
        <f t="shared" si="80"/>
        <v>0</v>
      </c>
      <c r="CF71" s="1007">
        <f t="shared" si="80"/>
        <v>0</v>
      </c>
      <c r="CG71" s="1007">
        <f t="shared" si="80"/>
        <v>18139300</v>
      </c>
      <c r="CH71" s="1007">
        <f t="shared" si="80"/>
        <v>0</v>
      </c>
      <c r="CI71" s="1007">
        <f t="shared" si="80"/>
        <v>0</v>
      </c>
      <c r="CJ71" s="1007"/>
      <c r="CK71" s="1007"/>
      <c r="CL71" s="1007">
        <f t="shared" si="81"/>
        <v>0</v>
      </c>
      <c r="CM71" s="1010">
        <f t="shared" si="82"/>
        <v>0.89221401307189541</v>
      </c>
      <c r="CN71" s="1007">
        <f t="shared" si="83"/>
        <v>204763116</v>
      </c>
      <c r="CO71" s="1007"/>
      <c r="CP71" s="1007"/>
      <c r="CQ71" s="1007"/>
      <c r="CR71" s="1007"/>
      <c r="CS71" s="1007"/>
      <c r="CT71" s="1007">
        <f>+'[8]SEPTIEMBRE 2015'!$H$2966</f>
        <v>196216648</v>
      </c>
      <c r="CU71" s="1007"/>
      <c r="CV71" s="1007"/>
      <c r="CW71" s="1007"/>
      <c r="CX71" s="1007"/>
      <c r="CY71" s="1007"/>
      <c r="CZ71" s="1007"/>
      <c r="DA71" s="1007"/>
      <c r="DB71" s="1007"/>
      <c r="DC71" s="1007">
        <f>+'[8]SEPTIEMBRE 2015'!$H$3040+'[8]SEPTIEMBRE 2015'!$H$3041+'[8]SEPTIEMBRE 2015'!$H$3042+'[8]SEPTIEMBRE 2015'!$H$3043</f>
        <v>6860700</v>
      </c>
      <c r="DD71" s="1007"/>
      <c r="DE71" s="1007"/>
      <c r="DF71" s="1007"/>
      <c r="DG71" s="1007"/>
      <c r="DH71" s="1007">
        <f>+'[8]SEPTIEMBRE 2015'!$H$2961+'[8]SEPTIEMBRE 2015'!$H$3037</f>
        <v>1685768</v>
      </c>
      <c r="DI71" s="1010">
        <f t="shared" si="84"/>
        <v>0.10778598692810459</v>
      </c>
      <c r="DJ71" s="1007">
        <f t="shared" si="85"/>
        <v>24736884</v>
      </c>
      <c r="DK71" s="1007"/>
      <c r="DL71" s="1007"/>
      <c r="DM71" s="1007"/>
      <c r="DN71" s="1007">
        <f t="shared" si="86"/>
        <v>0</v>
      </c>
      <c r="DO71" s="1007"/>
      <c r="DP71" s="1007">
        <f t="shared" si="87"/>
        <v>3783352</v>
      </c>
      <c r="DQ71" s="1007">
        <f t="shared" si="87"/>
        <v>0</v>
      </c>
      <c r="DR71" s="1007"/>
      <c r="DS71" s="1007">
        <f t="shared" si="88"/>
        <v>0</v>
      </c>
      <c r="DT71" s="1007">
        <f t="shared" si="88"/>
        <v>0</v>
      </c>
      <c r="DU71" s="1007"/>
      <c r="DV71" s="1007">
        <f t="shared" si="89"/>
        <v>0</v>
      </c>
      <c r="DW71" s="1007">
        <f t="shared" si="89"/>
        <v>0</v>
      </c>
      <c r="DX71" s="1007">
        <f t="shared" si="89"/>
        <v>0</v>
      </c>
      <c r="DY71" s="1007">
        <f t="shared" si="90"/>
        <v>18139300</v>
      </c>
      <c r="DZ71" s="1007">
        <f t="shared" si="90"/>
        <v>0</v>
      </c>
      <c r="EA71" s="1007">
        <f t="shared" si="90"/>
        <v>0</v>
      </c>
      <c r="EB71" s="1007">
        <f t="shared" si="90"/>
        <v>0</v>
      </c>
      <c r="EC71" s="1007"/>
      <c r="ED71" s="1007">
        <f t="shared" si="91"/>
        <v>2814232</v>
      </c>
    </row>
    <row r="72" spans="1:134" ht="51" customHeight="1" x14ac:dyDescent="0.25">
      <c r="A72" s="1578"/>
      <c r="B72" s="1018"/>
      <c r="C72" s="1114" t="s">
        <v>4409</v>
      </c>
      <c r="D72" s="1018" t="s">
        <v>4346</v>
      </c>
      <c r="E72" s="1019">
        <v>520</v>
      </c>
      <c r="F72" s="1117" t="s">
        <v>4735</v>
      </c>
      <c r="G72" s="1429"/>
      <c r="H72" s="1060">
        <f t="shared" si="70"/>
        <v>28906771</v>
      </c>
      <c r="I72" s="1060">
        <f t="shared" si="71"/>
        <v>17093229</v>
      </c>
      <c r="J72" s="1428" t="s">
        <v>4853</v>
      </c>
      <c r="K72" s="1257" t="s">
        <v>4857</v>
      </c>
      <c r="L72" s="1257" t="s">
        <v>4853</v>
      </c>
      <c r="M72" s="1113">
        <v>39</v>
      </c>
      <c r="N72" s="1113">
        <v>0</v>
      </c>
      <c r="O72" s="1113">
        <v>0</v>
      </c>
      <c r="P72" s="1113">
        <v>21</v>
      </c>
      <c r="Q72" s="1113">
        <v>0</v>
      </c>
      <c r="R72" s="1113">
        <v>0</v>
      </c>
      <c r="S72" s="1117"/>
      <c r="T72" s="1117"/>
      <c r="U72" s="1117"/>
      <c r="V72" s="1117"/>
      <c r="W72" s="1117"/>
      <c r="X72" s="1117"/>
      <c r="Y72" s="1007">
        <f t="shared" si="72"/>
        <v>46000000</v>
      </c>
      <c r="Z72" s="944"/>
      <c r="AA72" s="1007"/>
      <c r="AB72" s="1007"/>
      <c r="AC72" s="1007"/>
      <c r="AD72" s="1007"/>
      <c r="AE72" s="1007"/>
      <c r="AF72" s="1007"/>
      <c r="AG72" s="1007"/>
      <c r="AH72" s="1007"/>
      <c r="AI72" s="1007"/>
      <c r="AJ72" s="1007"/>
      <c r="AK72" s="1007"/>
      <c r="AL72" s="1007"/>
      <c r="AM72" s="1007"/>
      <c r="AN72" s="1007"/>
      <c r="AO72" s="1007"/>
      <c r="AP72" s="1007"/>
      <c r="AQ72" s="1007"/>
      <c r="AR72" s="1007"/>
      <c r="AS72" s="1007">
        <f>25000000+17000000+4000000</f>
        <v>46000000</v>
      </c>
      <c r="AU72" s="1010">
        <f t="shared" si="73"/>
        <v>0.63043478260869568</v>
      </c>
      <c r="AV72" s="1007">
        <f t="shared" si="74"/>
        <v>29000000</v>
      </c>
      <c r="AW72" s="1007"/>
      <c r="AX72" s="1007"/>
      <c r="AY72" s="1007"/>
      <c r="AZ72" s="1007"/>
      <c r="BA72" s="1007"/>
      <c r="BB72" s="1007"/>
      <c r="BC72" s="1007"/>
      <c r="BD72" s="1007"/>
      <c r="BE72" s="1007"/>
      <c r="BF72" s="1007"/>
      <c r="BG72" s="1007"/>
      <c r="BH72" s="1007"/>
      <c r="BI72" s="1007"/>
      <c r="BJ72" s="1007"/>
      <c r="BK72" s="1007"/>
      <c r="BL72" s="1007"/>
      <c r="BM72" s="1007"/>
      <c r="BN72" s="1007"/>
      <c r="BO72" s="1007"/>
      <c r="BP72" s="1007">
        <f>+'[8]SEPTIEMBRE 2015'!$AD$3049</f>
        <v>29000000</v>
      </c>
      <c r="BQ72" s="1010">
        <f t="shared" si="25"/>
        <v>0.36956521739130432</v>
      </c>
      <c r="BR72" s="1007">
        <f t="shared" si="75"/>
        <v>17000000</v>
      </c>
      <c r="BS72" s="1007">
        <f t="shared" si="76"/>
        <v>0</v>
      </c>
      <c r="BT72" s="1007">
        <f t="shared" si="77"/>
        <v>0</v>
      </c>
      <c r="BU72" s="1007"/>
      <c r="BV72" s="1007">
        <f t="shared" si="78"/>
        <v>0</v>
      </c>
      <c r="BW72" s="1007"/>
      <c r="BX72" s="1007">
        <f t="shared" si="79"/>
        <v>0</v>
      </c>
      <c r="BY72" s="1007">
        <f t="shared" si="79"/>
        <v>0</v>
      </c>
      <c r="BZ72" s="1007"/>
      <c r="CA72" s="1007">
        <f>+AH72-BE72</f>
        <v>0</v>
      </c>
      <c r="CB72" s="1007">
        <f t="shared" si="80"/>
        <v>0</v>
      </c>
      <c r="CC72" s="1007">
        <f t="shared" si="80"/>
        <v>0</v>
      </c>
      <c r="CD72" s="1007">
        <f t="shared" si="80"/>
        <v>0</v>
      </c>
      <c r="CE72" s="1007">
        <f t="shared" si="80"/>
        <v>0</v>
      </c>
      <c r="CF72" s="1007">
        <f t="shared" si="80"/>
        <v>0</v>
      </c>
      <c r="CG72" s="1007">
        <f t="shared" si="80"/>
        <v>0</v>
      </c>
      <c r="CH72" s="1007">
        <f t="shared" si="80"/>
        <v>0</v>
      </c>
      <c r="CI72" s="1007">
        <f t="shared" si="80"/>
        <v>0</v>
      </c>
      <c r="CJ72" s="1007">
        <f>+AQ72-BN72</f>
        <v>0</v>
      </c>
      <c r="CK72" s="1007"/>
      <c r="CL72" s="1007">
        <f t="shared" si="81"/>
        <v>17000000</v>
      </c>
      <c r="CM72" s="1010">
        <f t="shared" si="82"/>
        <v>0.62840806521739134</v>
      </c>
      <c r="CN72" s="1007">
        <f t="shared" si="83"/>
        <v>28906771</v>
      </c>
      <c r="CO72" s="1007"/>
      <c r="CP72" s="1007"/>
      <c r="CQ72" s="1007"/>
      <c r="CR72" s="1007"/>
      <c r="CS72" s="1007"/>
      <c r="CT72" s="1007"/>
      <c r="CU72" s="1007"/>
      <c r="CV72" s="1007"/>
      <c r="CW72" s="1007"/>
      <c r="CX72" s="1007"/>
      <c r="CY72" s="1007"/>
      <c r="CZ72" s="1007"/>
      <c r="DA72" s="1007"/>
      <c r="DB72" s="1007"/>
      <c r="DC72" s="1007"/>
      <c r="DD72" s="1007"/>
      <c r="DE72" s="1007"/>
      <c r="DF72" s="1007"/>
      <c r="DG72" s="1007"/>
      <c r="DH72" s="1007">
        <f>+'[8]SEPTIEMBRE 2015'!$H$3047</f>
        <v>28906771</v>
      </c>
      <c r="DI72" s="1010">
        <f t="shared" si="84"/>
        <v>0.37159193478260866</v>
      </c>
      <c r="DJ72" s="1007">
        <f t="shared" si="85"/>
        <v>17093229</v>
      </c>
      <c r="DK72" s="1007"/>
      <c r="DL72" s="1007"/>
      <c r="DM72" s="1007"/>
      <c r="DN72" s="1007">
        <f t="shared" si="86"/>
        <v>0</v>
      </c>
      <c r="DO72" s="1007"/>
      <c r="DP72" s="1007">
        <f t="shared" si="87"/>
        <v>0</v>
      </c>
      <c r="DQ72" s="1007">
        <f t="shared" si="87"/>
        <v>0</v>
      </c>
      <c r="DR72" s="1007"/>
      <c r="DS72" s="1007">
        <f t="shared" si="88"/>
        <v>0</v>
      </c>
      <c r="DT72" s="1007">
        <f t="shared" si="88"/>
        <v>0</v>
      </c>
      <c r="DU72" s="1007"/>
      <c r="DV72" s="1007">
        <f t="shared" si="89"/>
        <v>0</v>
      </c>
      <c r="DW72" s="1007">
        <f t="shared" si="89"/>
        <v>0</v>
      </c>
      <c r="DX72" s="1007">
        <f t="shared" si="89"/>
        <v>0</v>
      </c>
      <c r="DY72" s="1007">
        <f t="shared" si="90"/>
        <v>0</v>
      </c>
      <c r="DZ72" s="1007">
        <f t="shared" si="90"/>
        <v>0</v>
      </c>
      <c r="EA72" s="1007">
        <f t="shared" si="90"/>
        <v>0</v>
      </c>
      <c r="EB72" s="1007">
        <f t="shared" si="90"/>
        <v>0</v>
      </c>
      <c r="EC72" s="1007"/>
      <c r="ED72" s="1007">
        <f t="shared" si="91"/>
        <v>17093229</v>
      </c>
    </row>
    <row r="73" spans="1:134" ht="40.5" customHeight="1" x14ac:dyDescent="0.25">
      <c r="A73" s="1578"/>
      <c r="B73" s="1018"/>
      <c r="C73" s="1114" t="s">
        <v>4410</v>
      </c>
      <c r="D73" s="1018" t="s">
        <v>4613</v>
      </c>
      <c r="E73" s="1019">
        <v>520</v>
      </c>
      <c r="F73" s="1117" t="s">
        <v>4345</v>
      </c>
      <c r="G73" s="1430"/>
      <c r="H73" s="1060">
        <f t="shared" si="70"/>
        <v>1764945</v>
      </c>
      <c r="I73" s="1060">
        <f t="shared" si="71"/>
        <v>1235055</v>
      </c>
      <c r="J73" s="1430"/>
      <c r="K73" s="1258"/>
      <c r="L73" s="1258"/>
      <c r="M73" s="1113">
        <v>81</v>
      </c>
      <c r="N73" s="1113">
        <v>0</v>
      </c>
      <c r="O73" s="1113">
        <v>24</v>
      </c>
      <c r="P73" s="1113">
        <v>59</v>
      </c>
      <c r="Q73" s="1113">
        <v>0</v>
      </c>
      <c r="R73" s="1113">
        <v>0</v>
      </c>
      <c r="S73" s="1117"/>
      <c r="T73" s="1117"/>
      <c r="U73" s="1117"/>
      <c r="V73" s="1117"/>
      <c r="W73" s="1117"/>
      <c r="X73" s="1117"/>
      <c r="Y73" s="1007">
        <f t="shared" si="72"/>
        <v>3000000</v>
      </c>
      <c r="Z73" s="944"/>
      <c r="AA73" s="1007"/>
      <c r="AB73" s="1007"/>
      <c r="AC73" s="1007"/>
      <c r="AD73" s="1007"/>
      <c r="AE73" s="1007"/>
      <c r="AF73" s="1007"/>
      <c r="AG73" s="1007"/>
      <c r="AH73" s="1007"/>
      <c r="AI73" s="1007"/>
      <c r="AJ73" s="1007"/>
      <c r="AK73" s="1007"/>
      <c r="AL73" s="1007"/>
      <c r="AM73" s="1007"/>
      <c r="AN73" s="1007"/>
      <c r="AO73" s="1007"/>
      <c r="AP73" s="1007"/>
      <c r="AQ73" s="1007"/>
      <c r="AR73" s="1007"/>
      <c r="AS73" s="1007">
        <f>2000000+1000000</f>
        <v>3000000</v>
      </c>
      <c r="AU73" s="1010">
        <f t="shared" si="73"/>
        <v>1</v>
      </c>
      <c r="AV73" s="1007">
        <f t="shared" si="74"/>
        <v>3000000</v>
      </c>
      <c r="AW73" s="1007"/>
      <c r="AX73" s="1007"/>
      <c r="AY73" s="1007"/>
      <c r="AZ73" s="1007"/>
      <c r="BA73" s="1007"/>
      <c r="BB73" s="1007"/>
      <c r="BC73" s="1007"/>
      <c r="BD73" s="1007"/>
      <c r="BE73" s="1007"/>
      <c r="BF73" s="1007"/>
      <c r="BG73" s="1007"/>
      <c r="BH73" s="1007"/>
      <c r="BI73" s="1007"/>
      <c r="BJ73" s="1007"/>
      <c r="BK73" s="1007"/>
      <c r="BL73" s="1007"/>
      <c r="BM73" s="1007"/>
      <c r="BN73" s="1007"/>
      <c r="BO73" s="1007"/>
      <c r="BP73" s="1007">
        <f>+'[10]JULIO 2015'!$AD$2253</f>
        <v>3000000</v>
      </c>
      <c r="BQ73" s="1010">
        <f t="shared" si="25"/>
        <v>0</v>
      </c>
      <c r="BR73" s="1007">
        <f t="shared" si="75"/>
        <v>0</v>
      </c>
      <c r="BS73" s="1007">
        <f t="shared" si="76"/>
        <v>0</v>
      </c>
      <c r="BT73" s="1007">
        <f t="shared" si="77"/>
        <v>0</v>
      </c>
      <c r="BU73" s="1007"/>
      <c r="BV73" s="1007">
        <f t="shared" si="78"/>
        <v>0</v>
      </c>
      <c r="BW73" s="1007"/>
      <c r="BX73" s="1007">
        <f t="shared" si="79"/>
        <v>0</v>
      </c>
      <c r="BY73" s="1007">
        <f t="shared" si="79"/>
        <v>0</v>
      </c>
      <c r="BZ73" s="1007"/>
      <c r="CA73" s="1007"/>
      <c r="CB73" s="1007">
        <f t="shared" si="80"/>
        <v>0</v>
      </c>
      <c r="CC73" s="1007">
        <f t="shared" si="80"/>
        <v>0</v>
      </c>
      <c r="CD73" s="1007">
        <f t="shared" si="80"/>
        <v>0</v>
      </c>
      <c r="CE73" s="1007">
        <f t="shared" si="80"/>
        <v>0</v>
      </c>
      <c r="CF73" s="1007">
        <f t="shared" si="80"/>
        <v>0</v>
      </c>
      <c r="CG73" s="1007">
        <f t="shared" si="80"/>
        <v>0</v>
      </c>
      <c r="CH73" s="1007">
        <f t="shared" si="80"/>
        <v>0</v>
      </c>
      <c r="CI73" s="1007">
        <f t="shared" si="80"/>
        <v>0</v>
      </c>
      <c r="CJ73" s="1007"/>
      <c r="CK73" s="1007"/>
      <c r="CL73" s="1007">
        <f t="shared" si="81"/>
        <v>0</v>
      </c>
      <c r="CM73" s="1010">
        <f t="shared" si="82"/>
        <v>0.58831500000000003</v>
      </c>
      <c r="CN73" s="1007">
        <f t="shared" si="83"/>
        <v>1764945</v>
      </c>
      <c r="CO73" s="1007"/>
      <c r="CP73" s="1007"/>
      <c r="CQ73" s="1007"/>
      <c r="CR73" s="1007"/>
      <c r="CS73" s="1007"/>
      <c r="CT73" s="1007"/>
      <c r="CU73" s="1007"/>
      <c r="CV73" s="1007"/>
      <c r="CW73" s="1007"/>
      <c r="CX73" s="1007"/>
      <c r="CY73" s="1007"/>
      <c r="CZ73" s="1007"/>
      <c r="DA73" s="1007"/>
      <c r="DB73" s="1007"/>
      <c r="DC73" s="1007"/>
      <c r="DD73" s="1007"/>
      <c r="DE73" s="1007"/>
      <c r="DF73" s="1007"/>
      <c r="DG73" s="1007"/>
      <c r="DH73" s="1007">
        <f>+'[9]ABRIL 2015'!$H$1527</f>
        <v>1764945</v>
      </c>
      <c r="DI73" s="1010">
        <f t="shared" si="84"/>
        <v>0.41168499999999997</v>
      </c>
      <c r="DJ73" s="1007">
        <f t="shared" si="85"/>
        <v>1235055</v>
      </c>
      <c r="DK73" s="1007"/>
      <c r="DL73" s="1007"/>
      <c r="DM73" s="1007"/>
      <c r="DN73" s="1007">
        <f t="shared" si="86"/>
        <v>0</v>
      </c>
      <c r="DO73" s="1007"/>
      <c r="DP73" s="1007">
        <f t="shared" si="87"/>
        <v>0</v>
      </c>
      <c r="DQ73" s="1007">
        <f t="shared" si="87"/>
        <v>0</v>
      </c>
      <c r="DR73" s="1007"/>
      <c r="DS73" s="1007">
        <f t="shared" si="88"/>
        <v>0</v>
      </c>
      <c r="DT73" s="1007">
        <f t="shared" si="88"/>
        <v>0</v>
      </c>
      <c r="DU73" s="1007"/>
      <c r="DV73" s="1007">
        <f t="shared" si="89"/>
        <v>0</v>
      </c>
      <c r="DW73" s="1007">
        <f t="shared" si="89"/>
        <v>0</v>
      </c>
      <c r="DX73" s="1007">
        <f t="shared" si="89"/>
        <v>0</v>
      </c>
      <c r="DY73" s="1007">
        <f t="shared" si="90"/>
        <v>0</v>
      </c>
      <c r="DZ73" s="1007">
        <f t="shared" si="90"/>
        <v>0</v>
      </c>
      <c r="EA73" s="1007">
        <f t="shared" si="90"/>
        <v>0</v>
      </c>
      <c r="EB73" s="1007">
        <f t="shared" si="90"/>
        <v>0</v>
      </c>
      <c r="EC73" s="1007"/>
      <c r="ED73" s="1007">
        <f t="shared" si="91"/>
        <v>1235055</v>
      </c>
    </row>
    <row r="74" spans="1:134" ht="51.75" customHeight="1" x14ac:dyDescent="0.25">
      <c r="A74" s="1578"/>
      <c r="B74" s="1018" t="s">
        <v>4348</v>
      </c>
      <c r="C74" s="1114" t="s">
        <v>4411</v>
      </c>
      <c r="D74" s="1018" t="s">
        <v>4614</v>
      </c>
      <c r="E74" s="1019">
        <v>520</v>
      </c>
      <c r="F74" s="1117" t="s">
        <v>3350</v>
      </c>
      <c r="G74" s="1428">
        <v>100000000</v>
      </c>
      <c r="H74" s="1060">
        <f t="shared" si="70"/>
        <v>0</v>
      </c>
      <c r="I74" s="1060">
        <f t="shared" si="71"/>
        <v>25000000</v>
      </c>
      <c r="J74" s="1428" t="s">
        <v>4858</v>
      </c>
      <c r="K74" s="1257" t="s">
        <v>4859</v>
      </c>
      <c r="L74" s="1257" t="s">
        <v>4863</v>
      </c>
      <c r="M74" s="1113">
        <v>0</v>
      </c>
      <c r="N74" s="1113">
        <v>0</v>
      </c>
      <c r="O74" s="1113">
        <v>0</v>
      </c>
      <c r="P74" s="1113">
        <v>0</v>
      </c>
      <c r="Q74" s="1113">
        <v>0</v>
      </c>
      <c r="R74" s="1113">
        <v>0</v>
      </c>
      <c r="S74" s="1117"/>
      <c r="T74" s="1117"/>
      <c r="U74" s="1117"/>
      <c r="V74" s="1117"/>
      <c r="W74" s="1117"/>
      <c r="X74" s="1117"/>
      <c r="Y74" s="1007">
        <f t="shared" si="72"/>
        <v>25000000</v>
      </c>
      <c r="Z74" s="944"/>
      <c r="AA74" s="1007"/>
      <c r="AB74" s="1007"/>
      <c r="AC74" s="1007"/>
      <c r="AD74" s="1007"/>
      <c r="AE74" s="1007"/>
      <c r="AF74" s="1007">
        <f>50000000-25000000</f>
        <v>25000000</v>
      </c>
      <c r="AG74" s="1007"/>
      <c r="AH74" s="1007"/>
      <c r="AI74" s="1007"/>
      <c r="AJ74" s="1007"/>
      <c r="AK74" s="1007"/>
      <c r="AL74" s="1007"/>
      <c r="AM74" s="1007"/>
      <c r="AN74" s="1007"/>
      <c r="AO74" s="1007"/>
      <c r="AP74" s="1007"/>
      <c r="AQ74" s="1007"/>
      <c r="AR74" s="1007"/>
      <c r="AS74" s="1007"/>
      <c r="AU74" s="1010">
        <f t="shared" si="73"/>
        <v>0</v>
      </c>
      <c r="AV74" s="1007">
        <f t="shared" si="74"/>
        <v>0</v>
      </c>
      <c r="AW74" s="1007"/>
      <c r="AX74" s="1007"/>
      <c r="AY74" s="1007"/>
      <c r="AZ74" s="1007"/>
      <c r="BA74" s="1007"/>
      <c r="BB74" s="1007"/>
      <c r="BC74" s="1007"/>
      <c r="BD74" s="1007"/>
      <c r="BE74" s="1007"/>
      <c r="BF74" s="1007"/>
      <c r="BG74" s="1007"/>
      <c r="BH74" s="1007"/>
      <c r="BI74" s="1007"/>
      <c r="BJ74" s="1007"/>
      <c r="BK74" s="1007"/>
      <c r="BL74" s="1007"/>
      <c r="BM74" s="1007"/>
      <c r="BN74" s="1007"/>
      <c r="BO74" s="1007"/>
      <c r="BP74" s="1007"/>
      <c r="BQ74" s="1010">
        <f t="shared" si="25"/>
        <v>1</v>
      </c>
      <c r="BR74" s="1007">
        <f t="shared" si="75"/>
        <v>25000000</v>
      </c>
      <c r="BS74" s="1007">
        <f t="shared" si="76"/>
        <v>0</v>
      </c>
      <c r="BT74" s="1007">
        <f t="shared" si="77"/>
        <v>0</v>
      </c>
      <c r="BU74" s="1007"/>
      <c r="BV74" s="1007">
        <f t="shared" si="78"/>
        <v>0</v>
      </c>
      <c r="BW74" s="1007"/>
      <c r="BX74" s="1007">
        <f t="shared" si="79"/>
        <v>0</v>
      </c>
      <c r="BY74" s="1007">
        <f t="shared" si="79"/>
        <v>25000000</v>
      </c>
      <c r="BZ74" s="1007"/>
      <c r="CA74" s="1007">
        <f>+AH74-BE74</f>
        <v>0</v>
      </c>
      <c r="CB74" s="1007">
        <f t="shared" si="80"/>
        <v>0</v>
      </c>
      <c r="CC74" s="1007">
        <f t="shared" si="80"/>
        <v>0</v>
      </c>
      <c r="CD74" s="1007">
        <f t="shared" si="80"/>
        <v>0</v>
      </c>
      <c r="CE74" s="1007">
        <f t="shared" si="80"/>
        <v>0</v>
      </c>
      <c r="CF74" s="1007">
        <f t="shared" si="80"/>
        <v>0</v>
      </c>
      <c r="CG74" s="1007">
        <f t="shared" si="80"/>
        <v>0</v>
      </c>
      <c r="CH74" s="1007">
        <f t="shared" si="80"/>
        <v>0</v>
      </c>
      <c r="CI74" s="1007">
        <f t="shared" si="80"/>
        <v>0</v>
      </c>
      <c r="CJ74" s="1007">
        <f>+AQ74-BN74</f>
        <v>0</v>
      </c>
      <c r="CK74" s="1007"/>
      <c r="CL74" s="1007">
        <f t="shared" si="81"/>
        <v>0</v>
      </c>
      <c r="CM74" s="1010">
        <f t="shared" si="82"/>
        <v>0</v>
      </c>
      <c r="CN74" s="1007">
        <f t="shared" si="83"/>
        <v>0</v>
      </c>
      <c r="CO74" s="1007"/>
      <c r="CP74" s="1007"/>
      <c r="CQ74" s="1007"/>
      <c r="CR74" s="1007"/>
      <c r="CS74" s="1007"/>
      <c r="CT74" s="1007"/>
      <c r="CU74" s="1007"/>
      <c r="CV74" s="1007"/>
      <c r="CW74" s="1007"/>
      <c r="CX74" s="1007"/>
      <c r="CY74" s="1007"/>
      <c r="CZ74" s="1007"/>
      <c r="DA74" s="1007"/>
      <c r="DB74" s="1007"/>
      <c r="DC74" s="1007"/>
      <c r="DD74" s="1007"/>
      <c r="DE74" s="1007"/>
      <c r="DF74" s="1007"/>
      <c r="DG74" s="1007"/>
      <c r="DH74" s="1007"/>
      <c r="DI74" s="1010">
        <f t="shared" si="84"/>
        <v>1</v>
      </c>
      <c r="DJ74" s="1007">
        <f t="shared" si="85"/>
        <v>25000000</v>
      </c>
      <c r="DK74" s="1007"/>
      <c r="DL74" s="1007"/>
      <c r="DM74" s="1007"/>
      <c r="DN74" s="1007">
        <f t="shared" si="86"/>
        <v>0</v>
      </c>
      <c r="DO74" s="1007"/>
      <c r="DP74" s="1007">
        <f t="shared" si="87"/>
        <v>0</v>
      </c>
      <c r="DQ74" s="1007">
        <f t="shared" si="87"/>
        <v>25000000</v>
      </c>
      <c r="DR74" s="1007"/>
      <c r="DS74" s="1007">
        <f t="shared" si="88"/>
        <v>0</v>
      </c>
      <c r="DT74" s="1007">
        <f t="shared" si="88"/>
        <v>0</v>
      </c>
      <c r="DU74" s="1007"/>
      <c r="DV74" s="1007">
        <f t="shared" si="89"/>
        <v>0</v>
      </c>
      <c r="DW74" s="1007">
        <f t="shared" si="89"/>
        <v>0</v>
      </c>
      <c r="DX74" s="1007">
        <f t="shared" si="89"/>
        <v>0</v>
      </c>
      <c r="DY74" s="1007">
        <f t="shared" si="90"/>
        <v>0</v>
      </c>
      <c r="DZ74" s="1007">
        <f t="shared" si="90"/>
        <v>0</v>
      </c>
      <c r="EA74" s="1007">
        <f t="shared" si="90"/>
        <v>0</v>
      </c>
      <c r="EB74" s="1007">
        <f t="shared" si="90"/>
        <v>0</v>
      </c>
      <c r="EC74" s="1007"/>
      <c r="ED74" s="1007">
        <f t="shared" si="91"/>
        <v>0</v>
      </c>
    </row>
    <row r="75" spans="1:134" ht="34.5" customHeight="1" x14ac:dyDescent="0.25">
      <c r="A75" s="1578"/>
      <c r="B75" s="1018"/>
      <c r="C75" s="1114" t="s">
        <v>4412</v>
      </c>
      <c r="D75" s="1018" t="s">
        <v>4615</v>
      </c>
      <c r="E75" s="1019">
        <v>520</v>
      </c>
      <c r="F75" s="1117" t="s">
        <v>3350</v>
      </c>
      <c r="G75" s="1429"/>
      <c r="H75" s="1060">
        <f t="shared" si="70"/>
        <v>27607364</v>
      </c>
      <c r="I75" s="1060">
        <f t="shared" si="71"/>
        <v>2392636</v>
      </c>
      <c r="J75" s="1429"/>
      <c r="K75" s="1562"/>
      <c r="L75" s="1562"/>
      <c r="M75" s="1113">
        <v>66</v>
      </c>
      <c r="N75" s="1113">
        <v>50</v>
      </c>
      <c r="O75" s="1113">
        <v>33</v>
      </c>
      <c r="P75" s="1113">
        <v>79</v>
      </c>
      <c r="Q75" s="1113">
        <v>100</v>
      </c>
      <c r="R75" s="1113">
        <v>79</v>
      </c>
      <c r="S75" s="1117"/>
      <c r="T75" s="1117"/>
      <c r="U75" s="1117"/>
      <c r="V75" s="1117"/>
      <c r="W75" s="1117"/>
      <c r="X75" s="1117"/>
      <c r="Y75" s="1007">
        <f t="shared" si="72"/>
        <v>30000000</v>
      </c>
      <c r="Z75" s="944"/>
      <c r="AA75" s="1007"/>
      <c r="AB75" s="1007"/>
      <c r="AC75" s="1007"/>
      <c r="AD75" s="1007"/>
      <c r="AE75" s="1007">
        <v>20000000</v>
      </c>
      <c r="AF75" s="1007"/>
      <c r="AG75" s="1007"/>
      <c r="AH75" s="1007"/>
      <c r="AI75" s="1007"/>
      <c r="AJ75" s="1007"/>
      <c r="AK75" s="1007"/>
      <c r="AL75" s="1007"/>
      <c r="AM75" s="1007"/>
      <c r="AN75" s="1007">
        <v>10000000</v>
      </c>
      <c r="AO75" s="1007"/>
      <c r="AP75" s="1007"/>
      <c r="AQ75" s="1007"/>
      <c r="AR75" s="1007"/>
      <c r="AS75" s="1007"/>
      <c r="AU75" s="1010">
        <f t="shared" si="73"/>
        <v>1</v>
      </c>
      <c r="AV75" s="1007">
        <f t="shared" si="74"/>
        <v>30000000</v>
      </c>
      <c r="AW75" s="1007"/>
      <c r="AX75" s="1007"/>
      <c r="AY75" s="1007"/>
      <c r="AZ75" s="1007"/>
      <c r="BA75" s="1007"/>
      <c r="BB75" s="1007">
        <f>+'[16]ENERO 2015'!$L$922</f>
        <v>20000000</v>
      </c>
      <c r="BC75" s="1007"/>
      <c r="BD75" s="1007"/>
      <c r="BE75" s="1007"/>
      <c r="BF75" s="1007"/>
      <c r="BG75" s="1007"/>
      <c r="BH75" s="1007"/>
      <c r="BI75" s="1007"/>
      <c r="BJ75" s="1007"/>
      <c r="BK75" s="1007">
        <f>+'[12]FEBRERO 2015'!$W$1134</f>
        <v>10000000</v>
      </c>
      <c r="BL75" s="1007"/>
      <c r="BM75" s="1007"/>
      <c r="BN75" s="1007"/>
      <c r="BO75" s="1007"/>
      <c r="BP75" s="1007"/>
      <c r="BQ75" s="1010">
        <f t="shared" si="25"/>
        <v>0</v>
      </c>
      <c r="BR75" s="1007">
        <f t="shared" si="75"/>
        <v>0</v>
      </c>
      <c r="BS75" s="1007">
        <f t="shared" si="76"/>
        <v>0</v>
      </c>
      <c r="BT75" s="1007">
        <f t="shared" si="77"/>
        <v>0</v>
      </c>
      <c r="BU75" s="1007"/>
      <c r="BV75" s="1007">
        <f t="shared" si="78"/>
        <v>0</v>
      </c>
      <c r="BW75" s="1007"/>
      <c r="BX75" s="1007">
        <f t="shared" si="79"/>
        <v>0</v>
      </c>
      <c r="BY75" s="1007">
        <f t="shared" si="79"/>
        <v>0</v>
      </c>
      <c r="BZ75" s="1007"/>
      <c r="CA75" s="1007">
        <f>+AH75-BE75</f>
        <v>0</v>
      </c>
      <c r="CB75" s="1007">
        <f t="shared" si="80"/>
        <v>0</v>
      </c>
      <c r="CC75" s="1007">
        <f t="shared" si="80"/>
        <v>0</v>
      </c>
      <c r="CD75" s="1007">
        <f t="shared" si="80"/>
        <v>0</v>
      </c>
      <c r="CE75" s="1007">
        <f t="shared" si="80"/>
        <v>0</v>
      </c>
      <c r="CF75" s="1007">
        <f t="shared" si="80"/>
        <v>0</v>
      </c>
      <c r="CG75" s="1007">
        <f t="shared" si="80"/>
        <v>0</v>
      </c>
      <c r="CH75" s="1007">
        <f t="shared" si="80"/>
        <v>0</v>
      </c>
      <c r="CI75" s="1007">
        <f t="shared" si="80"/>
        <v>0</v>
      </c>
      <c r="CJ75" s="1007">
        <f>+AQ75-BN75</f>
        <v>0</v>
      </c>
      <c r="CK75" s="1007"/>
      <c r="CL75" s="1007">
        <f t="shared" si="81"/>
        <v>0</v>
      </c>
      <c r="CM75" s="1010">
        <f t="shared" si="82"/>
        <v>0.92024546666666662</v>
      </c>
      <c r="CN75" s="1007">
        <f t="shared" si="83"/>
        <v>27607364</v>
      </c>
      <c r="CO75" s="1007"/>
      <c r="CP75" s="1007"/>
      <c r="CQ75" s="1007"/>
      <c r="CR75" s="1007"/>
      <c r="CS75" s="1007"/>
      <c r="CT75" s="1007">
        <f>+'[8]SEPTIEMBRE 2015'!$H$3080</f>
        <v>20000000</v>
      </c>
      <c r="CU75" s="1007"/>
      <c r="CV75" s="1007"/>
      <c r="CW75" s="1007"/>
      <c r="CX75" s="1007"/>
      <c r="CY75" s="1007"/>
      <c r="CZ75" s="1007"/>
      <c r="DA75" s="1007"/>
      <c r="DB75" s="1007"/>
      <c r="DC75" s="1007">
        <f>+'[8]SEPTIEMBRE 2015'!$H$3083</f>
        <v>7607364</v>
      </c>
      <c r="DD75" s="1007"/>
      <c r="DE75" s="1007"/>
      <c r="DF75" s="1007"/>
      <c r="DG75" s="1007"/>
      <c r="DH75" s="1007"/>
      <c r="DI75" s="1010">
        <f t="shared" si="84"/>
        <v>7.9754533333333377E-2</v>
      </c>
      <c r="DJ75" s="1007">
        <f t="shared" si="85"/>
        <v>2392636</v>
      </c>
      <c r="DK75" s="1007"/>
      <c r="DL75" s="1007"/>
      <c r="DM75" s="1007"/>
      <c r="DN75" s="1007">
        <f t="shared" si="86"/>
        <v>0</v>
      </c>
      <c r="DO75" s="1007"/>
      <c r="DP75" s="1007">
        <f t="shared" si="87"/>
        <v>0</v>
      </c>
      <c r="DQ75" s="1007">
        <f t="shared" si="87"/>
        <v>0</v>
      </c>
      <c r="DR75" s="1007"/>
      <c r="DS75" s="1007">
        <f t="shared" si="88"/>
        <v>0</v>
      </c>
      <c r="DT75" s="1007">
        <f t="shared" si="88"/>
        <v>0</v>
      </c>
      <c r="DU75" s="1007"/>
      <c r="DV75" s="1007">
        <f t="shared" si="89"/>
        <v>0</v>
      </c>
      <c r="DW75" s="1007">
        <f t="shared" si="89"/>
        <v>0</v>
      </c>
      <c r="DX75" s="1007">
        <f t="shared" si="89"/>
        <v>0</v>
      </c>
      <c r="DY75" s="1007">
        <f t="shared" si="90"/>
        <v>2392636</v>
      </c>
      <c r="DZ75" s="1007">
        <f t="shared" si="90"/>
        <v>0</v>
      </c>
      <c r="EA75" s="1007">
        <f t="shared" si="90"/>
        <v>0</v>
      </c>
      <c r="EB75" s="1007">
        <f t="shared" si="90"/>
        <v>0</v>
      </c>
      <c r="EC75" s="1007"/>
      <c r="ED75" s="1007">
        <f t="shared" si="91"/>
        <v>0</v>
      </c>
    </row>
    <row r="76" spans="1:134" ht="51" customHeight="1" x14ac:dyDescent="0.25">
      <c r="A76" s="1578"/>
      <c r="B76" s="1018"/>
      <c r="C76" s="1114" t="s">
        <v>4413</v>
      </c>
      <c r="D76" s="1018" t="s">
        <v>4349</v>
      </c>
      <c r="E76" s="1019">
        <v>520</v>
      </c>
      <c r="F76" s="1117" t="s">
        <v>3350</v>
      </c>
      <c r="G76" s="1430"/>
      <c r="H76" s="1060">
        <f t="shared" si="70"/>
        <v>12228000</v>
      </c>
      <c r="I76" s="1060">
        <f t="shared" si="71"/>
        <v>17772000</v>
      </c>
      <c r="J76" s="1430"/>
      <c r="K76" s="1258"/>
      <c r="L76" s="1258"/>
      <c r="M76" s="1113">
        <v>7</v>
      </c>
      <c r="N76" s="1113">
        <v>30</v>
      </c>
      <c r="O76" s="1113">
        <v>2</v>
      </c>
      <c r="P76" s="1113">
        <v>41</v>
      </c>
      <c r="Q76" s="1113">
        <v>100</v>
      </c>
      <c r="R76" s="1113">
        <v>41</v>
      </c>
      <c r="S76" s="1117"/>
      <c r="T76" s="1117"/>
      <c r="U76" s="1117"/>
      <c r="V76" s="1117"/>
      <c r="W76" s="1117"/>
      <c r="X76" s="1117"/>
      <c r="Y76" s="1007">
        <f t="shared" si="72"/>
        <v>30000000</v>
      </c>
      <c r="Z76" s="944"/>
      <c r="AA76" s="1007"/>
      <c r="AB76" s="1007"/>
      <c r="AC76" s="1007"/>
      <c r="AD76" s="1007"/>
      <c r="AE76" s="1007">
        <v>30000000</v>
      </c>
      <c r="AF76" s="1007"/>
      <c r="AG76" s="1007"/>
      <c r="AH76" s="1007"/>
      <c r="AI76" s="1007"/>
      <c r="AJ76" s="1007"/>
      <c r="AK76" s="1007"/>
      <c r="AL76" s="1007"/>
      <c r="AM76" s="1007"/>
      <c r="AN76" s="1007"/>
      <c r="AO76" s="1007"/>
      <c r="AP76" s="1007"/>
      <c r="AQ76" s="1007"/>
      <c r="AR76" s="1007"/>
      <c r="AS76" s="1007"/>
      <c r="AU76" s="1010">
        <f t="shared" si="73"/>
        <v>1</v>
      </c>
      <c r="AV76" s="1007">
        <f t="shared" si="74"/>
        <v>30000000</v>
      </c>
      <c r="AW76" s="1007"/>
      <c r="AX76" s="1007"/>
      <c r="AY76" s="1007"/>
      <c r="AZ76" s="1007"/>
      <c r="BA76" s="1007"/>
      <c r="BB76" s="1007">
        <f>+'[15]FEBRERO 2015'!$N$1070</f>
        <v>30000000</v>
      </c>
      <c r="BC76" s="1007"/>
      <c r="BD76" s="1007"/>
      <c r="BE76" s="1007"/>
      <c r="BF76" s="1007"/>
      <c r="BG76" s="1007"/>
      <c r="BH76" s="1007"/>
      <c r="BI76" s="1007"/>
      <c r="BJ76" s="1007"/>
      <c r="BK76" s="1007"/>
      <c r="BL76" s="1007"/>
      <c r="BM76" s="1007"/>
      <c r="BN76" s="1007"/>
      <c r="BO76" s="1007"/>
      <c r="BP76" s="1007"/>
      <c r="BQ76" s="1010">
        <f t="shared" si="25"/>
        <v>0</v>
      </c>
      <c r="BR76" s="1007">
        <f t="shared" si="75"/>
        <v>0</v>
      </c>
      <c r="BS76" s="1007">
        <f t="shared" si="76"/>
        <v>0</v>
      </c>
      <c r="BT76" s="1007">
        <f t="shared" si="77"/>
        <v>0</v>
      </c>
      <c r="BU76" s="1007"/>
      <c r="BV76" s="1007">
        <f t="shared" si="78"/>
        <v>0</v>
      </c>
      <c r="BW76" s="1007"/>
      <c r="BX76" s="1007">
        <f t="shared" si="79"/>
        <v>0</v>
      </c>
      <c r="BY76" s="1007">
        <f t="shared" si="79"/>
        <v>0</v>
      </c>
      <c r="BZ76" s="1007"/>
      <c r="CA76" s="1007">
        <f>AH76-BE76</f>
        <v>0</v>
      </c>
      <c r="CB76" s="1007">
        <f t="shared" si="80"/>
        <v>0</v>
      </c>
      <c r="CC76" s="1007">
        <f t="shared" si="80"/>
        <v>0</v>
      </c>
      <c r="CD76" s="1007">
        <f t="shared" si="80"/>
        <v>0</v>
      </c>
      <c r="CE76" s="1007">
        <f t="shared" si="80"/>
        <v>0</v>
      </c>
      <c r="CF76" s="1007">
        <f t="shared" si="80"/>
        <v>0</v>
      </c>
      <c r="CG76" s="1007">
        <f>AN76-BK76</f>
        <v>0</v>
      </c>
      <c r="CH76" s="1007">
        <f t="shared" si="80"/>
        <v>0</v>
      </c>
      <c r="CI76" s="1007">
        <f t="shared" si="80"/>
        <v>0</v>
      </c>
      <c r="CJ76" s="1007">
        <f>+AQ76-BN76</f>
        <v>0</v>
      </c>
      <c r="CK76" s="1007"/>
      <c r="CL76" s="1007">
        <f t="shared" si="81"/>
        <v>0</v>
      </c>
      <c r="CM76" s="1010">
        <f t="shared" si="82"/>
        <v>0.40760000000000002</v>
      </c>
      <c r="CN76" s="1007">
        <f t="shared" si="83"/>
        <v>12228000</v>
      </c>
      <c r="CO76" s="1007"/>
      <c r="CP76" s="1007"/>
      <c r="CQ76" s="1007"/>
      <c r="CR76" s="1007"/>
      <c r="CS76" s="1007"/>
      <c r="CT76" s="1007">
        <f>+'[13]JUNIO 2015'!$H$1939</f>
        <v>12228000</v>
      </c>
      <c r="CU76" s="1007"/>
      <c r="CV76" s="1007"/>
      <c r="CW76" s="1007"/>
      <c r="CX76" s="1007"/>
      <c r="CY76" s="1007"/>
      <c r="CZ76" s="1007"/>
      <c r="DA76" s="1007"/>
      <c r="DB76" s="1007"/>
      <c r="DC76" s="1007"/>
      <c r="DD76" s="1007"/>
      <c r="DE76" s="1007"/>
      <c r="DF76" s="1007"/>
      <c r="DG76" s="1007"/>
      <c r="DH76" s="1007"/>
      <c r="DI76" s="1010">
        <f t="shared" si="84"/>
        <v>0.59240000000000004</v>
      </c>
      <c r="DJ76" s="1007">
        <f t="shared" si="85"/>
        <v>17772000</v>
      </c>
      <c r="DK76" s="1007"/>
      <c r="DL76" s="1007"/>
      <c r="DM76" s="1007"/>
      <c r="DN76" s="1007">
        <f t="shared" si="86"/>
        <v>0</v>
      </c>
      <c r="DO76" s="1007"/>
      <c r="DP76" s="1007">
        <f t="shared" si="87"/>
        <v>17772000</v>
      </c>
      <c r="DQ76" s="1007">
        <f t="shared" si="87"/>
        <v>0</v>
      </c>
      <c r="DR76" s="1007"/>
      <c r="DS76" s="1007">
        <f t="shared" si="88"/>
        <v>0</v>
      </c>
      <c r="DT76" s="1007">
        <f t="shared" si="88"/>
        <v>0</v>
      </c>
      <c r="DU76" s="1007"/>
      <c r="DV76" s="1007">
        <f t="shared" si="89"/>
        <v>0</v>
      </c>
      <c r="DW76" s="1007">
        <f t="shared" si="89"/>
        <v>0</v>
      </c>
      <c r="DX76" s="1007">
        <f t="shared" si="89"/>
        <v>0</v>
      </c>
      <c r="DY76" s="1007">
        <f t="shared" si="90"/>
        <v>0</v>
      </c>
      <c r="DZ76" s="1007">
        <f t="shared" si="90"/>
        <v>0</v>
      </c>
      <c r="EA76" s="1007">
        <f t="shared" si="90"/>
        <v>0</v>
      </c>
      <c r="EB76" s="1007">
        <f t="shared" si="90"/>
        <v>0</v>
      </c>
      <c r="EC76" s="1007"/>
      <c r="ED76" s="1007">
        <f t="shared" si="91"/>
        <v>0</v>
      </c>
    </row>
    <row r="77" spans="1:134" ht="30" customHeight="1" x14ac:dyDescent="0.25">
      <c r="A77" s="1578"/>
      <c r="B77" s="1018" t="s">
        <v>4350</v>
      </c>
      <c r="C77" s="1114" t="s">
        <v>4414</v>
      </c>
      <c r="D77" s="1018" t="s">
        <v>4351</v>
      </c>
      <c r="E77" s="1019">
        <v>520</v>
      </c>
      <c r="F77" s="1117" t="s">
        <v>4736</v>
      </c>
      <c r="G77" s="1428">
        <v>1710000000</v>
      </c>
      <c r="H77" s="1060">
        <f t="shared" si="70"/>
        <v>0</v>
      </c>
      <c r="I77" s="1060">
        <f t="shared" si="71"/>
        <v>2898900</v>
      </c>
      <c r="J77" s="1428" t="s">
        <v>4864</v>
      </c>
      <c r="K77" s="1257" t="s">
        <v>4870</v>
      </c>
      <c r="L77" s="1257" t="s">
        <v>4877</v>
      </c>
      <c r="M77" s="1113">
        <v>0</v>
      </c>
      <c r="N77" s="1113">
        <v>0</v>
      </c>
      <c r="O77" s="1113">
        <v>0</v>
      </c>
      <c r="P77" s="1113">
        <v>0</v>
      </c>
      <c r="Q77" s="1113">
        <v>0</v>
      </c>
      <c r="R77" s="1113">
        <v>0</v>
      </c>
      <c r="S77" s="1117"/>
      <c r="T77" s="1117"/>
      <c r="U77" s="1117"/>
      <c r="V77" s="1117"/>
      <c r="W77" s="1117"/>
      <c r="X77" s="1117"/>
      <c r="Y77" s="1007">
        <f t="shared" si="72"/>
        <v>2898900</v>
      </c>
      <c r="Z77" s="944"/>
      <c r="AA77" s="944"/>
      <c r="AB77" s="944"/>
      <c r="AC77" s="944"/>
      <c r="AD77" s="944"/>
      <c r="AE77" s="944"/>
      <c r="AF77" s="1007"/>
      <c r="AG77" s="1007"/>
      <c r="AH77" s="1007"/>
      <c r="AI77" s="1007"/>
      <c r="AJ77" s="1007"/>
      <c r="AK77" s="1007"/>
      <c r="AL77" s="1007"/>
      <c r="AM77" s="1007"/>
      <c r="AN77" s="1007"/>
      <c r="AO77" s="1007"/>
      <c r="AP77" s="1007"/>
      <c r="AQ77" s="1007"/>
      <c r="AR77" s="1007"/>
      <c r="AS77" s="1007">
        <f>2500000+398900</f>
        <v>2898900</v>
      </c>
      <c r="AU77" s="1010">
        <f t="shared" si="73"/>
        <v>1</v>
      </c>
      <c r="AV77" s="1007">
        <f t="shared" si="74"/>
        <v>2898900</v>
      </c>
      <c r="AW77" s="1007"/>
      <c r="AX77" s="1007"/>
      <c r="AY77" s="1007"/>
      <c r="AZ77" s="1007"/>
      <c r="BA77" s="1007"/>
      <c r="BB77" s="1007"/>
      <c r="BC77" s="1007"/>
      <c r="BD77" s="1007"/>
      <c r="BE77" s="1007"/>
      <c r="BF77" s="1007"/>
      <c r="BG77" s="1007"/>
      <c r="BH77" s="1007"/>
      <c r="BI77" s="1007"/>
      <c r="BJ77" s="1007"/>
      <c r="BK77" s="1007"/>
      <c r="BL77" s="1007"/>
      <c r="BM77" s="1007"/>
      <c r="BN77" s="1007"/>
      <c r="BO77" s="1007"/>
      <c r="BP77" s="1007">
        <f>+'[10]JULIO 2015'!$AD$2291</f>
        <v>2898900</v>
      </c>
      <c r="BQ77" s="1010">
        <f t="shared" si="25"/>
        <v>0</v>
      </c>
      <c r="BR77" s="1007">
        <f t="shared" si="75"/>
        <v>0</v>
      </c>
      <c r="BS77" s="1007">
        <f t="shared" si="76"/>
        <v>0</v>
      </c>
      <c r="BT77" s="1007">
        <f t="shared" si="77"/>
        <v>0</v>
      </c>
      <c r="BU77" s="1007"/>
      <c r="BV77" s="1007">
        <f t="shared" si="78"/>
        <v>0</v>
      </c>
      <c r="BW77" s="1007"/>
      <c r="BX77" s="1007">
        <f t="shared" si="79"/>
        <v>0</v>
      </c>
      <c r="BY77" s="1007">
        <f t="shared" si="79"/>
        <v>0</v>
      </c>
      <c r="BZ77" s="1007"/>
      <c r="CA77" s="1007">
        <f>AH77-BE77</f>
        <v>0</v>
      </c>
      <c r="CB77" s="1007">
        <f t="shared" si="80"/>
        <v>0</v>
      </c>
      <c r="CC77" s="1007">
        <f t="shared" si="80"/>
        <v>0</v>
      </c>
      <c r="CD77" s="1007">
        <f t="shared" si="80"/>
        <v>0</v>
      </c>
      <c r="CE77" s="1007">
        <f t="shared" si="80"/>
        <v>0</v>
      </c>
      <c r="CF77" s="1007">
        <f t="shared" si="80"/>
        <v>0</v>
      </c>
      <c r="CG77" s="1007">
        <f>AN77-BK77</f>
        <v>0</v>
      </c>
      <c r="CH77" s="1007">
        <f t="shared" si="80"/>
        <v>0</v>
      </c>
      <c r="CI77" s="1007">
        <f t="shared" si="80"/>
        <v>0</v>
      </c>
      <c r="CJ77" s="1007"/>
      <c r="CK77" s="1007"/>
      <c r="CL77" s="1007">
        <f t="shared" si="81"/>
        <v>0</v>
      </c>
      <c r="CM77" s="1010">
        <f t="shared" si="82"/>
        <v>0</v>
      </c>
      <c r="CN77" s="1007">
        <f t="shared" si="83"/>
        <v>0</v>
      </c>
      <c r="CO77" s="1007"/>
      <c r="CP77" s="1007"/>
      <c r="CQ77" s="1007"/>
      <c r="CR77" s="1007"/>
      <c r="CS77" s="1007"/>
      <c r="CT77" s="1007"/>
      <c r="CU77" s="1007"/>
      <c r="CV77" s="1007"/>
      <c r="CW77" s="1007"/>
      <c r="CX77" s="1007"/>
      <c r="CY77" s="1007"/>
      <c r="CZ77" s="1007"/>
      <c r="DA77" s="1007"/>
      <c r="DB77" s="1007"/>
      <c r="DC77" s="1007"/>
      <c r="DD77" s="1007"/>
      <c r="DE77" s="1007"/>
      <c r="DF77" s="1007"/>
      <c r="DG77" s="1007"/>
      <c r="DH77" s="1007"/>
      <c r="DI77" s="1010">
        <f t="shared" si="84"/>
        <v>1</v>
      </c>
      <c r="DJ77" s="1007">
        <f t="shared" si="85"/>
        <v>2898900</v>
      </c>
      <c r="DK77" s="1007"/>
      <c r="DL77" s="1007"/>
      <c r="DM77" s="1007"/>
      <c r="DN77" s="1007">
        <f t="shared" si="86"/>
        <v>0</v>
      </c>
      <c r="DO77" s="1007"/>
      <c r="DP77" s="1007">
        <f t="shared" si="87"/>
        <v>0</v>
      </c>
      <c r="DQ77" s="1007">
        <f t="shared" si="87"/>
        <v>0</v>
      </c>
      <c r="DR77" s="1007"/>
      <c r="DS77" s="1007">
        <f t="shared" si="88"/>
        <v>0</v>
      </c>
      <c r="DT77" s="1007">
        <f t="shared" si="88"/>
        <v>0</v>
      </c>
      <c r="DU77" s="1007"/>
      <c r="DV77" s="1007">
        <f t="shared" si="89"/>
        <v>0</v>
      </c>
      <c r="DW77" s="1007">
        <f t="shared" si="89"/>
        <v>0</v>
      </c>
      <c r="DX77" s="1007">
        <f t="shared" si="89"/>
        <v>0</v>
      </c>
      <c r="DY77" s="1007">
        <f t="shared" si="90"/>
        <v>0</v>
      </c>
      <c r="DZ77" s="1007">
        <f t="shared" si="90"/>
        <v>0</v>
      </c>
      <c r="EA77" s="1007">
        <f t="shared" si="90"/>
        <v>0</v>
      </c>
      <c r="EB77" s="1007">
        <f t="shared" si="90"/>
        <v>0</v>
      </c>
      <c r="EC77" s="1007"/>
      <c r="ED77" s="1007">
        <f t="shared" si="91"/>
        <v>2898900</v>
      </c>
    </row>
    <row r="78" spans="1:134" ht="24.75" customHeight="1" x14ac:dyDescent="0.25">
      <c r="A78" s="1578"/>
      <c r="B78" s="1018"/>
      <c r="C78" s="1114" t="s">
        <v>4415</v>
      </c>
      <c r="D78" s="1018" t="s">
        <v>4651</v>
      </c>
      <c r="E78" s="1019">
        <v>520</v>
      </c>
      <c r="F78" s="1117" t="s">
        <v>4319</v>
      </c>
      <c r="G78" s="1429"/>
      <c r="H78" s="1060">
        <f t="shared" si="70"/>
        <v>266382870</v>
      </c>
      <c r="I78" s="1060">
        <f t="shared" si="71"/>
        <v>8617130</v>
      </c>
      <c r="J78" s="1430"/>
      <c r="K78" s="1258"/>
      <c r="L78" s="1258"/>
      <c r="M78" s="1113">
        <v>11</v>
      </c>
      <c r="N78" s="1113">
        <v>140</v>
      </c>
      <c r="O78" s="1113">
        <v>15</v>
      </c>
      <c r="P78" s="1113">
        <v>72</v>
      </c>
      <c r="Q78" s="1113">
        <v>160</v>
      </c>
      <c r="R78" s="1113">
        <v>116</v>
      </c>
      <c r="S78" s="1117"/>
      <c r="T78" s="1117"/>
      <c r="U78" s="1117"/>
      <c r="V78" s="1117"/>
      <c r="W78" s="1117"/>
      <c r="X78" s="1117"/>
      <c r="Y78" s="1007">
        <f t="shared" si="72"/>
        <v>275000000</v>
      </c>
      <c r="Z78" s="944"/>
      <c r="AA78" s="1016">
        <f>300000000-300000000</f>
        <v>0</v>
      </c>
      <c r="AB78" s="1016"/>
      <c r="AC78" s="944"/>
      <c r="AD78" s="944"/>
      <c r="AE78" s="944"/>
      <c r="AF78" s="1007">
        <f>300000000-25000000</f>
        <v>275000000</v>
      </c>
      <c r="AG78" s="1007"/>
      <c r="AH78" s="1007"/>
      <c r="AI78" s="1007"/>
      <c r="AJ78" s="1007"/>
      <c r="AK78" s="1007"/>
      <c r="AL78" s="1007"/>
      <c r="AM78" s="1007"/>
      <c r="AN78" s="1007"/>
      <c r="AO78" s="1007"/>
      <c r="AP78" s="1007"/>
      <c r="AQ78" s="1007"/>
      <c r="AR78" s="1007"/>
      <c r="AS78" s="1007"/>
      <c r="AU78" s="1010">
        <f t="shared" si="73"/>
        <v>1</v>
      </c>
      <c r="AV78" s="1007">
        <f t="shared" si="74"/>
        <v>275000000</v>
      </c>
      <c r="AW78" s="1007"/>
      <c r="AX78" s="1007"/>
      <c r="AY78" s="1007"/>
      <c r="AZ78" s="1007"/>
      <c r="BA78" s="1007"/>
      <c r="BB78" s="1007"/>
      <c r="BC78" s="1007">
        <f>+'[12]FEBRERO 2015'!$O$1154-25000000</f>
        <v>275000000</v>
      </c>
      <c r="BD78" s="1007"/>
      <c r="BE78" s="1007"/>
      <c r="BF78" s="1007"/>
      <c r="BG78" s="1007"/>
      <c r="BH78" s="1007"/>
      <c r="BI78" s="1007"/>
      <c r="BJ78" s="1007"/>
      <c r="BK78" s="1007"/>
      <c r="BL78" s="1007"/>
      <c r="BM78" s="1007"/>
      <c r="BN78" s="1007"/>
      <c r="BO78" s="1007"/>
      <c r="BP78" s="1007"/>
      <c r="BQ78" s="1010">
        <f t="shared" si="25"/>
        <v>0</v>
      </c>
      <c r="BR78" s="1007">
        <f t="shared" si="75"/>
        <v>0</v>
      </c>
      <c r="BS78" s="1007">
        <f t="shared" si="76"/>
        <v>0</v>
      </c>
      <c r="BT78" s="1007">
        <f t="shared" si="77"/>
        <v>0</v>
      </c>
      <c r="BU78" s="1007"/>
      <c r="BV78" s="1007">
        <f t="shared" si="78"/>
        <v>0</v>
      </c>
      <c r="BW78" s="1007"/>
      <c r="BX78" s="1007">
        <f t="shared" si="79"/>
        <v>0</v>
      </c>
      <c r="BY78" s="1007">
        <f t="shared" si="79"/>
        <v>0</v>
      </c>
      <c r="BZ78" s="1007"/>
      <c r="CA78" s="1007">
        <f>AH78-BE78</f>
        <v>0</v>
      </c>
      <c r="CB78" s="1007">
        <f t="shared" si="80"/>
        <v>0</v>
      </c>
      <c r="CC78" s="1007">
        <f t="shared" si="80"/>
        <v>0</v>
      </c>
      <c r="CD78" s="1007">
        <f t="shared" si="80"/>
        <v>0</v>
      </c>
      <c r="CE78" s="1007">
        <f t="shared" si="80"/>
        <v>0</v>
      </c>
      <c r="CF78" s="1007">
        <f t="shared" si="80"/>
        <v>0</v>
      </c>
      <c r="CG78" s="1007">
        <f>AN78-BK78</f>
        <v>0</v>
      </c>
      <c r="CH78" s="1007">
        <f t="shared" si="80"/>
        <v>0</v>
      </c>
      <c r="CI78" s="1007">
        <f t="shared" si="80"/>
        <v>0</v>
      </c>
      <c r="CJ78" s="1007"/>
      <c r="CK78" s="1007"/>
      <c r="CL78" s="1007">
        <f t="shared" si="81"/>
        <v>0</v>
      </c>
      <c r="CM78" s="1010">
        <f t="shared" si="82"/>
        <v>0.96866498181818184</v>
      </c>
      <c r="CN78" s="1007">
        <f t="shared" si="83"/>
        <v>266382870</v>
      </c>
      <c r="CO78" s="1007"/>
      <c r="CP78" s="1007"/>
      <c r="CQ78" s="1007"/>
      <c r="CR78" s="1007"/>
      <c r="CS78" s="1007"/>
      <c r="CT78" s="1007"/>
      <c r="CU78" s="1007">
        <f>+'[8]SEPTIEMBRE 2015'!$H$3110</f>
        <v>266382870</v>
      </c>
      <c r="CV78" s="1007"/>
      <c r="CW78" s="1007"/>
      <c r="CX78" s="1007"/>
      <c r="CY78" s="1007"/>
      <c r="CZ78" s="1007"/>
      <c r="DA78" s="1007"/>
      <c r="DB78" s="1007"/>
      <c r="DC78" s="1007"/>
      <c r="DD78" s="1007"/>
      <c r="DE78" s="1007"/>
      <c r="DF78" s="1007"/>
      <c r="DG78" s="1007"/>
      <c r="DH78" s="1007"/>
      <c r="DI78" s="1010">
        <f t="shared" si="84"/>
        <v>3.1335018181818164E-2</v>
      </c>
      <c r="DJ78" s="1007">
        <f t="shared" si="85"/>
        <v>8617130</v>
      </c>
      <c r="DK78" s="1007"/>
      <c r="DL78" s="1007">
        <f>AA78-CP78</f>
        <v>0</v>
      </c>
      <c r="DM78" s="1007">
        <f>AB78-CQ78</f>
        <v>0</v>
      </c>
      <c r="DN78" s="1007">
        <f t="shared" si="86"/>
        <v>0</v>
      </c>
      <c r="DO78" s="1007"/>
      <c r="DP78" s="1007">
        <f t="shared" si="87"/>
        <v>0</v>
      </c>
      <c r="DQ78" s="1007">
        <f t="shared" si="87"/>
        <v>8617130</v>
      </c>
      <c r="DR78" s="1007"/>
      <c r="DS78" s="1007">
        <f t="shared" si="88"/>
        <v>0</v>
      </c>
      <c r="DT78" s="1007">
        <f t="shared" si="88"/>
        <v>0</v>
      </c>
      <c r="DU78" s="1007"/>
      <c r="DV78" s="1007">
        <f t="shared" si="89"/>
        <v>0</v>
      </c>
      <c r="DW78" s="1007">
        <f t="shared" si="89"/>
        <v>0</v>
      </c>
      <c r="DX78" s="1007">
        <f t="shared" si="89"/>
        <v>0</v>
      </c>
      <c r="DY78" s="1007">
        <f t="shared" si="90"/>
        <v>0</v>
      </c>
      <c r="DZ78" s="1007">
        <f t="shared" si="90"/>
        <v>0</v>
      </c>
      <c r="EA78" s="1007">
        <f t="shared" si="90"/>
        <v>0</v>
      </c>
      <c r="EB78" s="1007">
        <f t="shared" si="90"/>
        <v>0</v>
      </c>
      <c r="EC78" s="1007"/>
      <c r="ED78" s="1007">
        <f t="shared" si="91"/>
        <v>0</v>
      </c>
    </row>
    <row r="79" spans="1:134" ht="46.5" customHeight="1" x14ac:dyDescent="0.25">
      <c r="A79" s="1578"/>
      <c r="B79" s="1018"/>
      <c r="C79" s="1114" t="s">
        <v>4416</v>
      </c>
      <c r="D79" s="1018" t="s">
        <v>4352</v>
      </c>
      <c r="E79" s="1019">
        <v>520</v>
      </c>
      <c r="F79" s="1117" t="s">
        <v>4347</v>
      </c>
      <c r="G79" s="1429"/>
      <c r="H79" s="1060">
        <f t="shared" si="70"/>
        <v>770398</v>
      </c>
      <c r="I79" s="1060">
        <f t="shared" si="71"/>
        <v>13396003</v>
      </c>
      <c r="J79" s="1117" t="s">
        <v>4865</v>
      </c>
      <c r="K79" s="1113" t="s">
        <v>4871</v>
      </c>
      <c r="L79" s="1113" t="s">
        <v>4878</v>
      </c>
      <c r="M79" s="1113">
        <v>10</v>
      </c>
      <c r="N79" s="1113">
        <v>0</v>
      </c>
      <c r="O79" s="1113">
        <v>0</v>
      </c>
      <c r="P79" s="1113">
        <v>5</v>
      </c>
      <c r="Q79" s="1113">
        <v>0</v>
      </c>
      <c r="R79" s="1113">
        <v>0</v>
      </c>
      <c r="S79" s="1117"/>
      <c r="T79" s="1117"/>
      <c r="U79" s="1117"/>
      <c r="V79" s="1117"/>
      <c r="W79" s="1117"/>
      <c r="X79" s="1117"/>
      <c r="Y79" s="1007">
        <f t="shared" si="72"/>
        <v>14166401</v>
      </c>
      <c r="Z79" s="944"/>
      <c r="AA79" s="944"/>
      <c r="AB79" s="944"/>
      <c r="AC79" s="944"/>
      <c r="AD79" s="944"/>
      <c r="AE79" s="944"/>
      <c r="AF79" s="1007"/>
      <c r="AG79" s="1007"/>
      <c r="AH79" s="1007"/>
      <c r="AI79" s="1007"/>
      <c r="AJ79" s="1007"/>
      <c r="AK79" s="1007"/>
      <c r="AL79" s="1007"/>
      <c r="AM79" s="1007"/>
      <c r="AN79" s="1007"/>
      <c r="AO79" s="1007"/>
      <c r="AP79" s="1007"/>
      <c r="AQ79" s="1007"/>
      <c r="AR79" s="1007"/>
      <c r="AS79" s="1007">
        <f>5000000+3000000+6166401</f>
        <v>14166401</v>
      </c>
      <c r="AU79" s="1010">
        <f t="shared" si="73"/>
        <v>0.3529477952798315</v>
      </c>
      <c r="AV79" s="1007">
        <f t="shared" si="74"/>
        <v>5000000</v>
      </c>
      <c r="AW79" s="1007"/>
      <c r="AX79" s="1007"/>
      <c r="AY79" s="1007"/>
      <c r="AZ79" s="1007"/>
      <c r="BA79" s="1007"/>
      <c r="BB79" s="1007"/>
      <c r="BC79" s="1007"/>
      <c r="BD79" s="1007"/>
      <c r="BE79" s="1007"/>
      <c r="BF79" s="1007"/>
      <c r="BG79" s="1007"/>
      <c r="BH79" s="1007"/>
      <c r="BI79" s="1007"/>
      <c r="BJ79" s="1007"/>
      <c r="BK79" s="1007"/>
      <c r="BL79" s="1007"/>
      <c r="BM79" s="1007"/>
      <c r="BN79" s="1007"/>
      <c r="BO79" s="1007"/>
      <c r="BP79" s="1007">
        <f>+'[15]FEBRERO 2015'!$AC$1088</f>
        <v>5000000</v>
      </c>
      <c r="BQ79" s="1010">
        <f t="shared" si="25"/>
        <v>0.64705220472016856</v>
      </c>
      <c r="BR79" s="1007">
        <f t="shared" si="75"/>
        <v>9166401</v>
      </c>
      <c r="BS79" s="1007">
        <f t="shared" si="76"/>
        <v>0</v>
      </c>
      <c r="BT79" s="1007">
        <f t="shared" si="77"/>
        <v>0</v>
      </c>
      <c r="BU79" s="1007"/>
      <c r="BV79" s="1007">
        <f t="shared" si="78"/>
        <v>0</v>
      </c>
      <c r="BW79" s="1007"/>
      <c r="BX79" s="1007">
        <f t="shared" si="79"/>
        <v>0</v>
      </c>
      <c r="BY79" s="1007">
        <f t="shared" si="79"/>
        <v>0</v>
      </c>
      <c r="BZ79" s="1007"/>
      <c r="CA79" s="1007">
        <f>AH79-BE79</f>
        <v>0</v>
      </c>
      <c r="CB79" s="1007">
        <f t="shared" si="80"/>
        <v>0</v>
      </c>
      <c r="CC79" s="1007">
        <f t="shared" si="80"/>
        <v>0</v>
      </c>
      <c r="CD79" s="1007">
        <f t="shared" si="80"/>
        <v>0</v>
      </c>
      <c r="CE79" s="1007">
        <f t="shared" si="80"/>
        <v>0</v>
      </c>
      <c r="CF79" s="1007">
        <f t="shared" si="80"/>
        <v>0</v>
      </c>
      <c r="CG79" s="1007">
        <f>AN79-BK79</f>
        <v>0</v>
      </c>
      <c r="CH79" s="1007">
        <f t="shared" si="80"/>
        <v>0</v>
      </c>
      <c r="CI79" s="1007">
        <f t="shared" si="80"/>
        <v>0</v>
      </c>
      <c r="CJ79" s="1007"/>
      <c r="CK79" s="1007"/>
      <c r="CL79" s="1007">
        <f t="shared" si="81"/>
        <v>9166401</v>
      </c>
      <c r="CM79" s="1010">
        <f t="shared" si="82"/>
        <v>5.4382055117598325E-2</v>
      </c>
      <c r="CN79" s="1007">
        <f t="shared" si="83"/>
        <v>770398</v>
      </c>
      <c r="CO79" s="1007"/>
      <c r="CP79" s="1007"/>
      <c r="CQ79" s="1007"/>
      <c r="CR79" s="1007"/>
      <c r="CS79" s="1007"/>
      <c r="CT79" s="1007"/>
      <c r="CU79" s="1007"/>
      <c r="CV79" s="1007"/>
      <c r="CW79" s="1007"/>
      <c r="CX79" s="1007"/>
      <c r="CY79" s="1007"/>
      <c r="CZ79" s="1007"/>
      <c r="DA79" s="1007"/>
      <c r="DB79" s="1007"/>
      <c r="DC79" s="1007"/>
      <c r="DD79" s="1007"/>
      <c r="DE79" s="1007"/>
      <c r="DF79" s="1007"/>
      <c r="DG79" s="1007"/>
      <c r="DH79" s="1007">
        <f>+'[15]FEBRERO 2015'!$H$1086</f>
        <v>770398</v>
      </c>
      <c r="DI79" s="1010">
        <f t="shared" si="84"/>
        <v>0.9456179448824017</v>
      </c>
      <c r="DJ79" s="1007">
        <f t="shared" si="85"/>
        <v>13396003</v>
      </c>
      <c r="DK79" s="1007"/>
      <c r="DL79" s="1007"/>
      <c r="DM79" s="1007"/>
      <c r="DN79" s="1007">
        <f t="shared" si="86"/>
        <v>0</v>
      </c>
      <c r="DO79" s="1007"/>
      <c r="DP79" s="1007">
        <f t="shared" si="87"/>
        <v>0</v>
      </c>
      <c r="DQ79" s="1007">
        <f t="shared" si="87"/>
        <v>0</v>
      </c>
      <c r="DR79" s="1007"/>
      <c r="DS79" s="1007">
        <f t="shared" si="88"/>
        <v>0</v>
      </c>
      <c r="DT79" s="1007">
        <f t="shared" si="88"/>
        <v>0</v>
      </c>
      <c r="DU79" s="1007"/>
      <c r="DV79" s="1007">
        <f t="shared" si="89"/>
        <v>0</v>
      </c>
      <c r="DW79" s="1007">
        <f t="shared" si="89"/>
        <v>0</v>
      </c>
      <c r="DX79" s="1007">
        <f t="shared" si="89"/>
        <v>0</v>
      </c>
      <c r="DY79" s="1007">
        <f t="shared" si="90"/>
        <v>0</v>
      </c>
      <c r="DZ79" s="1007">
        <f t="shared" si="90"/>
        <v>0</v>
      </c>
      <c r="EA79" s="1007">
        <f t="shared" si="90"/>
        <v>0</v>
      </c>
      <c r="EB79" s="1007">
        <f t="shared" si="90"/>
        <v>0</v>
      </c>
      <c r="EC79" s="1007"/>
      <c r="ED79" s="1007">
        <f t="shared" si="91"/>
        <v>13396003</v>
      </c>
    </row>
    <row r="80" spans="1:134" ht="37.5" customHeight="1" x14ac:dyDescent="0.25">
      <c r="A80" s="1578"/>
      <c r="B80" s="1018"/>
      <c r="C80" s="1114" t="s">
        <v>4417</v>
      </c>
      <c r="D80" s="1018" t="s">
        <v>4355</v>
      </c>
      <c r="E80" s="1019">
        <v>520</v>
      </c>
      <c r="F80" s="1117" t="s">
        <v>4670</v>
      </c>
      <c r="G80" s="1429"/>
      <c r="H80" s="1060">
        <f t="shared" si="70"/>
        <v>4550000</v>
      </c>
      <c r="I80" s="1060">
        <f t="shared" si="71"/>
        <v>0</v>
      </c>
      <c r="J80" s="1117" t="s">
        <v>4866</v>
      </c>
      <c r="K80" s="1113" t="s">
        <v>4872</v>
      </c>
      <c r="L80" s="1113" t="s">
        <v>4879</v>
      </c>
      <c r="M80" s="1113">
        <v>0</v>
      </c>
      <c r="N80" s="1113">
        <v>0</v>
      </c>
      <c r="O80" s="1113">
        <v>0</v>
      </c>
      <c r="P80" s="1113">
        <v>46</v>
      </c>
      <c r="Q80" s="1113">
        <v>50</v>
      </c>
      <c r="R80" s="1113">
        <v>23</v>
      </c>
      <c r="S80" s="1117"/>
      <c r="T80" s="1117"/>
      <c r="U80" s="1117"/>
      <c r="V80" s="1117"/>
      <c r="W80" s="1117"/>
      <c r="X80" s="1117"/>
      <c r="Y80" s="1007">
        <f t="shared" si="72"/>
        <v>4550000</v>
      </c>
      <c r="Z80" s="944"/>
      <c r="AA80" s="944"/>
      <c r="AB80" s="944"/>
      <c r="AC80" s="944"/>
      <c r="AD80" s="944"/>
      <c r="AE80" s="944"/>
      <c r="AF80" s="1007"/>
      <c r="AG80" s="1007"/>
      <c r="AH80" s="1007"/>
      <c r="AI80" s="1007"/>
      <c r="AJ80" s="1007"/>
      <c r="AK80" s="1007"/>
      <c r="AL80" s="1007"/>
      <c r="AM80" s="1007"/>
      <c r="AN80" s="1007"/>
      <c r="AO80" s="1007"/>
      <c r="AP80" s="1007"/>
      <c r="AQ80" s="1007"/>
      <c r="AR80" s="1007"/>
      <c r="AS80" s="1007">
        <f>5000000+5000000-5450000</f>
        <v>4550000</v>
      </c>
      <c r="AU80" s="1010">
        <f t="shared" si="73"/>
        <v>1</v>
      </c>
      <c r="AV80" s="1007">
        <f t="shared" si="74"/>
        <v>4550000</v>
      </c>
      <c r="AW80" s="1007"/>
      <c r="AX80" s="1007"/>
      <c r="AY80" s="1007"/>
      <c r="AZ80" s="1007"/>
      <c r="BA80" s="1007"/>
      <c r="BB80" s="1007"/>
      <c r="BC80" s="1007"/>
      <c r="BD80" s="1007"/>
      <c r="BE80" s="1007"/>
      <c r="BF80" s="1007"/>
      <c r="BG80" s="1007"/>
      <c r="BH80" s="1007"/>
      <c r="BI80" s="1007"/>
      <c r="BJ80" s="1007"/>
      <c r="BK80" s="1007"/>
      <c r="BL80" s="1007"/>
      <c r="BM80" s="1007"/>
      <c r="BN80" s="1007"/>
      <c r="BO80" s="1007"/>
      <c r="BP80" s="1007">
        <f>+'[7]AGOSTO 2015'!$AD$2654</f>
        <v>4550000</v>
      </c>
      <c r="BQ80" s="1010">
        <f t="shared" si="25"/>
        <v>0</v>
      </c>
      <c r="BR80" s="1007">
        <f t="shared" si="75"/>
        <v>0</v>
      </c>
      <c r="BS80" s="1007">
        <f t="shared" si="76"/>
        <v>0</v>
      </c>
      <c r="BT80" s="1007">
        <f t="shared" si="77"/>
        <v>0</v>
      </c>
      <c r="BU80" s="1007"/>
      <c r="BV80" s="1007">
        <f t="shared" si="78"/>
        <v>0</v>
      </c>
      <c r="BW80" s="1007"/>
      <c r="BX80" s="1007">
        <f t="shared" si="79"/>
        <v>0</v>
      </c>
      <c r="BY80" s="1007">
        <f t="shared" si="79"/>
        <v>0</v>
      </c>
      <c r="BZ80" s="1007"/>
      <c r="CA80" s="1007">
        <f>AH80-BE80</f>
        <v>0</v>
      </c>
      <c r="CB80" s="1007">
        <f t="shared" si="80"/>
        <v>0</v>
      </c>
      <c r="CC80" s="1007"/>
      <c r="CD80" s="1007">
        <f t="shared" si="80"/>
        <v>0</v>
      </c>
      <c r="CE80" s="1007">
        <f t="shared" si="80"/>
        <v>0</v>
      </c>
      <c r="CF80" s="1007">
        <f t="shared" si="80"/>
        <v>0</v>
      </c>
      <c r="CG80" s="1007">
        <f>AN80-BK80</f>
        <v>0</v>
      </c>
      <c r="CH80" s="1007">
        <f t="shared" si="80"/>
        <v>0</v>
      </c>
      <c r="CI80" s="1007">
        <f t="shared" si="80"/>
        <v>0</v>
      </c>
      <c r="CJ80" s="1007"/>
      <c r="CK80" s="1007"/>
      <c r="CL80" s="1007">
        <f t="shared" si="81"/>
        <v>0</v>
      </c>
      <c r="CM80" s="1010">
        <f t="shared" si="82"/>
        <v>1</v>
      </c>
      <c r="CN80" s="1007">
        <f t="shared" si="83"/>
        <v>4550000</v>
      </c>
      <c r="CO80" s="1007"/>
      <c r="CP80" s="1007"/>
      <c r="CQ80" s="1007"/>
      <c r="CR80" s="1007"/>
      <c r="CS80" s="1007"/>
      <c r="CT80" s="1007"/>
      <c r="CU80" s="1007"/>
      <c r="CV80" s="1007"/>
      <c r="CW80" s="1007"/>
      <c r="CX80" s="1007"/>
      <c r="CY80" s="1007"/>
      <c r="CZ80" s="1007"/>
      <c r="DA80" s="1007"/>
      <c r="DB80" s="1007"/>
      <c r="DC80" s="1007"/>
      <c r="DD80" s="1007"/>
      <c r="DE80" s="1007"/>
      <c r="DF80" s="1007"/>
      <c r="DG80" s="1007"/>
      <c r="DH80" s="1007">
        <f>+'[13]JUNIO 2015'!$H$2022</f>
        <v>4550000</v>
      </c>
      <c r="DI80" s="1010">
        <f t="shared" si="84"/>
        <v>0</v>
      </c>
      <c r="DJ80" s="1007">
        <f t="shared" si="85"/>
        <v>0</v>
      </c>
      <c r="DK80" s="1007"/>
      <c r="DL80" s="1007"/>
      <c r="DM80" s="1007"/>
      <c r="DN80" s="1007">
        <f t="shared" si="86"/>
        <v>0</v>
      </c>
      <c r="DO80" s="1007"/>
      <c r="DP80" s="1007">
        <f t="shared" si="87"/>
        <v>0</v>
      </c>
      <c r="DQ80" s="1007">
        <f t="shared" si="87"/>
        <v>0</v>
      </c>
      <c r="DR80" s="1007"/>
      <c r="DS80" s="1007">
        <f t="shared" si="88"/>
        <v>0</v>
      </c>
      <c r="DT80" s="1007">
        <f t="shared" si="88"/>
        <v>0</v>
      </c>
      <c r="DU80" s="1007"/>
      <c r="DV80" s="1007">
        <f t="shared" si="89"/>
        <v>0</v>
      </c>
      <c r="DW80" s="1007">
        <f t="shared" si="89"/>
        <v>0</v>
      </c>
      <c r="DX80" s="1007">
        <f t="shared" si="89"/>
        <v>0</v>
      </c>
      <c r="DY80" s="1007">
        <f t="shared" si="90"/>
        <v>0</v>
      </c>
      <c r="DZ80" s="1007">
        <f t="shared" si="90"/>
        <v>0</v>
      </c>
      <c r="EA80" s="1007">
        <f t="shared" si="90"/>
        <v>0</v>
      </c>
      <c r="EB80" s="1007">
        <f t="shared" si="90"/>
        <v>0</v>
      </c>
      <c r="EC80" s="1007"/>
      <c r="ED80" s="1007">
        <f t="shared" si="91"/>
        <v>0</v>
      </c>
    </row>
    <row r="81" spans="1:134" ht="33" customHeight="1" x14ac:dyDescent="0.25">
      <c r="A81" s="1578"/>
      <c r="B81" s="1018"/>
      <c r="C81" s="1114" t="s">
        <v>4418</v>
      </c>
      <c r="D81" s="1018" t="s">
        <v>4353</v>
      </c>
      <c r="E81" s="1019">
        <v>520</v>
      </c>
      <c r="F81" s="1117" t="s">
        <v>3350</v>
      </c>
      <c r="G81" s="1429"/>
      <c r="H81" s="1060">
        <f t="shared" si="70"/>
        <v>241855029</v>
      </c>
      <c r="I81" s="1060">
        <f t="shared" si="71"/>
        <v>108144971</v>
      </c>
      <c r="J81" s="1283" t="s">
        <v>4867</v>
      </c>
      <c r="K81" s="1198" t="s">
        <v>4873</v>
      </c>
      <c r="L81" s="1257" t="s">
        <v>4800</v>
      </c>
      <c r="M81" s="1113">
        <v>16</v>
      </c>
      <c r="N81" s="1113">
        <v>67</v>
      </c>
      <c r="O81" s="1113">
        <v>11</v>
      </c>
      <c r="P81" s="1113">
        <v>42</v>
      </c>
      <c r="Q81" s="1113">
        <v>67</v>
      </c>
      <c r="R81" s="1113">
        <v>28</v>
      </c>
      <c r="S81" s="1117"/>
      <c r="T81" s="1117"/>
      <c r="U81" s="1117"/>
      <c r="V81" s="1117"/>
      <c r="W81" s="1117"/>
      <c r="X81" s="1117"/>
      <c r="Y81" s="1007">
        <f t="shared" si="72"/>
        <v>350000000</v>
      </c>
      <c r="Z81" s="944"/>
      <c r="AA81" s="944"/>
      <c r="AB81" s="944"/>
      <c r="AC81" s="944"/>
      <c r="AD81" s="944"/>
      <c r="AE81" s="944"/>
      <c r="AF81" s="1007">
        <f>400000000-30000000-20000000</f>
        <v>350000000</v>
      </c>
      <c r="AG81" s="1007"/>
      <c r="AH81" s="1007"/>
      <c r="AI81" s="1007"/>
      <c r="AJ81" s="1007"/>
      <c r="AK81" s="1007"/>
      <c r="AL81" s="1007"/>
      <c r="AM81" s="1007"/>
      <c r="AN81" s="1007"/>
      <c r="AO81" s="1007"/>
      <c r="AP81" s="1007"/>
      <c r="AQ81" s="1007"/>
      <c r="AR81" s="1007"/>
      <c r="AS81" s="1007"/>
      <c r="AT81" s="203"/>
      <c r="AU81" s="1010">
        <f t="shared" si="73"/>
        <v>1</v>
      </c>
      <c r="AV81" s="1007">
        <f t="shared" si="74"/>
        <v>350000000</v>
      </c>
      <c r="AW81" s="1007"/>
      <c r="AX81" s="1007"/>
      <c r="AY81" s="1007"/>
      <c r="AZ81" s="1007"/>
      <c r="BA81" s="1007"/>
      <c r="BB81" s="1007"/>
      <c r="BC81" s="1007">
        <f>+'[11]MARZO 2015'!$O$1360-20000000</f>
        <v>350000000</v>
      </c>
      <c r="BD81" s="1007"/>
      <c r="BE81" s="1007"/>
      <c r="BF81" s="1007"/>
      <c r="BG81" s="1007"/>
      <c r="BH81" s="1007"/>
      <c r="BI81" s="1007"/>
      <c r="BJ81" s="1007"/>
      <c r="BK81" s="1007"/>
      <c r="BL81" s="1007"/>
      <c r="BM81" s="1007"/>
      <c r="BN81" s="1007"/>
      <c r="BO81" s="1007"/>
      <c r="BP81" s="1007"/>
      <c r="BQ81" s="1010">
        <f t="shared" si="25"/>
        <v>0</v>
      </c>
      <c r="BR81" s="1007">
        <f t="shared" si="75"/>
        <v>0</v>
      </c>
      <c r="BS81" s="1007">
        <f t="shared" si="76"/>
        <v>0</v>
      </c>
      <c r="BT81" s="1007">
        <f t="shared" si="77"/>
        <v>0</v>
      </c>
      <c r="BU81" s="1007"/>
      <c r="BV81" s="1007">
        <f t="shared" si="78"/>
        <v>0</v>
      </c>
      <c r="BW81" s="1007"/>
      <c r="BX81" s="1007">
        <f t="shared" si="79"/>
        <v>0</v>
      </c>
      <c r="BY81" s="1007">
        <f t="shared" si="79"/>
        <v>0</v>
      </c>
      <c r="BZ81" s="1007"/>
      <c r="CA81" s="1007">
        <f t="shared" ref="CA81:CB103" si="92">+AH81-BE81</f>
        <v>0</v>
      </c>
      <c r="CB81" s="1007">
        <f t="shared" si="80"/>
        <v>0</v>
      </c>
      <c r="CC81" s="1007">
        <f>+AJ81-BG81</f>
        <v>0</v>
      </c>
      <c r="CD81" s="1007">
        <f t="shared" si="80"/>
        <v>0</v>
      </c>
      <c r="CE81" s="1007">
        <f t="shared" si="80"/>
        <v>0</v>
      </c>
      <c r="CF81" s="1007">
        <f t="shared" si="80"/>
        <v>0</v>
      </c>
      <c r="CG81" s="1007">
        <f t="shared" si="80"/>
        <v>0</v>
      </c>
      <c r="CH81" s="1007">
        <f t="shared" si="80"/>
        <v>0</v>
      </c>
      <c r="CI81" s="1007">
        <f t="shared" si="80"/>
        <v>0</v>
      </c>
      <c r="CJ81" s="1007">
        <f>+AQ81-BN81</f>
        <v>0</v>
      </c>
      <c r="CK81" s="1007"/>
      <c r="CL81" s="1007">
        <f t="shared" si="81"/>
        <v>0</v>
      </c>
      <c r="CM81" s="1010">
        <f t="shared" si="82"/>
        <v>0.69101436857142862</v>
      </c>
      <c r="CN81" s="1007">
        <f t="shared" si="83"/>
        <v>241855029</v>
      </c>
      <c r="CO81" s="1007"/>
      <c r="CP81" s="1007"/>
      <c r="CQ81" s="1007"/>
      <c r="CR81" s="1007"/>
      <c r="CS81" s="1007"/>
      <c r="CT81" s="1007"/>
      <c r="CU81" s="1007">
        <f>+'[8]SEPTIEMBRE 2015'!$H$3212</f>
        <v>241855029</v>
      </c>
      <c r="CV81" s="1007"/>
      <c r="CW81" s="1007"/>
      <c r="CX81" s="1007"/>
      <c r="CY81" s="1007"/>
      <c r="CZ81" s="1007"/>
      <c r="DA81" s="1007"/>
      <c r="DB81" s="1007"/>
      <c r="DC81" s="1007"/>
      <c r="DD81" s="1007"/>
      <c r="DE81" s="1007"/>
      <c r="DF81" s="1007"/>
      <c r="DG81" s="1007"/>
      <c r="DH81" s="1007"/>
      <c r="DI81" s="1010">
        <f t="shared" si="84"/>
        <v>0.30898563142857138</v>
      </c>
      <c r="DJ81" s="1007">
        <f t="shared" si="85"/>
        <v>108144971</v>
      </c>
      <c r="DK81" s="1007"/>
      <c r="DL81" s="1007"/>
      <c r="DM81" s="1007"/>
      <c r="DN81" s="1007">
        <f t="shared" si="86"/>
        <v>0</v>
      </c>
      <c r="DO81" s="1007"/>
      <c r="DP81" s="1007">
        <f t="shared" si="87"/>
        <v>0</v>
      </c>
      <c r="DQ81" s="1007">
        <f t="shared" si="87"/>
        <v>108144971</v>
      </c>
      <c r="DR81" s="1007"/>
      <c r="DS81" s="1007">
        <f t="shared" si="88"/>
        <v>0</v>
      </c>
      <c r="DT81" s="1007">
        <f t="shared" si="88"/>
        <v>0</v>
      </c>
      <c r="DU81" s="1007"/>
      <c r="DV81" s="1007">
        <f t="shared" si="89"/>
        <v>0</v>
      </c>
      <c r="DW81" s="1007">
        <f t="shared" si="89"/>
        <v>0</v>
      </c>
      <c r="DX81" s="1007">
        <f t="shared" si="89"/>
        <v>0</v>
      </c>
      <c r="DY81" s="1007">
        <f t="shared" si="90"/>
        <v>0</v>
      </c>
      <c r="DZ81" s="1007">
        <f t="shared" si="90"/>
        <v>0</v>
      </c>
      <c r="EA81" s="1007">
        <f t="shared" si="90"/>
        <v>0</v>
      </c>
      <c r="EB81" s="1007">
        <f t="shared" si="90"/>
        <v>0</v>
      </c>
      <c r="EC81" s="1007"/>
      <c r="ED81" s="1007">
        <f t="shared" si="91"/>
        <v>0</v>
      </c>
    </row>
    <row r="82" spans="1:134" ht="49.5" customHeight="1" x14ac:dyDescent="0.25">
      <c r="A82" s="1578"/>
      <c r="B82" s="1018"/>
      <c r="C82" s="1114" t="s">
        <v>4419</v>
      </c>
      <c r="D82" s="1018" t="s">
        <v>4354</v>
      </c>
      <c r="E82" s="1019">
        <v>520</v>
      </c>
      <c r="F82" s="1117" t="s">
        <v>4670</v>
      </c>
      <c r="G82" s="1429"/>
      <c r="H82" s="1060">
        <f t="shared" si="70"/>
        <v>4697418</v>
      </c>
      <c r="I82" s="1060">
        <f t="shared" si="71"/>
        <v>5702083</v>
      </c>
      <c r="J82" s="1283"/>
      <c r="K82" s="1198"/>
      <c r="L82" s="1258"/>
      <c r="M82" s="1113">
        <v>6</v>
      </c>
      <c r="N82" s="1113">
        <v>5</v>
      </c>
      <c r="O82" s="1113">
        <v>0</v>
      </c>
      <c r="P82" s="1113">
        <v>61</v>
      </c>
      <c r="Q82" s="1113">
        <v>35</v>
      </c>
      <c r="R82" s="1113">
        <v>21</v>
      </c>
      <c r="S82" s="1117"/>
      <c r="T82" s="1117"/>
      <c r="U82" s="1117"/>
      <c r="V82" s="1117"/>
      <c r="W82" s="1117"/>
      <c r="X82" s="1117"/>
      <c r="Y82" s="1007">
        <f t="shared" si="72"/>
        <v>10399501</v>
      </c>
      <c r="Z82" s="944"/>
      <c r="AA82" s="944"/>
      <c r="AB82" s="944"/>
      <c r="AC82" s="944"/>
      <c r="AD82" s="944"/>
      <c r="AE82" s="944"/>
      <c r="AF82" s="1007"/>
      <c r="AG82" s="1007"/>
      <c r="AH82" s="1007"/>
      <c r="AI82" s="1007"/>
      <c r="AJ82" s="1007"/>
      <c r="AK82" s="1007"/>
      <c r="AL82" s="1007"/>
      <c r="AM82" s="1007"/>
      <c r="AN82" s="1007"/>
      <c r="AO82" s="1007"/>
      <c r="AP82" s="1007"/>
      <c r="AQ82" s="1007"/>
      <c r="AR82" s="1007"/>
      <c r="AS82" s="1007">
        <f>4000000+2500000+3899501</f>
        <v>10399501</v>
      </c>
      <c r="AT82" s="203"/>
      <c r="AU82" s="1010">
        <f t="shared" si="73"/>
        <v>1</v>
      </c>
      <c r="AV82" s="1007">
        <f t="shared" si="74"/>
        <v>10399501</v>
      </c>
      <c r="AW82" s="1007"/>
      <c r="AX82" s="1007"/>
      <c r="AY82" s="1007"/>
      <c r="AZ82" s="1007"/>
      <c r="BA82" s="1007"/>
      <c r="BB82" s="1007"/>
      <c r="BC82" s="1007"/>
      <c r="BD82" s="1007"/>
      <c r="BE82" s="1007"/>
      <c r="BF82" s="1007"/>
      <c r="BG82" s="1007"/>
      <c r="BH82" s="1007"/>
      <c r="BI82" s="1007"/>
      <c r="BJ82" s="1007"/>
      <c r="BK82" s="1007"/>
      <c r="BL82" s="1007"/>
      <c r="BM82" s="1007"/>
      <c r="BN82" s="1007"/>
      <c r="BO82" s="1007"/>
      <c r="BP82" s="1007">
        <f>+'[8]SEPTIEMBRE 2015'!$AD$3327</f>
        <v>10399501</v>
      </c>
      <c r="BQ82" s="1010">
        <f t="shared" si="25"/>
        <v>0</v>
      </c>
      <c r="BR82" s="1007">
        <f t="shared" si="75"/>
        <v>0</v>
      </c>
      <c r="BS82" s="1007">
        <f t="shared" si="76"/>
        <v>0</v>
      </c>
      <c r="BT82" s="1007">
        <f t="shared" si="77"/>
        <v>0</v>
      </c>
      <c r="BU82" s="1007"/>
      <c r="BV82" s="1007">
        <f t="shared" si="78"/>
        <v>0</v>
      </c>
      <c r="BW82" s="1007"/>
      <c r="BX82" s="1007">
        <f t="shared" si="79"/>
        <v>0</v>
      </c>
      <c r="BY82" s="1007">
        <f t="shared" si="79"/>
        <v>0</v>
      </c>
      <c r="BZ82" s="1007"/>
      <c r="CA82" s="1007">
        <f t="shared" si="92"/>
        <v>0</v>
      </c>
      <c r="CB82" s="1007">
        <f t="shared" si="80"/>
        <v>0</v>
      </c>
      <c r="CC82" s="1007">
        <f>+AJ82-BG82</f>
        <v>0</v>
      </c>
      <c r="CD82" s="1007">
        <f t="shared" si="80"/>
        <v>0</v>
      </c>
      <c r="CE82" s="1007">
        <f t="shared" si="80"/>
        <v>0</v>
      </c>
      <c r="CF82" s="1007">
        <f t="shared" si="80"/>
        <v>0</v>
      </c>
      <c r="CG82" s="1007">
        <f t="shared" si="80"/>
        <v>0</v>
      </c>
      <c r="CH82" s="1007">
        <f t="shared" si="80"/>
        <v>0</v>
      </c>
      <c r="CI82" s="1007">
        <f t="shared" si="80"/>
        <v>0</v>
      </c>
      <c r="CJ82" s="1007"/>
      <c r="CK82" s="1007"/>
      <c r="CL82" s="1007">
        <f t="shared" si="81"/>
        <v>0</v>
      </c>
      <c r="CM82" s="1010">
        <f t="shared" si="82"/>
        <v>0.45169648043689786</v>
      </c>
      <c r="CN82" s="1007">
        <f t="shared" si="83"/>
        <v>4697418</v>
      </c>
      <c r="CO82" s="1007"/>
      <c r="CP82" s="1007"/>
      <c r="CQ82" s="1007"/>
      <c r="CR82" s="1007"/>
      <c r="CS82" s="1007"/>
      <c r="CT82" s="1007"/>
      <c r="CU82" s="1007"/>
      <c r="CV82" s="1007"/>
      <c r="CW82" s="1007"/>
      <c r="CX82" s="1007"/>
      <c r="CY82" s="1007"/>
      <c r="CZ82" s="1007"/>
      <c r="DA82" s="1007"/>
      <c r="DB82" s="1007"/>
      <c r="DC82" s="1007"/>
      <c r="DD82" s="1007"/>
      <c r="DE82" s="1007"/>
      <c r="DF82" s="1007"/>
      <c r="DG82" s="1007"/>
      <c r="DH82" s="1007">
        <f>+'[7]AGOSTO 2015'!$H$2737</f>
        <v>4697418</v>
      </c>
      <c r="DI82" s="1010">
        <f t="shared" si="84"/>
        <v>0.54830351956310208</v>
      </c>
      <c r="DJ82" s="1007">
        <f t="shared" si="85"/>
        <v>5702083</v>
      </c>
      <c r="DK82" s="1007"/>
      <c r="DL82" s="1007"/>
      <c r="DM82" s="1007"/>
      <c r="DN82" s="1007">
        <f t="shared" si="86"/>
        <v>0</v>
      </c>
      <c r="DO82" s="1007"/>
      <c r="DP82" s="1007">
        <f t="shared" si="87"/>
        <v>0</v>
      </c>
      <c r="DQ82" s="1007">
        <f t="shared" si="87"/>
        <v>0</v>
      </c>
      <c r="DR82" s="1007"/>
      <c r="DS82" s="1007">
        <f t="shared" si="88"/>
        <v>0</v>
      </c>
      <c r="DT82" s="1007">
        <f t="shared" si="88"/>
        <v>0</v>
      </c>
      <c r="DU82" s="1007"/>
      <c r="DV82" s="1007">
        <f t="shared" si="89"/>
        <v>0</v>
      </c>
      <c r="DW82" s="1007">
        <f t="shared" si="89"/>
        <v>0</v>
      </c>
      <c r="DX82" s="1007">
        <f t="shared" si="89"/>
        <v>0</v>
      </c>
      <c r="DY82" s="1007">
        <f t="shared" si="90"/>
        <v>0</v>
      </c>
      <c r="DZ82" s="1007">
        <f t="shared" si="90"/>
        <v>0</v>
      </c>
      <c r="EA82" s="1007">
        <f t="shared" si="90"/>
        <v>0</v>
      </c>
      <c r="EB82" s="1007">
        <f t="shared" si="90"/>
        <v>0</v>
      </c>
      <c r="EC82" s="1007"/>
      <c r="ED82" s="1007">
        <f t="shared" si="91"/>
        <v>5702083</v>
      </c>
    </row>
    <row r="83" spans="1:134" ht="36" customHeight="1" x14ac:dyDescent="0.25">
      <c r="A83" s="1578"/>
      <c r="B83" s="1026"/>
      <c r="C83" s="1114" t="s">
        <v>4420</v>
      </c>
      <c r="D83" s="1018" t="s">
        <v>4616</v>
      </c>
      <c r="E83" s="1130">
        <v>520</v>
      </c>
      <c r="F83" s="1117" t="s">
        <v>3350</v>
      </c>
      <c r="G83" s="1429"/>
      <c r="H83" s="1060">
        <f t="shared" si="70"/>
        <v>43517759</v>
      </c>
      <c r="I83" s="1060">
        <f t="shared" si="71"/>
        <v>56482241</v>
      </c>
      <c r="J83" s="1283" t="s">
        <v>4848</v>
      </c>
      <c r="K83" s="1198" t="s">
        <v>4874</v>
      </c>
      <c r="L83" s="1257" t="s">
        <v>4880</v>
      </c>
      <c r="M83" s="1113">
        <v>7</v>
      </c>
      <c r="N83" s="1113">
        <v>31</v>
      </c>
      <c r="O83" s="1113">
        <v>2</v>
      </c>
      <c r="P83" s="1113">
        <v>22</v>
      </c>
      <c r="Q83" s="1113">
        <v>31</v>
      </c>
      <c r="R83" s="1113">
        <v>7</v>
      </c>
      <c r="S83" s="1117"/>
      <c r="T83" s="1117"/>
      <c r="U83" s="1117"/>
      <c r="V83" s="1117"/>
      <c r="W83" s="1117"/>
      <c r="X83" s="1117"/>
      <c r="Y83" s="1007">
        <f t="shared" si="72"/>
        <v>100000000</v>
      </c>
      <c r="Z83" s="991"/>
      <c r="AA83" s="1016">
        <f>100000000-100000000</f>
        <v>0</v>
      </c>
      <c r="AB83" s="1016"/>
      <c r="AC83" s="991"/>
      <c r="AD83" s="991"/>
      <c r="AE83" s="991"/>
      <c r="AF83" s="1007">
        <v>100000000</v>
      </c>
      <c r="AG83" s="1007"/>
      <c r="AH83" s="1007"/>
      <c r="AI83" s="1007"/>
      <c r="AJ83" s="1007"/>
      <c r="AK83" s="1007"/>
      <c r="AL83" s="1007"/>
      <c r="AM83" s="1007"/>
      <c r="AN83" s="1007"/>
      <c r="AO83" s="1007"/>
      <c r="AP83" s="1007"/>
      <c r="AQ83" s="1007"/>
      <c r="AR83" s="1007"/>
      <c r="AS83" s="1007"/>
      <c r="AT83" s="203"/>
      <c r="AU83" s="1010">
        <f t="shared" si="73"/>
        <v>1</v>
      </c>
      <c r="AV83" s="1007">
        <f t="shared" si="74"/>
        <v>100000000</v>
      </c>
      <c r="AW83" s="1007"/>
      <c r="AX83" s="1007"/>
      <c r="AY83" s="1007"/>
      <c r="AZ83" s="1007"/>
      <c r="BA83" s="1007"/>
      <c r="BB83" s="1007"/>
      <c r="BC83" s="1007">
        <f>+'[12]FEBRERO 2015'!$O$1182</f>
        <v>100000000</v>
      </c>
      <c r="BD83" s="1007"/>
      <c r="BE83" s="1007"/>
      <c r="BF83" s="1007"/>
      <c r="BG83" s="1007"/>
      <c r="BH83" s="1007"/>
      <c r="BI83" s="1007"/>
      <c r="BJ83" s="1007"/>
      <c r="BK83" s="1007"/>
      <c r="BL83" s="1007"/>
      <c r="BM83" s="1007"/>
      <c r="BN83" s="1007"/>
      <c r="BO83" s="1007"/>
      <c r="BP83" s="1007"/>
      <c r="BQ83" s="1010">
        <f t="shared" si="25"/>
        <v>0</v>
      </c>
      <c r="BR83" s="1007">
        <f t="shared" si="75"/>
        <v>0</v>
      </c>
      <c r="BS83" s="1007">
        <f t="shared" si="76"/>
        <v>0</v>
      </c>
      <c r="BT83" s="1007">
        <f t="shared" si="77"/>
        <v>0</v>
      </c>
      <c r="BU83" s="1007"/>
      <c r="BV83" s="1007">
        <f t="shared" si="78"/>
        <v>0</v>
      </c>
      <c r="BW83" s="1007"/>
      <c r="BX83" s="1007">
        <f t="shared" si="79"/>
        <v>0</v>
      </c>
      <c r="BY83" s="1007">
        <f t="shared" si="79"/>
        <v>0</v>
      </c>
      <c r="BZ83" s="1007"/>
      <c r="CA83" s="1007">
        <f t="shared" si="92"/>
        <v>0</v>
      </c>
      <c r="CB83" s="1007">
        <f t="shared" si="80"/>
        <v>0</v>
      </c>
      <c r="CC83" s="1007">
        <f>+AJ83-BG83</f>
        <v>0</v>
      </c>
      <c r="CD83" s="1007">
        <f t="shared" si="80"/>
        <v>0</v>
      </c>
      <c r="CE83" s="1007">
        <f t="shared" si="80"/>
        <v>0</v>
      </c>
      <c r="CF83" s="1007">
        <f t="shared" si="80"/>
        <v>0</v>
      </c>
      <c r="CG83" s="1007">
        <f t="shared" si="80"/>
        <v>0</v>
      </c>
      <c r="CH83" s="1007">
        <f t="shared" si="80"/>
        <v>0</v>
      </c>
      <c r="CI83" s="1007">
        <f t="shared" si="80"/>
        <v>0</v>
      </c>
      <c r="CJ83" s="1007"/>
      <c r="CK83" s="1007"/>
      <c r="CL83" s="1007">
        <f t="shared" si="81"/>
        <v>0</v>
      </c>
      <c r="CM83" s="1010">
        <f t="shared" si="82"/>
        <v>0.43517759</v>
      </c>
      <c r="CN83" s="1007">
        <f t="shared" si="83"/>
        <v>43517759</v>
      </c>
      <c r="CO83" s="1007"/>
      <c r="CP83" s="1007"/>
      <c r="CQ83" s="1007"/>
      <c r="CR83" s="1007"/>
      <c r="CS83" s="1007"/>
      <c r="CT83" s="1007"/>
      <c r="CU83" s="1007">
        <f>+'[8]SEPTIEMBRE 2015'!$H$3344</f>
        <v>43517759</v>
      </c>
      <c r="CV83" s="1007"/>
      <c r="CW83" s="1007"/>
      <c r="CX83" s="1007"/>
      <c r="CY83" s="1007"/>
      <c r="CZ83" s="1007"/>
      <c r="DA83" s="1007"/>
      <c r="DB83" s="1007"/>
      <c r="DC83" s="1007"/>
      <c r="DD83" s="1007"/>
      <c r="DE83" s="1007"/>
      <c r="DF83" s="1007"/>
      <c r="DG83" s="1007"/>
      <c r="DH83" s="1007"/>
      <c r="DI83" s="1010">
        <f t="shared" si="84"/>
        <v>0.56482241</v>
      </c>
      <c r="DJ83" s="1007">
        <f t="shared" si="85"/>
        <v>56482241</v>
      </c>
      <c r="DK83" s="1007"/>
      <c r="DL83" s="1007">
        <f>AA83-CP83</f>
        <v>0</v>
      </c>
      <c r="DM83" s="1007">
        <f>AB83-CQ83</f>
        <v>0</v>
      </c>
      <c r="DN83" s="1007">
        <f t="shared" si="86"/>
        <v>0</v>
      </c>
      <c r="DO83" s="1007"/>
      <c r="DP83" s="1007">
        <f t="shared" si="87"/>
        <v>0</v>
      </c>
      <c r="DQ83" s="1007">
        <f t="shared" si="87"/>
        <v>56482241</v>
      </c>
      <c r="DR83" s="1007"/>
      <c r="DS83" s="1007">
        <f t="shared" si="88"/>
        <v>0</v>
      </c>
      <c r="DT83" s="1007">
        <f t="shared" si="88"/>
        <v>0</v>
      </c>
      <c r="DU83" s="1007"/>
      <c r="DV83" s="1007">
        <f t="shared" si="89"/>
        <v>0</v>
      </c>
      <c r="DW83" s="1007">
        <f t="shared" si="89"/>
        <v>0</v>
      </c>
      <c r="DX83" s="1007">
        <f t="shared" si="89"/>
        <v>0</v>
      </c>
      <c r="DY83" s="1007">
        <f t="shared" si="90"/>
        <v>0</v>
      </c>
      <c r="DZ83" s="1007">
        <f t="shared" si="90"/>
        <v>0</v>
      </c>
      <c r="EA83" s="1007">
        <f t="shared" si="90"/>
        <v>0</v>
      </c>
      <c r="EB83" s="1007">
        <f t="shared" si="90"/>
        <v>0</v>
      </c>
      <c r="EC83" s="1007"/>
      <c r="ED83" s="1007">
        <f t="shared" si="91"/>
        <v>0</v>
      </c>
    </row>
    <row r="84" spans="1:134" ht="33" customHeight="1" x14ac:dyDescent="0.25">
      <c r="A84" s="1578"/>
      <c r="B84" s="1018"/>
      <c r="C84" s="1114" t="s">
        <v>4421</v>
      </c>
      <c r="D84" s="1018" t="s">
        <v>4617</v>
      </c>
      <c r="E84" s="1019">
        <v>520</v>
      </c>
      <c r="F84" s="1117" t="s">
        <v>3350</v>
      </c>
      <c r="G84" s="1429"/>
      <c r="H84" s="1060">
        <f t="shared" si="70"/>
        <v>82284884</v>
      </c>
      <c r="I84" s="1060">
        <f t="shared" si="71"/>
        <v>47715116</v>
      </c>
      <c r="J84" s="1283"/>
      <c r="K84" s="1198"/>
      <c r="L84" s="1258"/>
      <c r="M84" s="1113">
        <v>7</v>
      </c>
      <c r="N84" s="1113">
        <v>11</v>
      </c>
      <c r="O84" s="1113">
        <v>1</v>
      </c>
      <c r="P84" s="1113">
        <v>38</v>
      </c>
      <c r="Q84" s="1113">
        <v>116</v>
      </c>
      <c r="R84" s="1113">
        <v>44</v>
      </c>
      <c r="S84" s="1117"/>
      <c r="T84" s="1117"/>
      <c r="U84" s="1117"/>
      <c r="V84" s="1117"/>
      <c r="W84" s="1117"/>
      <c r="X84" s="1117"/>
      <c r="Y84" s="1007">
        <f t="shared" si="72"/>
        <v>130000000</v>
      </c>
      <c r="Z84" s="944"/>
      <c r="AA84" s="1016">
        <f>200000000-200000000</f>
        <v>0</v>
      </c>
      <c r="AB84" s="1016"/>
      <c r="AC84" s="944"/>
      <c r="AD84" s="944"/>
      <c r="AE84" s="944"/>
      <c r="AF84" s="1007">
        <f>200000000-60000000-10000000</f>
        <v>130000000</v>
      </c>
      <c r="AG84" s="1007"/>
      <c r="AH84" s="1007"/>
      <c r="AI84" s="1007"/>
      <c r="AJ84" s="1007"/>
      <c r="AK84" s="1007"/>
      <c r="AL84" s="1007"/>
      <c r="AM84" s="1007"/>
      <c r="AN84" s="1007"/>
      <c r="AO84" s="1007"/>
      <c r="AP84" s="1007"/>
      <c r="AQ84" s="1007"/>
      <c r="AR84" s="1007"/>
      <c r="AS84" s="1007"/>
      <c r="AT84" s="203"/>
      <c r="AU84" s="1010">
        <f t="shared" si="73"/>
        <v>1</v>
      </c>
      <c r="AV84" s="1007">
        <f t="shared" si="74"/>
        <v>130000000</v>
      </c>
      <c r="AW84" s="1007"/>
      <c r="AX84" s="1007"/>
      <c r="AY84" s="1007"/>
      <c r="AZ84" s="1007"/>
      <c r="BA84" s="1007"/>
      <c r="BB84" s="1007"/>
      <c r="BC84" s="1007">
        <f>+'[9]ABRIL 2015'!$O$1649-10000000</f>
        <v>130000000</v>
      </c>
      <c r="BD84" s="1007"/>
      <c r="BE84" s="1007"/>
      <c r="BF84" s="1007"/>
      <c r="BG84" s="1007"/>
      <c r="BH84" s="1007"/>
      <c r="BI84" s="1007"/>
      <c r="BJ84" s="1007"/>
      <c r="BK84" s="1007"/>
      <c r="BL84" s="1007"/>
      <c r="BM84" s="1007"/>
      <c r="BN84" s="1007"/>
      <c r="BO84" s="1007"/>
      <c r="BP84" s="1007"/>
      <c r="BQ84" s="1010">
        <f t="shared" si="25"/>
        <v>0</v>
      </c>
      <c r="BR84" s="1007">
        <f t="shared" si="75"/>
        <v>0</v>
      </c>
      <c r="BS84" s="1007">
        <f t="shared" si="76"/>
        <v>0</v>
      </c>
      <c r="BT84" s="1007">
        <f t="shared" si="77"/>
        <v>0</v>
      </c>
      <c r="BU84" s="1007"/>
      <c r="BV84" s="1007">
        <f t="shared" si="78"/>
        <v>0</v>
      </c>
      <c r="BW84" s="1007"/>
      <c r="BX84" s="1007">
        <f t="shared" si="79"/>
        <v>0</v>
      </c>
      <c r="BY84" s="1007">
        <f t="shared" si="79"/>
        <v>0</v>
      </c>
      <c r="BZ84" s="1007"/>
      <c r="CA84" s="1007">
        <f t="shared" si="92"/>
        <v>0</v>
      </c>
      <c r="CB84" s="1007">
        <f t="shared" si="92"/>
        <v>0</v>
      </c>
      <c r="CC84" s="1007">
        <f>+AJ84-BG84</f>
        <v>0</v>
      </c>
      <c r="CD84" s="1007">
        <f t="shared" ref="CD84:CI103" si="93">+AK84-BH84</f>
        <v>0</v>
      </c>
      <c r="CE84" s="1007">
        <f t="shared" si="93"/>
        <v>0</v>
      </c>
      <c r="CF84" s="1007">
        <f t="shared" si="93"/>
        <v>0</v>
      </c>
      <c r="CG84" s="1007">
        <f t="shared" si="93"/>
        <v>0</v>
      </c>
      <c r="CH84" s="1007">
        <f t="shared" si="93"/>
        <v>0</v>
      </c>
      <c r="CI84" s="1007">
        <f t="shared" si="93"/>
        <v>0</v>
      </c>
      <c r="CJ84" s="1007"/>
      <c r="CK84" s="1007"/>
      <c r="CL84" s="1007">
        <f t="shared" si="81"/>
        <v>0</v>
      </c>
      <c r="CM84" s="1010">
        <f t="shared" si="82"/>
        <v>0.63296064615384617</v>
      </c>
      <c r="CN84" s="1007">
        <f t="shared" si="83"/>
        <v>82284884</v>
      </c>
      <c r="CO84" s="1007"/>
      <c r="CP84" s="1007"/>
      <c r="CQ84" s="1007"/>
      <c r="CR84" s="1007"/>
      <c r="CS84" s="1007"/>
      <c r="CT84" s="1007"/>
      <c r="CU84" s="1007">
        <f>+'[8]SEPTIEMBRE 2015'!$H$3406</f>
        <v>82284884</v>
      </c>
      <c r="CV84" s="1007"/>
      <c r="CW84" s="1007"/>
      <c r="CX84" s="1007"/>
      <c r="CY84" s="1007"/>
      <c r="CZ84" s="1007"/>
      <c r="DA84" s="1007"/>
      <c r="DB84" s="1007"/>
      <c r="DC84" s="1007"/>
      <c r="DD84" s="1007"/>
      <c r="DE84" s="1007"/>
      <c r="DF84" s="1007"/>
      <c r="DG84" s="1007"/>
      <c r="DH84" s="1007"/>
      <c r="DI84" s="1010">
        <f t="shared" si="84"/>
        <v>0.36703935384615383</v>
      </c>
      <c r="DJ84" s="1007">
        <f t="shared" si="85"/>
        <v>47715116</v>
      </c>
      <c r="DK84" s="1007"/>
      <c r="DL84" s="1007">
        <f>AA84-CP84</f>
        <v>0</v>
      </c>
      <c r="DM84" s="1007">
        <f>AB84-CQ84</f>
        <v>0</v>
      </c>
      <c r="DN84" s="1007">
        <f t="shared" si="86"/>
        <v>0</v>
      </c>
      <c r="DO84" s="1007"/>
      <c r="DP84" s="1007">
        <f t="shared" si="87"/>
        <v>0</v>
      </c>
      <c r="DQ84" s="1007">
        <f t="shared" si="87"/>
        <v>47715116</v>
      </c>
      <c r="DR84" s="1007"/>
      <c r="DS84" s="1007">
        <f t="shared" si="88"/>
        <v>0</v>
      </c>
      <c r="DT84" s="1007">
        <f t="shared" si="88"/>
        <v>0</v>
      </c>
      <c r="DU84" s="1007"/>
      <c r="DV84" s="1007">
        <f t="shared" si="89"/>
        <v>0</v>
      </c>
      <c r="DW84" s="1007">
        <f t="shared" si="89"/>
        <v>0</v>
      </c>
      <c r="DX84" s="1007">
        <f t="shared" si="89"/>
        <v>0</v>
      </c>
      <c r="DY84" s="1007">
        <f t="shared" si="90"/>
        <v>0</v>
      </c>
      <c r="DZ84" s="1007">
        <f t="shared" si="90"/>
        <v>0</v>
      </c>
      <c r="EA84" s="1007">
        <f t="shared" si="90"/>
        <v>0</v>
      </c>
      <c r="EB84" s="1007">
        <f t="shared" si="90"/>
        <v>0</v>
      </c>
      <c r="EC84" s="1007"/>
      <c r="ED84" s="1007">
        <f t="shared" si="91"/>
        <v>0</v>
      </c>
    </row>
    <row r="85" spans="1:134" ht="57.75" customHeight="1" x14ac:dyDescent="0.25">
      <c r="A85" s="1578"/>
      <c r="B85" s="1026"/>
      <c r="C85" s="1114" t="s">
        <v>4422</v>
      </c>
      <c r="D85" s="1018" t="s">
        <v>4356</v>
      </c>
      <c r="E85" s="1130">
        <v>520</v>
      </c>
      <c r="F85" s="1117" t="s">
        <v>4674</v>
      </c>
      <c r="G85" s="1429"/>
      <c r="H85" s="1060">
        <f t="shared" si="70"/>
        <v>417668313</v>
      </c>
      <c r="I85" s="1060">
        <f t="shared" si="71"/>
        <v>29325520</v>
      </c>
      <c r="J85" s="1428" t="s">
        <v>4868</v>
      </c>
      <c r="K85" s="1257" t="s">
        <v>4875</v>
      </c>
      <c r="L85" s="1257" t="s">
        <v>4881</v>
      </c>
      <c r="M85" s="1113">
        <v>78</v>
      </c>
      <c r="N85" s="1113">
        <v>45</v>
      </c>
      <c r="O85" s="1113">
        <v>35</v>
      </c>
      <c r="P85" s="1113">
        <v>50</v>
      </c>
      <c r="Q85" s="1113">
        <v>60</v>
      </c>
      <c r="R85" s="1113">
        <v>30</v>
      </c>
      <c r="S85" s="1117"/>
      <c r="T85" s="1117"/>
      <c r="U85" s="1117"/>
      <c r="V85" s="1117"/>
      <c r="W85" s="1117"/>
      <c r="X85" s="1117"/>
      <c r="Y85" s="1007">
        <f t="shared" si="72"/>
        <v>446993833</v>
      </c>
      <c r="Z85" s="991"/>
      <c r="AA85" s="991"/>
      <c r="AB85" s="991"/>
      <c r="AC85" s="991"/>
      <c r="AD85" s="991"/>
      <c r="AE85" s="991"/>
      <c r="AF85" s="1007"/>
      <c r="AG85" s="1007"/>
      <c r="AH85" s="1007"/>
      <c r="AI85" s="1007"/>
      <c r="AJ85" s="1007"/>
      <c r="AK85" s="1007"/>
      <c r="AL85" s="1007"/>
      <c r="AM85" s="1007"/>
      <c r="AN85" s="1007"/>
      <c r="AO85" s="1007"/>
      <c r="AP85" s="1007"/>
      <c r="AQ85" s="1007"/>
      <c r="AR85" s="1007"/>
      <c r="AS85" s="1007">
        <f>111000000+41000000+32000000+9000000+19000000+17271328+15000000+191272505+6000000+5450000</f>
        <v>446993833</v>
      </c>
      <c r="AT85" s="203"/>
      <c r="AU85" s="1010">
        <f t="shared" si="73"/>
        <v>1</v>
      </c>
      <c r="AV85" s="1007">
        <f t="shared" si="74"/>
        <v>446993833</v>
      </c>
      <c r="AW85" s="1007"/>
      <c r="AX85" s="1007"/>
      <c r="AY85" s="1007"/>
      <c r="AZ85" s="1007"/>
      <c r="BA85" s="1007"/>
      <c r="BB85" s="1007"/>
      <c r="BC85" s="1007"/>
      <c r="BD85" s="1007"/>
      <c r="BE85" s="1007"/>
      <c r="BF85" s="1007"/>
      <c r="BG85" s="1007"/>
      <c r="BH85" s="1007"/>
      <c r="BI85" s="1007"/>
      <c r="BJ85" s="1007"/>
      <c r="BK85" s="1007"/>
      <c r="BL85" s="1007"/>
      <c r="BM85" s="1007"/>
      <c r="BN85" s="1007"/>
      <c r="BO85" s="1007"/>
      <c r="BP85" s="1007">
        <f>+'[8]SEPTIEMBRE 2015'!$AD$3491</f>
        <v>446993833</v>
      </c>
      <c r="BQ85" s="1010">
        <f t="shared" si="25"/>
        <v>0</v>
      </c>
      <c r="BR85" s="1007">
        <f t="shared" si="75"/>
        <v>0</v>
      </c>
      <c r="BS85" s="1007">
        <f t="shared" si="76"/>
        <v>0</v>
      </c>
      <c r="BT85" s="1007">
        <f t="shared" si="77"/>
        <v>0</v>
      </c>
      <c r="BU85" s="1007"/>
      <c r="BV85" s="1007">
        <f t="shared" si="78"/>
        <v>0</v>
      </c>
      <c r="BW85" s="1007"/>
      <c r="BX85" s="1007">
        <f t="shared" si="79"/>
        <v>0</v>
      </c>
      <c r="BY85" s="1007">
        <f t="shared" si="79"/>
        <v>0</v>
      </c>
      <c r="BZ85" s="1007"/>
      <c r="CA85" s="1007">
        <f t="shared" si="92"/>
        <v>0</v>
      </c>
      <c r="CB85" s="1007">
        <f t="shared" si="92"/>
        <v>0</v>
      </c>
      <c r="CC85" s="1007"/>
      <c r="CD85" s="1007">
        <f t="shared" si="93"/>
        <v>0</v>
      </c>
      <c r="CE85" s="1007">
        <f t="shared" si="93"/>
        <v>0</v>
      </c>
      <c r="CF85" s="1007">
        <f t="shared" si="93"/>
        <v>0</v>
      </c>
      <c r="CG85" s="1007">
        <f t="shared" si="93"/>
        <v>0</v>
      </c>
      <c r="CH85" s="1007">
        <f t="shared" si="93"/>
        <v>0</v>
      </c>
      <c r="CI85" s="1007">
        <f t="shared" si="93"/>
        <v>0</v>
      </c>
      <c r="CJ85" s="1007"/>
      <c r="CK85" s="1007"/>
      <c r="CL85" s="1007">
        <f t="shared" si="81"/>
        <v>0</v>
      </c>
      <c r="CM85" s="1010">
        <f t="shared" si="82"/>
        <v>0.93439390471411721</v>
      </c>
      <c r="CN85" s="1007">
        <f t="shared" si="83"/>
        <v>417668313</v>
      </c>
      <c r="CO85" s="1007"/>
      <c r="CP85" s="1007"/>
      <c r="CQ85" s="1007"/>
      <c r="CR85" s="1007"/>
      <c r="CS85" s="1007"/>
      <c r="CT85" s="1007"/>
      <c r="CU85" s="1007"/>
      <c r="CV85" s="1007"/>
      <c r="CW85" s="1007"/>
      <c r="CX85" s="1007"/>
      <c r="CY85" s="1007"/>
      <c r="CZ85" s="1007"/>
      <c r="DA85" s="1007"/>
      <c r="DB85" s="1007"/>
      <c r="DC85" s="1007"/>
      <c r="DD85" s="1007"/>
      <c r="DE85" s="1007"/>
      <c r="DF85" s="1007"/>
      <c r="DG85" s="1007"/>
      <c r="DH85" s="1007">
        <f>+'[8]SEPTIEMBRE 2015'!$H$3489</f>
        <v>417668313</v>
      </c>
      <c r="DI85" s="1010">
        <f t="shared" si="84"/>
        <v>6.5606095285882793E-2</v>
      </c>
      <c r="DJ85" s="1007">
        <f t="shared" si="85"/>
        <v>29325520</v>
      </c>
      <c r="DK85" s="1007"/>
      <c r="DL85" s="1007"/>
      <c r="DM85" s="1007"/>
      <c r="DN85" s="1007">
        <f t="shared" si="86"/>
        <v>0</v>
      </c>
      <c r="DO85" s="1007"/>
      <c r="DP85" s="1007">
        <f t="shared" si="87"/>
        <v>0</v>
      </c>
      <c r="DQ85" s="1007">
        <f t="shared" si="87"/>
        <v>0</v>
      </c>
      <c r="DR85" s="1007"/>
      <c r="DS85" s="1007">
        <f t="shared" si="88"/>
        <v>0</v>
      </c>
      <c r="DT85" s="1007">
        <f t="shared" si="88"/>
        <v>0</v>
      </c>
      <c r="DU85" s="1007"/>
      <c r="DV85" s="1007">
        <f t="shared" si="89"/>
        <v>0</v>
      </c>
      <c r="DW85" s="1007">
        <f t="shared" si="89"/>
        <v>0</v>
      </c>
      <c r="DX85" s="1007">
        <f t="shared" si="89"/>
        <v>0</v>
      </c>
      <c r="DY85" s="1007">
        <f t="shared" si="90"/>
        <v>0</v>
      </c>
      <c r="DZ85" s="1007">
        <f t="shared" si="90"/>
        <v>0</v>
      </c>
      <c r="EA85" s="1007">
        <f t="shared" si="90"/>
        <v>0</v>
      </c>
      <c r="EB85" s="1007">
        <f t="shared" si="90"/>
        <v>0</v>
      </c>
      <c r="EC85" s="1007"/>
      <c r="ED85" s="1007">
        <f t="shared" si="91"/>
        <v>29325520</v>
      </c>
    </row>
    <row r="86" spans="1:134" ht="46.5" customHeight="1" x14ac:dyDescent="0.25">
      <c r="A86" s="1578"/>
      <c r="B86" s="1018"/>
      <c r="C86" s="1114" t="s">
        <v>4423</v>
      </c>
      <c r="D86" s="1018" t="s">
        <v>4357</v>
      </c>
      <c r="E86" s="1019">
        <v>520</v>
      </c>
      <c r="F86" s="1117" t="s">
        <v>4737</v>
      </c>
      <c r="G86" s="1429"/>
      <c r="H86" s="1060">
        <f t="shared" si="70"/>
        <v>3547686</v>
      </c>
      <c r="I86" s="1060">
        <f t="shared" si="71"/>
        <v>21008011</v>
      </c>
      <c r="J86" s="1430"/>
      <c r="K86" s="1258"/>
      <c r="L86" s="1258"/>
      <c r="M86" s="1113">
        <v>0</v>
      </c>
      <c r="N86" s="1113">
        <v>0</v>
      </c>
      <c r="O86" s="1113">
        <v>0</v>
      </c>
      <c r="P86" s="1113">
        <v>6</v>
      </c>
      <c r="Q86" s="1113">
        <v>7</v>
      </c>
      <c r="R86" s="1113">
        <v>0</v>
      </c>
      <c r="S86" s="1117"/>
      <c r="T86" s="1117"/>
      <c r="U86" s="1117"/>
      <c r="V86" s="1117"/>
      <c r="W86" s="1117"/>
      <c r="X86" s="1117"/>
      <c r="Y86" s="1007">
        <f t="shared" si="72"/>
        <v>24555697</v>
      </c>
      <c r="Z86" s="944"/>
      <c r="AA86" s="944"/>
      <c r="AB86" s="944"/>
      <c r="AC86" s="944"/>
      <c r="AD86" s="944"/>
      <c r="AE86" s="944"/>
      <c r="AF86" s="1007"/>
      <c r="AG86" s="1007"/>
      <c r="AH86" s="1007"/>
      <c r="AI86" s="1007"/>
      <c r="AJ86" s="1007"/>
      <c r="AK86" s="1007"/>
      <c r="AL86" s="1007"/>
      <c r="AM86" s="1007"/>
      <c r="AN86" s="1007"/>
      <c r="AO86" s="1007"/>
      <c r="AP86" s="1007"/>
      <c r="AQ86" s="1007"/>
      <c r="AR86" s="1007"/>
      <c r="AS86" s="1007">
        <f>3000000+5000000+15055697+1500000</f>
        <v>24555697</v>
      </c>
      <c r="AT86" s="203"/>
      <c r="AU86" s="1010">
        <f t="shared" si="73"/>
        <v>0.3306320321512356</v>
      </c>
      <c r="AV86" s="1007">
        <f t="shared" si="74"/>
        <v>8118900</v>
      </c>
      <c r="AW86" s="1007"/>
      <c r="AX86" s="1007"/>
      <c r="AY86" s="1007"/>
      <c r="AZ86" s="1007"/>
      <c r="BA86" s="1007"/>
      <c r="BB86" s="1007"/>
      <c r="BC86" s="1007"/>
      <c r="BD86" s="1007"/>
      <c r="BE86" s="1007"/>
      <c r="BF86" s="1007"/>
      <c r="BG86" s="1007"/>
      <c r="BH86" s="1007"/>
      <c r="BI86" s="1007"/>
      <c r="BJ86" s="1007"/>
      <c r="BK86" s="1007"/>
      <c r="BL86" s="1007"/>
      <c r="BM86" s="1007"/>
      <c r="BN86" s="1007"/>
      <c r="BO86" s="1007"/>
      <c r="BP86" s="1007">
        <f>+'[8]SEPTIEMBRE 2015'!$AD$3573</f>
        <v>8118900</v>
      </c>
      <c r="BQ86" s="1010">
        <f t="shared" si="25"/>
        <v>0.6693679678487644</v>
      </c>
      <c r="BR86" s="1007">
        <f t="shared" si="75"/>
        <v>16436797</v>
      </c>
      <c r="BS86" s="1007">
        <f t="shared" si="76"/>
        <v>0</v>
      </c>
      <c r="BT86" s="1007">
        <f t="shared" si="77"/>
        <v>0</v>
      </c>
      <c r="BU86" s="1007"/>
      <c r="BV86" s="1007">
        <f t="shared" si="78"/>
        <v>0</v>
      </c>
      <c r="BW86" s="1007"/>
      <c r="BX86" s="1007">
        <f t="shared" si="79"/>
        <v>0</v>
      </c>
      <c r="BY86" s="1007">
        <f t="shared" si="79"/>
        <v>0</v>
      </c>
      <c r="BZ86" s="1007"/>
      <c r="CA86" s="1007">
        <f t="shared" si="92"/>
        <v>0</v>
      </c>
      <c r="CB86" s="1007">
        <f t="shared" si="92"/>
        <v>0</v>
      </c>
      <c r="CC86" s="1007"/>
      <c r="CD86" s="1007">
        <f t="shared" si="93"/>
        <v>0</v>
      </c>
      <c r="CE86" s="1007">
        <f t="shared" si="93"/>
        <v>0</v>
      </c>
      <c r="CF86" s="1007">
        <f t="shared" si="93"/>
        <v>0</v>
      </c>
      <c r="CG86" s="1007">
        <f t="shared" si="93"/>
        <v>0</v>
      </c>
      <c r="CH86" s="1007">
        <f t="shared" si="93"/>
        <v>0</v>
      </c>
      <c r="CI86" s="1007">
        <f t="shared" si="93"/>
        <v>0</v>
      </c>
      <c r="CJ86" s="1007"/>
      <c r="CK86" s="1007"/>
      <c r="CL86" s="1007">
        <f t="shared" si="81"/>
        <v>16436797</v>
      </c>
      <c r="CM86" s="1010">
        <f t="shared" si="82"/>
        <v>0.14447506824994624</v>
      </c>
      <c r="CN86" s="1007">
        <f t="shared" si="83"/>
        <v>3547686</v>
      </c>
      <c r="CO86" s="1007"/>
      <c r="CP86" s="1007"/>
      <c r="CQ86" s="1007"/>
      <c r="CR86" s="1007"/>
      <c r="CS86" s="1007"/>
      <c r="CT86" s="1007"/>
      <c r="CU86" s="1007"/>
      <c r="CV86" s="1007"/>
      <c r="CW86" s="1007"/>
      <c r="CX86" s="1007"/>
      <c r="CY86" s="1007"/>
      <c r="CZ86" s="1007"/>
      <c r="DA86" s="1007"/>
      <c r="DB86" s="1007"/>
      <c r="DC86" s="1007"/>
      <c r="DD86" s="1007"/>
      <c r="DE86" s="1007"/>
      <c r="DF86" s="1007"/>
      <c r="DG86" s="1007"/>
      <c r="DH86" s="1007">
        <f>+'[7]AGOSTO 2015'!$H$2909</f>
        <v>3547686</v>
      </c>
      <c r="DI86" s="1010">
        <f t="shared" si="84"/>
        <v>0.85552493175005373</v>
      </c>
      <c r="DJ86" s="1007">
        <f t="shared" si="85"/>
        <v>21008011</v>
      </c>
      <c r="DK86" s="1007"/>
      <c r="DL86" s="1007"/>
      <c r="DM86" s="1007"/>
      <c r="DN86" s="1007">
        <f t="shared" si="86"/>
        <v>0</v>
      </c>
      <c r="DO86" s="1007"/>
      <c r="DP86" s="1007">
        <f t="shared" si="87"/>
        <v>0</v>
      </c>
      <c r="DQ86" s="1007">
        <f t="shared" si="87"/>
        <v>0</v>
      </c>
      <c r="DR86" s="1007"/>
      <c r="DS86" s="1007">
        <f t="shared" si="88"/>
        <v>0</v>
      </c>
      <c r="DT86" s="1007">
        <f t="shared" si="88"/>
        <v>0</v>
      </c>
      <c r="DU86" s="1007"/>
      <c r="DV86" s="1007">
        <f t="shared" si="89"/>
        <v>0</v>
      </c>
      <c r="DW86" s="1007">
        <f t="shared" si="89"/>
        <v>0</v>
      </c>
      <c r="DX86" s="1007">
        <f t="shared" si="89"/>
        <v>0</v>
      </c>
      <c r="DY86" s="1007">
        <f t="shared" si="90"/>
        <v>0</v>
      </c>
      <c r="DZ86" s="1007">
        <f t="shared" si="90"/>
        <v>0</v>
      </c>
      <c r="EA86" s="1007">
        <f t="shared" si="90"/>
        <v>0</v>
      </c>
      <c r="EB86" s="1007">
        <f t="shared" si="90"/>
        <v>0</v>
      </c>
      <c r="EC86" s="1007"/>
      <c r="ED86" s="1007">
        <f t="shared" si="91"/>
        <v>21008011</v>
      </c>
    </row>
    <row r="87" spans="1:134" ht="36" customHeight="1" x14ac:dyDescent="0.25">
      <c r="A87" s="1578"/>
      <c r="B87" s="1018"/>
      <c r="C87" s="1114" t="s">
        <v>4424</v>
      </c>
      <c r="D87" s="1018" t="s">
        <v>4358</v>
      </c>
      <c r="E87" s="1019">
        <v>520</v>
      </c>
      <c r="F87" s="1117" t="s">
        <v>3350</v>
      </c>
      <c r="G87" s="1429"/>
      <c r="H87" s="1060">
        <f t="shared" si="70"/>
        <v>144717838</v>
      </c>
      <c r="I87" s="1060">
        <f t="shared" si="71"/>
        <v>466146597</v>
      </c>
      <c r="J87" s="1428" t="s">
        <v>4869</v>
      </c>
      <c r="K87" s="1257" t="s">
        <v>4876</v>
      </c>
      <c r="L87" s="1257" t="s">
        <v>4882</v>
      </c>
      <c r="M87" s="1113">
        <v>0</v>
      </c>
      <c r="N87" s="1113">
        <v>8</v>
      </c>
      <c r="O87" s="1113">
        <v>0</v>
      </c>
      <c r="P87" s="1113">
        <v>0</v>
      </c>
      <c r="Q87" s="1113">
        <v>0</v>
      </c>
      <c r="R87" s="1113">
        <v>0</v>
      </c>
      <c r="S87" s="1117"/>
      <c r="T87" s="1117"/>
      <c r="U87" s="1117"/>
      <c r="V87" s="1117"/>
      <c r="W87" s="1117"/>
      <c r="X87" s="1117"/>
      <c r="Y87" s="1007">
        <f t="shared" si="72"/>
        <v>610864435</v>
      </c>
      <c r="Z87" s="944"/>
      <c r="AA87" s="944"/>
      <c r="AB87" s="944"/>
      <c r="AC87" s="944"/>
      <c r="AD87" s="944"/>
      <c r="AE87" s="944"/>
      <c r="AF87" s="1007"/>
      <c r="AG87" s="1007"/>
      <c r="AH87" s="1007"/>
      <c r="AI87" s="1007"/>
      <c r="AJ87" s="1007"/>
      <c r="AK87" s="1007"/>
      <c r="AL87" s="1007">
        <f>450000000+160864435</f>
        <v>610864435</v>
      </c>
      <c r="AM87" s="1007"/>
      <c r="AN87" s="1007"/>
      <c r="AO87" s="1007"/>
      <c r="AP87" s="1007"/>
      <c r="AQ87" s="1007"/>
      <c r="AR87" s="1007"/>
      <c r="AS87" s="1007"/>
      <c r="AT87" s="203"/>
      <c r="AU87" s="1010">
        <f t="shared" si="73"/>
        <v>0.39234765075167621</v>
      </c>
      <c r="AV87" s="1007">
        <f t="shared" si="74"/>
        <v>239671226</v>
      </c>
      <c r="AW87" s="1007"/>
      <c r="AX87" s="1007"/>
      <c r="AY87" s="1007"/>
      <c r="AZ87" s="1007"/>
      <c r="BA87" s="1007"/>
      <c r="BB87" s="1007"/>
      <c r="BC87" s="1007"/>
      <c r="BD87" s="1007"/>
      <c r="BE87" s="1007"/>
      <c r="BF87" s="1007"/>
      <c r="BG87" s="1007"/>
      <c r="BH87" s="1007"/>
      <c r="BI87" s="1007">
        <f>+'[8]SEPTIEMBRE 2015'!$V$3585</f>
        <v>239671226</v>
      </c>
      <c r="BJ87" s="1007"/>
      <c r="BK87" s="1007"/>
      <c r="BL87" s="1007"/>
      <c r="BM87" s="1007"/>
      <c r="BN87" s="1007"/>
      <c r="BO87" s="1007"/>
      <c r="BP87" s="1007"/>
      <c r="BQ87" s="1010">
        <f t="shared" si="25"/>
        <v>0.60765234924832379</v>
      </c>
      <c r="BR87" s="1007">
        <f t="shared" si="75"/>
        <v>371193209</v>
      </c>
      <c r="BS87" s="1007">
        <f t="shared" si="76"/>
        <v>0</v>
      </c>
      <c r="BT87" s="1007">
        <f t="shared" si="77"/>
        <v>0</v>
      </c>
      <c r="BU87" s="1007"/>
      <c r="BV87" s="1007">
        <f t="shared" si="78"/>
        <v>0</v>
      </c>
      <c r="BW87" s="1007"/>
      <c r="BX87" s="1007">
        <f t="shared" si="79"/>
        <v>0</v>
      </c>
      <c r="BY87" s="1007">
        <f t="shared" si="79"/>
        <v>0</v>
      </c>
      <c r="BZ87" s="1007"/>
      <c r="CA87" s="1007">
        <f t="shared" si="92"/>
        <v>0</v>
      </c>
      <c r="CB87" s="1007">
        <f t="shared" si="92"/>
        <v>0</v>
      </c>
      <c r="CC87" s="1007"/>
      <c r="CD87" s="1007">
        <f t="shared" si="93"/>
        <v>0</v>
      </c>
      <c r="CE87" s="1007">
        <f t="shared" si="93"/>
        <v>371193209</v>
      </c>
      <c r="CF87" s="1007">
        <f t="shared" si="93"/>
        <v>0</v>
      </c>
      <c r="CG87" s="1007">
        <f t="shared" si="93"/>
        <v>0</v>
      </c>
      <c r="CH87" s="1007">
        <f t="shared" si="93"/>
        <v>0</v>
      </c>
      <c r="CI87" s="1007">
        <f t="shared" si="93"/>
        <v>0</v>
      </c>
      <c r="CJ87" s="1007"/>
      <c r="CK87" s="1007"/>
      <c r="CL87" s="1007">
        <f t="shared" si="81"/>
        <v>0</v>
      </c>
      <c r="CM87" s="1010">
        <f t="shared" si="82"/>
        <v>0.23690663543049451</v>
      </c>
      <c r="CN87" s="1007">
        <f t="shared" si="83"/>
        <v>144717838</v>
      </c>
      <c r="CO87" s="1007"/>
      <c r="CP87" s="1007"/>
      <c r="CQ87" s="1007"/>
      <c r="CR87" s="1007"/>
      <c r="CS87" s="1007"/>
      <c r="CT87" s="1007"/>
      <c r="CU87" s="1007"/>
      <c r="CV87" s="1007"/>
      <c r="CW87" s="1007"/>
      <c r="CX87" s="1007"/>
      <c r="CY87" s="1007"/>
      <c r="CZ87" s="1007"/>
      <c r="DA87" s="1007">
        <f>+'[8]SEPTIEMBRE 2015'!$H$3583</f>
        <v>144717838</v>
      </c>
      <c r="DB87" s="1007"/>
      <c r="DC87" s="1007"/>
      <c r="DD87" s="1007"/>
      <c r="DE87" s="1007"/>
      <c r="DF87" s="1007"/>
      <c r="DG87" s="1007"/>
      <c r="DH87" s="1007"/>
      <c r="DI87" s="1010">
        <f t="shared" si="84"/>
        <v>0.76309336456950549</v>
      </c>
      <c r="DJ87" s="1007">
        <f t="shared" si="85"/>
        <v>466146597</v>
      </c>
      <c r="DK87" s="1007"/>
      <c r="DL87" s="1007"/>
      <c r="DM87" s="1007"/>
      <c r="DN87" s="1007">
        <f t="shared" si="86"/>
        <v>0</v>
      </c>
      <c r="DO87" s="1007"/>
      <c r="DP87" s="1007">
        <f t="shared" si="87"/>
        <v>0</v>
      </c>
      <c r="DQ87" s="1007">
        <f t="shared" si="87"/>
        <v>0</v>
      </c>
      <c r="DR87" s="1007"/>
      <c r="DS87" s="1007">
        <f t="shared" si="88"/>
        <v>0</v>
      </c>
      <c r="DT87" s="1007">
        <f t="shared" si="88"/>
        <v>0</v>
      </c>
      <c r="DU87" s="1007"/>
      <c r="DV87" s="1007">
        <f t="shared" si="89"/>
        <v>0</v>
      </c>
      <c r="DW87" s="1007">
        <f t="shared" si="89"/>
        <v>466146597</v>
      </c>
      <c r="DX87" s="1007">
        <f t="shared" si="89"/>
        <v>0</v>
      </c>
      <c r="DY87" s="1007">
        <f t="shared" si="90"/>
        <v>0</v>
      </c>
      <c r="DZ87" s="1007">
        <f t="shared" si="90"/>
        <v>0</v>
      </c>
      <c r="EA87" s="1007">
        <f t="shared" si="90"/>
        <v>0</v>
      </c>
      <c r="EB87" s="1007">
        <f t="shared" si="90"/>
        <v>0</v>
      </c>
      <c r="EC87" s="1007"/>
      <c r="ED87" s="1007">
        <f t="shared" si="91"/>
        <v>0</v>
      </c>
    </row>
    <row r="88" spans="1:134" ht="33" customHeight="1" x14ac:dyDescent="0.25">
      <c r="A88" s="1578"/>
      <c r="B88" s="1018"/>
      <c r="C88" s="1114" t="s">
        <v>4425</v>
      </c>
      <c r="D88" s="1018" t="s">
        <v>4618</v>
      </c>
      <c r="E88" s="1019">
        <v>520</v>
      </c>
      <c r="F88" s="1117" t="s">
        <v>3350</v>
      </c>
      <c r="G88" s="1430"/>
      <c r="H88" s="1060">
        <f t="shared" si="70"/>
        <v>0</v>
      </c>
      <c r="I88" s="1060">
        <f t="shared" si="71"/>
        <v>23014856</v>
      </c>
      <c r="J88" s="1430"/>
      <c r="K88" s="1258"/>
      <c r="L88" s="1258"/>
      <c r="M88" s="1113">
        <v>0</v>
      </c>
      <c r="N88" s="1113">
        <v>0</v>
      </c>
      <c r="O88" s="1113">
        <v>0</v>
      </c>
      <c r="P88" s="1113">
        <v>0</v>
      </c>
      <c r="Q88" s="1113">
        <v>40</v>
      </c>
      <c r="R88" s="1113">
        <v>0</v>
      </c>
      <c r="S88" s="1117"/>
      <c r="T88" s="1117"/>
      <c r="U88" s="1117"/>
      <c r="V88" s="1117"/>
      <c r="W88" s="1117"/>
      <c r="X88" s="1117"/>
      <c r="Y88" s="1007">
        <f t="shared" si="72"/>
        <v>23014856</v>
      </c>
      <c r="Z88" s="944"/>
      <c r="AA88" s="1016">
        <f>23014856-23014856</f>
        <v>0</v>
      </c>
      <c r="AB88" s="1016"/>
      <c r="AC88" s="944"/>
      <c r="AD88" s="944"/>
      <c r="AE88" s="944"/>
      <c r="AF88" s="1007">
        <v>23014856</v>
      </c>
      <c r="AG88" s="1007"/>
      <c r="AH88" s="1007"/>
      <c r="AI88" s="1007"/>
      <c r="AJ88" s="1007"/>
      <c r="AK88" s="1007"/>
      <c r="AL88" s="1007"/>
      <c r="AM88" s="1007"/>
      <c r="AN88" s="1007"/>
      <c r="AO88" s="1007"/>
      <c r="AP88" s="1007"/>
      <c r="AQ88" s="1007"/>
      <c r="AR88" s="1007"/>
      <c r="AS88" s="1007"/>
      <c r="AT88" s="203"/>
      <c r="AU88" s="1010">
        <f t="shared" si="73"/>
        <v>1</v>
      </c>
      <c r="AV88" s="1007">
        <f t="shared" si="74"/>
        <v>23014856</v>
      </c>
      <c r="AW88" s="1007"/>
      <c r="AX88" s="1007"/>
      <c r="AY88" s="1007"/>
      <c r="AZ88" s="1007"/>
      <c r="BA88" s="1007"/>
      <c r="BB88" s="1007"/>
      <c r="BC88" s="1007">
        <f>+'[12]FEBRERO 2015'!$O$1235</f>
        <v>23014856</v>
      </c>
      <c r="BD88" s="1007"/>
      <c r="BE88" s="1007"/>
      <c r="BF88" s="1007"/>
      <c r="BG88" s="1007"/>
      <c r="BH88" s="1007"/>
      <c r="BI88" s="1007"/>
      <c r="BJ88" s="1007"/>
      <c r="BK88" s="1007"/>
      <c r="BL88" s="1007"/>
      <c r="BM88" s="1007"/>
      <c r="BN88" s="1007"/>
      <c r="BO88" s="1007"/>
      <c r="BP88" s="1007"/>
      <c r="BQ88" s="1010">
        <f t="shared" ref="BQ88:BQ104" si="94">1-AU88</f>
        <v>0</v>
      </c>
      <c r="BR88" s="1007">
        <f t="shared" si="75"/>
        <v>0</v>
      </c>
      <c r="BS88" s="1007">
        <f t="shared" si="76"/>
        <v>0</v>
      </c>
      <c r="BT88" s="1007">
        <f t="shared" si="77"/>
        <v>0</v>
      </c>
      <c r="BU88" s="1007"/>
      <c r="BV88" s="1007">
        <f t="shared" si="78"/>
        <v>0</v>
      </c>
      <c r="BW88" s="1007"/>
      <c r="BX88" s="1007">
        <f t="shared" si="79"/>
        <v>0</v>
      </c>
      <c r="BY88" s="1007">
        <f t="shared" si="79"/>
        <v>0</v>
      </c>
      <c r="BZ88" s="1007"/>
      <c r="CA88" s="1007">
        <f t="shared" si="92"/>
        <v>0</v>
      </c>
      <c r="CB88" s="1007">
        <f t="shared" si="92"/>
        <v>0</v>
      </c>
      <c r="CC88" s="1007"/>
      <c r="CD88" s="1007">
        <f t="shared" si="93"/>
        <v>0</v>
      </c>
      <c r="CE88" s="1007">
        <f t="shared" si="93"/>
        <v>0</v>
      </c>
      <c r="CF88" s="1007">
        <f t="shared" si="93"/>
        <v>0</v>
      </c>
      <c r="CG88" s="1007">
        <f t="shared" si="93"/>
        <v>0</v>
      </c>
      <c r="CH88" s="1007">
        <f t="shared" si="93"/>
        <v>0</v>
      </c>
      <c r="CI88" s="1007">
        <f t="shared" si="93"/>
        <v>0</v>
      </c>
      <c r="CJ88" s="1007"/>
      <c r="CK88" s="1007"/>
      <c r="CL88" s="1007">
        <f t="shared" si="81"/>
        <v>0</v>
      </c>
      <c r="CM88" s="1010">
        <f t="shared" si="82"/>
        <v>0</v>
      </c>
      <c r="CN88" s="1007">
        <f t="shared" si="83"/>
        <v>0</v>
      </c>
      <c r="CO88" s="1007"/>
      <c r="CP88" s="1007"/>
      <c r="CQ88" s="1007"/>
      <c r="CR88" s="1007"/>
      <c r="CS88" s="1007"/>
      <c r="CT88" s="1007"/>
      <c r="CU88" s="1007"/>
      <c r="CV88" s="1007"/>
      <c r="CW88" s="1007"/>
      <c r="CX88" s="1007"/>
      <c r="CY88" s="1007"/>
      <c r="CZ88" s="1007"/>
      <c r="DA88" s="1007"/>
      <c r="DB88" s="1007"/>
      <c r="DC88" s="1007"/>
      <c r="DD88" s="1007"/>
      <c r="DE88" s="1007"/>
      <c r="DF88" s="1007"/>
      <c r="DG88" s="1007"/>
      <c r="DH88" s="1007"/>
      <c r="DI88" s="1010">
        <f t="shared" si="84"/>
        <v>1</v>
      </c>
      <c r="DJ88" s="1007">
        <f t="shared" si="85"/>
        <v>23014856</v>
      </c>
      <c r="DK88" s="1007"/>
      <c r="DL88" s="1007">
        <f>AA88-CP88</f>
        <v>0</v>
      </c>
      <c r="DM88" s="1007">
        <f>AB88-CQ88</f>
        <v>0</v>
      </c>
      <c r="DN88" s="1007">
        <f t="shared" si="86"/>
        <v>0</v>
      </c>
      <c r="DO88" s="1007"/>
      <c r="DP88" s="1007">
        <f t="shared" si="87"/>
        <v>0</v>
      </c>
      <c r="DQ88" s="1007">
        <f t="shared" si="87"/>
        <v>23014856</v>
      </c>
      <c r="DR88" s="1007"/>
      <c r="DS88" s="1007">
        <f t="shared" si="88"/>
        <v>0</v>
      </c>
      <c r="DT88" s="1007">
        <f t="shared" si="88"/>
        <v>0</v>
      </c>
      <c r="DU88" s="1007"/>
      <c r="DV88" s="1007">
        <f t="shared" si="89"/>
        <v>0</v>
      </c>
      <c r="DW88" s="1007">
        <f t="shared" si="89"/>
        <v>0</v>
      </c>
      <c r="DX88" s="1007">
        <f t="shared" si="89"/>
        <v>0</v>
      </c>
      <c r="DY88" s="1007">
        <f t="shared" si="90"/>
        <v>0</v>
      </c>
      <c r="DZ88" s="1007">
        <f t="shared" si="90"/>
        <v>0</v>
      </c>
      <c r="EA88" s="1007">
        <f t="shared" si="90"/>
        <v>0</v>
      </c>
      <c r="EB88" s="1007">
        <f t="shared" si="90"/>
        <v>0</v>
      </c>
      <c r="EC88" s="1007"/>
      <c r="ED88" s="1007">
        <f t="shared" si="91"/>
        <v>0</v>
      </c>
    </row>
    <row r="89" spans="1:134" ht="77.25" customHeight="1" x14ac:dyDescent="0.25">
      <c r="A89" s="1578"/>
      <c r="B89" s="1018" t="s">
        <v>4359</v>
      </c>
      <c r="C89" s="1114" t="s">
        <v>4426</v>
      </c>
      <c r="D89" s="1018" t="s">
        <v>4725</v>
      </c>
      <c r="E89" s="1019">
        <v>520</v>
      </c>
      <c r="F89" s="1117" t="s">
        <v>4360</v>
      </c>
      <c r="G89" s="1428">
        <v>150000000</v>
      </c>
      <c r="H89" s="1060">
        <f t="shared" si="70"/>
        <v>0</v>
      </c>
      <c r="I89" s="1060">
        <f t="shared" si="71"/>
        <v>40000000</v>
      </c>
      <c r="J89" s="1428" t="s">
        <v>4771</v>
      </c>
      <c r="K89" s="1257" t="s">
        <v>4883</v>
      </c>
      <c r="L89" s="1257" t="s">
        <v>4884</v>
      </c>
      <c r="M89" s="1113">
        <v>0</v>
      </c>
      <c r="N89" s="1113">
        <v>0</v>
      </c>
      <c r="O89" s="1113">
        <v>0</v>
      </c>
      <c r="P89" s="1113">
        <v>0</v>
      </c>
      <c r="Q89" s="1113">
        <v>0</v>
      </c>
      <c r="R89" s="1113">
        <v>0</v>
      </c>
      <c r="S89" s="1117"/>
      <c r="T89" s="1117"/>
      <c r="U89" s="1117"/>
      <c r="V89" s="1117"/>
      <c r="W89" s="1117"/>
      <c r="X89" s="1117"/>
      <c r="Y89" s="1007">
        <f t="shared" si="72"/>
        <v>40000000</v>
      </c>
      <c r="Z89" s="944"/>
      <c r="AA89" s="944"/>
      <c r="AB89" s="944"/>
      <c r="AC89" s="1007">
        <f>10000000-10000000</f>
        <v>0</v>
      </c>
      <c r="AD89" s="1007"/>
      <c r="AE89" s="1007">
        <v>30000000</v>
      </c>
      <c r="AF89" s="1007"/>
      <c r="AG89" s="1007"/>
      <c r="AH89" s="1007"/>
      <c r="AI89" s="1007"/>
      <c r="AJ89" s="1007"/>
      <c r="AK89" s="1007"/>
      <c r="AL89" s="1007"/>
      <c r="AM89" s="1007"/>
      <c r="AN89" s="1007">
        <v>10000000</v>
      </c>
      <c r="AO89" s="1007"/>
      <c r="AP89" s="1007"/>
      <c r="AQ89" s="1007"/>
      <c r="AR89" s="1007"/>
      <c r="AS89" s="1007"/>
      <c r="AT89" s="203"/>
      <c r="AU89" s="1010">
        <f t="shared" si="73"/>
        <v>1</v>
      </c>
      <c r="AV89" s="1007">
        <f t="shared" si="74"/>
        <v>40000000</v>
      </c>
      <c r="AW89" s="1007"/>
      <c r="AX89" s="1007"/>
      <c r="AY89" s="1007"/>
      <c r="AZ89" s="1007"/>
      <c r="BA89" s="1007"/>
      <c r="BB89" s="1007">
        <f>+'[15]FEBRERO 2015'!$N$1172</f>
        <v>30000000</v>
      </c>
      <c r="BC89" s="1007"/>
      <c r="BD89" s="1007"/>
      <c r="BE89" s="1007"/>
      <c r="BF89" s="1007"/>
      <c r="BG89" s="1007"/>
      <c r="BH89" s="1007"/>
      <c r="BI89" s="1007"/>
      <c r="BJ89" s="1007"/>
      <c r="BK89" s="1007">
        <f>+'[12]FEBRERO 2015'!$W$1245</f>
        <v>10000000</v>
      </c>
      <c r="BL89" s="1007"/>
      <c r="BM89" s="1007"/>
      <c r="BN89" s="1007"/>
      <c r="BO89" s="1007"/>
      <c r="BP89" s="1007"/>
      <c r="BQ89" s="1010">
        <f t="shared" si="94"/>
        <v>0</v>
      </c>
      <c r="BR89" s="1007">
        <f t="shared" si="75"/>
        <v>0</v>
      </c>
      <c r="BS89" s="1007">
        <f t="shared" si="76"/>
        <v>0</v>
      </c>
      <c r="BT89" s="1007">
        <f t="shared" si="77"/>
        <v>0</v>
      </c>
      <c r="BU89" s="1007"/>
      <c r="BV89" s="1007">
        <f t="shared" si="78"/>
        <v>0</v>
      </c>
      <c r="BW89" s="1007"/>
      <c r="BX89" s="1007">
        <f t="shared" si="79"/>
        <v>0</v>
      </c>
      <c r="BY89" s="1007">
        <f t="shared" si="79"/>
        <v>0</v>
      </c>
      <c r="BZ89" s="1007"/>
      <c r="CA89" s="1007">
        <f t="shared" si="92"/>
        <v>0</v>
      </c>
      <c r="CB89" s="1007">
        <f t="shared" si="92"/>
        <v>0</v>
      </c>
      <c r="CC89" s="1007"/>
      <c r="CD89" s="1007">
        <f t="shared" si="93"/>
        <v>0</v>
      </c>
      <c r="CE89" s="1007">
        <f t="shared" si="93"/>
        <v>0</v>
      </c>
      <c r="CF89" s="1007">
        <f t="shared" si="93"/>
        <v>0</v>
      </c>
      <c r="CG89" s="1007">
        <f t="shared" si="93"/>
        <v>0</v>
      </c>
      <c r="CH89" s="1007">
        <f t="shared" si="93"/>
        <v>0</v>
      </c>
      <c r="CI89" s="1007">
        <f t="shared" si="93"/>
        <v>0</v>
      </c>
      <c r="CJ89" s="1007"/>
      <c r="CK89" s="1007"/>
      <c r="CL89" s="1007">
        <f t="shared" si="81"/>
        <v>0</v>
      </c>
      <c r="CM89" s="1010">
        <f t="shared" si="82"/>
        <v>0</v>
      </c>
      <c r="CN89" s="1007">
        <f t="shared" si="83"/>
        <v>0</v>
      </c>
      <c r="CO89" s="1007"/>
      <c r="CP89" s="1007"/>
      <c r="CQ89" s="1007"/>
      <c r="CR89" s="1007"/>
      <c r="CS89" s="1007"/>
      <c r="CT89" s="1007"/>
      <c r="CU89" s="1007"/>
      <c r="CV89" s="1007"/>
      <c r="CW89" s="1007"/>
      <c r="CX89" s="1007"/>
      <c r="CY89" s="1007"/>
      <c r="CZ89" s="1007"/>
      <c r="DA89" s="1007"/>
      <c r="DB89" s="1007"/>
      <c r="DC89" s="1007"/>
      <c r="DD89" s="1007"/>
      <c r="DE89" s="1007"/>
      <c r="DF89" s="1007"/>
      <c r="DG89" s="1007"/>
      <c r="DH89" s="1007"/>
      <c r="DI89" s="1010">
        <f t="shared" si="84"/>
        <v>1</v>
      </c>
      <c r="DJ89" s="1007">
        <f t="shared" si="85"/>
        <v>40000000</v>
      </c>
      <c r="DK89" s="1007"/>
      <c r="DL89" s="1007"/>
      <c r="DM89" s="1007"/>
      <c r="DN89" s="1007">
        <f t="shared" si="86"/>
        <v>0</v>
      </c>
      <c r="DO89" s="1007"/>
      <c r="DP89" s="1007">
        <f t="shared" si="87"/>
        <v>30000000</v>
      </c>
      <c r="DQ89" s="1007">
        <f t="shared" si="87"/>
        <v>0</v>
      </c>
      <c r="DR89" s="1007"/>
      <c r="DS89" s="1007">
        <f t="shared" si="88"/>
        <v>0</v>
      </c>
      <c r="DT89" s="1007">
        <f t="shared" si="88"/>
        <v>0</v>
      </c>
      <c r="DU89" s="1007"/>
      <c r="DV89" s="1007">
        <f t="shared" si="89"/>
        <v>0</v>
      </c>
      <c r="DW89" s="1007">
        <f t="shared" si="89"/>
        <v>0</v>
      </c>
      <c r="DX89" s="1007">
        <f t="shared" si="89"/>
        <v>0</v>
      </c>
      <c r="DY89" s="1007">
        <f t="shared" si="90"/>
        <v>10000000</v>
      </c>
      <c r="DZ89" s="1007">
        <f t="shared" si="90"/>
        <v>0</v>
      </c>
      <c r="EA89" s="1007">
        <f t="shared" si="90"/>
        <v>0</v>
      </c>
      <c r="EB89" s="1007">
        <f t="shared" si="90"/>
        <v>0</v>
      </c>
      <c r="EC89" s="1007"/>
      <c r="ED89" s="1007">
        <f t="shared" si="91"/>
        <v>0</v>
      </c>
    </row>
    <row r="90" spans="1:134" ht="24" customHeight="1" x14ac:dyDescent="0.25">
      <c r="A90" s="1578"/>
      <c r="B90" s="1028"/>
      <c r="C90" s="1114" t="s">
        <v>4427</v>
      </c>
      <c r="D90" s="1018" t="s">
        <v>4619</v>
      </c>
      <c r="E90" s="1019">
        <v>520</v>
      </c>
      <c r="F90" s="1117" t="s">
        <v>3350</v>
      </c>
      <c r="G90" s="1429"/>
      <c r="H90" s="1060">
        <f t="shared" si="70"/>
        <v>48739200</v>
      </c>
      <c r="I90" s="1060">
        <f t="shared" si="71"/>
        <v>1260800</v>
      </c>
      <c r="J90" s="1429"/>
      <c r="K90" s="1562"/>
      <c r="L90" s="1562"/>
      <c r="M90" s="1113">
        <v>0</v>
      </c>
      <c r="N90" s="1113">
        <v>0</v>
      </c>
      <c r="O90" s="1113">
        <v>0</v>
      </c>
      <c r="P90" s="1113">
        <v>90</v>
      </c>
      <c r="Q90" s="1113">
        <v>80</v>
      </c>
      <c r="R90" s="1113">
        <v>72</v>
      </c>
      <c r="S90" s="1117"/>
      <c r="T90" s="1117"/>
      <c r="U90" s="1117"/>
      <c r="V90" s="1117"/>
      <c r="W90" s="1117"/>
      <c r="X90" s="1117"/>
      <c r="Y90" s="1007">
        <f t="shared" si="72"/>
        <v>50000000</v>
      </c>
      <c r="Z90" s="944"/>
      <c r="AA90" s="944"/>
      <c r="AB90" s="944"/>
      <c r="AC90" s="1007">
        <v>40000000</v>
      </c>
      <c r="AD90" s="1007"/>
      <c r="AE90" s="1007"/>
      <c r="AF90" s="1007"/>
      <c r="AG90" s="1007"/>
      <c r="AH90" s="1007"/>
      <c r="AI90" s="1007"/>
      <c r="AJ90" s="1007"/>
      <c r="AK90" s="1007"/>
      <c r="AL90" s="1007"/>
      <c r="AM90" s="1007"/>
      <c r="AN90" s="1007">
        <v>10000000</v>
      </c>
      <c r="AO90" s="1007"/>
      <c r="AP90" s="1007"/>
      <c r="AQ90" s="1007"/>
      <c r="AR90" s="1007"/>
      <c r="AS90" s="1007"/>
      <c r="AT90" s="203"/>
      <c r="AU90" s="1010">
        <f t="shared" si="73"/>
        <v>1</v>
      </c>
      <c r="AV90" s="1007">
        <f t="shared" si="74"/>
        <v>50000000</v>
      </c>
      <c r="AW90" s="1007"/>
      <c r="AX90" s="1007"/>
      <c r="AY90" s="1007"/>
      <c r="AZ90" s="1007">
        <f>+'[9]ABRIL 2015'!$L$1730</f>
        <v>40000000</v>
      </c>
      <c r="BA90" s="1007"/>
      <c r="BB90" s="1007"/>
      <c r="BC90" s="1007"/>
      <c r="BD90" s="1007"/>
      <c r="BE90" s="1007"/>
      <c r="BF90" s="1007"/>
      <c r="BG90" s="1007"/>
      <c r="BH90" s="1007"/>
      <c r="BI90" s="1007"/>
      <c r="BJ90" s="1007"/>
      <c r="BK90" s="1007">
        <f>+'[13]JUNIO 2015'!$X$2249</f>
        <v>10000000</v>
      </c>
      <c r="BL90" s="1007"/>
      <c r="BM90" s="1007"/>
      <c r="BN90" s="1007"/>
      <c r="BO90" s="1007"/>
      <c r="BP90" s="1007"/>
      <c r="BQ90" s="1010">
        <f t="shared" si="94"/>
        <v>0</v>
      </c>
      <c r="BR90" s="1007">
        <f t="shared" si="75"/>
        <v>0</v>
      </c>
      <c r="BS90" s="1007">
        <f t="shared" si="76"/>
        <v>0</v>
      </c>
      <c r="BT90" s="1007">
        <f t="shared" si="77"/>
        <v>0</v>
      </c>
      <c r="BU90" s="1007"/>
      <c r="BV90" s="1007">
        <f t="shared" si="78"/>
        <v>0</v>
      </c>
      <c r="BW90" s="1007"/>
      <c r="BX90" s="1007">
        <f t="shared" si="79"/>
        <v>0</v>
      </c>
      <c r="BY90" s="1007">
        <f t="shared" si="79"/>
        <v>0</v>
      </c>
      <c r="BZ90" s="1007"/>
      <c r="CA90" s="1007">
        <f t="shared" si="92"/>
        <v>0</v>
      </c>
      <c r="CB90" s="1007">
        <f t="shared" si="92"/>
        <v>0</v>
      </c>
      <c r="CC90" s="1007"/>
      <c r="CD90" s="1007">
        <f t="shared" si="93"/>
        <v>0</v>
      </c>
      <c r="CE90" s="1007">
        <f t="shared" si="93"/>
        <v>0</v>
      </c>
      <c r="CF90" s="1007">
        <f t="shared" si="93"/>
        <v>0</v>
      </c>
      <c r="CG90" s="1007">
        <f t="shared" si="93"/>
        <v>0</v>
      </c>
      <c r="CH90" s="1007">
        <f t="shared" si="93"/>
        <v>0</v>
      </c>
      <c r="CI90" s="1007">
        <f t="shared" si="93"/>
        <v>0</v>
      </c>
      <c r="CJ90" s="1007"/>
      <c r="CK90" s="1007"/>
      <c r="CL90" s="1007">
        <f t="shared" si="81"/>
        <v>0</v>
      </c>
      <c r="CM90" s="1010">
        <f t="shared" si="82"/>
        <v>0.97478399999999998</v>
      </c>
      <c r="CN90" s="1007">
        <f t="shared" si="83"/>
        <v>48739200</v>
      </c>
      <c r="CO90" s="1007"/>
      <c r="CP90" s="1007"/>
      <c r="CQ90" s="1007"/>
      <c r="CR90" s="1007">
        <f>+'[13]JUNIO 2015'!$H$2252</f>
        <v>40000000</v>
      </c>
      <c r="CS90" s="1007"/>
      <c r="CT90" s="1007"/>
      <c r="CU90" s="1007"/>
      <c r="CV90" s="1007"/>
      <c r="CW90" s="1007"/>
      <c r="CX90" s="1007"/>
      <c r="CY90" s="1007"/>
      <c r="CZ90" s="1007"/>
      <c r="DA90" s="1007"/>
      <c r="DB90" s="1007"/>
      <c r="DC90" s="1007">
        <f>+'[10]JULIO 2015'!$H$2631</f>
        <v>8739200</v>
      </c>
      <c r="DD90" s="1007"/>
      <c r="DE90" s="1007"/>
      <c r="DF90" s="1007"/>
      <c r="DG90" s="1007"/>
      <c r="DH90" s="1007"/>
      <c r="DI90" s="1010">
        <f t="shared" si="84"/>
        <v>2.5216000000000016E-2</v>
      </c>
      <c r="DJ90" s="1007">
        <f t="shared" si="85"/>
        <v>1260800</v>
      </c>
      <c r="DK90" s="1007"/>
      <c r="DL90" s="1007"/>
      <c r="DM90" s="1007"/>
      <c r="DN90" s="1007">
        <f t="shared" si="86"/>
        <v>0</v>
      </c>
      <c r="DO90" s="1007"/>
      <c r="DP90" s="1007">
        <f t="shared" si="87"/>
        <v>0</v>
      </c>
      <c r="DQ90" s="1007">
        <f t="shared" si="87"/>
        <v>0</v>
      </c>
      <c r="DR90" s="1007"/>
      <c r="DS90" s="1007">
        <f t="shared" si="88"/>
        <v>0</v>
      </c>
      <c r="DT90" s="1007">
        <f t="shared" si="88"/>
        <v>0</v>
      </c>
      <c r="DU90" s="1007"/>
      <c r="DV90" s="1007">
        <f t="shared" si="89"/>
        <v>0</v>
      </c>
      <c r="DW90" s="1007">
        <f t="shared" si="89"/>
        <v>0</v>
      </c>
      <c r="DX90" s="1007">
        <f t="shared" si="89"/>
        <v>0</v>
      </c>
      <c r="DY90" s="1007">
        <f t="shared" si="90"/>
        <v>1260800</v>
      </c>
      <c r="DZ90" s="1007">
        <f t="shared" si="90"/>
        <v>0</v>
      </c>
      <c r="EA90" s="1007">
        <f t="shared" si="90"/>
        <v>0</v>
      </c>
      <c r="EB90" s="1007">
        <f t="shared" si="90"/>
        <v>0</v>
      </c>
      <c r="EC90" s="1007"/>
      <c r="ED90" s="1007">
        <f t="shared" si="91"/>
        <v>0</v>
      </c>
    </row>
    <row r="91" spans="1:134" ht="31.5" customHeight="1" x14ac:dyDescent="0.25">
      <c r="A91" s="1578"/>
      <c r="B91" s="1028"/>
      <c r="C91" s="1114" t="s">
        <v>4428</v>
      </c>
      <c r="D91" s="1018" t="s">
        <v>4620</v>
      </c>
      <c r="E91" s="1019">
        <v>520</v>
      </c>
      <c r="F91" s="1117" t="s">
        <v>3350</v>
      </c>
      <c r="G91" s="1429"/>
      <c r="H91" s="1060">
        <f t="shared" si="70"/>
        <v>20000000</v>
      </c>
      <c r="I91" s="1060">
        <f t="shared" si="71"/>
        <v>0</v>
      </c>
      <c r="J91" s="1429"/>
      <c r="K91" s="1562"/>
      <c r="L91" s="1562"/>
      <c r="M91" s="1113">
        <v>100</v>
      </c>
      <c r="N91" s="1113">
        <v>100</v>
      </c>
      <c r="O91" s="1113">
        <v>100</v>
      </c>
      <c r="P91" s="1113">
        <v>100</v>
      </c>
      <c r="Q91" s="1113">
        <v>100</v>
      </c>
      <c r="R91" s="1113">
        <v>100</v>
      </c>
      <c r="S91" s="1117"/>
      <c r="T91" s="1117"/>
      <c r="U91" s="1117"/>
      <c r="V91" s="1117"/>
      <c r="W91" s="1117"/>
      <c r="X91" s="1117"/>
      <c r="Y91" s="1007">
        <f t="shared" si="72"/>
        <v>20000000</v>
      </c>
      <c r="Z91" s="944"/>
      <c r="AA91" s="944"/>
      <c r="AB91" s="944"/>
      <c r="AC91" s="1007"/>
      <c r="AD91" s="1007"/>
      <c r="AE91" s="1007"/>
      <c r="AF91" s="1007">
        <f>30000000-10000000</f>
        <v>20000000</v>
      </c>
      <c r="AG91" s="1007"/>
      <c r="AH91" s="1007"/>
      <c r="AI91" s="1007"/>
      <c r="AJ91" s="1007"/>
      <c r="AK91" s="1007"/>
      <c r="AL91" s="1007"/>
      <c r="AM91" s="1007"/>
      <c r="AN91" s="1007"/>
      <c r="AO91" s="1007"/>
      <c r="AP91" s="1007"/>
      <c r="AQ91" s="1007"/>
      <c r="AR91" s="1007"/>
      <c r="AS91" s="1007"/>
      <c r="AT91" s="203"/>
      <c r="AU91" s="1010">
        <f t="shared" si="73"/>
        <v>1</v>
      </c>
      <c r="AV91" s="1007">
        <f t="shared" si="74"/>
        <v>20000000</v>
      </c>
      <c r="AW91" s="1007"/>
      <c r="AX91" s="1007"/>
      <c r="AY91" s="1007"/>
      <c r="AZ91" s="1007"/>
      <c r="BA91" s="1007"/>
      <c r="BB91" s="1007"/>
      <c r="BC91" s="1007">
        <f>+'[11]MARZO 2015'!$O$1462</f>
        <v>20000000</v>
      </c>
      <c r="BD91" s="1007"/>
      <c r="BE91" s="1007"/>
      <c r="BF91" s="1007"/>
      <c r="BG91" s="1007"/>
      <c r="BH91" s="1007"/>
      <c r="BI91" s="1007"/>
      <c r="BJ91" s="1007"/>
      <c r="BK91" s="1007"/>
      <c r="BL91" s="1007"/>
      <c r="BM91" s="1007"/>
      <c r="BN91" s="1007"/>
      <c r="BO91" s="1007"/>
      <c r="BP91" s="1007"/>
      <c r="BQ91" s="1010">
        <f t="shared" si="94"/>
        <v>0</v>
      </c>
      <c r="BR91" s="1007">
        <f t="shared" si="75"/>
        <v>0</v>
      </c>
      <c r="BS91" s="1007">
        <f t="shared" si="76"/>
        <v>0</v>
      </c>
      <c r="BT91" s="1007">
        <f t="shared" si="77"/>
        <v>0</v>
      </c>
      <c r="BU91" s="1007"/>
      <c r="BV91" s="1007">
        <f t="shared" si="78"/>
        <v>0</v>
      </c>
      <c r="BW91" s="1007"/>
      <c r="BX91" s="1007">
        <f t="shared" si="79"/>
        <v>0</v>
      </c>
      <c r="BY91" s="1007">
        <f t="shared" si="79"/>
        <v>0</v>
      </c>
      <c r="BZ91" s="1007"/>
      <c r="CA91" s="1007">
        <f t="shared" si="92"/>
        <v>0</v>
      </c>
      <c r="CB91" s="1007">
        <f t="shared" si="92"/>
        <v>0</v>
      </c>
      <c r="CC91" s="1007"/>
      <c r="CD91" s="1007">
        <f t="shared" si="93"/>
        <v>0</v>
      </c>
      <c r="CE91" s="1007">
        <f t="shared" si="93"/>
        <v>0</v>
      </c>
      <c r="CF91" s="1007">
        <f t="shared" si="93"/>
        <v>0</v>
      </c>
      <c r="CG91" s="1007">
        <f t="shared" si="93"/>
        <v>0</v>
      </c>
      <c r="CH91" s="1007">
        <f t="shared" si="93"/>
        <v>0</v>
      </c>
      <c r="CI91" s="1007">
        <f t="shared" si="93"/>
        <v>0</v>
      </c>
      <c r="CJ91" s="1007"/>
      <c r="CK91" s="1007"/>
      <c r="CL91" s="1007">
        <f t="shared" si="81"/>
        <v>0</v>
      </c>
      <c r="CM91" s="1010">
        <f t="shared" si="82"/>
        <v>1</v>
      </c>
      <c r="CN91" s="1007">
        <f t="shared" si="83"/>
        <v>20000000</v>
      </c>
      <c r="CO91" s="1007"/>
      <c r="CP91" s="1007"/>
      <c r="CQ91" s="1007"/>
      <c r="CR91" s="1007"/>
      <c r="CS91" s="1007"/>
      <c r="CT91" s="1007"/>
      <c r="CU91" s="1007">
        <f>+'[11]MARZO 2015'!$O$1463</f>
        <v>20000000</v>
      </c>
      <c r="CV91" s="1007"/>
      <c r="CW91" s="1007"/>
      <c r="CX91" s="1007"/>
      <c r="CY91" s="1007"/>
      <c r="CZ91" s="1007"/>
      <c r="DA91" s="1007"/>
      <c r="DB91" s="1007"/>
      <c r="DC91" s="1007"/>
      <c r="DD91" s="1007"/>
      <c r="DE91" s="1007"/>
      <c r="DF91" s="1007"/>
      <c r="DG91" s="1007"/>
      <c r="DH91" s="1007"/>
      <c r="DI91" s="1010">
        <f t="shared" si="84"/>
        <v>0</v>
      </c>
      <c r="DJ91" s="1007">
        <f t="shared" si="85"/>
        <v>0</v>
      </c>
      <c r="DK91" s="1007"/>
      <c r="DL91" s="1007"/>
      <c r="DM91" s="1007"/>
      <c r="DN91" s="1007">
        <f t="shared" si="86"/>
        <v>0</v>
      </c>
      <c r="DO91" s="1007"/>
      <c r="DP91" s="1007">
        <f t="shared" si="87"/>
        <v>0</v>
      </c>
      <c r="DQ91" s="1007">
        <f t="shared" si="87"/>
        <v>0</v>
      </c>
      <c r="DR91" s="1007"/>
      <c r="DS91" s="1007">
        <f t="shared" si="88"/>
        <v>0</v>
      </c>
      <c r="DT91" s="1007">
        <f t="shared" si="88"/>
        <v>0</v>
      </c>
      <c r="DU91" s="1007"/>
      <c r="DV91" s="1007">
        <f t="shared" si="89"/>
        <v>0</v>
      </c>
      <c r="DW91" s="1007">
        <f t="shared" si="89"/>
        <v>0</v>
      </c>
      <c r="DX91" s="1007">
        <f t="shared" si="89"/>
        <v>0</v>
      </c>
      <c r="DY91" s="1007">
        <f t="shared" si="90"/>
        <v>0</v>
      </c>
      <c r="DZ91" s="1007">
        <f t="shared" si="90"/>
        <v>0</v>
      </c>
      <c r="EA91" s="1007">
        <f t="shared" si="90"/>
        <v>0</v>
      </c>
      <c r="EB91" s="1007">
        <f t="shared" si="90"/>
        <v>0</v>
      </c>
      <c r="EC91" s="1007"/>
      <c r="ED91" s="1007">
        <f t="shared" si="91"/>
        <v>0</v>
      </c>
    </row>
    <row r="92" spans="1:134" ht="30.75" customHeight="1" x14ac:dyDescent="0.25">
      <c r="A92" s="1578"/>
      <c r="B92" s="1028"/>
      <c r="C92" s="1114" t="s">
        <v>4429</v>
      </c>
      <c r="D92" s="1018" t="s">
        <v>4621</v>
      </c>
      <c r="E92" s="1019">
        <v>520</v>
      </c>
      <c r="F92" s="1117" t="s">
        <v>3350</v>
      </c>
      <c r="G92" s="1430"/>
      <c r="H92" s="1060">
        <f t="shared" si="70"/>
        <v>13269163</v>
      </c>
      <c r="I92" s="1060">
        <f t="shared" si="71"/>
        <v>26730837</v>
      </c>
      <c r="J92" s="1430"/>
      <c r="K92" s="1258"/>
      <c r="L92" s="1258"/>
      <c r="M92" s="1113">
        <v>0</v>
      </c>
      <c r="N92" s="1113">
        <v>0</v>
      </c>
      <c r="O92" s="1113">
        <v>0</v>
      </c>
      <c r="P92" s="1113">
        <v>22</v>
      </c>
      <c r="Q92" s="1113">
        <v>0</v>
      </c>
      <c r="R92" s="1113">
        <v>0</v>
      </c>
      <c r="S92" s="1117"/>
      <c r="T92" s="1117"/>
      <c r="U92" s="1117"/>
      <c r="V92" s="1117"/>
      <c r="W92" s="1117"/>
      <c r="X92" s="1117"/>
      <c r="Y92" s="1007">
        <f t="shared" si="72"/>
        <v>40000000</v>
      </c>
      <c r="Z92" s="944"/>
      <c r="AA92" s="944"/>
      <c r="AB92" s="944"/>
      <c r="AC92" s="1007">
        <v>10000000</v>
      </c>
      <c r="AD92" s="1007"/>
      <c r="AE92" s="1007">
        <v>30000000</v>
      </c>
      <c r="AF92" s="1007">
        <f>10000000-10000000</f>
        <v>0</v>
      </c>
      <c r="AG92" s="1007"/>
      <c r="AH92" s="1007"/>
      <c r="AI92" s="1007"/>
      <c r="AJ92" s="1007"/>
      <c r="AK92" s="1007"/>
      <c r="AL92" s="1007"/>
      <c r="AM92" s="1007"/>
      <c r="AN92" s="1007"/>
      <c r="AO92" s="1007"/>
      <c r="AP92" s="1007"/>
      <c r="AQ92" s="1007"/>
      <c r="AR92" s="1007"/>
      <c r="AS92" s="1007"/>
      <c r="AT92" s="203"/>
      <c r="AU92" s="1010">
        <f t="shared" si="73"/>
        <v>1</v>
      </c>
      <c r="AV92" s="1007">
        <f t="shared" si="74"/>
        <v>40000000</v>
      </c>
      <c r="AW92" s="1007"/>
      <c r="AX92" s="1007"/>
      <c r="AY92" s="1007"/>
      <c r="AZ92" s="1007">
        <f>+'[9]ABRIL 2015'!$L$1744</f>
        <v>10000000</v>
      </c>
      <c r="BA92" s="1007"/>
      <c r="BB92" s="1007">
        <f>+'[15]FEBRERO 2015'!$N$1187</f>
        <v>30000000</v>
      </c>
      <c r="BC92" s="1007"/>
      <c r="BD92" s="1007"/>
      <c r="BE92" s="1007"/>
      <c r="BF92" s="1007"/>
      <c r="BG92" s="1007"/>
      <c r="BH92" s="1007"/>
      <c r="BI92" s="1007"/>
      <c r="BJ92" s="1007"/>
      <c r="BK92" s="1007"/>
      <c r="BL92" s="1007"/>
      <c r="BM92" s="1007"/>
      <c r="BN92" s="1007"/>
      <c r="BO92" s="1007"/>
      <c r="BP92" s="1007"/>
      <c r="BQ92" s="1010">
        <f t="shared" si="94"/>
        <v>0</v>
      </c>
      <c r="BR92" s="1007">
        <f t="shared" si="75"/>
        <v>0</v>
      </c>
      <c r="BS92" s="1007">
        <f t="shared" si="76"/>
        <v>0</v>
      </c>
      <c r="BT92" s="1007">
        <f t="shared" si="77"/>
        <v>0</v>
      </c>
      <c r="BU92" s="1007"/>
      <c r="BV92" s="1007">
        <f t="shared" si="78"/>
        <v>0</v>
      </c>
      <c r="BW92" s="1007"/>
      <c r="BX92" s="1007">
        <f t="shared" si="79"/>
        <v>0</v>
      </c>
      <c r="BY92" s="1007">
        <f t="shared" si="79"/>
        <v>0</v>
      </c>
      <c r="BZ92" s="1007"/>
      <c r="CA92" s="1007">
        <f t="shared" si="92"/>
        <v>0</v>
      </c>
      <c r="CB92" s="1007">
        <f t="shared" si="92"/>
        <v>0</v>
      </c>
      <c r="CC92" s="1007"/>
      <c r="CD92" s="1007">
        <f t="shared" si="93"/>
        <v>0</v>
      </c>
      <c r="CE92" s="1007">
        <f t="shared" si="93"/>
        <v>0</v>
      </c>
      <c r="CF92" s="1007">
        <f t="shared" si="93"/>
        <v>0</v>
      </c>
      <c r="CG92" s="1007">
        <f t="shared" si="93"/>
        <v>0</v>
      </c>
      <c r="CH92" s="1007">
        <f t="shared" si="93"/>
        <v>0</v>
      </c>
      <c r="CI92" s="1007">
        <f t="shared" si="93"/>
        <v>0</v>
      </c>
      <c r="CJ92" s="1007"/>
      <c r="CK92" s="1007"/>
      <c r="CL92" s="1007">
        <f t="shared" si="81"/>
        <v>0</v>
      </c>
      <c r="CM92" s="1010">
        <f t="shared" si="82"/>
        <v>0.33172907499999998</v>
      </c>
      <c r="CN92" s="1007">
        <f t="shared" si="83"/>
        <v>13269163</v>
      </c>
      <c r="CO92" s="1007"/>
      <c r="CP92" s="1007"/>
      <c r="CQ92" s="1007"/>
      <c r="CR92" s="1007"/>
      <c r="CS92" s="1007"/>
      <c r="CT92" s="1007">
        <f>+'[8]SEPTIEMBRE 2015'!$H$3661</f>
        <v>13269163</v>
      </c>
      <c r="CU92" s="1007"/>
      <c r="CV92" s="1007"/>
      <c r="CW92" s="1007"/>
      <c r="CX92" s="1007"/>
      <c r="CY92" s="1007"/>
      <c r="CZ92" s="1007"/>
      <c r="DA92" s="1007"/>
      <c r="DB92" s="1007"/>
      <c r="DC92" s="1007"/>
      <c r="DD92" s="1007"/>
      <c r="DE92" s="1007"/>
      <c r="DF92" s="1007"/>
      <c r="DG92" s="1007"/>
      <c r="DH92" s="1007"/>
      <c r="DI92" s="1010">
        <f t="shared" si="84"/>
        <v>0.66827092500000007</v>
      </c>
      <c r="DJ92" s="1007">
        <f t="shared" si="85"/>
        <v>26730837</v>
      </c>
      <c r="DK92" s="1007"/>
      <c r="DL92" s="1007"/>
      <c r="DM92" s="1007"/>
      <c r="DN92" s="1007">
        <f t="shared" si="86"/>
        <v>10000000</v>
      </c>
      <c r="DO92" s="1007"/>
      <c r="DP92" s="1007">
        <f t="shared" si="87"/>
        <v>16730837</v>
      </c>
      <c r="DQ92" s="1007">
        <f t="shared" si="87"/>
        <v>0</v>
      </c>
      <c r="DR92" s="1007"/>
      <c r="DS92" s="1007">
        <f t="shared" si="88"/>
        <v>0</v>
      </c>
      <c r="DT92" s="1007">
        <f t="shared" si="88"/>
        <v>0</v>
      </c>
      <c r="DU92" s="1007"/>
      <c r="DV92" s="1007">
        <f t="shared" si="89"/>
        <v>0</v>
      </c>
      <c r="DW92" s="1007">
        <f t="shared" si="89"/>
        <v>0</v>
      </c>
      <c r="DX92" s="1007">
        <f t="shared" si="89"/>
        <v>0</v>
      </c>
      <c r="DY92" s="1007">
        <f t="shared" si="90"/>
        <v>0</v>
      </c>
      <c r="DZ92" s="1007">
        <f t="shared" si="90"/>
        <v>0</v>
      </c>
      <c r="EA92" s="1007">
        <f t="shared" si="90"/>
        <v>0</v>
      </c>
      <c r="EB92" s="1007">
        <f t="shared" si="90"/>
        <v>0</v>
      </c>
      <c r="EC92" s="1007"/>
      <c r="ED92" s="1007">
        <f t="shared" si="91"/>
        <v>0</v>
      </c>
    </row>
    <row r="93" spans="1:134" ht="61.5" customHeight="1" x14ac:dyDescent="0.25">
      <c r="A93" s="1578"/>
      <c r="B93" s="1018" t="s">
        <v>4361</v>
      </c>
      <c r="C93" s="1114" t="s">
        <v>4430</v>
      </c>
      <c r="D93" s="1018" t="s">
        <v>4622</v>
      </c>
      <c r="E93" s="1019">
        <v>520</v>
      </c>
      <c r="F93" s="1117" t="s">
        <v>3350</v>
      </c>
      <c r="G93" s="1428">
        <v>20000000</v>
      </c>
      <c r="H93" s="1060">
        <f t="shared" si="70"/>
        <v>7792400</v>
      </c>
      <c r="I93" s="1060">
        <f t="shared" si="71"/>
        <v>2207600</v>
      </c>
      <c r="J93" s="1117" t="s">
        <v>4885</v>
      </c>
      <c r="K93" s="1113" t="s">
        <v>4886</v>
      </c>
      <c r="L93" s="1113" t="s">
        <v>4826</v>
      </c>
      <c r="M93" s="1113">
        <v>0</v>
      </c>
      <c r="N93" s="1113">
        <v>0</v>
      </c>
      <c r="O93" s="1113">
        <v>0</v>
      </c>
      <c r="P93" s="1113">
        <v>0</v>
      </c>
      <c r="Q93" s="1113">
        <v>0</v>
      </c>
      <c r="R93" s="1113">
        <v>0</v>
      </c>
      <c r="S93" s="1117"/>
      <c r="T93" s="1117"/>
      <c r="U93" s="1117"/>
      <c r="V93" s="1117"/>
      <c r="W93" s="1117"/>
      <c r="X93" s="1117"/>
      <c r="Y93" s="1007">
        <f t="shared" si="72"/>
        <v>10000000</v>
      </c>
      <c r="Z93" s="944"/>
      <c r="AA93" s="944"/>
      <c r="AB93" s="944"/>
      <c r="AC93" s="1007"/>
      <c r="AD93" s="1007"/>
      <c r="AE93" s="1007">
        <v>10000000</v>
      </c>
      <c r="AF93" s="1007"/>
      <c r="AG93" s="1007"/>
      <c r="AH93" s="1007"/>
      <c r="AI93" s="1007"/>
      <c r="AJ93" s="1007"/>
      <c r="AK93" s="1007"/>
      <c r="AL93" s="1007"/>
      <c r="AM93" s="1007"/>
      <c r="AN93" s="1007"/>
      <c r="AO93" s="1007"/>
      <c r="AP93" s="1007"/>
      <c r="AQ93" s="1007"/>
      <c r="AR93" s="1007"/>
      <c r="AS93" s="1007"/>
      <c r="AT93" s="203"/>
      <c r="AU93" s="1010">
        <f t="shared" si="73"/>
        <v>1</v>
      </c>
      <c r="AV93" s="1007">
        <f t="shared" si="74"/>
        <v>10000000</v>
      </c>
      <c r="AW93" s="1007"/>
      <c r="AX93" s="1007"/>
      <c r="AY93" s="1007"/>
      <c r="AZ93" s="1007"/>
      <c r="BA93" s="1007"/>
      <c r="BB93" s="1007">
        <f>+'[15]FEBRERO 2015'!$G$1192</f>
        <v>10000000</v>
      </c>
      <c r="BC93" s="1007"/>
      <c r="BD93" s="1007"/>
      <c r="BE93" s="1007"/>
      <c r="BF93" s="1007"/>
      <c r="BG93" s="1007"/>
      <c r="BH93" s="1007"/>
      <c r="BI93" s="1007"/>
      <c r="BJ93" s="1007"/>
      <c r="BK93" s="1007"/>
      <c r="BL93" s="1007"/>
      <c r="BM93" s="1007"/>
      <c r="BN93" s="1007"/>
      <c r="BO93" s="1007"/>
      <c r="BP93" s="1007"/>
      <c r="BQ93" s="1010">
        <f t="shared" si="94"/>
        <v>0</v>
      </c>
      <c r="BR93" s="1007">
        <f t="shared" si="75"/>
        <v>0</v>
      </c>
      <c r="BS93" s="1007">
        <f t="shared" si="76"/>
        <v>0</v>
      </c>
      <c r="BT93" s="1007">
        <f t="shared" si="77"/>
        <v>0</v>
      </c>
      <c r="BU93" s="1007"/>
      <c r="BV93" s="1007">
        <f t="shared" si="78"/>
        <v>0</v>
      </c>
      <c r="BW93" s="1007"/>
      <c r="BX93" s="1007">
        <f t="shared" si="79"/>
        <v>0</v>
      </c>
      <c r="BY93" s="1007">
        <f t="shared" si="79"/>
        <v>0</v>
      </c>
      <c r="BZ93" s="1007"/>
      <c r="CA93" s="1007">
        <f t="shared" si="92"/>
        <v>0</v>
      </c>
      <c r="CB93" s="1007">
        <f t="shared" si="92"/>
        <v>0</v>
      </c>
      <c r="CC93" s="1007"/>
      <c r="CD93" s="1007">
        <f t="shared" si="93"/>
        <v>0</v>
      </c>
      <c r="CE93" s="1007">
        <f t="shared" si="93"/>
        <v>0</v>
      </c>
      <c r="CF93" s="1007">
        <f t="shared" si="93"/>
        <v>0</v>
      </c>
      <c r="CG93" s="1007">
        <f t="shared" si="93"/>
        <v>0</v>
      </c>
      <c r="CH93" s="1007">
        <f t="shared" si="93"/>
        <v>0</v>
      </c>
      <c r="CI93" s="1007">
        <f t="shared" si="93"/>
        <v>0</v>
      </c>
      <c r="CJ93" s="1007"/>
      <c r="CK93" s="1007"/>
      <c r="CL93" s="1007">
        <f t="shared" si="81"/>
        <v>0</v>
      </c>
      <c r="CM93" s="1010">
        <f t="shared" si="82"/>
        <v>0.77924000000000004</v>
      </c>
      <c r="CN93" s="1007">
        <f t="shared" si="83"/>
        <v>7792400</v>
      </c>
      <c r="CO93" s="1007"/>
      <c r="CP93" s="1007"/>
      <c r="CQ93" s="1007"/>
      <c r="CR93" s="1007"/>
      <c r="CS93" s="1007"/>
      <c r="CT93" s="1007">
        <f>+'[10]JULIO 2015'!$H$2656</f>
        <v>7792400</v>
      </c>
      <c r="CU93" s="1007"/>
      <c r="CV93" s="1007"/>
      <c r="CW93" s="1007"/>
      <c r="CX93" s="1007"/>
      <c r="CY93" s="1007"/>
      <c r="CZ93" s="1007"/>
      <c r="DA93" s="1007"/>
      <c r="DB93" s="1007"/>
      <c r="DC93" s="1007"/>
      <c r="DD93" s="1007"/>
      <c r="DE93" s="1007"/>
      <c r="DF93" s="1007"/>
      <c r="DG93" s="1007"/>
      <c r="DH93" s="1007"/>
      <c r="DI93" s="1010">
        <f t="shared" si="84"/>
        <v>0.22075999999999996</v>
      </c>
      <c r="DJ93" s="1007">
        <f t="shared" si="85"/>
        <v>2207600</v>
      </c>
      <c r="DK93" s="1007"/>
      <c r="DL93" s="1007"/>
      <c r="DM93" s="1007"/>
      <c r="DN93" s="1007">
        <f t="shared" si="86"/>
        <v>0</v>
      </c>
      <c r="DO93" s="1007"/>
      <c r="DP93" s="1007">
        <f t="shared" si="87"/>
        <v>2207600</v>
      </c>
      <c r="DQ93" s="1007">
        <f t="shared" si="87"/>
        <v>0</v>
      </c>
      <c r="DR93" s="1007"/>
      <c r="DS93" s="1007">
        <f t="shared" si="88"/>
        <v>0</v>
      </c>
      <c r="DT93" s="1007">
        <f t="shared" si="88"/>
        <v>0</v>
      </c>
      <c r="DU93" s="1007"/>
      <c r="DV93" s="1007">
        <f t="shared" si="89"/>
        <v>0</v>
      </c>
      <c r="DW93" s="1007">
        <f t="shared" si="89"/>
        <v>0</v>
      </c>
      <c r="DX93" s="1007">
        <f t="shared" si="89"/>
        <v>0</v>
      </c>
      <c r="DY93" s="1007">
        <f t="shared" si="90"/>
        <v>0</v>
      </c>
      <c r="DZ93" s="1007">
        <f t="shared" si="90"/>
        <v>0</v>
      </c>
      <c r="EA93" s="1007">
        <f t="shared" si="90"/>
        <v>0</v>
      </c>
      <c r="EB93" s="1007">
        <f t="shared" si="90"/>
        <v>0</v>
      </c>
      <c r="EC93" s="1007"/>
      <c r="ED93" s="1007">
        <f t="shared" si="91"/>
        <v>0</v>
      </c>
    </row>
    <row r="94" spans="1:134" ht="29.25" customHeight="1" x14ac:dyDescent="0.25">
      <c r="A94" s="1578"/>
      <c r="B94" s="1018"/>
      <c r="C94" s="1114" t="s">
        <v>4431</v>
      </c>
      <c r="D94" s="1018" t="s">
        <v>4623</v>
      </c>
      <c r="E94" s="1019">
        <v>520</v>
      </c>
      <c r="F94" s="1117" t="s">
        <v>3350</v>
      </c>
      <c r="G94" s="1430"/>
      <c r="H94" s="1060">
        <f t="shared" si="70"/>
        <v>0</v>
      </c>
      <c r="I94" s="1060">
        <f t="shared" si="71"/>
        <v>10000000</v>
      </c>
      <c r="J94" s="1117" t="s">
        <v>4885</v>
      </c>
      <c r="K94" s="1113" t="s">
        <v>4826</v>
      </c>
      <c r="L94" s="1113" t="s">
        <v>4826</v>
      </c>
      <c r="M94" s="1113">
        <v>0</v>
      </c>
      <c r="N94" s="1113">
        <v>0</v>
      </c>
      <c r="O94" s="1113">
        <v>0</v>
      </c>
      <c r="P94" s="1113">
        <v>0</v>
      </c>
      <c r="Q94" s="1113">
        <v>0</v>
      </c>
      <c r="R94" s="1113">
        <v>0</v>
      </c>
      <c r="S94" s="1117"/>
      <c r="T94" s="1117"/>
      <c r="U94" s="1117"/>
      <c r="V94" s="1117"/>
      <c r="W94" s="1117"/>
      <c r="X94" s="1117"/>
      <c r="Y94" s="1007">
        <f t="shared" si="72"/>
        <v>10000000</v>
      </c>
      <c r="Z94" s="944"/>
      <c r="AA94" s="944"/>
      <c r="AB94" s="944"/>
      <c r="AC94" s="944"/>
      <c r="AD94" s="944"/>
      <c r="AE94" s="1007">
        <v>10000000</v>
      </c>
      <c r="AF94" s="944"/>
      <c r="AG94" s="944"/>
      <c r="AH94" s="944"/>
      <c r="AI94" s="944"/>
      <c r="AJ94" s="944"/>
      <c r="AK94" s="149"/>
      <c r="AL94" s="944"/>
      <c r="AM94" s="944"/>
      <c r="AN94" s="944"/>
      <c r="AO94" s="944"/>
      <c r="AP94" s="944"/>
      <c r="AQ94" s="944"/>
      <c r="AR94" s="944"/>
      <c r="AS94" s="985"/>
      <c r="AT94" s="203"/>
      <c r="AU94" s="1010">
        <f t="shared" si="73"/>
        <v>1</v>
      </c>
      <c r="AV94" s="1007">
        <f t="shared" si="74"/>
        <v>10000000</v>
      </c>
      <c r="AW94" s="1007"/>
      <c r="AX94" s="1007"/>
      <c r="AY94" s="1007"/>
      <c r="AZ94" s="1007"/>
      <c r="BA94" s="1007"/>
      <c r="BB94" s="1007">
        <f>+'[15]FEBRERO 2015'!$N$1199</f>
        <v>10000000</v>
      </c>
      <c r="BC94" s="1007"/>
      <c r="BD94" s="1007"/>
      <c r="BE94" s="1007"/>
      <c r="BF94" s="1007"/>
      <c r="BG94" s="1007"/>
      <c r="BH94" s="1007"/>
      <c r="BI94" s="1007"/>
      <c r="BJ94" s="1007"/>
      <c r="BK94" s="1007"/>
      <c r="BL94" s="1007"/>
      <c r="BM94" s="1007"/>
      <c r="BN94" s="1007"/>
      <c r="BO94" s="1007"/>
      <c r="BP94" s="1007"/>
      <c r="BQ94" s="1010">
        <f t="shared" si="94"/>
        <v>0</v>
      </c>
      <c r="BR94" s="1007">
        <f t="shared" si="75"/>
        <v>0</v>
      </c>
      <c r="BS94" s="1007">
        <f t="shared" si="76"/>
        <v>0</v>
      </c>
      <c r="BT94" s="1007">
        <f t="shared" si="77"/>
        <v>0</v>
      </c>
      <c r="BU94" s="1007"/>
      <c r="BV94" s="1007">
        <f t="shared" si="78"/>
        <v>0</v>
      </c>
      <c r="BW94" s="1007"/>
      <c r="BX94" s="1007">
        <f t="shared" si="79"/>
        <v>0</v>
      </c>
      <c r="BY94" s="1007">
        <f t="shared" si="79"/>
        <v>0</v>
      </c>
      <c r="BZ94" s="1007"/>
      <c r="CA94" s="1007">
        <f t="shared" si="92"/>
        <v>0</v>
      </c>
      <c r="CB94" s="1007">
        <f t="shared" si="92"/>
        <v>0</v>
      </c>
      <c r="CC94" s="1007"/>
      <c r="CD94" s="1007">
        <f t="shared" si="93"/>
        <v>0</v>
      </c>
      <c r="CE94" s="1007">
        <f t="shared" si="93"/>
        <v>0</v>
      </c>
      <c r="CF94" s="1007">
        <f t="shared" si="93"/>
        <v>0</v>
      </c>
      <c r="CG94" s="1007">
        <f t="shared" si="93"/>
        <v>0</v>
      </c>
      <c r="CH94" s="1007">
        <f t="shared" si="93"/>
        <v>0</v>
      </c>
      <c r="CI94" s="1007">
        <f t="shared" si="93"/>
        <v>0</v>
      </c>
      <c r="CJ94" s="1007"/>
      <c r="CK94" s="1007"/>
      <c r="CL94" s="1007">
        <f t="shared" si="81"/>
        <v>0</v>
      </c>
      <c r="CM94" s="1010">
        <f t="shared" si="82"/>
        <v>0</v>
      </c>
      <c r="CN94" s="1007">
        <f t="shared" si="83"/>
        <v>0</v>
      </c>
      <c r="CO94" s="1007"/>
      <c r="CP94" s="1007"/>
      <c r="CQ94" s="1007"/>
      <c r="CR94" s="1007"/>
      <c r="CS94" s="1007"/>
      <c r="CT94" s="1007"/>
      <c r="CU94" s="1007"/>
      <c r="CV94" s="1007"/>
      <c r="CW94" s="1007"/>
      <c r="CX94" s="1007"/>
      <c r="CY94" s="1007"/>
      <c r="CZ94" s="1007"/>
      <c r="DA94" s="1007"/>
      <c r="DB94" s="1007"/>
      <c r="DC94" s="1007"/>
      <c r="DD94" s="1007"/>
      <c r="DE94" s="1007"/>
      <c r="DF94" s="1007"/>
      <c r="DG94" s="1007"/>
      <c r="DH94" s="1007"/>
      <c r="DI94" s="1010">
        <f t="shared" si="84"/>
        <v>1</v>
      </c>
      <c r="DJ94" s="1007">
        <f t="shared" si="85"/>
        <v>10000000</v>
      </c>
      <c r="DK94" s="1007"/>
      <c r="DL94" s="1007"/>
      <c r="DM94" s="1007"/>
      <c r="DN94" s="1007">
        <f t="shared" si="86"/>
        <v>0</v>
      </c>
      <c r="DO94" s="1007"/>
      <c r="DP94" s="1007">
        <f t="shared" si="87"/>
        <v>10000000</v>
      </c>
      <c r="DQ94" s="1007">
        <f t="shared" si="87"/>
        <v>0</v>
      </c>
      <c r="DR94" s="1007"/>
      <c r="DS94" s="1007">
        <f t="shared" si="88"/>
        <v>0</v>
      </c>
      <c r="DT94" s="1007">
        <f t="shared" si="88"/>
        <v>0</v>
      </c>
      <c r="DU94" s="1007"/>
      <c r="DV94" s="1007">
        <f t="shared" si="89"/>
        <v>0</v>
      </c>
      <c r="DW94" s="1007">
        <f t="shared" si="89"/>
        <v>0</v>
      </c>
      <c r="DX94" s="1007">
        <f t="shared" si="89"/>
        <v>0</v>
      </c>
      <c r="DY94" s="1007">
        <f t="shared" si="90"/>
        <v>0</v>
      </c>
      <c r="DZ94" s="1007">
        <f t="shared" si="90"/>
        <v>0</v>
      </c>
      <c r="EA94" s="1007">
        <f t="shared" si="90"/>
        <v>0</v>
      </c>
      <c r="EB94" s="1007">
        <f t="shared" si="90"/>
        <v>0</v>
      </c>
      <c r="EC94" s="1007"/>
      <c r="ED94" s="1007">
        <f t="shared" si="91"/>
        <v>0</v>
      </c>
    </row>
    <row r="95" spans="1:134" ht="43.5" customHeight="1" x14ac:dyDescent="0.25">
      <c r="A95" s="1578"/>
      <c r="B95" s="1018" t="s">
        <v>4362</v>
      </c>
      <c r="C95" s="1114" t="s">
        <v>4432</v>
      </c>
      <c r="D95" s="1018" t="s">
        <v>4624</v>
      </c>
      <c r="E95" s="1019">
        <v>520</v>
      </c>
      <c r="F95" s="1117" t="s">
        <v>3350</v>
      </c>
      <c r="G95" s="1428">
        <v>150000000</v>
      </c>
      <c r="H95" s="1060">
        <f t="shared" si="70"/>
        <v>1000000</v>
      </c>
      <c r="I95" s="1060">
        <f t="shared" si="71"/>
        <v>14000000</v>
      </c>
      <c r="J95" s="1117" t="s">
        <v>4887</v>
      </c>
      <c r="K95" s="1113" t="s">
        <v>4889</v>
      </c>
      <c r="L95" s="1113" t="s">
        <v>4892</v>
      </c>
      <c r="M95" s="1113">
        <v>0</v>
      </c>
      <c r="N95" s="1113">
        <v>0</v>
      </c>
      <c r="O95" s="1113">
        <v>0</v>
      </c>
      <c r="P95" s="1113">
        <v>0</v>
      </c>
      <c r="Q95" s="1113">
        <v>0</v>
      </c>
      <c r="R95" s="1113">
        <v>0</v>
      </c>
      <c r="S95" s="1117"/>
      <c r="T95" s="1117"/>
      <c r="U95" s="1117"/>
      <c r="V95" s="1117"/>
      <c r="W95" s="1117"/>
      <c r="X95" s="1117"/>
      <c r="Y95" s="1007">
        <f t="shared" si="72"/>
        <v>15000000</v>
      </c>
      <c r="Z95" s="944"/>
      <c r="AA95" s="944">
        <f>15000000-15000000</f>
        <v>0</v>
      </c>
      <c r="AB95" s="944"/>
      <c r="AC95" s="944"/>
      <c r="AD95" s="944"/>
      <c r="AE95" s="1016">
        <f>15000000</f>
        <v>15000000</v>
      </c>
      <c r="AF95" s="944"/>
      <c r="AG95" s="944"/>
      <c r="AH95" s="944"/>
      <c r="AI95" s="944"/>
      <c r="AJ95" s="944"/>
      <c r="AK95" s="149"/>
      <c r="AL95" s="944"/>
      <c r="AM95" s="944"/>
      <c r="AN95" s="944"/>
      <c r="AO95" s="944"/>
      <c r="AP95" s="944"/>
      <c r="AQ95" s="944"/>
      <c r="AR95" s="944"/>
      <c r="AS95" s="985"/>
      <c r="AT95" s="203"/>
      <c r="AU95" s="1010">
        <f t="shared" si="73"/>
        <v>1</v>
      </c>
      <c r="AV95" s="1007">
        <f t="shared" si="74"/>
        <v>15000000</v>
      </c>
      <c r="AW95" s="1007"/>
      <c r="AX95" s="1007"/>
      <c r="AY95" s="1007"/>
      <c r="AZ95" s="1007"/>
      <c r="BA95" s="1007"/>
      <c r="BB95" s="1007">
        <f>+'[12]FEBRERO 2015'!$N$1280</f>
        <v>15000000</v>
      </c>
      <c r="BC95" s="1007"/>
      <c r="BD95" s="1007"/>
      <c r="BE95" s="1007"/>
      <c r="BF95" s="1007"/>
      <c r="BG95" s="1007"/>
      <c r="BH95" s="1007"/>
      <c r="BI95" s="1007"/>
      <c r="BJ95" s="1007"/>
      <c r="BK95" s="1007"/>
      <c r="BL95" s="1007"/>
      <c r="BM95" s="1007"/>
      <c r="BN95" s="1007"/>
      <c r="BO95" s="1007"/>
      <c r="BP95" s="1007"/>
      <c r="BQ95" s="1010">
        <f t="shared" si="94"/>
        <v>0</v>
      </c>
      <c r="BR95" s="1007">
        <f t="shared" si="75"/>
        <v>0</v>
      </c>
      <c r="BS95" s="1007">
        <f t="shared" si="76"/>
        <v>0</v>
      </c>
      <c r="BT95" s="1007">
        <f t="shared" si="77"/>
        <v>0</v>
      </c>
      <c r="BU95" s="1007"/>
      <c r="BV95" s="1007">
        <f t="shared" si="78"/>
        <v>0</v>
      </c>
      <c r="BW95" s="1007"/>
      <c r="BX95" s="1007">
        <f t="shared" si="79"/>
        <v>0</v>
      </c>
      <c r="BY95" s="1007">
        <f t="shared" si="79"/>
        <v>0</v>
      </c>
      <c r="BZ95" s="1007"/>
      <c r="CA95" s="1007">
        <f t="shared" si="92"/>
        <v>0</v>
      </c>
      <c r="CB95" s="1007">
        <f t="shared" si="92"/>
        <v>0</v>
      </c>
      <c r="CC95" s="1007"/>
      <c r="CD95" s="1007">
        <f t="shared" si="93"/>
        <v>0</v>
      </c>
      <c r="CE95" s="1007">
        <f t="shared" si="93"/>
        <v>0</v>
      </c>
      <c r="CF95" s="1007">
        <f t="shared" si="93"/>
        <v>0</v>
      </c>
      <c r="CG95" s="1007">
        <f t="shared" si="93"/>
        <v>0</v>
      </c>
      <c r="CH95" s="1007">
        <f t="shared" si="93"/>
        <v>0</v>
      </c>
      <c r="CI95" s="1007">
        <f t="shared" si="93"/>
        <v>0</v>
      </c>
      <c r="CJ95" s="1007"/>
      <c r="CK95" s="1007"/>
      <c r="CL95" s="1007">
        <f t="shared" si="81"/>
        <v>0</v>
      </c>
      <c r="CM95" s="1010">
        <f t="shared" si="82"/>
        <v>6.6666666666666666E-2</v>
      </c>
      <c r="CN95" s="1007">
        <f t="shared" si="83"/>
        <v>1000000</v>
      </c>
      <c r="CO95" s="1007"/>
      <c r="CP95" s="1007"/>
      <c r="CQ95" s="1007"/>
      <c r="CR95" s="1007"/>
      <c r="CS95" s="1007"/>
      <c r="CT95" s="1007">
        <f>+'[8]SEPTIEMBRE 2015'!$H$3686</f>
        <v>1000000</v>
      </c>
      <c r="CU95" s="1007"/>
      <c r="CV95" s="1007"/>
      <c r="CW95" s="1007"/>
      <c r="CX95" s="1007"/>
      <c r="CY95" s="1007"/>
      <c r="CZ95" s="1007"/>
      <c r="DA95" s="1007"/>
      <c r="DB95" s="1007"/>
      <c r="DC95" s="1007"/>
      <c r="DD95" s="1007"/>
      <c r="DE95" s="1007"/>
      <c r="DF95" s="1007"/>
      <c r="DG95" s="1007"/>
      <c r="DH95" s="1007"/>
      <c r="DI95" s="1010">
        <f t="shared" si="84"/>
        <v>0.93333333333333335</v>
      </c>
      <c r="DJ95" s="1007">
        <f t="shared" si="85"/>
        <v>14000000</v>
      </c>
      <c r="DK95" s="1007"/>
      <c r="DL95" s="1007">
        <f>AA95-CP95</f>
        <v>0</v>
      </c>
      <c r="DM95" s="1007">
        <f>AB95-CQ95</f>
        <v>0</v>
      </c>
      <c r="DN95" s="1007">
        <f t="shared" si="86"/>
        <v>0</v>
      </c>
      <c r="DO95" s="1007"/>
      <c r="DP95" s="1007">
        <f t="shared" si="87"/>
        <v>14000000</v>
      </c>
      <c r="DQ95" s="1007">
        <f t="shared" si="87"/>
        <v>0</v>
      </c>
      <c r="DR95" s="1007"/>
      <c r="DS95" s="1007">
        <f t="shared" si="88"/>
        <v>0</v>
      </c>
      <c r="DT95" s="1007">
        <f t="shared" si="88"/>
        <v>0</v>
      </c>
      <c r="DU95" s="1007"/>
      <c r="DV95" s="1007">
        <f t="shared" si="89"/>
        <v>0</v>
      </c>
      <c r="DW95" s="1007">
        <f t="shared" si="89"/>
        <v>0</v>
      </c>
      <c r="DX95" s="1007">
        <f t="shared" si="89"/>
        <v>0</v>
      </c>
      <c r="DY95" s="1007">
        <f t="shared" si="90"/>
        <v>0</v>
      </c>
      <c r="DZ95" s="1007">
        <f t="shared" si="90"/>
        <v>0</v>
      </c>
      <c r="EA95" s="1007">
        <f t="shared" si="90"/>
        <v>0</v>
      </c>
      <c r="EB95" s="1007">
        <f t="shared" si="90"/>
        <v>0</v>
      </c>
      <c r="EC95" s="1007"/>
      <c r="ED95" s="1007">
        <f t="shared" si="91"/>
        <v>0</v>
      </c>
    </row>
    <row r="96" spans="1:134" ht="48" customHeight="1" x14ac:dyDescent="0.25">
      <c r="A96" s="1578"/>
      <c r="B96" s="1018"/>
      <c r="C96" s="1114" t="s">
        <v>4433</v>
      </c>
      <c r="D96" s="1018" t="s">
        <v>4625</v>
      </c>
      <c r="E96" s="1019">
        <v>520</v>
      </c>
      <c r="F96" s="1117" t="s">
        <v>3350</v>
      </c>
      <c r="G96" s="1429"/>
      <c r="H96" s="1060">
        <f t="shared" si="70"/>
        <v>21818596</v>
      </c>
      <c r="I96" s="1060">
        <f t="shared" si="71"/>
        <v>8181404</v>
      </c>
      <c r="J96" s="1117" t="s">
        <v>4888</v>
      </c>
      <c r="K96" s="1113" t="s">
        <v>4890</v>
      </c>
      <c r="L96" s="1113" t="s">
        <v>4893</v>
      </c>
      <c r="M96" s="1113">
        <v>0</v>
      </c>
      <c r="N96" s="1113">
        <v>0</v>
      </c>
      <c r="O96" s="1113">
        <v>0</v>
      </c>
      <c r="P96" s="1113">
        <v>45</v>
      </c>
      <c r="Q96" s="1113">
        <v>0</v>
      </c>
      <c r="R96" s="1113">
        <v>0</v>
      </c>
      <c r="S96" s="1117"/>
      <c r="T96" s="1117"/>
      <c r="U96" s="1117"/>
      <c r="V96" s="1117"/>
      <c r="W96" s="1117"/>
      <c r="X96" s="1117"/>
      <c r="Y96" s="1007">
        <f t="shared" si="72"/>
        <v>30000000</v>
      </c>
      <c r="Z96" s="944"/>
      <c r="AA96" s="944">
        <f>30000000-30000000</f>
        <v>0</v>
      </c>
      <c r="AB96" s="944"/>
      <c r="AC96" s="944"/>
      <c r="AD96" s="944"/>
      <c r="AE96" s="1016">
        <v>30000000</v>
      </c>
      <c r="AF96" s="944"/>
      <c r="AG96" s="944"/>
      <c r="AH96" s="944"/>
      <c r="AI96" s="944"/>
      <c r="AJ96" s="944"/>
      <c r="AK96" s="149"/>
      <c r="AL96" s="944"/>
      <c r="AM96" s="944"/>
      <c r="AN96" s="944"/>
      <c r="AO96" s="944"/>
      <c r="AP96" s="944"/>
      <c r="AQ96" s="944"/>
      <c r="AR96" s="944"/>
      <c r="AS96" s="985"/>
      <c r="AT96" s="203"/>
      <c r="AU96" s="1010">
        <f t="shared" si="73"/>
        <v>1</v>
      </c>
      <c r="AV96" s="1007">
        <f t="shared" si="74"/>
        <v>30000000</v>
      </c>
      <c r="AW96" s="1007"/>
      <c r="AX96" s="1007"/>
      <c r="AY96" s="1007"/>
      <c r="AZ96" s="1007"/>
      <c r="BA96" s="1007"/>
      <c r="BB96" s="1007">
        <f>+'[12]FEBRERO 2015'!$N$1285</f>
        <v>30000000</v>
      </c>
      <c r="BC96" s="1007"/>
      <c r="BD96" s="1007"/>
      <c r="BE96" s="1007"/>
      <c r="BF96" s="1007"/>
      <c r="BG96" s="1007"/>
      <c r="BH96" s="1007"/>
      <c r="BI96" s="1007"/>
      <c r="BJ96" s="1007"/>
      <c r="BK96" s="1007"/>
      <c r="BL96" s="1007"/>
      <c r="BM96" s="1007"/>
      <c r="BN96" s="1007"/>
      <c r="BO96" s="1007"/>
      <c r="BP96" s="1007"/>
      <c r="BQ96" s="1010">
        <f t="shared" si="94"/>
        <v>0</v>
      </c>
      <c r="BR96" s="1007">
        <f t="shared" si="75"/>
        <v>0</v>
      </c>
      <c r="BS96" s="1007">
        <f t="shared" si="76"/>
        <v>0</v>
      </c>
      <c r="BT96" s="1007">
        <f t="shared" si="77"/>
        <v>0</v>
      </c>
      <c r="BU96" s="1007"/>
      <c r="BV96" s="1007">
        <f t="shared" si="78"/>
        <v>0</v>
      </c>
      <c r="BW96" s="1007"/>
      <c r="BX96" s="1007">
        <f t="shared" si="79"/>
        <v>0</v>
      </c>
      <c r="BY96" s="1007">
        <f t="shared" si="79"/>
        <v>0</v>
      </c>
      <c r="BZ96" s="1007"/>
      <c r="CA96" s="1007">
        <f t="shared" si="92"/>
        <v>0</v>
      </c>
      <c r="CB96" s="1007">
        <f t="shared" si="92"/>
        <v>0</v>
      </c>
      <c r="CC96" s="1007"/>
      <c r="CD96" s="1007">
        <f t="shared" si="93"/>
        <v>0</v>
      </c>
      <c r="CE96" s="1007">
        <f t="shared" si="93"/>
        <v>0</v>
      </c>
      <c r="CF96" s="1007">
        <f t="shared" si="93"/>
        <v>0</v>
      </c>
      <c r="CG96" s="1007">
        <f t="shared" si="93"/>
        <v>0</v>
      </c>
      <c r="CH96" s="1007">
        <f t="shared" si="93"/>
        <v>0</v>
      </c>
      <c r="CI96" s="1007">
        <f t="shared" si="93"/>
        <v>0</v>
      </c>
      <c r="CJ96" s="1007"/>
      <c r="CK96" s="1007"/>
      <c r="CL96" s="1007">
        <f t="shared" si="81"/>
        <v>0</v>
      </c>
      <c r="CM96" s="1010">
        <f t="shared" si="82"/>
        <v>0.72728653333333337</v>
      </c>
      <c r="CN96" s="1007">
        <f t="shared" si="83"/>
        <v>21818596</v>
      </c>
      <c r="CO96" s="1007"/>
      <c r="CP96" s="1007"/>
      <c r="CQ96" s="1007"/>
      <c r="CR96" s="1007"/>
      <c r="CS96" s="1007"/>
      <c r="CT96" s="1007">
        <f>+'[8]SEPTIEMBRE 2015'!$H$3692</f>
        <v>21818596</v>
      </c>
      <c r="CU96" s="1007"/>
      <c r="CV96" s="1007"/>
      <c r="CW96" s="1007"/>
      <c r="CX96" s="1007"/>
      <c r="CY96" s="1007"/>
      <c r="CZ96" s="1007"/>
      <c r="DA96" s="1007"/>
      <c r="DB96" s="1007"/>
      <c r="DC96" s="1007"/>
      <c r="DD96" s="1007"/>
      <c r="DE96" s="1007"/>
      <c r="DF96" s="1007"/>
      <c r="DG96" s="1007"/>
      <c r="DH96" s="1007"/>
      <c r="DI96" s="1010">
        <f t="shared" si="84"/>
        <v>0.27271346666666663</v>
      </c>
      <c r="DJ96" s="1007">
        <f t="shared" si="85"/>
        <v>8181404</v>
      </c>
      <c r="DK96" s="1007"/>
      <c r="DL96" s="1007">
        <f>AA96-CP96</f>
        <v>0</v>
      </c>
      <c r="DM96" s="1007">
        <f>AB96-CQ96</f>
        <v>0</v>
      </c>
      <c r="DN96" s="1007">
        <f t="shared" si="86"/>
        <v>0</v>
      </c>
      <c r="DO96" s="1007"/>
      <c r="DP96" s="1007">
        <f t="shared" si="87"/>
        <v>8181404</v>
      </c>
      <c r="DQ96" s="1007">
        <f t="shared" si="87"/>
        <v>0</v>
      </c>
      <c r="DR96" s="1007"/>
      <c r="DS96" s="1007">
        <f t="shared" si="88"/>
        <v>0</v>
      </c>
      <c r="DT96" s="1007">
        <f t="shared" si="88"/>
        <v>0</v>
      </c>
      <c r="DU96" s="1007"/>
      <c r="DV96" s="1007">
        <f t="shared" si="89"/>
        <v>0</v>
      </c>
      <c r="DW96" s="1007">
        <f t="shared" si="89"/>
        <v>0</v>
      </c>
      <c r="DX96" s="1007">
        <f t="shared" si="89"/>
        <v>0</v>
      </c>
      <c r="DY96" s="1007">
        <f t="shared" si="90"/>
        <v>0</v>
      </c>
      <c r="DZ96" s="1007">
        <f t="shared" si="90"/>
        <v>0</v>
      </c>
      <c r="EA96" s="1007">
        <f t="shared" si="90"/>
        <v>0</v>
      </c>
      <c r="EB96" s="1007">
        <f t="shared" si="90"/>
        <v>0</v>
      </c>
      <c r="EC96" s="1007"/>
      <c r="ED96" s="1007">
        <f t="shared" si="91"/>
        <v>0</v>
      </c>
    </row>
    <row r="97" spans="1:134" ht="34.5" customHeight="1" x14ac:dyDescent="0.25">
      <c r="A97" s="1578"/>
      <c r="B97" s="1018"/>
      <c r="C97" s="1114" t="s">
        <v>4434</v>
      </c>
      <c r="D97" s="1018" t="s">
        <v>4626</v>
      </c>
      <c r="E97" s="1019">
        <v>520</v>
      </c>
      <c r="F97" s="1117" t="s">
        <v>3350</v>
      </c>
      <c r="G97" s="1429"/>
      <c r="H97" s="1060">
        <f t="shared" si="70"/>
        <v>0</v>
      </c>
      <c r="I97" s="1060">
        <f t="shared" si="71"/>
        <v>20000000</v>
      </c>
      <c r="J97" s="1428" t="s">
        <v>4885</v>
      </c>
      <c r="K97" s="1257" t="s">
        <v>4891</v>
      </c>
      <c r="L97" s="1257" t="s">
        <v>4894</v>
      </c>
      <c r="M97" s="1113">
        <v>0</v>
      </c>
      <c r="N97" s="1113">
        <v>0</v>
      </c>
      <c r="O97" s="1113">
        <v>0</v>
      </c>
      <c r="P97" s="1113">
        <v>0</v>
      </c>
      <c r="Q97" s="1113">
        <v>0</v>
      </c>
      <c r="R97" s="1113">
        <v>0</v>
      </c>
      <c r="S97" s="1117"/>
      <c r="T97" s="1117"/>
      <c r="U97" s="1117"/>
      <c r="V97" s="1117"/>
      <c r="W97" s="1117"/>
      <c r="X97" s="1117"/>
      <c r="Y97" s="1007">
        <f t="shared" si="72"/>
        <v>20000000</v>
      </c>
      <c r="Z97" s="944"/>
      <c r="AA97" s="944"/>
      <c r="AB97" s="944"/>
      <c r="AC97" s="944"/>
      <c r="AD97" s="944"/>
      <c r="AE97" s="1007">
        <f>50000000-30000000</f>
        <v>20000000</v>
      </c>
      <c r="AF97" s="944"/>
      <c r="AG97" s="944"/>
      <c r="AH97" s="944"/>
      <c r="AI97" s="944"/>
      <c r="AJ97" s="944"/>
      <c r="AK97" s="149"/>
      <c r="AL97" s="944"/>
      <c r="AM97" s="944"/>
      <c r="AN97" s="944"/>
      <c r="AO97" s="944"/>
      <c r="AP97" s="944"/>
      <c r="AQ97" s="944"/>
      <c r="AR97" s="944"/>
      <c r="AS97" s="985"/>
      <c r="AT97" s="203"/>
      <c r="AU97" s="1010">
        <f t="shared" si="73"/>
        <v>1</v>
      </c>
      <c r="AV97" s="1007">
        <f t="shared" si="74"/>
        <v>20000000</v>
      </c>
      <c r="AW97" s="1007"/>
      <c r="AX97" s="1007"/>
      <c r="AY97" s="1007"/>
      <c r="AZ97" s="1007"/>
      <c r="BA97" s="1007"/>
      <c r="BB97" s="1007">
        <f>+'[15]FEBRERO 2015'!$N$1216-30000000</f>
        <v>20000000</v>
      </c>
      <c r="BC97" s="1007"/>
      <c r="BD97" s="1007"/>
      <c r="BE97" s="1007"/>
      <c r="BF97" s="1007"/>
      <c r="BG97" s="1007"/>
      <c r="BH97" s="1007"/>
      <c r="BI97" s="1007"/>
      <c r="BJ97" s="1007"/>
      <c r="BK97" s="1007"/>
      <c r="BL97" s="1007"/>
      <c r="BM97" s="1007"/>
      <c r="BN97" s="1007"/>
      <c r="BO97" s="1007"/>
      <c r="BP97" s="1007"/>
      <c r="BQ97" s="1010">
        <f t="shared" si="94"/>
        <v>0</v>
      </c>
      <c r="BR97" s="1007">
        <f t="shared" si="75"/>
        <v>0</v>
      </c>
      <c r="BS97" s="1007">
        <f t="shared" si="76"/>
        <v>0</v>
      </c>
      <c r="BT97" s="1007">
        <f t="shared" si="77"/>
        <v>0</v>
      </c>
      <c r="BU97" s="1007"/>
      <c r="BV97" s="1007">
        <f t="shared" si="78"/>
        <v>0</v>
      </c>
      <c r="BW97" s="1007"/>
      <c r="BX97" s="1007">
        <f t="shared" si="79"/>
        <v>0</v>
      </c>
      <c r="BY97" s="1007">
        <f t="shared" si="79"/>
        <v>0</v>
      </c>
      <c r="BZ97" s="1007"/>
      <c r="CA97" s="1007">
        <f t="shared" si="92"/>
        <v>0</v>
      </c>
      <c r="CB97" s="1007">
        <f t="shared" si="92"/>
        <v>0</v>
      </c>
      <c r="CC97" s="1007"/>
      <c r="CD97" s="1007">
        <f t="shared" si="93"/>
        <v>0</v>
      </c>
      <c r="CE97" s="1007">
        <f t="shared" si="93"/>
        <v>0</v>
      </c>
      <c r="CF97" s="1007">
        <f t="shared" si="93"/>
        <v>0</v>
      </c>
      <c r="CG97" s="1007">
        <f t="shared" si="93"/>
        <v>0</v>
      </c>
      <c r="CH97" s="1007">
        <f t="shared" si="93"/>
        <v>0</v>
      </c>
      <c r="CI97" s="1007">
        <f t="shared" si="93"/>
        <v>0</v>
      </c>
      <c r="CJ97" s="1007"/>
      <c r="CK97" s="1007"/>
      <c r="CL97" s="1007">
        <f t="shared" si="81"/>
        <v>0</v>
      </c>
      <c r="CM97" s="1010">
        <f t="shared" si="82"/>
        <v>0</v>
      </c>
      <c r="CN97" s="1007">
        <f t="shared" si="83"/>
        <v>0</v>
      </c>
      <c r="CO97" s="1007"/>
      <c r="CP97" s="1007"/>
      <c r="CQ97" s="1007"/>
      <c r="CR97" s="1007"/>
      <c r="CS97" s="1007"/>
      <c r="CT97" s="1007"/>
      <c r="CU97" s="1007"/>
      <c r="CV97" s="1007"/>
      <c r="CW97" s="1007"/>
      <c r="CX97" s="1007"/>
      <c r="CY97" s="1007"/>
      <c r="CZ97" s="1007"/>
      <c r="DA97" s="1007"/>
      <c r="DB97" s="1007"/>
      <c r="DC97" s="1007"/>
      <c r="DD97" s="1007"/>
      <c r="DE97" s="1007"/>
      <c r="DF97" s="1007"/>
      <c r="DG97" s="1007"/>
      <c r="DH97" s="1007"/>
      <c r="DI97" s="1010">
        <f t="shared" si="84"/>
        <v>1</v>
      </c>
      <c r="DJ97" s="1007">
        <f t="shared" si="85"/>
        <v>20000000</v>
      </c>
      <c r="DK97" s="1007"/>
      <c r="DL97" s="1007"/>
      <c r="DM97" s="1007"/>
      <c r="DN97" s="1007">
        <f t="shared" si="86"/>
        <v>0</v>
      </c>
      <c r="DO97" s="1007"/>
      <c r="DP97" s="1007">
        <f t="shared" si="87"/>
        <v>20000000</v>
      </c>
      <c r="DQ97" s="1007">
        <f t="shared" si="87"/>
        <v>0</v>
      </c>
      <c r="DR97" s="1007"/>
      <c r="DS97" s="1007">
        <f t="shared" si="88"/>
        <v>0</v>
      </c>
      <c r="DT97" s="1007">
        <f t="shared" si="88"/>
        <v>0</v>
      </c>
      <c r="DU97" s="1007"/>
      <c r="DV97" s="1007">
        <f t="shared" si="89"/>
        <v>0</v>
      </c>
      <c r="DW97" s="1007">
        <f t="shared" si="89"/>
        <v>0</v>
      </c>
      <c r="DX97" s="1007">
        <f t="shared" si="89"/>
        <v>0</v>
      </c>
      <c r="DY97" s="1007">
        <f t="shared" si="90"/>
        <v>0</v>
      </c>
      <c r="DZ97" s="1007">
        <f t="shared" si="90"/>
        <v>0</v>
      </c>
      <c r="EA97" s="1007">
        <f t="shared" si="90"/>
        <v>0</v>
      </c>
      <c r="EB97" s="1007">
        <f t="shared" si="90"/>
        <v>0</v>
      </c>
      <c r="EC97" s="1007"/>
      <c r="ED97" s="1007">
        <f t="shared" si="91"/>
        <v>0</v>
      </c>
    </row>
    <row r="98" spans="1:134" ht="33.75" customHeight="1" x14ac:dyDescent="0.25">
      <c r="A98" s="1578"/>
      <c r="B98" s="1018"/>
      <c r="C98" s="1114" t="s">
        <v>4435</v>
      </c>
      <c r="D98" s="1018" t="s">
        <v>4627</v>
      </c>
      <c r="E98" s="1019">
        <v>520</v>
      </c>
      <c r="F98" s="1117" t="s">
        <v>3350</v>
      </c>
      <c r="G98" s="1430"/>
      <c r="H98" s="1060">
        <f t="shared" si="70"/>
        <v>646074</v>
      </c>
      <c r="I98" s="1060">
        <f t="shared" si="71"/>
        <v>24353926</v>
      </c>
      <c r="J98" s="1430"/>
      <c r="K98" s="1258"/>
      <c r="L98" s="1258"/>
      <c r="M98" s="1113">
        <v>0</v>
      </c>
      <c r="N98" s="1113">
        <v>0</v>
      </c>
      <c r="O98" s="1113">
        <v>0</v>
      </c>
      <c r="P98" s="1113">
        <v>0</v>
      </c>
      <c r="Q98" s="1113">
        <v>0</v>
      </c>
      <c r="R98" s="1113">
        <v>0</v>
      </c>
      <c r="S98" s="1117"/>
      <c r="T98" s="1117"/>
      <c r="U98" s="1117"/>
      <c r="V98" s="1117"/>
      <c r="W98" s="1117"/>
      <c r="X98" s="1117"/>
      <c r="Y98" s="1007">
        <f t="shared" si="72"/>
        <v>25000000</v>
      </c>
      <c r="Z98" s="944"/>
      <c r="AA98" s="944">
        <f>10819123-10819123</f>
        <v>0</v>
      </c>
      <c r="AB98" s="944"/>
      <c r="AC98" s="944"/>
      <c r="AD98" s="944"/>
      <c r="AE98" s="1016">
        <f>44180877+10819123-30000000</f>
        <v>25000000</v>
      </c>
      <c r="AF98" s="944"/>
      <c r="AG98" s="944"/>
      <c r="AH98" s="944"/>
      <c r="AI98" s="944"/>
      <c r="AJ98" s="944"/>
      <c r="AK98" s="149"/>
      <c r="AL98" s="944"/>
      <c r="AM98" s="944"/>
      <c r="AN98" s="1007"/>
      <c r="AO98" s="1007"/>
      <c r="AP98" s="1007"/>
      <c r="AQ98" s="1007"/>
      <c r="AR98" s="1007"/>
      <c r="AS98" s="1007"/>
      <c r="AT98" s="203"/>
      <c r="AU98" s="1010">
        <f t="shared" si="73"/>
        <v>0.56723508</v>
      </c>
      <c r="AV98" s="1007">
        <f t="shared" si="74"/>
        <v>14180877</v>
      </c>
      <c r="AW98" s="1007"/>
      <c r="AX98" s="1007"/>
      <c r="AY98" s="1007"/>
      <c r="AZ98" s="1007"/>
      <c r="BA98" s="1007"/>
      <c r="BB98" s="1007">
        <f>+'[15]FEBRERO 2015'!$N$1221-30000000</f>
        <v>14180877</v>
      </c>
      <c r="BC98" s="1007"/>
      <c r="BD98" s="1007"/>
      <c r="BE98" s="1007"/>
      <c r="BF98" s="1007"/>
      <c r="BG98" s="1007"/>
      <c r="BH98" s="1007"/>
      <c r="BI98" s="1007"/>
      <c r="BJ98" s="1007"/>
      <c r="BK98" s="1007"/>
      <c r="BL98" s="1007"/>
      <c r="BM98" s="1007"/>
      <c r="BN98" s="1007"/>
      <c r="BO98" s="1007"/>
      <c r="BP98" s="1007"/>
      <c r="BQ98" s="1010">
        <f t="shared" si="94"/>
        <v>0.43276492</v>
      </c>
      <c r="BR98" s="1007">
        <f t="shared" si="75"/>
        <v>10819123</v>
      </c>
      <c r="BS98" s="1007">
        <f t="shared" si="76"/>
        <v>0</v>
      </c>
      <c r="BT98" s="1007">
        <f t="shared" si="77"/>
        <v>0</v>
      </c>
      <c r="BU98" s="1007"/>
      <c r="BV98" s="1007">
        <f t="shared" si="78"/>
        <v>0</v>
      </c>
      <c r="BW98" s="1007"/>
      <c r="BX98" s="1007">
        <f t="shared" si="79"/>
        <v>10819123</v>
      </c>
      <c r="BY98" s="1007">
        <f t="shared" si="79"/>
        <v>0</v>
      </c>
      <c r="BZ98" s="1007"/>
      <c r="CA98" s="1007">
        <f t="shared" si="92"/>
        <v>0</v>
      </c>
      <c r="CB98" s="1007">
        <f t="shared" si="92"/>
        <v>0</v>
      </c>
      <c r="CC98" s="1007"/>
      <c r="CD98" s="1007">
        <f t="shared" si="93"/>
        <v>0</v>
      </c>
      <c r="CE98" s="1007">
        <f t="shared" si="93"/>
        <v>0</v>
      </c>
      <c r="CF98" s="1007">
        <f t="shared" si="93"/>
        <v>0</v>
      </c>
      <c r="CG98" s="1007">
        <f t="shared" si="93"/>
        <v>0</v>
      </c>
      <c r="CH98" s="1007">
        <f t="shared" si="93"/>
        <v>0</v>
      </c>
      <c r="CI98" s="1007">
        <f t="shared" si="93"/>
        <v>0</v>
      </c>
      <c r="CJ98" s="1007"/>
      <c r="CK98" s="1007"/>
      <c r="CL98" s="1007">
        <f t="shared" si="81"/>
        <v>0</v>
      </c>
      <c r="CM98" s="1010">
        <f t="shared" si="82"/>
        <v>2.5842960000000002E-2</v>
      </c>
      <c r="CN98" s="1007">
        <f t="shared" si="83"/>
        <v>646074</v>
      </c>
      <c r="CO98" s="1007"/>
      <c r="CP98" s="1007"/>
      <c r="CQ98" s="1007"/>
      <c r="CR98" s="1007"/>
      <c r="CS98" s="1007"/>
      <c r="CT98" s="1007">
        <f>+'[7]AGOSTO 2015'!$H$3027</f>
        <v>646074</v>
      </c>
      <c r="CU98" s="1007"/>
      <c r="CV98" s="1007"/>
      <c r="CW98" s="1007"/>
      <c r="CX98" s="1007"/>
      <c r="CY98" s="1007"/>
      <c r="CZ98" s="1007"/>
      <c r="DA98" s="1007"/>
      <c r="DB98" s="1007"/>
      <c r="DC98" s="1007"/>
      <c r="DD98" s="1007"/>
      <c r="DE98" s="1007"/>
      <c r="DF98" s="1007"/>
      <c r="DG98" s="1007"/>
      <c r="DH98" s="1007"/>
      <c r="DI98" s="1010">
        <f t="shared" si="84"/>
        <v>0.97415704000000003</v>
      </c>
      <c r="DJ98" s="1007">
        <f t="shared" si="85"/>
        <v>24353926</v>
      </c>
      <c r="DK98" s="1007"/>
      <c r="DL98" s="1007">
        <f>AA98-CP98</f>
        <v>0</v>
      </c>
      <c r="DM98" s="1007">
        <f>AB98-CQ98</f>
        <v>0</v>
      </c>
      <c r="DN98" s="1007">
        <f t="shared" si="86"/>
        <v>0</v>
      </c>
      <c r="DO98" s="1007"/>
      <c r="DP98" s="1007">
        <f t="shared" si="87"/>
        <v>24353926</v>
      </c>
      <c r="DQ98" s="1007">
        <f t="shared" si="87"/>
        <v>0</v>
      </c>
      <c r="DR98" s="1007"/>
      <c r="DS98" s="1007">
        <f t="shared" si="88"/>
        <v>0</v>
      </c>
      <c r="DT98" s="1007">
        <f t="shared" si="88"/>
        <v>0</v>
      </c>
      <c r="DU98" s="1007"/>
      <c r="DV98" s="1007">
        <f t="shared" si="89"/>
        <v>0</v>
      </c>
      <c r="DW98" s="1007">
        <f t="shared" si="89"/>
        <v>0</v>
      </c>
      <c r="DX98" s="1007">
        <f t="shared" si="89"/>
        <v>0</v>
      </c>
      <c r="DY98" s="1007">
        <f t="shared" si="90"/>
        <v>0</v>
      </c>
      <c r="DZ98" s="1007">
        <f t="shared" si="90"/>
        <v>0</v>
      </c>
      <c r="EA98" s="1007">
        <f t="shared" si="90"/>
        <v>0</v>
      </c>
      <c r="EB98" s="1007">
        <f t="shared" si="90"/>
        <v>0</v>
      </c>
      <c r="EC98" s="1007"/>
      <c r="ED98" s="1007">
        <f t="shared" si="91"/>
        <v>0</v>
      </c>
    </row>
    <row r="99" spans="1:134" s="203" customFormat="1" ht="62.25" customHeight="1" x14ac:dyDescent="0.25">
      <c r="A99" s="1578"/>
      <c r="B99" s="1579" t="s">
        <v>4363</v>
      </c>
      <c r="C99" s="1581" t="s">
        <v>4436</v>
      </c>
      <c r="D99" s="1579" t="s">
        <v>4628</v>
      </c>
      <c r="E99" s="1579">
        <v>520</v>
      </c>
      <c r="F99" s="1428" t="s">
        <v>3350</v>
      </c>
      <c r="G99" s="1428">
        <v>10000000</v>
      </c>
      <c r="H99" s="1060">
        <f t="shared" si="70"/>
        <v>0</v>
      </c>
      <c r="I99" s="1060">
        <f t="shared" si="71"/>
        <v>0</v>
      </c>
      <c r="J99" s="1117" t="s">
        <v>4929</v>
      </c>
      <c r="K99" s="1113" t="s">
        <v>4931</v>
      </c>
      <c r="L99" s="1113" t="s">
        <v>4931</v>
      </c>
      <c r="M99" s="1074">
        <v>0</v>
      </c>
      <c r="N99" s="1074">
        <v>0</v>
      </c>
      <c r="O99" s="1074">
        <v>0</v>
      </c>
      <c r="P99" s="1074"/>
      <c r="Q99" s="1074"/>
      <c r="R99" s="1074"/>
      <c r="S99" s="1117"/>
      <c r="T99" s="1117"/>
      <c r="U99" s="1117"/>
      <c r="V99" s="1117"/>
      <c r="W99" s="1117"/>
      <c r="X99" s="1117"/>
      <c r="Y99" s="1066">
        <f t="shared" si="72"/>
        <v>0</v>
      </c>
      <c r="Z99" s="149"/>
      <c r="AA99" s="149"/>
      <c r="AB99" s="149"/>
      <c r="AC99" s="149"/>
      <c r="AD99" s="149"/>
      <c r="AE99" s="1066">
        <f>10000000-10000000</f>
        <v>0</v>
      </c>
      <c r="AF99" s="149"/>
      <c r="AG99" s="149"/>
      <c r="AH99" s="149"/>
      <c r="AI99" s="149"/>
      <c r="AJ99" s="149"/>
      <c r="AK99" s="149"/>
      <c r="AL99" s="149"/>
      <c r="AM99" s="149"/>
      <c r="AN99" s="1066">
        <f>10000000-10000000</f>
        <v>0</v>
      </c>
      <c r="AO99" s="1066"/>
      <c r="AP99" s="1066"/>
      <c r="AQ99" s="1066"/>
      <c r="AR99" s="1066"/>
      <c r="AS99" s="1066"/>
      <c r="AU99" s="1081" t="e">
        <f t="shared" si="73"/>
        <v>#DIV/0!</v>
      </c>
      <c r="AV99" s="1066">
        <f t="shared" si="74"/>
        <v>0</v>
      </c>
      <c r="AW99" s="1066"/>
      <c r="AX99" s="1066"/>
      <c r="AY99" s="1066"/>
      <c r="AZ99" s="1066"/>
      <c r="BA99" s="1066"/>
      <c r="BB99" s="1066">
        <f>+'[15]FEBRERO 2015'!$N$1228-10000000</f>
        <v>0</v>
      </c>
      <c r="BC99" s="1066"/>
      <c r="BD99" s="1066"/>
      <c r="BE99" s="1066"/>
      <c r="BF99" s="1066"/>
      <c r="BG99" s="1066"/>
      <c r="BH99" s="1066"/>
      <c r="BI99" s="1066"/>
      <c r="BJ99" s="1066"/>
      <c r="BK99" s="1066">
        <f>+'[12]FEBRERO 2015'!$W$1302-10000000</f>
        <v>0</v>
      </c>
      <c r="BL99" s="1066"/>
      <c r="BM99" s="1066"/>
      <c r="BN99" s="1066"/>
      <c r="BO99" s="1066"/>
      <c r="BP99" s="1066"/>
      <c r="BQ99" s="1081" t="e">
        <f t="shared" si="94"/>
        <v>#DIV/0!</v>
      </c>
      <c r="BR99" s="1066">
        <f t="shared" si="75"/>
        <v>0</v>
      </c>
      <c r="BS99" s="1066">
        <f t="shared" si="76"/>
        <v>0</v>
      </c>
      <c r="BT99" s="1066">
        <f t="shared" si="77"/>
        <v>0</v>
      </c>
      <c r="BU99" s="1066"/>
      <c r="BV99" s="1066">
        <f t="shared" si="78"/>
        <v>0</v>
      </c>
      <c r="BW99" s="1066"/>
      <c r="BX99" s="1066">
        <f t="shared" si="79"/>
        <v>0</v>
      </c>
      <c r="BY99" s="1066">
        <f t="shared" si="79"/>
        <v>0</v>
      </c>
      <c r="BZ99" s="1066"/>
      <c r="CA99" s="1066">
        <f t="shared" si="92"/>
        <v>0</v>
      </c>
      <c r="CB99" s="1066">
        <f t="shared" si="92"/>
        <v>0</v>
      </c>
      <c r="CC99" s="1066"/>
      <c r="CD99" s="1066">
        <f t="shared" si="93"/>
        <v>0</v>
      </c>
      <c r="CE99" s="1066">
        <f t="shared" si="93"/>
        <v>0</v>
      </c>
      <c r="CF99" s="1066">
        <f t="shared" si="93"/>
        <v>0</v>
      </c>
      <c r="CG99" s="1066">
        <f t="shared" si="93"/>
        <v>0</v>
      </c>
      <c r="CH99" s="1066">
        <f t="shared" si="93"/>
        <v>0</v>
      </c>
      <c r="CI99" s="1066">
        <f t="shared" si="93"/>
        <v>0</v>
      </c>
      <c r="CJ99" s="1066"/>
      <c r="CK99" s="1066"/>
      <c r="CL99" s="1066">
        <f t="shared" si="81"/>
        <v>0</v>
      </c>
      <c r="CM99" s="1081" t="e">
        <f t="shared" si="82"/>
        <v>#DIV/0!</v>
      </c>
      <c r="CN99" s="1066">
        <f t="shared" si="83"/>
        <v>0</v>
      </c>
      <c r="CO99" s="1066"/>
      <c r="CP99" s="1066"/>
      <c r="CQ99" s="1066"/>
      <c r="CR99" s="1066"/>
      <c r="CS99" s="1066"/>
      <c r="CT99" s="1066"/>
      <c r="CU99" s="1066"/>
      <c r="CV99" s="1066"/>
      <c r="CW99" s="1066"/>
      <c r="CX99" s="1066"/>
      <c r="CY99" s="1066"/>
      <c r="CZ99" s="1066"/>
      <c r="DA99" s="1066"/>
      <c r="DB99" s="1066"/>
      <c r="DC99" s="1066"/>
      <c r="DD99" s="1066"/>
      <c r="DE99" s="1066"/>
      <c r="DF99" s="1066"/>
      <c r="DG99" s="1066"/>
      <c r="DH99" s="1066"/>
      <c r="DI99" s="1081" t="e">
        <f t="shared" si="84"/>
        <v>#DIV/0!</v>
      </c>
      <c r="DJ99" s="1066">
        <f t="shared" si="85"/>
        <v>0</v>
      </c>
      <c r="DK99" s="1066"/>
      <c r="DL99" s="1066"/>
      <c r="DM99" s="1066"/>
      <c r="DN99" s="1066">
        <f t="shared" si="86"/>
        <v>0</v>
      </c>
      <c r="DO99" s="1066"/>
      <c r="DP99" s="1066">
        <f t="shared" si="87"/>
        <v>0</v>
      </c>
      <c r="DQ99" s="1066">
        <f t="shared" si="87"/>
        <v>0</v>
      </c>
      <c r="DR99" s="1066"/>
      <c r="DS99" s="1066">
        <f t="shared" si="88"/>
        <v>0</v>
      </c>
      <c r="DT99" s="1066">
        <f t="shared" si="88"/>
        <v>0</v>
      </c>
      <c r="DU99" s="1066"/>
      <c r="DV99" s="1066">
        <f t="shared" si="89"/>
        <v>0</v>
      </c>
      <c r="DW99" s="1066">
        <f t="shared" si="89"/>
        <v>0</v>
      </c>
      <c r="DX99" s="1066">
        <f t="shared" si="89"/>
        <v>0</v>
      </c>
      <c r="DY99" s="1066">
        <f t="shared" si="90"/>
        <v>0</v>
      </c>
      <c r="DZ99" s="1066">
        <f t="shared" si="90"/>
        <v>0</v>
      </c>
      <c r="EA99" s="1066">
        <f t="shared" si="90"/>
        <v>0</v>
      </c>
      <c r="EB99" s="1066">
        <f t="shared" si="90"/>
        <v>0</v>
      </c>
      <c r="EC99" s="1066"/>
      <c r="ED99" s="1066">
        <f t="shared" si="91"/>
        <v>0</v>
      </c>
    </row>
    <row r="100" spans="1:134" s="203" customFormat="1" ht="25.5" hidden="1" customHeight="1" x14ac:dyDescent="0.25">
      <c r="A100" s="1578"/>
      <c r="B100" s="1580"/>
      <c r="C100" s="1582"/>
      <c r="D100" s="1580"/>
      <c r="E100" s="1580"/>
      <c r="F100" s="1430"/>
      <c r="G100" s="1430"/>
      <c r="H100" s="1060"/>
      <c r="I100" s="1060"/>
      <c r="J100" s="1117" t="s">
        <v>4930</v>
      </c>
      <c r="K100" s="1113" t="s">
        <v>4932</v>
      </c>
      <c r="L100" s="1113" t="s">
        <v>4932</v>
      </c>
      <c r="M100" s="1074">
        <v>0</v>
      </c>
      <c r="N100" s="1074">
        <v>0</v>
      </c>
      <c r="O100" s="1074">
        <v>0</v>
      </c>
      <c r="P100" s="1074"/>
      <c r="Q100" s="1074"/>
      <c r="R100" s="1074"/>
      <c r="S100" s="1117"/>
      <c r="T100" s="1117"/>
      <c r="U100" s="1117"/>
      <c r="V100" s="1117"/>
      <c r="W100" s="1117"/>
      <c r="X100" s="1117"/>
      <c r="Y100" s="1066"/>
      <c r="Z100" s="149"/>
      <c r="AA100" s="149"/>
      <c r="AB100" s="149"/>
      <c r="AC100" s="149"/>
      <c r="AD100" s="149"/>
      <c r="AE100" s="1083"/>
      <c r="AF100" s="149"/>
      <c r="AG100" s="149"/>
      <c r="AH100" s="149"/>
      <c r="AI100" s="149"/>
      <c r="AJ100" s="149"/>
      <c r="AK100" s="149"/>
      <c r="AL100" s="149"/>
      <c r="AM100" s="149"/>
      <c r="AN100" s="1066"/>
      <c r="AO100" s="1066"/>
      <c r="AP100" s="1066"/>
      <c r="AQ100" s="1066"/>
      <c r="AR100" s="1066"/>
      <c r="AS100" s="1066"/>
      <c r="AU100" s="1081"/>
      <c r="AV100" s="1066"/>
      <c r="AW100" s="1066"/>
      <c r="AX100" s="1066"/>
      <c r="AY100" s="1066"/>
      <c r="AZ100" s="1066"/>
      <c r="BA100" s="1066"/>
      <c r="BB100" s="1066"/>
      <c r="BC100" s="1066"/>
      <c r="BD100" s="1066"/>
      <c r="BE100" s="1066"/>
      <c r="BF100" s="1066"/>
      <c r="BG100" s="1066"/>
      <c r="BH100" s="1066"/>
      <c r="BI100" s="1066"/>
      <c r="BJ100" s="1066"/>
      <c r="BK100" s="1066"/>
      <c r="BL100" s="1066"/>
      <c r="BM100" s="1066"/>
      <c r="BN100" s="1066"/>
      <c r="BO100" s="1066"/>
      <c r="BP100" s="1066"/>
      <c r="BQ100" s="1081"/>
      <c r="BR100" s="1066"/>
      <c r="BS100" s="1066"/>
      <c r="BT100" s="1066"/>
      <c r="BU100" s="1066"/>
      <c r="BV100" s="1066"/>
      <c r="BW100" s="1066"/>
      <c r="BX100" s="1066"/>
      <c r="BY100" s="1066"/>
      <c r="BZ100" s="1066"/>
      <c r="CA100" s="1066"/>
      <c r="CB100" s="1066"/>
      <c r="CC100" s="1066"/>
      <c r="CD100" s="1066"/>
      <c r="CE100" s="1066"/>
      <c r="CF100" s="1066"/>
      <c r="CG100" s="1066"/>
      <c r="CH100" s="1066"/>
      <c r="CI100" s="1066"/>
      <c r="CJ100" s="1066"/>
      <c r="CK100" s="1066"/>
      <c r="CL100" s="1066"/>
      <c r="CM100" s="1081"/>
      <c r="CN100" s="1066"/>
      <c r="CO100" s="1066"/>
      <c r="CP100" s="1066"/>
      <c r="CQ100" s="1066"/>
      <c r="CR100" s="1066"/>
      <c r="CS100" s="1066"/>
      <c r="CT100" s="1066"/>
      <c r="CU100" s="1066"/>
      <c r="CV100" s="1066"/>
      <c r="CW100" s="1066"/>
      <c r="CX100" s="1066"/>
      <c r="CY100" s="1066"/>
      <c r="CZ100" s="1066"/>
      <c r="DA100" s="1066"/>
      <c r="DB100" s="1066"/>
      <c r="DC100" s="1066"/>
      <c r="DD100" s="1066"/>
      <c r="DE100" s="1066"/>
      <c r="DF100" s="1066"/>
      <c r="DG100" s="1066"/>
      <c r="DH100" s="1066"/>
      <c r="DI100" s="1081"/>
      <c r="DJ100" s="1066"/>
      <c r="DK100" s="1066"/>
      <c r="DL100" s="1066"/>
      <c r="DM100" s="1066"/>
      <c r="DN100" s="1066"/>
      <c r="DO100" s="1066"/>
      <c r="DP100" s="1066"/>
      <c r="DQ100" s="1066"/>
      <c r="DR100" s="1066"/>
      <c r="DS100" s="1066"/>
      <c r="DT100" s="1066"/>
      <c r="DU100" s="1066"/>
      <c r="DV100" s="1066"/>
      <c r="DW100" s="1066"/>
      <c r="DX100" s="1066"/>
      <c r="DY100" s="1066"/>
      <c r="DZ100" s="1066"/>
      <c r="EA100" s="1066"/>
      <c r="EB100" s="1066"/>
      <c r="EC100" s="1066"/>
      <c r="ED100" s="1066"/>
    </row>
    <row r="101" spans="1:134" ht="46.5" customHeight="1" x14ac:dyDescent="0.25">
      <c r="A101" s="1578"/>
      <c r="B101" s="1018" t="s">
        <v>4364</v>
      </c>
      <c r="C101" s="1114" t="s">
        <v>4437</v>
      </c>
      <c r="D101" s="1018" t="s">
        <v>4629</v>
      </c>
      <c r="E101" s="1019">
        <v>520</v>
      </c>
      <c r="F101" s="1117" t="s">
        <v>3350</v>
      </c>
      <c r="G101" s="1428">
        <v>361000000</v>
      </c>
      <c r="H101" s="1060">
        <f t="shared" si="70"/>
        <v>93970657</v>
      </c>
      <c r="I101" s="1060">
        <f>Y101-H101</f>
        <v>78180550</v>
      </c>
      <c r="J101" s="1123" t="s">
        <v>4895</v>
      </c>
      <c r="K101" s="1128" t="s">
        <v>4899</v>
      </c>
      <c r="L101" s="1128" t="s">
        <v>4901</v>
      </c>
      <c r="M101" s="1113">
        <v>24</v>
      </c>
      <c r="N101" s="1113">
        <v>0</v>
      </c>
      <c r="O101" s="1113">
        <v>0</v>
      </c>
      <c r="P101" s="1113">
        <v>54</v>
      </c>
      <c r="Q101" s="1113">
        <v>50</v>
      </c>
      <c r="R101" s="1113">
        <v>27</v>
      </c>
      <c r="S101" s="1117"/>
      <c r="T101" s="1117"/>
      <c r="U101" s="1117"/>
      <c r="V101" s="1117"/>
      <c r="W101" s="1117"/>
      <c r="X101" s="1117"/>
      <c r="Y101" s="1007">
        <f t="shared" si="72"/>
        <v>172151207</v>
      </c>
      <c r="Z101" s="944"/>
      <c r="AA101" s="944"/>
      <c r="AB101" s="944"/>
      <c r="AC101" s="1007">
        <f>80000000-72884540-7115460</f>
        <v>0</v>
      </c>
      <c r="AD101" s="1007">
        <v>72884540</v>
      </c>
      <c r="AE101" s="1016">
        <f>170000000-80733333</f>
        <v>89266667</v>
      </c>
      <c r="AF101" s="944"/>
      <c r="AG101" s="944"/>
      <c r="AH101" s="944"/>
      <c r="AI101" s="944"/>
      <c r="AJ101" s="944"/>
      <c r="AK101" s="149"/>
      <c r="AL101" s="944"/>
      <c r="AM101" s="944"/>
      <c r="AN101" s="1007">
        <v>10000000</v>
      </c>
      <c r="AO101" s="1007"/>
      <c r="AP101" s="1007"/>
      <c r="AQ101" s="1007"/>
      <c r="AR101" s="1007"/>
      <c r="AS101" s="1007"/>
      <c r="AT101" s="203"/>
      <c r="AU101" s="1010">
        <f t="shared" si="73"/>
        <v>0.57662486792787926</v>
      </c>
      <c r="AV101" s="1007">
        <f t="shared" si="74"/>
        <v>99266667</v>
      </c>
      <c r="AW101" s="1007"/>
      <c r="AX101" s="1007"/>
      <c r="AY101" s="1007"/>
      <c r="AZ101" s="1007"/>
      <c r="BA101" s="1007"/>
      <c r="BB101" s="1007">
        <f>+'[12]FEBRERO 2015'!$N$1309</f>
        <v>89266667</v>
      </c>
      <c r="BC101" s="1007"/>
      <c r="BD101" s="1007"/>
      <c r="BE101" s="1007"/>
      <c r="BF101" s="1007"/>
      <c r="BG101" s="1007"/>
      <c r="BH101" s="1007"/>
      <c r="BI101" s="1007"/>
      <c r="BJ101" s="1007"/>
      <c r="BK101" s="1007">
        <f>+'[12]FEBRERO 2015'!$W$1309</f>
        <v>10000000</v>
      </c>
      <c r="BL101" s="1007"/>
      <c r="BM101" s="1007"/>
      <c r="BN101" s="1007"/>
      <c r="BO101" s="1007"/>
      <c r="BP101" s="1007"/>
      <c r="BQ101" s="1010">
        <f t="shared" si="94"/>
        <v>0.42337513207212074</v>
      </c>
      <c r="BR101" s="1007">
        <f t="shared" si="75"/>
        <v>72884540</v>
      </c>
      <c r="BS101" s="1007">
        <f t="shared" si="76"/>
        <v>0</v>
      </c>
      <c r="BT101" s="1007">
        <f t="shared" si="77"/>
        <v>0</v>
      </c>
      <c r="BU101" s="1007"/>
      <c r="BV101" s="1007">
        <f t="shared" si="78"/>
        <v>0</v>
      </c>
      <c r="BW101" s="1007">
        <f>AD101-BA101</f>
        <v>72884540</v>
      </c>
      <c r="BX101" s="1007">
        <f t="shared" si="79"/>
        <v>0</v>
      </c>
      <c r="BY101" s="1007">
        <f t="shared" si="79"/>
        <v>0</v>
      </c>
      <c r="BZ101" s="1007"/>
      <c r="CA101" s="1007">
        <f t="shared" si="92"/>
        <v>0</v>
      </c>
      <c r="CB101" s="1007">
        <f t="shared" si="92"/>
        <v>0</v>
      </c>
      <c r="CC101" s="1007"/>
      <c r="CD101" s="1007">
        <f t="shared" si="93"/>
        <v>0</v>
      </c>
      <c r="CE101" s="1007">
        <f t="shared" si="93"/>
        <v>0</v>
      </c>
      <c r="CF101" s="1007">
        <f t="shared" si="93"/>
        <v>0</v>
      </c>
      <c r="CG101" s="1007">
        <f t="shared" si="93"/>
        <v>0</v>
      </c>
      <c r="CH101" s="1007">
        <f t="shared" si="93"/>
        <v>0</v>
      </c>
      <c r="CI101" s="1007">
        <f t="shared" si="93"/>
        <v>0</v>
      </c>
      <c r="CJ101" s="1007"/>
      <c r="CK101" s="1007"/>
      <c r="CL101" s="1007">
        <f t="shared" si="81"/>
        <v>0</v>
      </c>
      <c r="CM101" s="1010">
        <f t="shared" si="82"/>
        <v>0.54586115681431147</v>
      </c>
      <c r="CN101" s="1007">
        <f t="shared" si="83"/>
        <v>93970657</v>
      </c>
      <c r="CO101" s="1007"/>
      <c r="CP101" s="1007"/>
      <c r="CQ101" s="1007"/>
      <c r="CR101" s="1007"/>
      <c r="CS101" s="1007"/>
      <c r="CT101" s="1007">
        <f>+'[7]AGOSTO 2015'!$H$3044+'[7]AGOSTO 2015'!$H$3050</f>
        <v>83970657</v>
      </c>
      <c r="CU101" s="1007"/>
      <c r="CV101" s="1007"/>
      <c r="CW101" s="1007"/>
      <c r="CX101" s="1007"/>
      <c r="CY101" s="1007"/>
      <c r="CZ101" s="1007"/>
      <c r="DA101" s="1007"/>
      <c r="DB101" s="1007"/>
      <c r="DC101" s="1007">
        <f>+'[13]JUNIO 2015'!$H$2333</f>
        <v>10000000</v>
      </c>
      <c r="DD101" s="1007"/>
      <c r="DE101" s="1007"/>
      <c r="DF101" s="1007"/>
      <c r="DG101" s="1007"/>
      <c r="DH101" s="1007"/>
      <c r="DI101" s="1010">
        <f t="shared" si="84"/>
        <v>0.45413884318568853</v>
      </c>
      <c r="DJ101" s="1007">
        <f t="shared" si="85"/>
        <v>78180550</v>
      </c>
      <c r="DK101" s="1007"/>
      <c r="DL101" s="1007"/>
      <c r="DM101" s="1007"/>
      <c r="DN101" s="1007">
        <f t="shared" si="86"/>
        <v>0</v>
      </c>
      <c r="DO101" s="1007">
        <f>AD101-CS101</f>
        <v>72884540</v>
      </c>
      <c r="DP101" s="1007">
        <f t="shared" si="87"/>
        <v>5296010</v>
      </c>
      <c r="DQ101" s="1007">
        <f t="shared" si="87"/>
        <v>0</v>
      </c>
      <c r="DR101" s="1007"/>
      <c r="DS101" s="1007">
        <f t="shared" si="88"/>
        <v>0</v>
      </c>
      <c r="DT101" s="1007">
        <f t="shared" si="88"/>
        <v>0</v>
      </c>
      <c r="DU101" s="1007"/>
      <c r="DV101" s="1007">
        <f t="shared" si="89"/>
        <v>0</v>
      </c>
      <c r="DW101" s="1007">
        <f t="shared" si="89"/>
        <v>0</v>
      </c>
      <c r="DX101" s="1007">
        <f t="shared" si="89"/>
        <v>0</v>
      </c>
      <c r="DY101" s="1007">
        <f t="shared" si="90"/>
        <v>0</v>
      </c>
      <c r="DZ101" s="1007">
        <f t="shared" si="90"/>
        <v>0</v>
      </c>
      <c r="EA101" s="1007">
        <f t="shared" si="90"/>
        <v>0</v>
      </c>
      <c r="EB101" s="1007">
        <f t="shared" si="90"/>
        <v>0</v>
      </c>
      <c r="EC101" s="1007"/>
      <c r="ED101" s="1007">
        <f t="shared" si="91"/>
        <v>0</v>
      </c>
    </row>
    <row r="102" spans="1:134" ht="39" customHeight="1" x14ac:dyDescent="0.25">
      <c r="A102" s="1578"/>
      <c r="B102" s="1028"/>
      <c r="C102" s="1114" t="s">
        <v>4438</v>
      </c>
      <c r="D102" s="1018" t="s">
        <v>4706</v>
      </c>
      <c r="E102" s="1019">
        <v>520</v>
      </c>
      <c r="F102" s="1117" t="s">
        <v>3350</v>
      </c>
      <c r="G102" s="1429"/>
      <c r="H102" s="1060">
        <f t="shared" si="70"/>
        <v>110733333</v>
      </c>
      <c r="I102" s="1060">
        <f>Y102-H102</f>
        <v>0</v>
      </c>
      <c r="J102" s="1117" t="s">
        <v>4896</v>
      </c>
      <c r="K102" s="1113" t="s">
        <v>4898</v>
      </c>
      <c r="L102" s="1113" t="s">
        <v>4902</v>
      </c>
      <c r="M102" s="1113">
        <v>58</v>
      </c>
      <c r="N102" s="1113">
        <v>5</v>
      </c>
      <c r="O102" s="1113">
        <v>3</v>
      </c>
      <c r="P102" s="1113">
        <v>100</v>
      </c>
      <c r="Q102" s="1113">
        <v>40</v>
      </c>
      <c r="R102" s="1113">
        <v>40</v>
      </c>
      <c r="S102" s="1117"/>
      <c r="T102" s="1117"/>
      <c r="U102" s="1117"/>
      <c r="V102" s="1117"/>
      <c r="W102" s="1117"/>
      <c r="X102" s="1117"/>
      <c r="Y102" s="1007">
        <f t="shared" si="72"/>
        <v>110733333</v>
      </c>
      <c r="Z102" s="944"/>
      <c r="AA102" s="944"/>
      <c r="AB102" s="944"/>
      <c r="AC102" s="1007">
        <f>70000000-70000000</f>
        <v>0</v>
      </c>
      <c r="AD102" s="1007"/>
      <c r="AE102" s="1007">
        <f>30000000+80733333</f>
        <v>110733333</v>
      </c>
      <c r="AF102" s="944"/>
      <c r="AG102" s="944"/>
      <c r="AH102" s="944"/>
      <c r="AI102" s="944"/>
      <c r="AJ102" s="944"/>
      <c r="AK102" s="149"/>
      <c r="AL102" s="944"/>
      <c r="AM102" s="944"/>
      <c r="AN102" s="1007"/>
      <c r="AO102" s="1007"/>
      <c r="AP102" s="1007"/>
      <c r="AQ102" s="1007"/>
      <c r="AR102" s="1007"/>
      <c r="AS102" s="1007"/>
      <c r="AT102" s="203"/>
      <c r="AU102" s="1010">
        <f t="shared" si="73"/>
        <v>1</v>
      </c>
      <c r="AV102" s="1007">
        <f t="shared" si="74"/>
        <v>110733333</v>
      </c>
      <c r="AW102" s="1007"/>
      <c r="AX102" s="1007"/>
      <c r="AY102" s="1007"/>
      <c r="AZ102" s="1007">
        <f>+'[11]MARZO 2015'!$L$1529-70000000</f>
        <v>0</v>
      </c>
      <c r="BA102" s="1007"/>
      <c r="BB102" s="1007">
        <f>+'[11]MARZO 2015'!$N$1529</f>
        <v>110733333</v>
      </c>
      <c r="BC102" s="1007"/>
      <c r="BD102" s="1007"/>
      <c r="BE102" s="1007"/>
      <c r="BF102" s="1007"/>
      <c r="BG102" s="1007"/>
      <c r="BH102" s="1007"/>
      <c r="BI102" s="1007"/>
      <c r="BJ102" s="1007"/>
      <c r="BK102" s="1007"/>
      <c r="BL102" s="1007"/>
      <c r="BM102" s="1007"/>
      <c r="BN102" s="1007"/>
      <c r="BO102" s="1007"/>
      <c r="BP102" s="1007"/>
      <c r="BQ102" s="1010">
        <f t="shared" si="94"/>
        <v>0</v>
      </c>
      <c r="BR102" s="1007">
        <f t="shared" si="75"/>
        <v>0</v>
      </c>
      <c r="BS102" s="1007">
        <f t="shared" si="76"/>
        <v>0</v>
      </c>
      <c r="BT102" s="1007">
        <f t="shared" si="77"/>
        <v>0</v>
      </c>
      <c r="BU102" s="1007"/>
      <c r="BV102" s="1007">
        <f t="shared" si="78"/>
        <v>0</v>
      </c>
      <c r="BW102" s="1007"/>
      <c r="BX102" s="1007">
        <f t="shared" si="79"/>
        <v>0</v>
      </c>
      <c r="BY102" s="1007">
        <f t="shared" si="79"/>
        <v>0</v>
      </c>
      <c r="BZ102" s="1007"/>
      <c r="CA102" s="1007">
        <f t="shared" si="92"/>
        <v>0</v>
      </c>
      <c r="CB102" s="1007">
        <f t="shared" si="92"/>
        <v>0</v>
      </c>
      <c r="CC102" s="1007"/>
      <c r="CD102" s="1007">
        <f t="shared" si="93"/>
        <v>0</v>
      </c>
      <c r="CE102" s="1007">
        <f t="shared" si="93"/>
        <v>0</v>
      </c>
      <c r="CF102" s="1007">
        <f t="shared" si="93"/>
        <v>0</v>
      </c>
      <c r="CG102" s="1007">
        <f t="shared" si="93"/>
        <v>0</v>
      </c>
      <c r="CH102" s="1007">
        <f t="shared" si="93"/>
        <v>0</v>
      </c>
      <c r="CI102" s="1007">
        <f t="shared" si="93"/>
        <v>0</v>
      </c>
      <c r="CJ102" s="1007"/>
      <c r="CK102" s="1007"/>
      <c r="CL102" s="1007">
        <f t="shared" si="81"/>
        <v>0</v>
      </c>
      <c r="CM102" s="1010">
        <f t="shared" si="82"/>
        <v>1</v>
      </c>
      <c r="CN102" s="1007">
        <f t="shared" si="83"/>
        <v>110733333</v>
      </c>
      <c r="CO102" s="1007"/>
      <c r="CP102" s="1007"/>
      <c r="CQ102" s="1007"/>
      <c r="CR102" s="1007"/>
      <c r="CS102" s="1007"/>
      <c r="CT102" s="1007">
        <f>+'[10]JULIO 2015'!$H$2722</f>
        <v>110733333</v>
      </c>
      <c r="CU102" s="1007"/>
      <c r="CV102" s="1007"/>
      <c r="CW102" s="1007"/>
      <c r="CX102" s="1007"/>
      <c r="CY102" s="1007"/>
      <c r="CZ102" s="1007"/>
      <c r="DA102" s="1007"/>
      <c r="DB102" s="1007"/>
      <c r="DC102" s="1007"/>
      <c r="DD102" s="1007"/>
      <c r="DE102" s="1007"/>
      <c r="DF102" s="1007"/>
      <c r="DG102" s="1007"/>
      <c r="DH102" s="1007"/>
      <c r="DI102" s="1010">
        <f t="shared" si="84"/>
        <v>0</v>
      </c>
      <c r="DJ102" s="1007">
        <f t="shared" si="85"/>
        <v>0</v>
      </c>
      <c r="DK102" s="1007"/>
      <c r="DL102" s="1007"/>
      <c r="DM102" s="1007"/>
      <c r="DN102" s="1007">
        <f t="shared" si="86"/>
        <v>0</v>
      </c>
      <c r="DO102" s="1007"/>
      <c r="DP102" s="1007">
        <f t="shared" si="87"/>
        <v>0</v>
      </c>
      <c r="DQ102" s="1007">
        <f t="shared" si="87"/>
        <v>0</v>
      </c>
      <c r="DR102" s="1007"/>
      <c r="DS102" s="1007">
        <f t="shared" si="88"/>
        <v>0</v>
      </c>
      <c r="DT102" s="1007">
        <f t="shared" si="88"/>
        <v>0</v>
      </c>
      <c r="DU102" s="1007"/>
      <c r="DV102" s="1007">
        <f t="shared" si="89"/>
        <v>0</v>
      </c>
      <c r="DW102" s="1007">
        <f t="shared" si="89"/>
        <v>0</v>
      </c>
      <c r="DX102" s="1007">
        <f t="shared" si="89"/>
        <v>0</v>
      </c>
      <c r="DY102" s="1007">
        <f t="shared" si="90"/>
        <v>0</v>
      </c>
      <c r="DZ102" s="1007">
        <f t="shared" si="90"/>
        <v>0</v>
      </c>
      <c r="EA102" s="1007">
        <f t="shared" si="90"/>
        <v>0</v>
      </c>
      <c r="EB102" s="1007">
        <f t="shared" si="90"/>
        <v>0</v>
      </c>
      <c r="EC102" s="1007"/>
      <c r="ED102" s="1007">
        <f t="shared" si="91"/>
        <v>0</v>
      </c>
    </row>
    <row r="103" spans="1:134" ht="45.75" customHeight="1" x14ac:dyDescent="0.25">
      <c r="A103" s="1578"/>
      <c r="B103" s="1028"/>
      <c r="C103" s="1114" t="s">
        <v>4439</v>
      </c>
      <c r="D103" s="1018" t="s">
        <v>4630</v>
      </c>
      <c r="E103" s="1019">
        <v>520</v>
      </c>
      <c r="F103" s="1117" t="s">
        <v>4933</v>
      </c>
      <c r="G103" s="1430"/>
      <c r="H103" s="1060">
        <f t="shared" si="70"/>
        <v>14400000</v>
      </c>
      <c r="I103" s="1060">
        <f>Y103-H103</f>
        <v>23013108</v>
      </c>
      <c r="J103" s="1117" t="s">
        <v>4897</v>
      </c>
      <c r="K103" s="1113" t="s">
        <v>4900</v>
      </c>
      <c r="L103" s="1113" t="s">
        <v>4903</v>
      </c>
      <c r="M103" s="1113">
        <v>0</v>
      </c>
      <c r="N103" s="1113">
        <v>0</v>
      </c>
      <c r="O103" s="1113">
        <v>0</v>
      </c>
      <c r="P103" s="1113">
        <v>22</v>
      </c>
      <c r="Q103" s="1113">
        <v>0</v>
      </c>
      <c r="R103" s="1113">
        <v>0</v>
      </c>
      <c r="S103" s="1117"/>
      <c r="T103" s="1117"/>
      <c r="U103" s="1117"/>
      <c r="V103" s="1117"/>
      <c r="W103" s="1117"/>
      <c r="X103" s="1117"/>
      <c r="Y103" s="1007">
        <f t="shared" si="72"/>
        <v>37413108</v>
      </c>
      <c r="Z103" s="944"/>
      <c r="AA103" s="944"/>
      <c r="AB103" s="944"/>
      <c r="AC103" s="944"/>
      <c r="AD103" s="944"/>
      <c r="AE103" s="944"/>
      <c r="AF103" s="944"/>
      <c r="AG103" s="944"/>
      <c r="AH103" s="944"/>
      <c r="AI103" s="944"/>
      <c r="AJ103" s="944"/>
      <c r="AK103" s="149"/>
      <c r="AL103" s="944"/>
      <c r="AM103" s="944"/>
      <c r="AN103" s="1007"/>
      <c r="AO103" s="1007"/>
      <c r="AP103" s="1007"/>
      <c r="AQ103" s="1007"/>
      <c r="AR103" s="1007"/>
      <c r="AS103" s="1007">
        <f>3000000+8000000+20123209+4455882+1834017</f>
        <v>37413108</v>
      </c>
      <c r="AT103" s="203"/>
      <c r="AU103" s="1010">
        <f t="shared" si="73"/>
        <v>0.73715049281658185</v>
      </c>
      <c r="AV103" s="1007">
        <f t="shared" si="74"/>
        <v>27579091</v>
      </c>
      <c r="AW103" s="1007"/>
      <c r="AX103" s="1007"/>
      <c r="AY103" s="1007"/>
      <c r="AZ103" s="1007"/>
      <c r="BA103" s="1007"/>
      <c r="BB103" s="1007"/>
      <c r="BC103" s="1007"/>
      <c r="BD103" s="1007"/>
      <c r="BE103" s="1007"/>
      <c r="BF103" s="1007"/>
      <c r="BG103" s="1007"/>
      <c r="BH103" s="1007"/>
      <c r="BI103" s="1007"/>
      <c r="BJ103" s="1007"/>
      <c r="BK103" s="1007"/>
      <c r="BL103" s="1007"/>
      <c r="BM103" s="1007"/>
      <c r="BN103" s="1007"/>
      <c r="BO103" s="1007"/>
      <c r="BP103" s="1007">
        <f>+'[10]JULIO 2015'!$AD$2743</f>
        <v>27579091</v>
      </c>
      <c r="BQ103" s="1010">
        <f t="shared" si="94"/>
        <v>0.26284950718341815</v>
      </c>
      <c r="BR103" s="1007">
        <f t="shared" si="75"/>
        <v>9834017</v>
      </c>
      <c r="BS103" s="1007">
        <f t="shared" si="76"/>
        <v>0</v>
      </c>
      <c r="BT103" s="1007">
        <f t="shared" si="77"/>
        <v>0</v>
      </c>
      <c r="BU103" s="1007"/>
      <c r="BV103" s="1007">
        <f t="shared" si="78"/>
        <v>0</v>
      </c>
      <c r="BW103" s="1007"/>
      <c r="BX103" s="1007">
        <f t="shared" si="79"/>
        <v>0</v>
      </c>
      <c r="BY103" s="1007">
        <f t="shared" si="79"/>
        <v>0</v>
      </c>
      <c r="BZ103" s="1007"/>
      <c r="CA103" s="1007">
        <f t="shared" si="92"/>
        <v>0</v>
      </c>
      <c r="CB103" s="1007">
        <f t="shared" si="92"/>
        <v>0</v>
      </c>
      <c r="CC103" s="1007"/>
      <c r="CD103" s="1007">
        <f t="shared" si="93"/>
        <v>0</v>
      </c>
      <c r="CE103" s="1007">
        <f t="shared" si="93"/>
        <v>0</v>
      </c>
      <c r="CF103" s="1007">
        <f t="shared" si="93"/>
        <v>0</v>
      </c>
      <c r="CG103" s="1007">
        <f t="shared" si="93"/>
        <v>0</v>
      </c>
      <c r="CH103" s="1007">
        <f t="shared" si="93"/>
        <v>0</v>
      </c>
      <c r="CI103" s="1007">
        <f t="shared" si="93"/>
        <v>0</v>
      </c>
      <c r="CJ103" s="1007"/>
      <c r="CK103" s="1007"/>
      <c r="CL103" s="1007">
        <f t="shared" si="81"/>
        <v>9834017</v>
      </c>
      <c r="CM103" s="1010">
        <f t="shared" si="82"/>
        <v>0.38489184058164855</v>
      </c>
      <c r="CN103" s="1007">
        <f t="shared" si="83"/>
        <v>14400000</v>
      </c>
      <c r="CO103" s="1007"/>
      <c r="CP103" s="1007"/>
      <c r="CQ103" s="1007"/>
      <c r="CR103" s="1007"/>
      <c r="CS103" s="1007"/>
      <c r="CT103" s="1007"/>
      <c r="CU103" s="1007"/>
      <c r="CV103" s="1007"/>
      <c r="CW103" s="1007"/>
      <c r="CX103" s="1007"/>
      <c r="CY103" s="1007"/>
      <c r="CZ103" s="1007"/>
      <c r="DA103" s="1007"/>
      <c r="DB103" s="1007"/>
      <c r="DC103" s="1007"/>
      <c r="DD103" s="1007"/>
      <c r="DE103" s="1007"/>
      <c r="DF103" s="1007"/>
      <c r="DG103" s="1007"/>
      <c r="DH103" s="1007">
        <f>+'[8]SEPTIEMBRE 2015'!$H$3762</f>
        <v>14400000</v>
      </c>
      <c r="DI103" s="1010">
        <f t="shared" si="84"/>
        <v>0.6151081594183514</v>
      </c>
      <c r="DJ103" s="1007">
        <f t="shared" si="85"/>
        <v>23013108</v>
      </c>
      <c r="DK103" s="1007"/>
      <c r="DL103" s="1007"/>
      <c r="DM103" s="1007"/>
      <c r="DN103" s="1007">
        <f t="shared" si="86"/>
        <v>0</v>
      </c>
      <c r="DO103" s="1007"/>
      <c r="DP103" s="1007">
        <f t="shared" si="87"/>
        <v>0</v>
      </c>
      <c r="DQ103" s="1007">
        <f t="shared" si="87"/>
        <v>0</v>
      </c>
      <c r="DR103" s="1007"/>
      <c r="DS103" s="1007">
        <f t="shared" si="88"/>
        <v>0</v>
      </c>
      <c r="DT103" s="1007">
        <f t="shared" si="88"/>
        <v>0</v>
      </c>
      <c r="DU103" s="1007"/>
      <c r="DV103" s="1007">
        <f t="shared" si="89"/>
        <v>0</v>
      </c>
      <c r="DW103" s="1007">
        <f t="shared" si="89"/>
        <v>0</v>
      </c>
      <c r="DX103" s="1007">
        <f t="shared" si="89"/>
        <v>0</v>
      </c>
      <c r="DY103" s="1007">
        <f t="shared" si="90"/>
        <v>0</v>
      </c>
      <c r="DZ103" s="1007">
        <f t="shared" si="90"/>
        <v>0</v>
      </c>
      <c r="EA103" s="1007">
        <f t="shared" si="90"/>
        <v>0</v>
      </c>
      <c r="EB103" s="1007">
        <f t="shared" si="90"/>
        <v>0</v>
      </c>
      <c r="EC103" s="1007"/>
      <c r="ED103" s="1007">
        <f t="shared" si="91"/>
        <v>23013108</v>
      </c>
    </row>
    <row r="104" spans="1:134" s="948" customFormat="1" ht="21" customHeight="1" thickBot="1" x14ac:dyDescent="0.3">
      <c r="A104" s="1001"/>
      <c r="B104" s="1583" t="s">
        <v>4365</v>
      </c>
      <c r="C104" s="1584"/>
      <c r="D104" s="1584"/>
      <c r="E104" s="1584"/>
      <c r="F104" s="1585"/>
      <c r="G104" s="1008">
        <f>SUM(G68:G103)</f>
        <v>2832000000</v>
      </c>
      <c r="H104" s="1008">
        <f>SUM(H68:H103)</f>
        <v>1853898673</v>
      </c>
      <c r="I104" s="1008">
        <f>SUM(I68:I103)</f>
        <v>1135342598</v>
      </c>
      <c r="J104" s="1126"/>
      <c r="K104" s="1125"/>
      <c r="L104" s="1125"/>
      <c r="M104" s="1125"/>
      <c r="N104" s="1125"/>
      <c r="O104" s="1125"/>
      <c r="P104" s="1125"/>
      <c r="Q104" s="1125"/>
      <c r="R104" s="1125"/>
      <c r="S104" s="1126"/>
      <c r="T104" s="1126"/>
      <c r="U104" s="1126"/>
      <c r="V104" s="1126"/>
      <c r="W104" s="1126"/>
      <c r="X104" s="1126"/>
      <c r="Y104" s="1008">
        <f t="shared" ref="Y104:AS104" si="95">SUM(Y68:Y103)</f>
        <v>2989241271</v>
      </c>
      <c r="Z104" s="1008">
        <f t="shared" si="95"/>
        <v>0</v>
      </c>
      <c r="AA104" s="1008">
        <f t="shared" si="95"/>
        <v>0</v>
      </c>
      <c r="AB104" s="1008">
        <f t="shared" si="95"/>
        <v>0</v>
      </c>
      <c r="AC104" s="1008">
        <f t="shared" si="95"/>
        <v>50000000</v>
      </c>
      <c r="AD104" s="1008">
        <f t="shared" si="95"/>
        <v>72884540</v>
      </c>
      <c r="AE104" s="1008">
        <f t="shared" si="95"/>
        <v>660000000</v>
      </c>
      <c r="AF104" s="1008">
        <f t="shared" si="95"/>
        <v>923014856</v>
      </c>
      <c r="AG104" s="1008">
        <f t="shared" si="95"/>
        <v>0</v>
      </c>
      <c r="AH104" s="1008">
        <f t="shared" si="95"/>
        <v>0</v>
      </c>
      <c r="AI104" s="1008">
        <f t="shared" si="95"/>
        <v>0</v>
      </c>
      <c r="AJ104" s="1008">
        <f t="shared" si="95"/>
        <v>0</v>
      </c>
      <c r="AK104" s="1008">
        <f t="shared" si="95"/>
        <v>0</v>
      </c>
      <c r="AL104" s="1008">
        <f t="shared" si="95"/>
        <v>610864435</v>
      </c>
      <c r="AM104" s="1008">
        <f t="shared" si="95"/>
        <v>0</v>
      </c>
      <c r="AN104" s="1008">
        <f t="shared" si="95"/>
        <v>75000000</v>
      </c>
      <c r="AO104" s="1008">
        <f t="shared" si="95"/>
        <v>0</v>
      </c>
      <c r="AP104" s="1008">
        <f t="shared" si="95"/>
        <v>0</v>
      </c>
      <c r="AQ104" s="1008">
        <f t="shared" si="95"/>
        <v>0</v>
      </c>
      <c r="AR104" s="1008">
        <f t="shared" si="95"/>
        <v>0</v>
      </c>
      <c r="AS104" s="1008">
        <f t="shared" si="95"/>
        <v>597477440</v>
      </c>
      <c r="AU104" s="1011">
        <f t="shared" si="73"/>
        <v>0.81551392577437753</v>
      </c>
      <c r="AV104" s="1008">
        <f>SUM(AV68:AV103)</f>
        <v>2437767884</v>
      </c>
      <c r="AW104" s="1008">
        <f>SUM(AW68:AW103)</f>
        <v>0</v>
      </c>
      <c r="AX104" s="1008">
        <f>SUM(AX68:AX103)</f>
        <v>0</v>
      </c>
      <c r="AY104" s="1008"/>
      <c r="AZ104" s="1008">
        <f>SUM(AZ68:AZ103)</f>
        <v>50000000</v>
      </c>
      <c r="BA104" s="1008"/>
      <c r="BB104" s="1008">
        <f t="shared" ref="BB104:BP104" si="96">SUM(BB68:BB103)</f>
        <v>649180877</v>
      </c>
      <c r="BC104" s="1008">
        <f t="shared" si="96"/>
        <v>898014856</v>
      </c>
      <c r="BD104" s="1008">
        <f t="shared" si="96"/>
        <v>0</v>
      </c>
      <c r="BE104" s="1008">
        <f t="shared" si="96"/>
        <v>0</v>
      </c>
      <c r="BF104" s="1008">
        <f t="shared" si="96"/>
        <v>0</v>
      </c>
      <c r="BG104" s="1008">
        <f t="shared" si="96"/>
        <v>0</v>
      </c>
      <c r="BH104" s="1008">
        <f t="shared" si="96"/>
        <v>0</v>
      </c>
      <c r="BI104" s="1008">
        <f t="shared" si="96"/>
        <v>239671226</v>
      </c>
      <c r="BJ104" s="1008">
        <f t="shared" si="96"/>
        <v>0</v>
      </c>
      <c r="BK104" s="1008">
        <f t="shared" si="96"/>
        <v>56860700</v>
      </c>
      <c r="BL104" s="1008">
        <f t="shared" si="96"/>
        <v>0</v>
      </c>
      <c r="BM104" s="1008">
        <f t="shared" si="96"/>
        <v>0</v>
      </c>
      <c r="BN104" s="1008">
        <f t="shared" si="96"/>
        <v>0</v>
      </c>
      <c r="BO104" s="1008">
        <f t="shared" si="96"/>
        <v>0</v>
      </c>
      <c r="BP104" s="1008">
        <f t="shared" si="96"/>
        <v>544040225</v>
      </c>
      <c r="BQ104" s="1011">
        <f t="shared" si="94"/>
        <v>0.18448607422562247</v>
      </c>
      <c r="BR104" s="1008">
        <f t="shared" ref="BR104:CL104" si="97">SUM(BR68:BR103)</f>
        <v>551473387</v>
      </c>
      <c r="BS104" s="1008">
        <f t="shared" si="97"/>
        <v>0</v>
      </c>
      <c r="BT104" s="1008">
        <f t="shared" si="97"/>
        <v>0</v>
      </c>
      <c r="BU104" s="1008">
        <f t="shared" si="97"/>
        <v>0</v>
      </c>
      <c r="BV104" s="1008">
        <f t="shared" si="97"/>
        <v>0</v>
      </c>
      <c r="BW104" s="1008">
        <f t="shared" si="97"/>
        <v>72884540</v>
      </c>
      <c r="BX104" s="1008">
        <f t="shared" si="97"/>
        <v>10819123</v>
      </c>
      <c r="BY104" s="1008">
        <f t="shared" si="97"/>
        <v>25000000</v>
      </c>
      <c r="BZ104" s="1008">
        <f t="shared" si="97"/>
        <v>0</v>
      </c>
      <c r="CA104" s="1008">
        <f t="shared" si="97"/>
        <v>0</v>
      </c>
      <c r="CB104" s="1008">
        <f t="shared" si="97"/>
        <v>0</v>
      </c>
      <c r="CC104" s="1008">
        <f t="shared" si="97"/>
        <v>0</v>
      </c>
      <c r="CD104" s="1008">
        <f t="shared" si="97"/>
        <v>0</v>
      </c>
      <c r="CE104" s="1008">
        <f t="shared" si="97"/>
        <v>371193209</v>
      </c>
      <c r="CF104" s="1008">
        <f t="shared" si="97"/>
        <v>0</v>
      </c>
      <c r="CG104" s="1008">
        <f t="shared" si="97"/>
        <v>18139300</v>
      </c>
      <c r="CH104" s="1008">
        <f t="shared" si="97"/>
        <v>0</v>
      </c>
      <c r="CI104" s="1008">
        <f t="shared" si="97"/>
        <v>0</v>
      </c>
      <c r="CJ104" s="1008">
        <f t="shared" si="97"/>
        <v>0</v>
      </c>
      <c r="CK104" s="1008">
        <f t="shared" si="97"/>
        <v>0</v>
      </c>
      <c r="CL104" s="1008">
        <f t="shared" si="97"/>
        <v>53437215</v>
      </c>
      <c r="CM104" s="1011">
        <f t="shared" si="82"/>
        <v>0.62019037773414976</v>
      </c>
      <c r="CN104" s="1008">
        <f>SUM(CN68:CN103)</f>
        <v>1853898673</v>
      </c>
      <c r="CO104" s="1008">
        <f>SUM(CO68:CO103)</f>
        <v>0</v>
      </c>
      <c r="CP104" s="1008">
        <f>SUM(CP68:CP103)</f>
        <v>0</v>
      </c>
      <c r="CQ104" s="1008"/>
      <c r="CR104" s="1008">
        <f>SUM(CR68:CR103)</f>
        <v>40000000</v>
      </c>
      <c r="CS104" s="1008"/>
      <c r="CT104" s="1008">
        <f>SUM(CT68:CT103)</f>
        <v>492270188</v>
      </c>
      <c r="CU104" s="1008">
        <f>SUM(CU68:CU103)</f>
        <v>654040542</v>
      </c>
      <c r="CV104" s="1008"/>
      <c r="CW104" s="1008">
        <f t="shared" ref="CW104:DH104" si="98">SUM(CW68:CW103)</f>
        <v>0</v>
      </c>
      <c r="CX104" s="1008">
        <f t="shared" si="98"/>
        <v>0</v>
      </c>
      <c r="CY104" s="1008">
        <f t="shared" si="98"/>
        <v>0</v>
      </c>
      <c r="CZ104" s="1008">
        <f t="shared" si="98"/>
        <v>0</v>
      </c>
      <c r="DA104" s="1008">
        <f t="shared" si="98"/>
        <v>144717838</v>
      </c>
      <c r="DB104" s="1008">
        <f t="shared" si="98"/>
        <v>0</v>
      </c>
      <c r="DC104" s="1008">
        <f t="shared" si="98"/>
        <v>43207264</v>
      </c>
      <c r="DD104" s="1008">
        <f t="shared" si="98"/>
        <v>0</v>
      </c>
      <c r="DE104" s="1008">
        <f t="shared" si="98"/>
        <v>0</v>
      </c>
      <c r="DF104" s="1008">
        <f t="shared" si="98"/>
        <v>0</v>
      </c>
      <c r="DG104" s="1008">
        <f t="shared" si="98"/>
        <v>0</v>
      </c>
      <c r="DH104" s="1008">
        <f t="shared" si="98"/>
        <v>479662841</v>
      </c>
      <c r="DI104" s="1011">
        <f t="shared" si="84"/>
        <v>0.37980962226585024</v>
      </c>
      <c r="DJ104" s="1008">
        <f>SUM(DJ68:DJ103)</f>
        <v>1135342598</v>
      </c>
      <c r="DK104" s="1008">
        <f>SUM(DK68:DK103)</f>
        <v>0</v>
      </c>
      <c r="DL104" s="1008">
        <f>SUM(DL68:DL103)</f>
        <v>0</v>
      </c>
      <c r="DM104" s="1008"/>
      <c r="DN104" s="1008">
        <f t="shared" ref="DN104:ED104" si="99">SUM(DN68:DN103)</f>
        <v>10000000</v>
      </c>
      <c r="DO104" s="1008">
        <f t="shared" si="99"/>
        <v>72884540</v>
      </c>
      <c r="DP104" s="1008">
        <f t="shared" si="99"/>
        <v>167729812</v>
      </c>
      <c r="DQ104" s="1008">
        <f t="shared" si="99"/>
        <v>268974314</v>
      </c>
      <c r="DR104" s="1008">
        <f t="shared" si="99"/>
        <v>0</v>
      </c>
      <c r="DS104" s="1008">
        <f t="shared" si="99"/>
        <v>0</v>
      </c>
      <c r="DT104" s="1008">
        <f t="shared" si="99"/>
        <v>0</v>
      </c>
      <c r="DU104" s="1008">
        <f t="shared" si="99"/>
        <v>0</v>
      </c>
      <c r="DV104" s="1008">
        <f t="shared" si="99"/>
        <v>0</v>
      </c>
      <c r="DW104" s="1008">
        <f t="shared" si="99"/>
        <v>466146597</v>
      </c>
      <c r="DX104" s="1008">
        <f t="shared" si="99"/>
        <v>0</v>
      </c>
      <c r="DY104" s="1008">
        <f t="shared" si="99"/>
        <v>31792736</v>
      </c>
      <c r="DZ104" s="1008">
        <f t="shared" si="99"/>
        <v>0</v>
      </c>
      <c r="EA104" s="1008">
        <f t="shared" si="99"/>
        <v>0</v>
      </c>
      <c r="EB104" s="1008">
        <f t="shared" si="99"/>
        <v>0</v>
      </c>
      <c r="EC104" s="1008">
        <f t="shared" si="99"/>
        <v>0</v>
      </c>
      <c r="ED104" s="1036">
        <f t="shared" si="99"/>
        <v>117814599</v>
      </c>
    </row>
    <row r="105" spans="1:134" ht="6" customHeight="1" thickTop="1" x14ac:dyDescent="0.25">
      <c r="B105" s="1029"/>
      <c r="C105" s="1030"/>
      <c r="D105" s="1031"/>
      <c r="E105" s="997"/>
      <c r="F105" s="1032"/>
      <c r="G105" s="1032"/>
      <c r="H105" s="1032"/>
      <c r="I105" s="1032"/>
      <c r="J105" s="1032"/>
      <c r="K105" s="1075"/>
      <c r="L105" s="1075"/>
      <c r="M105" s="1075"/>
      <c r="N105" s="1075"/>
      <c r="O105" s="1075"/>
      <c r="P105" s="1075"/>
      <c r="Q105" s="1075"/>
      <c r="R105" s="1075"/>
      <c r="S105" s="1032"/>
      <c r="T105" s="1032"/>
      <c r="U105" s="1032"/>
      <c r="V105" s="1032"/>
      <c r="W105" s="1032"/>
      <c r="X105" s="1032"/>
      <c r="Y105" s="998"/>
      <c r="Z105" s="998"/>
      <c r="AA105" s="998"/>
      <c r="AB105" s="998"/>
      <c r="AC105" s="998"/>
      <c r="AD105" s="998"/>
      <c r="AE105" s="883"/>
      <c r="AF105" s="883"/>
      <c r="AG105" s="883"/>
      <c r="AH105" s="883"/>
      <c r="AI105" s="883"/>
      <c r="AJ105" s="883"/>
      <c r="AK105" s="883"/>
      <c r="AL105" s="883"/>
      <c r="AM105" s="883"/>
      <c r="AN105" s="883"/>
      <c r="AO105" s="883"/>
      <c r="AP105" s="883"/>
      <c r="AQ105" s="883"/>
      <c r="AR105" s="883"/>
      <c r="AS105" s="883"/>
      <c r="AT105" s="962"/>
      <c r="AU105" s="999"/>
      <c r="AV105" s="150"/>
      <c r="AW105" s="150"/>
      <c r="AX105" s="150"/>
      <c r="AY105" s="150"/>
      <c r="AZ105" s="150"/>
      <c r="BA105" s="150"/>
      <c r="BB105" s="225"/>
      <c r="BC105" s="225"/>
      <c r="BD105" s="225"/>
      <c r="BE105" s="225"/>
      <c r="BF105" s="225"/>
      <c r="BG105" s="225"/>
      <c r="BH105" s="225"/>
      <c r="BI105" s="225"/>
      <c r="BJ105" s="225"/>
      <c r="BK105" s="225"/>
      <c r="BL105" s="225"/>
      <c r="BM105" s="225"/>
      <c r="BN105" s="225"/>
      <c r="BO105" s="225"/>
      <c r="BP105" s="225"/>
      <c r="BQ105" s="1005"/>
      <c r="BR105" s="150"/>
      <c r="BS105" s="150"/>
      <c r="BT105" s="150"/>
      <c r="BU105" s="150"/>
      <c r="BV105" s="150"/>
      <c r="BW105" s="150"/>
      <c r="BX105" s="227"/>
      <c r="BY105" s="227"/>
      <c r="BZ105" s="227"/>
      <c r="CA105" s="227"/>
      <c r="CB105" s="227"/>
      <c r="CC105" s="227"/>
      <c r="CD105" s="227"/>
      <c r="CE105" s="227"/>
      <c r="CF105" s="227"/>
      <c r="CG105" s="227"/>
      <c r="CH105" s="227"/>
      <c r="CI105" s="227"/>
      <c r="CJ105" s="227"/>
      <c r="CK105" s="227"/>
      <c r="CL105" s="227"/>
      <c r="CM105" s="1005"/>
      <c r="CN105" s="150"/>
      <c r="CO105" s="150"/>
      <c r="CP105" s="150"/>
      <c r="CQ105" s="150"/>
      <c r="CR105" s="150"/>
      <c r="CS105" s="150"/>
      <c r="CT105" s="225"/>
      <c r="CU105" s="225"/>
      <c r="CV105" s="225"/>
      <c r="CW105" s="225"/>
      <c r="CX105" s="225"/>
      <c r="CY105" s="225"/>
      <c r="CZ105" s="225"/>
      <c r="DA105" s="225"/>
      <c r="DB105" s="225"/>
      <c r="DC105" s="225"/>
      <c r="DD105" s="225"/>
      <c r="DE105" s="225"/>
      <c r="DF105" s="225"/>
      <c r="DG105" s="225"/>
      <c r="DH105" s="225"/>
      <c r="DI105" s="1005"/>
      <c r="DJ105" s="150"/>
      <c r="DK105" s="150"/>
      <c r="DL105" s="150"/>
      <c r="DM105" s="150"/>
      <c r="DN105" s="150"/>
      <c r="DO105" s="150"/>
      <c r="DP105" s="227"/>
      <c r="DQ105" s="227"/>
      <c r="DR105" s="227"/>
      <c r="DS105" s="227"/>
      <c r="DT105" s="227"/>
      <c r="DU105" s="227"/>
      <c r="DV105" s="227"/>
      <c r="DW105" s="227"/>
      <c r="DX105" s="227"/>
      <c r="DY105" s="227"/>
      <c r="DZ105" s="227"/>
      <c r="EA105" s="227"/>
      <c r="EB105" s="227"/>
      <c r="EC105" s="227"/>
      <c r="ED105" s="227"/>
    </row>
    <row r="106" spans="1:134" s="948" customFormat="1" ht="27.75" customHeight="1" x14ac:dyDescent="0.25">
      <c r="A106" s="1586" t="s">
        <v>3307</v>
      </c>
      <c r="B106" s="1018" t="s">
        <v>4366</v>
      </c>
      <c r="C106" s="1114" t="s">
        <v>4440</v>
      </c>
      <c r="D106" s="1018" t="s">
        <v>4631</v>
      </c>
      <c r="E106" s="1019">
        <v>301</v>
      </c>
      <c r="F106" s="1117" t="s">
        <v>4661</v>
      </c>
      <c r="G106" s="1428">
        <v>325000000</v>
      </c>
      <c r="H106" s="1060">
        <f t="shared" ref="H106:H128" si="100">+CN106</f>
        <v>35078248</v>
      </c>
      <c r="I106" s="1060">
        <f t="shared" ref="I106:I115" si="101">Y106-H106</f>
        <v>40921752</v>
      </c>
      <c r="J106" s="1117" t="s">
        <v>4904</v>
      </c>
      <c r="K106" s="1113" t="s">
        <v>4909</v>
      </c>
      <c r="L106" s="1113" t="s">
        <v>4916</v>
      </c>
      <c r="M106" s="1113">
        <v>13</v>
      </c>
      <c r="N106" s="1113">
        <v>37</v>
      </c>
      <c r="O106" s="1113">
        <v>5</v>
      </c>
      <c r="P106" s="1113">
        <v>30</v>
      </c>
      <c r="Q106" s="1113">
        <v>71</v>
      </c>
      <c r="R106" s="1113">
        <v>21</v>
      </c>
      <c r="S106" s="1117"/>
      <c r="T106" s="1117"/>
      <c r="U106" s="1117"/>
      <c r="V106" s="1117"/>
      <c r="W106" s="1117"/>
      <c r="X106" s="1117"/>
      <c r="Y106" s="1007">
        <f t="shared" ref="Y106:Y128" si="102">SUM(Z106:AS106)</f>
        <v>76000000</v>
      </c>
      <c r="Z106" s="1007"/>
      <c r="AA106" s="1007">
        <f>6985144-6985144</f>
        <v>0</v>
      </c>
      <c r="AB106" s="1007"/>
      <c r="AC106" s="1007"/>
      <c r="AD106" s="1007"/>
      <c r="AE106" s="1007"/>
      <c r="AF106" s="1007"/>
      <c r="AG106" s="1007"/>
      <c r="AH106" s="1007"/>
      <c r="AI106" s="1007"/>
      <c r="AJ106" s="1007"/>
      <c r="AK106" s="1007"/>
      <c r="AL106" s="1007"/>
      <c r="AM106" s="1007"/>
      <c r="AN106" s="1007"/>
      <c r="AO106" s="1007">
        <v>6985144</v>
      </c>
      <c r="AP106" s="1007">
        <v>69014856</v>
      </c>
      <c r="AQ106" s="1007"/>
      <c r="AR106" s="1007"/>
      <c r="AS106" s="1007"/>
      <c r="AU106" s="1010">
        <f t="shared" ref="AU106:AU175" si="103">+AV106/Y106</f>
        <v>0.90809021052631578</v>
      </c>
      <c r="AV106" s="1007">
        <f t="shared" ref="AV106:AV128" si="104">SUM(AW106:BP106)</f>
        <v>69014856</v>
      </c>
      <c r="AW106" s="1007"/>
      <c r="AX106" s="1007"/>
      <c r="AY106" s="1007"/>
      <c r="AZ106" s="1007"/>
      <c r="BA106" s="1007"/>
      <c r="BB106" s="1007"/>
      <c r="BC106" s="1007"/>
      <c r="BD106" s="1007"/>
      <c r="BE106" s="1007"/>
      <c r="BF106" s="1007"/>
      <c r="BG106" s="1007"/>
      <c r="BH106" s="1007"/>
      <c r="BI106" s="1007"/>
      <c r="BJ106" s="1007"/>
      <c r="BK106" s="1007"/>
      <c r="BL106" s="1007"/>
      <c r="BM106" s="1007">
        <f>+'[16]ENERO 2015'!$W$295</f>
        <v>69014856</v>
      </c>
      <c r="BN106" s="1007"/>
      <c r="BO106" s="1007"/>
      <c r="BP106" s="1007"/>
      <c r="BQ106" s="1010">
        <f t="shared" ref="BQ106:BQ175" si="105">1-AU106</f>
        <v>9.1909789473684222E-2</v>
      </c>
      <c r="BR106" s="1007">
        <f t="shared" ref="BR106:BR128" si="106">SUM(BS106:CL106)</f>
        <v>6985144</v>
      </c>
      <c r="BS106" s="1007">
        <f t="shared" ref="BS106:BS113" si="107">+Z106-AW106</f>
        <v>0</v>
      </c>
      <c r="BT106" s="1007">
        <f t="shared" ref="BT106:BT113" si="108">AA106-AX106</f>
        <v>0</v>
      </c>
      <c r="BU106" s="1007"/>
      <c r="BV106" s="1007">
        <f t="shared" ref="BV106:BV113" si="109">AC106-AZ106</f>
        <v>0</v>
      </c>
      <c r="BW106" s="1007"/>
      <c r="BX106" s="1007">
        <f t="shared" ref="BX106:BY111" si="110">+AE106-BB106</f>
        <v>0</v>
      </c>
      <c r="BY106" s="1007">
        <f t="shared" si="110"/>
        <v>0</v>
      </c>
      <c r="BZ106" s="1007"/>
      <c r="CA106" s="1007"/>
      <c r="CB106" s="1007"/>
      <c r="CC106" s="1007"/>
      <c r="CD106" s="1007">
        <f t="shared" ref="CD106:CI128" si="111">+AK106-BH106</f>
        <v>0</v>
      </c>
      <c r="CE106" s="1007">
        <f t="shared" si="111"/>
        <v>0</v>
      </c>
      <c r="CF106" s="1007">
        <f t="shared" si="111"/>
        <v>0</v>
      </c>
      <c r="CG106" s="1007">
        <f t="shared" si="111"/>
        <v>0</v>
      </c>
      <c r="CH106" s="1007">
        <f t="shared" si="111"/>
        <v>6985144</v>
      </c>
      <c r="CI106" s="1007">
        <f t="shared" si="111"/>
        <v>0</v>
      </c>
      <c r="CJ106" s="1007"/>
      <c r="CK106" s="1007"/>
      <c r="CL106" s="1007">
        <f t="shared" ref="CL106:CL113" si="112">+AS106-BP106</f>
        <v>0</v>
      </c>
      <c r="CM106" s="1010">
        <f t="shared" ref="CM106:CM176" si="113">+CN106/Y106</f>
        <v>0.46155589473684211</v>
      </c>
      <c r="CN106" s="1007">
        <f t="shared" ref="CN106:CN128" si="114">SUM(CO106:DH106)</f>
        <v>35078248</v>
      </c>
      <c r="CO106" s="1007"/>
      <c r="CP106" s="1007"/>
      <c r="CQ106" s="1007"/>
      <c r="CR106" s="1007"/>
      <c r="CS106" s="1007"/>
      <c r="CT106" s="1007"/>
      <c r="CU106" s="1007"/>
      <c r="CV106" s="1007"/>
      <c r="CW106" s="1007"/>
      <c r="CX106" s="1007"/>
      <c r="CY106" s="1007"/>
      <c r="CZ106" s="1007"/>
      <c r="DA106" s="1007"/>
      <c r="DB106" s="1007"/>
      <c r="DC106" s="1007"/>
      <c r="DD106" s="1007"/>
      <c r="DE106" s="1007">
        <f>+'[8]SEPTIEMBRE 2015'!$H$959</f>
        <v>35078248</v>
      </c>
      <c r="DF106" s="1007"/>
      <c r="DG106" s="1007"/>
      <c r="DH106" s="1007"/>
      <c r="DI106" s="1010">
        <f t="shared" ref="DI106:DI175" si="115">1-CM106</f>
        <v>0.53844410526315789</v>
      </c>
      <c r="DJ106" s="1007">
        <f t="shared" ref="DJ106:DJ128" si="116">SUM(DK106:ED106)</f>
        <v>40921752</v>
      </c>
      <c r="DK106" s="1007">
        <f>Z106-CO106</f>
        <v>0</v>
      </c>
      <c r="DL106" s="1007">
        <f>AA106-CP106</f>
        <v>0</v>
      </c>
      <c r="DM106" s="1007">
        <f>AB106-CQ106</f>
        <v>0</v>
      </c>
      <c r="DN106" s="1007">
        <f>AC106-CR106</f>
        <v>0</v>
      </c>
      <c r="DO106" s="1007"/>
      <c r="DP106" s="1007">
        <f t="shared" ref="DP106:DQ111" si="117">AE106-CT106</f>
        <v>0</v>
      </c>
      <c r="DQ106" s="1007">
        <f t="shared" si="117"/>
        <v>0</v>
      </c>
      <c r="DR106" s="1007"/>
      <c r="DS106" s="1007">
        <f t="shared" ref="DS106:DT111" si="118">+AH106-CW106</f>
        <v>0</v>
      </c>
      <c r="DT106" s="1007">
        <f t="shared" si="118"/>
        <v>0</v>
      </c>
      <c r="DU106" s="1007"/>
      <c r="DV106" s="1007">
        <f t="shared" ref="DV106:DX111" si="119">AK106-CZ106</f>
        <v>0</v>
      </c>
      <c r="DW106" s="1007">
        <f t="shared" si="119"/>
        <v>0</v>
      </c>
      <c r="DX106" s="1007">
        <f t="shared" si="119"/>
        <v>0</v>
      </c>
      <c r="DY106" s="1007">
        <f t="shared" ref="DY106:EB111" si="120">+AN106-DC106</f>
        <v>0</v>
      </c>
      <c r="DZ106" s="1007">
        <f t="shared" si="120"/>
        <v>6985144</v>
      </c>
      <c r="EA106" s="1007">
        <f t="shared" si="120"/>
        <v>33936608</v>
      </c>
      <c r="EB106" s="1007">
        <f t="shared" si="120"/>
        <v>0</v>
      </c>
      <c r="EC106" s="1007"/>
      <c r="ED106" s="1007">
        <f t="shared" ref="ED106:ED113" si="121">+AS106-DH106</f>
        <v>0</v>
      </c>
    </row>
    <row r="107" spans="1:134" s="948" customFormat="1" ht="33.75" customHeight="1" x14ac:dyDescent="0.25">
      <c r="A107" s="1586"/>
      <c r="B107" s="1018"/>
      <c r="C107" s="1114" t="s">
        <v>4461</v>
      </c>
      <c r="D107" s="1018" t="s">
        <v>4632</v>
      </c>
      <c r="E107" s="1019">
        <v>301</v>
      </c>
      <c r="F107" s="1117" t="s">
        <v>4661</v>
      </c>
      <c r="G107" s="1429"/>
      <c r="H107" s="1060">
        <f t="shared" si="100"/>
        <v>52739455</v>
      </c>
      <c r="I107" s="1060">
        <f t="shared" si="101"/>
        <v>2260545</v>
      </c>
      <c r="J107" s="1428" t="s">
        <v>4905</v>
      </c>
      <c r="K107" s="1257" t="s">
        <v>4910</v>
      </c>
      <c r="L107" s="1257" t="s">
        <v>4917</v>
      </c>
      <c r="M107" s="1113">
        <v>24</v>
      </c>
      <c r="N107" s="1113">
        <v>34</v>
      </c>
      <c r="O107" s="1113">
        <v>8</v>
      </c>
      <c r="P107" s="1113">
        <v>36</v>
      </c>
      <c r="Q107" s="1113">
        <v>70</v>
      </c>
      <c r="R107" s="1113">
        <v>25</v>
      </c>
      <c r="S107" s="1117"/>
      <c r="T107" s="1117"/>
      <c r="U107" s="1117"/>
      <c r="V107" s="1117"/>
      <c r="W107" s="1117"/>
      <c r="X107" s="1117"/>
      <c r="Y107" s="1007">
        <f t="shared" si="102"/>
        <v>55000000</v>
      </c>
      <c r="Z107" s="1007"/>
      <c r="AA107" s="1007"/>
      <c r="AB107" s="1007"/>
      <c r="AC107" s="1007"/>
      <c r="AD107" s="1007"/>
      <c r="AE107" s="1007"/>
      <c r="AF107" s="1007"/>
      <c r="AG107" s="1007"/>
      <c r="AH107" s="1007"/>
      <c r="AI107" s="1007"/>
      <c r="AJ107" s="1007"/>
      <c r="AK107" s="1007"/>
      <c r="AL107" s="1007"/>
      <c r="AM107" s="1007"/>
      <c r="AN107" s="1007"/>
      <c r="AO107" s="1007"/>
      <c r="AP107" s="1007">
        <v>55000000</v>
      </c>
      <c r="AQ107" s="1007"/>
      <c r="AR107" s="1007"/>
      <c r="AS107" s="1007"/>
      <c r="AU107" s="1010">
        <f t="shared" si="103"/>
        <v>1</v>
      </c>
      <c r="AV107" s="1007">
        <f t="shared" si="104"/>
        <v>55000000</v>
      </c>
      <c r="AW107" s="1007"/>
      <c r="AX107" s="1007"/>
      <c r="AY107" s="1007"/>
      <c r="AZ107" s="1007"/>
      <c r="BA107" s="1007"/>
      <c r="BB107" s="1007"/>
      <c r="BC107" s="1007"/>
      <c r="BD107" s="1007"/>
      <c r="BE107" s="1007"/>
      <c r="BF107" s="1007"/>
      <c r="BG107" s="1007"/>
      <c r="BH107" s="1007"/>
      <c r="BI107" s="1007"/>
      <c r="BJ107" s="1007"/>
      <c r="BK107" s="1007"/>
      <c r="BL107" s="1007"/>
      <c r="BM107" s="1007">
        <f>+'[16]ENERO 2015'!$W$301</f>
        <v>55000000</v>
      </c>
      <c r="BN107" s="1007"/>
      <c r="BO107" s="1007"/>
      <c r="BP107" s="1007"/>
      <c r="BQ107" s="1010">
        <f t="shared" si="105"/>
        <v>0</v>
      </c>
      <c r="BR107" s="1007">
        <f t="shared" si="106"/>
        <v>0</v>
      </c>
      <c r="BS107" s="1007">
        <f t="shared" si="107"/>
        <v>0</v>
      </c>
      <c r="BT107" s="1007">
        <f t="shared" si="108"/>
        <v>0</v>
      </c>
      <c r="BU107" s="1007"/>
      <c r="BV107" s="1007">
        <f t="shared" si="109"/>
        <v>0</v>
      </c>
      <c r="BW107" s="1007"/>
      <c r="BX107" s="1007">
        <f t="shared" si="110"/>
        <v>0</v>
      </c>
      <c r="BY107" s="1007">
        <f t="shared" si="110"/>
        <v>0</v>
      </c>
      <c r="BZ107" s="1007"/>
      <c r="CA107" s="1007"/>
      <c r="CB107" s="1007"/>
      <c r="CC107" s="1007"/>
      <c r="CD107" s="1007">
        <f t="shared" si="111"/>
        <v>0</v>
      </c>
      <c r="CE107" s="1007">
        <f t="shared" si="111"/>
        <v>0</v>
      </c>
      <c r="CF107" s="1007">
        <f t="shared" si="111"/>
        <v>0</v>
      </c>
      <c r="CG107" s="1007">
        <f t="shared" si="111"/>
        <v>0</v>
      </c>
      <c r="CH107" s="1007">
        <f t="shared" si="111"/>
        <v>0</v>
      </c>
      <c r="CI107" s="1007">
        <f t="shared" si="111"/>
        <v>0</v>
      </c>
      <c r="CJ107" s="1007"/>
      <c r="CK107" s="1007"/>
      <c r="CL107" s="1007">
        <f t="shared" si="112"/>
        <v>0</v>
      </c>
      <c r="CM107" s="1010">
        <f t="shared" si="113"/>
        <v>0.95889918181818179</v>
      </c>
      <c r="CN107" s="1007">
        <f t="shared" si="114"/>
        <v>52739455</v>
      </c>
      <c r="CO107" s="1007"/>
      <c r="CP107" s="1007"/>
      <c r="CQ107" s="1007"/>
      <c r="CR107" s="1007"/>
      <c r="CS107" s="1007"/>
      <c r="CT107" s="1007"/>
      <c r="CU107" s="1007"/>
      <c r="CV107" s="1007"/>
      <c r="CW107" s="1007"/>
      <c r="CX107" s="1007"/>
      <c r="CY107" s="1007"/>
      <c r="CZ107" s="1007"/>
      <c r="DA107" s="1007"/>
      <c r="DB107" s="1007"/>
      <c r="DC107" s="1007"/>
      <c r="DD107" s="1007"/>
      <c r="DE107" s="1007">
        <f>+'[8]SEPTIEMBRE 2015'!$H$978</f>
        <v>52739455</v>
      </c>
      <c r="DF107" s="1007"/>
      <c r="DG107" s="1007"/>
      <c r="DH107" s="1007"/>
      <c r="DI107" s="1010">
        <f t="shared" si="115"/>
        <v>4.1100818181818211E-2</v>
      </c>
      <c r="DJ107" s="1007">
        <f t="shared" si="116"/>
        <v>2260545</v>
      </c>
      <c r="DK107" s="1007">
        <f t="shared" ref="DK107:DK113" si="122">Z107-CO107</f>
        <v>0</v>
      </c>
      <c r="DL107" s="1007"/>
      <c r="DM107" s="1007"/>
      <c r="DN107" s="1007">
        <f>AC107-CR107</f>
        <v>0</v>
      </c>
      <c r="DO107" s="1007"/>
      <c r="DP107" s="1007">
        <f t="shared" si="117"/>
        <v>0</v>
      </c>
      <c r="DQ107" s="1007">
        <f t="shared" si="117"/>
        <v>0</v>
      </c>
      <c r="DR107" s="1007"/>
      <c r="DS107" s="1007">
        <f t="shared" si="118"/>
        <v>0</v>
      </c>
      <c r="DT107" s="1007">
        <f t="shared" si="118"/>
        <v>0</v>
      </c>
      <c r="DU107" s="1007"/>
      <c r="DV107" s="1007">
        <f t="shared" si="119"/>
        <v>0</v>
      </c>
      <c r="DW107" s="1007">
        <f t="shared" si="119"/>
        <v>0</v>
      </c>
      <c r="DX107" s="1007">
        <f t="shared" si="119"/>
        <v>0</v>
      </c>
      <c r="DY107" s="1007">
        <f t="shared" si="120"/>
        <v>0</v>
      </c>
      <c r="DZ107" s="1007">
        <f t="shared" si="120"/>
        <v>0</v>
      </c>
      <c r="EA107" s="1007">
        <f t="shared" si="120"/>
        <v>2260545</v>
      </c>
      <c r="EB107" s="1007">
        <f t="shared" si="120"/>
        <v>0</v>
      </c>
      <c r="EC107" s="1007"/>
      <c r="ED107" s="1007">
        <f t="shared" si="121"/>
        <v>0</v>
      </c>
    </row>
    <row r="108" spans="1:134" s="948" customFormat="1" ht="35.25" customHeight="1" x14ac:dyDescent="0.25">
      <c r="A108" s="1586"/>
      <c r="B108" s="1018"/>
      <c r="C108" s="1114" t="s">
        <v>4462</v>
      </c>
      <c r="D108" s="1018" t="s">
        <v>4633</v>
      </c>
      <c r="E108" s="1019">
        <v>301</v>
      </c>
      <c r="F108" s="1117" t="s">
        <v>4661</v>
      </c>
      <c r="G108" s="1429"/>
      <c r="H108" s="1060">
        <f t="shared" si="100"/>
        <v>57332905</v>
      </c>
      <c r="I108" s="1060">
        <f t="shared" si="101"/>
        <v>2667095</v>
      </c>
      <c r="J108" s="1430"/>
      <c r="K108" s="1258"/>
      <c r="L108" s="1258"/>
      <c r="M108" s="1113">
        <v>44</v>
      </c>
      <c r="N108" s="1113">
        <v>23</v>
      </c>
      <c r="O108" s="1113">
        <v>10</v>
      </c>
      <c r="P108" s="1113">
        <v>44</v>
      </c>
      <c r="Q108" s="1113">
        <v>52</v>
      </c>
      <c r="R108" s="1113">
        <v>23</v>
      </c>
      <c r="S108" s="1117"/>
      <c r="T108" s="1117"/>
      <c r="U108" s="1117"/>
      <c r="V108" s="1117"/>
      <c r="W108" s="1117"/>
      <c r="X108" s="1117"/>
      <c r="Y108" s="1007">
        <f t="shared" si="102"/>
        <v>60000000</v>
      </c>
      <c r="Z108" s="1007"/>
      <c r="AA108" s="1007"/>
      <c r="AB108" s="1007"/>
      <c r="AC108" s="1007"/>
      <c r="AD108" s="1007"/>
      <c r="AE108" s="1007"/>
      <c r="AF108" s="1007"/>
      <c r="AG108" s="1007"/>
      <c r="AH108" s="1007"/>
      <c r="AI108" s="1007"/>
      <c r="AJ108" s="1007"/>
      <c r="AK108" s="1007"/>
      <c r="AL108" s="1007"/>
      <c r="AM108" s="1007"/>
      <c r="AN108" s="1007"/>
      <c r="AO108" s="1007"/>
      <c r="AP108" s="1007">
        <v>60000000</v>
      </c>
      <c r="AQ108" s="1007"/>
      <c r="AR108" s="1007"/>
      <c r="AS108" s="1007"/>
      <c r="AU108" s="1010">
        <f t="shared" si="103"/>
        <v>1</v>
      </c>
      <c r="AV108" s="1007">
        <f t="shared" si="104"/>
        <v>60000000</v>
      </c>
      <c r="AW108" s="1007"/>
      <c r="AX108" s="1007"/>
      <c r="AY108" s="1007"/>
      <c r="AZ108" s="1007"/>
      <c r="BA108" s="1007"/>
      <c r="BB108" s="1007"/>
      <c r="BC108" s="1007"/>
      <c r="BD108" s="1007"/>
      <c r="BE108" s="1007"/>
      <c r="BF108" s="1007"/>
      <c r="BG108" s="1007"/>
      <c r="BH108" s="1007"/>
      <c r="BI108" s="1007"/>
      <c r="BJ108" s="1007"/>
      <c r="BK108" s="1007"/>
      <c r="BL108" s="1007"/>
      <c r="BM108" s="1007">
        <f>+'[16]ENERO 2015'!$G$305</f>
        <v>60000000</v>
      </c>
      <c r="BN108" s="1007"/>
      <c r="BO108" s="1007"/>
      <c r="BP108" s="1007"/>
      <c r="BQ108" s="1010">
        <f t="shared" si="105"/>
        <v>0</v>
      </c>
      <c r="BR108" s="1007">
        <f t="shared" si="106"/>
        <v>0</v>
      </c>
      <c r="BS108" s="1007">
        <f t="shared" si="107"/>
        <v>0</v>
      </c>
      <c r="BT108" s="1007">
        <f t="shared" si="108"/>
        <v>0</v>
      </c>
      <c r="BU108" s="1007"/>
      <c r="BV108" s="1007">
        <f t="shared" si="109"/>
        <v>0</v>
      </c>
      <c r="BW108" s="1007"/>
      <c r="BX108" s="1007">
        <f t="shared" si="110"/>
        <v>0</v>
      </c>
      <c r="BY108" s="1007">
        <f t="shared" si="110"/>
        <v>0</v>
      </c>
      <c r="BZ108" s="1007"/>
      <c r="CA108" s="1007"/>
      <c r="CB108" s="1007"/>
      <c r="CC108" s="1007"/>
      <c r="CD108" s="1007">
        <f t="shared" si="111"/>
        <v>0</v>
      </c>
      <c r="CE108" s="1007">
        <f t="shared" si="111"/>
        <v>0</v>
      </c>
      <c r="CF108" s="1007">
        <f t="shared" si="111"/>
        <v>0</v>
      </c>
      <c r="CG108" s="1007">
        <f t="shared" si="111"/>
        <v>0</v>
      </c>
      <c r="CH108" s="1007">
        <f t="shared" si="111"/>
        <v>0</v>
      </c>
      <c r="CI108" s="1007">
        <f t="shared" si="111"/>
        <v>0</v>
      </c>
      <c r="CJ108" s="1007"/>
      <c r="CK108" s="1007"/>
      <c r="CL108" s="1007">
        <f t="shared" si="112"/>
        <v>0</v>
      </c>
      <c r="CM108" s="1010">
        <f t="shared" si="113"/>
        <v>0.95554841666666668</v>
      </c>
      <c r="CN108" s="1007">
        <f t="shared" si="114"/>
        <v>57332905</v>
      </c>
      <c r="CO108" s="1007"/>
      <c r="CP108" s="1007"/>
      <c r="CQ108" s="1007"/>
      <c r="CR108" s="1007"/>
      <c r="CS108" s="1007"/>
      <c r="CT108" s="1007"/>
      <c r="CU108" s="1007"/>
      <c r="CV108" s="1007"/>
      <c r="CW108" s="1007"/>
      <c r="CX108" s="1007"/>
      <c r="CY108" s="1007"/>
      <c r="CZ108" s="1007"/>
      <c r="DA108" s="1007"/>
      <c r="DB108" s="1007"/>
      <c r="DC108" s="1007"/>
      <c r="DD108" s="1007"/>
      <c r="DE108" s="1007">
        <f>+'[8]SEPTIEMBRE 2015'!$H$992</f>
        <v>57332905</v>
      </c>
      <c r="DF108" s="1007"/>
      <c r="DG108" s="1007"/>
      <c r="DH108" s="1007"/>
      <c r="DI108" s="1010">
        <f t="shared" si="115"/>
        <v>4.4451583333333322E-2</v>
      </c>
      <c r="DJ108" s="1007">
        <f t="shared" si="116"/>
        <v>2667095</v>
      </c>
      <c r="DK108" s="1007">
        <f t="shared" si="122"/>
        <v>0</v>
      </c>
      <c r="DL108" s="1007"/>
      <c r="DM108" s="1007"/>
      <c r="DN108" s="1007">
        <f>AC108-CR108</f>
        <v>0</v>
      </c>
      <c r="DO108" s="1007"/>
      <c r="DP108" s="1007">
        <f t="shared" si="117"/>
        <v>0</v>
      </c>
      <c r="DQ108" s="1007">
        <f t="shared" si="117"/>
        <v>0</v>
      </c>
      <c r="DR108" s="1007"/>
      <c r="DS108" s="1007">
        <f t="shared" si="118"/>
        <v>0</v>
      </c>
      <c r="DT108" s="1007">
        <f t="shared" si="118"/>
        <v>0</v>
      </c>
      <c r="DU108" s="1007"/>
      <c r="DV108" s="1007">
        <f t="shared" si="119"/>
        <v>0</v>
      </c>
      <c r="DW108" s="1007">
        <f t="shared" si="119"/>
        <v>0</v>
      </c>
      <c r="DX108" s="1007">
        <f t="shared" si="119"/>
        <v>0</v>
      </c>
      <c r="DY108" s="1007">
        <f t="shared" si="120"/>
        <v>0</v>
      </c>
      <c r="DZ108" s="1007">
        <f t="shared" si="120"/>
        <v>0</v>
      </c>
      <c r="EA108" s="1007">
        <f t="shared" si="120"/>
        <v>2667095</v>
      </c>
      <c r="EB108" s="1007">
        <f t="shared" si="120"/>
        <v>0</v>
      </c>
      <c r="EC108" s="1007"/>
      <c r="ED108" s="1007">
        <f t="shared" si="121"/>
        <v>0</v>
      </c>
    </row>
    <row r="109" spans="1:134" ht="44.25" customHeight="1" x14ac:dyDescent="0.25">
      <c r="A109" s="1586"/>
      <c r="B109" s="1018"/>
      <c r="C109" s="1114" t="s">
        <v>4463</v>
      </c>
      <c r="D109" s="1018" t="s">
        <v>4441</v>
      </c>
      <c r="E109" s="1019">
        <v>301</v>
      </c>
      <c r="F109" s="1117" t="s">
        <v>4738</v>
      </c>
      <c r="G109" s="1429"/>
      <c r="H109" s="1060">
        <f t="shared" si="100"/>
        <v>21234417</v>
      </c>
      <c r="I109" s="1060">
        <f t="shared" si="101"/>
        <v>12765583</v>
      </c>
      <c r="J109" s="1117" t="s">
        <v>4906</v>
      </c>
      <c r="K109" s="1113" t="s">
        <v>4911</v>
      </c>
      <c r="L109" s="1113" t="s">
        <v>4918</v>
      </c>
      <c r="M109" s="1113">
        <v>0</v>
      </c>
      <c r="N109" s="1113">
        <v>0</v>
      </c>
      <c r="O109" s="1113">
        <v>0</v>
      </c>
      <c r="P109" s="1113">
        <v>41</v>
      </c>
      <c r="Q109" s="1113">
        <v>10</v>
      </c>
      <c r="R109" s="1113">
        <v>4</v>
      </c>
      <c r="S109" s="1117"/>
      <c r="T109" s="1117"/>
      <c r="U109" s="1117"/>
      <c r="V109" s="1117"/>
      <c r="W109" s="1117"/>
      <c r="X109" s="1117"/>
      <c r="Y109" s="1007">
        <f t="shared" si="102"/>
        <v>34000000</v>
      </c>
      <c r="Z109" s="1007"/>
      <c r="AA109" s="1007"/>
      <c r="AB109" s="1007"/>
      <c r="AC109" s="1007"/>
      <c r="AD109" s="1007"/>
      <c r="AE109" s="1007"/>
      <c r="AF109" s="1007"/>
      <c r="AG109" s="1007"/>
      <c r="AH109" s="1007"/>
      <c r="AI109" s="1007"/>
      <c r="AJ109" s="1007"/>
      <c r="AK109" s="1007"/>
      <c r="AL109" s="1007"/>
      <c r="AM109" s="1007"/>
      <c r="AN109" s="1007"/>
      <c r="AO109" s="1007"/>
      <c r="AP109" s="1007"/>
      <c r="AQ109" s="1007"/>
      <c r="AR109" s="1007"/>
      <c r="AS109" s="1007">
        <f>6000000+15000000+4000000+9000000</f>
        <v>34000000</v>
      </c>
      <c r="AU109" s="1010">
        <f t="shared" si="103"/>
        <v>0.8529411764705882</v>
      </c>
      <c r="AV109" s="1007">
        <f t="shared" si="104"/>
        <v>29000000</v>
      </c>
      <c r="AW109" s="1007"/>
      <c r="AX109" s="1007"/>
      <c r="AY109" s="1007"/>
      <c r="AZ109" s="1007"/>
      <c r="BA109" s="1007"/>
      <c r="BB109" s="1007"/>
      <c r="BC109" s="1007"/>
      <c r="BD109" s="1007"/>
      <c r="BE109" s="1007"/>
      <c r="BF109" s="1007"/>
      <c r="BG109" s="1007"/>
      <c r="BH109" s="1007"/>
      <c r="BI109" s="1007"/>
      <c r="BJ109" s="1007"/>
      <c r="BK109" s="1007"/>
      <c r="BL109" s="1007"/>
      <c r="BM109" s="1007"/>
      <c r="BN109" s="1007"/>
      <c r="BO109" s="1007"/>
      <c r="BP109" s="1007">
        <f>+'[10]JULIO 2015'!$AD$771</f>
        <v>29000000</v>
      </c>
      <c r="BQ109" s="1010">
        <f t="shared" si="105"/>
        <v>0.1470588235294118</v>
      </c>
      <c r="BR109" s="1007">
        <f t="shared" si="106"/>
        <v>5000000</v>
      </c>
      <c r="BS109" s="1007">
        <f t="shared" si="107"/>
        <v>0</v>
      </c>
      <c r="BT109" s="1007">
        <f t="shared" si="108"/>
        <v>0</v>
      </c>
      <c r="BU109" s="1007"/>
      <c r="BV109" s="1007">
        <f t="shared" si="109"/>
        <v>0</v>
      </c>
      <c r="BW109" s="1007"/>
      <c r="BX109" s="1007">
        <f t="shared" si="110"/>
        <v>0</v>
      </c>
      <c r="BY109" s="1007">
        <f t="shared" si="110"/>
        <v>0</v>
      </c>
      <c r="BZ109" s="1007"/>
      <c r="CA109" s="1007">
        <f t="shared" ref="CA109:CC111" si="123">+AH109-BE109</f>
        <v>0</v>
      </c>
      <c r="CB109" s="1007">
        <f t="shared" si="123"/>
        <v>0</v>
      </c>
      <c r="CC109" s="1007">
        <f t="shared" si="123"/>
        <v>0</v>
      </c>
      <c r="CD109" s="1007">
        <f t="shared" si="111"/>
        <v>0</v>
      </c>
      <c r="CE109" s="1007">
        <f t="shared" si="111"/>
        <v>0</v>
      </c>
      <c r="CF109" s="1007">
        <f t="shared" si="111"/>
        <v>0</v>
      </c>
      <c r="CG109" s="1007">
        <f t="shared" si="111"/>
        <v>0</v>
      </c>
      <c r="CH109" s="1007">
        <f t="shared" si="111"/>
        <v>0</v>
      </c>
      <c r="CI109" s="1007">
        <f t="shared" si="111"/>
        <v>0</v>
      </c>
      <c r="CJ109" s="1007"/>
      <c r="CK109" s="1007"/>
      <c r="CL109" s="1007">
        <f t="shared" si="112"/>
        <v>5000000</v>
      </c>
      <c r="CM109" s="1010">
        <f t="shared" si="113"/>
        <v>0.62454167647058823</v>
      </c>
      <c r="CN109" s="1007">
        <f t="shared" si="114"/>
        <v>21234417</v>
      </c>
      <c r="CO109" s="1007"/>
      <c r="CP109" s="1007"/>
      <c r="CQ109" s="1007"/>
      <c r="CR109" s="1007"/>
      <c r="CS109" s="1007"/>
      <c r="CT109" s="1007"/>
      <c r="CU109" s="1007"/>
      <c r="CV109" s="1007"/>
      <c r="CW109" s="1007"/>
      <c r="CX109" s="1007"/>
      <c r="CY109" s="1007"/>
      <c r="CZ109" s="1007"/>
      <c r="DA109" s="1007"/>
      <c r="DB109" s="1007"/>
      <c r="DC109" s="1007"/>
      <c r="DD109" s="1007"/>
      <c r="DE109" s="1007"/>
      <c r="DF109" s="1007"/>
      <c r="DG109" s="1007"/>
      <c r="DH109" s="1007">
        <f>+'[8]SEPTIEMBRE 2015'!$H$1006</f>
        <v>21234417</v>
      </c>
      <c r="DI109" s="1010">
        <f t="shared" si="115"/>
        <v>0.37545832352941177</v>
      </c>
      <c r="DJ109" s="1007">
        <f t="shared" si="116"/>
        <v>12765583</v>
      </c>
      <c r="DK109" s="1007">
        <f t="shared" si="122"/>
        <v>0</v>
      </c>
      <c r="DL109" s="1007"/>
      <c r="DM109" s="1007"/>
      <c r="DN109" s="1007">
        <f>AC109-CR109</f>
        <v>0</v>
      </c>
      <c r="DO109" s="1007"/>
      <c r="DP109" s="1007">
        <f t="shared" si="117"/>
        <v>0</v>
      </c>
      <c r="DQ109" s="1007">
        <f t="shared" si="117"/>
        <v>0</v>
      </c>
      <c r="DR109" s="1007"/>
      <c r="DS109" s="1007">
        <f t="shared" si="118"/>
        <v>0</v>
      </c>
      <c r="DT109" s="1007">
        <f t="shared" si="118"/>
        <v>0</v>
      </c>
      <c r="DU109" s="1007"/>
      <c r="DV109" s="1007">
        <f t="shared" si="119"/>
        <v>0</v>
      </c>
      <c r="DW109" s="1007">
        <f t="shared" si="119"/>
        <v>0</v>
      </c>
      <c r="DX109" s="1007">
        <f t="shared" si="119"/>
        <v>0</v>
      </c>
      <c r="DY109" s="1007">
        <f t="shared" si="120"/>
        <v>0</v>
      </c>
      <c r="DZ109" s="1007">
        <f t="shared" si="120"/>
        <v>0</v>
      </c>
      <c r="EA109" s="1007">
        <f t="shared" si="120"/>
        <v>0</v>
      </c>
      <c r="EB109" s="1007">
        <f t="shared" si="120"/>
        <v>0</v>
      </c>
      <c r="EC109" s="1007"/>
      <c r="ED109" s="1007">
        <f t="shared" si="121"/>
        <v>12765583</v>
      </c>
    </row>
    <row r="110" spans="1:134" ht="58.5" customHeight="1" x14ac:dyDescent="0.25">
      <c r="A110" s="1586"/>
      <c r="B110" s="1018"/>
      <c r="C110" s="1114" t="s">
        <v>4464</v>
      </c>
      <c r="D110" s="1018" t="s">
        <v>4458</v>
      </c>
      <c r="E110" s="1019">
        <v>301</v>
      </c>
      <c r="F110" s="1117" t="s">
        <v>4661</v>
      </c>
      <c r="G110" s="1429"/>
      <c r="H110" s="1060">
        <f t="shared" si="100"/>
        <v>0</v>
      </c>
      <c r="I110" s="1060">
        <f t="shared" si="101"/>
        <v>24000000</v>
      </c>
      <c r="J110" s="1117" t="s">
        <v>4907</v>
      </c>
      <c r="K110" s="1113" t="s">
        <v>4912</v>
      </c>
      <c r="L110" s="1113" t="s">
        <v>4919</v>
      </c>
      <c r="M110" s="1113">
        <v>0</v>
      </c>
      <c r="N110" s="1113">
        <v>0</v>
      </c>
      <c r="O110" s="1113">
        <v>0</v>
      </c>
      <c r="P110" s="1113">
        <v>0</v>
      </c>
      <c r="Q110" s="1113">
        <v>0</v>
      </c>
      <c r="R110" s="1113">
        <v>0</v>
      </c>
      <c r="S110" s="1117"/>
      <c r="T110" s="1117"/>
      <c r="U110" s="1117"/>
      <c r="V110" s="1117"/>
      <c r="W110" s="1117"/>
      <c r="X110" s="1117"/>
      <c r="Y110" s="1007">
        <f t="shared" si="102"/>
        <v>24000000</v>
      </c>
      <c r="Z110" s="1007"/>
      <c r="AA110" s="1007"/>
      <c r="AB110" s="1007"/>
      <c r="AC110" s="1007"/>
      <c r="AD110" s="1007"/>
      <c r="AE110" s="1007"/>
      <c r="AF110" s="1007"/>
      <c r="AG110" s="1007"/>
      <c r="AH110" s="1007"/>
      <c r="AI110" s="1007"/>
      <c r="AJ110" s="1007"/>
      <c r="AK110" s="1007"/>
      <c r="AL110" s="1007"/>
      <c r="AM110" s="1007"/>
      <c r="AN110" s="1007"/>
      <c r="AO110" s="1007"/>
      <c r="AP110" s="1007">
        <v>24000000</v>
      </c>
      <c r="AQ110" s="1007"/>
      <c r="AR110" s="1007"/>
      <c r="AS110" s="1007"/>
      <c r="AU110" s="1010">
        <f t="shared" si="103"/>
        <v>0</v>
      </c>
      <c r="AV110" s="1007">
        <f t="shared" si="104"/>
        <v>0</v>
      </c>
      <c r="AW110" s="1007"/>
      <c r="AX110" s="1007"/>
      <c r="AY110" s="1007"/>
      <c r="AZ110" s="1007"/>
      <c r="BA110" s="1007"/>
      <c r="BB110" s="1007"/>
      <c r="BC110" s="1007"/>
      <c r="BD110" s="1007"/>
      <c r="BE110" s="1007"/>
      <c r="BF110" s="1007"/>
      <c r="BG110" s="1007"/>
      <c r="BH110" s="1007"/>
      <c r="BI110" s="1007"/>
      <c r="BJ110" s="1007"/>
      <c r="BK110" s="1007"/>
      <c r="BL110" s="1007"/>
      <c r="BM110" s="1007"/>
      <c r="BN110" s="1007"/>
      <c r="BO110" s="1007"/>
      <c r="BP110" s="1007"/>
      <c r="BQ110" s="1010">
        <f t="shared" si="105"/>
        <v>1</v>
      </c>
      <c r="BR110" s="1007">
        <f t="shared" si="106"/>
        <v>24000000</v>
      </c>
      <c r="BS110" s="1007">
        <f t="shared" si="107"/>
        <v>0</v>
      </c>
      <c r="BT110" s="1007">
        <f t="shared" si="108"/>
        <v>0</v>
      </c>
      <c r="BU110" s="1007"/>
      <c r="BV110" s="1007">
        <f t="shared" si="109"/>
        <v>0</v>
      </c>
      <c r="BW110" s="1007"/>
      <c r="BX110" s="1007">
        <f t="shared" si="110"/>
        <v>0</v>
      </c>
      <c r="BY110" s="1007">
        <f t="shared" si="110"/>
        <v>0</v>
      </c>
      <c r="BZ110" s="1007"/>
      <c r="CA110" s="1007">
        <f t="shared" si="123"/>
        <v>0</v>
      </c>
      <c r="CB110" s="1007">
        <f t="shared" si="123"/>
        <v>0</v>
      </c>
      <c r="CC110" s="1007">
        <f t="shared" si="123"/>
        <v>0</v>
      </c>
      <c r="CD110" s="1007">
        <f t="shared" si="111"/>
        <v>0</v>
      </c>
      <c r="CE110" s="1007">
        <f t="shared" si="111"/>
        <v>0</v>
      </c>
      <c r="CF110" s="1007">
        <f t="shared" si="111"/>
        <v>0</v>
      </c>
      <c r="CG110" s="1007">
        <f t="shared" si="111"/>
        <v>0</v>
      </c>
      <c r="CH110" s="1007">
        <f t="shared" si="111"/>
        <v>0</v>
      </c>
      <c r="CI110" s="1007">
        <f t="shared" si="111"/>
        <v>24000000</v>
      </c>
      <c r="CJ110" s="1007"/>
      <c r="CK110" s="1007"/>
      <c r="CL110" s="1007">
        <f t="shared" si="112"/>
        <v>0</v>
      </c>
      <c r="CM110" s="1010">
        <f t="shared" si="113"/>
        <v>0</v>
      </c>
      <c r="CN110" s="1007">
        <f t="shared" si="114"/>
        <v>0</v>
      </c>
      <c r="CO110" s="1007"/>
      <c r="CP110" s="1007"/>
      <c r="CQ110" s="1007"/>
      <c r="CR110" s="1007"/>
      <c r="CS110" s="1007"/>
      <c r="CT110" s="1007"/>
      <c r="CU110" s="1007"/>
      <c r="CV110" s="1007"/>
      <c r="CW110" s="1007"/>
      <c r="CX110" s="1007"/>
      <c r="CY110" s="1007"/>
      <c r="CZ110" s="1007"/>
      <c r="DA110" s="1007"/>
      <c r="DB110" s="1007"/>
      <c r="DC110" s="1007"/>
      <c r="DD110" s="1007"/>
      <c r="DE110" s="1007"/>
      <c r="DF110" s="1007"/>
      <c r="DG110" s="1007"/>
      <c r="DH110" s="1007"/>
      <c r="DI110" s="1010">
        <f t="shared" si="115"/>
        <v>1</v>
      </c>
      <c r="DJ110" s="1007">
        <f t="shared" si="116"/>
        <v>24000000</v>
      </c>
      <c r="DK110" s="1007">
        <f t="shared" si="122"/>
        <v>0</v>
      </c>
      <c r="DL110" s="1007"/>
      <c r="DM110" s="1007"/>
      <c r="DN110" s="1007">
        <f>AC110-CR110</f>
        <v>0</v>
      </c>
      <c r="DO110" s="1007"/>
      <c r="DP110" s="1007">
        <f t="shared" si="117"/>
        <v>0</v>
      </c>
      <c r="DQ110" s="1007">
        <f t="shared" si="117"/>
        <v>0</v>
      </c>
      <c r="DR110" s="1007"/>
      <c r="DS110" s="1007">
        <f t="shared" si="118"/>
        <v>0</v>
      </c>
      <c r="DT110" s="1007">
        <f t="shared" si="118"/>
        <v>0</v>
      </c>
      <c r="DU110" s="1007"/>
      <c r="DV110" s="1007">
        <f t="shared" si="119"/>
        <v>0</v>
      </c>
      <c r="DW110" s="1007">
        <f t="shared" si="119"/>
        <v>0</v>
      </c>
      <c r="DX110" s="1007">
        <f t="shared" si="119"/>
        <v>0</v>
      </c>
      <c r="DY110" s="1007">
        <f t="shared" si="120"/>
        <v>0</v>
      </c>
      <c r="DZ110" s="1007">
        <f t="shared" si="120"/>
        <v>0</v>
      </c>
      <c r="EA110" s="1007">
        <f t="shared" si="120"/>
        <v>24000000</v>
      </c>
      <c r="EB110" s="1007">
        <f t="shared" si="120"/>
        <v>0</v>
      </c>
      <c r="EC110" s="1007"/>
      <c r="ED110" s="1007">
        <f t="shared" si="121"/>
        <v>0</v>
      </c>
    </row>
    <row r="111" spans="1:134" ht="33" customHeight="1" x14ac:dyDescent="0.25">
      <c r="A111" s="1586"/>
      <c r="B111" s="1018"/>
      <c r="C111" s="1114" t="s">
        <v>4465</v>
      </c>
      <c r="D111" s="1018" t="s">
        <v>4457</v>
      </c>
      <c r="E111" s="1019">
        <v>301</v>
      </c>
      <c r="F111" s="1117" t="s">
        <v>4661</v>
      </c>
      <c r="G111" s="1429"/>
      <c r="H111" s="1060">
        <f t="shared" si="100"/>
        <v>26928499</v>
      </c>
      <c r="I111" s="1060">
        <f t="shared" si="101"/>
        <v>58071501</v>
      </c>
      <c r="J111" s="1428" t="s">
        <v>4908</v>
      </c>
      <c r="K111" s="1257" t="s">
        <v>4913</v>
      </c>
      <c r="L111" s="1257" t="s">
        <v>4920</v>
      </c>
      <c r="M111" s="1113">
        <v>10</v>
      </c>
      <c r="N111" s="1113">
        <v>0</v>
      </c>
      <c r="O111" s="1113">
        <v>0</v>
      </c>
      <c r="P111" s="1113">
        <v>24</v>
      </c>
      <c r="Q111" s="1113">
        <v>12</v>
      </c>
      <c r="R111" s="1113">
        <v>3</v>
      </c>
      <c r="S111" s="1117"/>
      <c r="T111" s="1117"/>
      <c r="U111" s="1117"/>
      <c r="V111" s="1117"/>
      <c r="W111" s="1117"/>
      <c r="X111" s="1117"/>
      <c r="Y111" s="1007">
        <f t="shared" si="102"/>
        <v>85000000</v>
      </c>
      <c r="Z111" s="1007"/>
      <c r="AA111" s="1007"/>
      <c r="AB111" s="1007"/>
      <c r="AC111" s="1007"/>
      <c r="AD111" s="1007"/>
      <c r="AE111" s="1007"/>
      <c r="AF111" s="1007"/>
      <c r="AG111" s="1007"/>
      <c r="AH111" s="1007"/>
      <c r="AI111" s="1007"/>
      <c r="AJ111" s="1007"/>
      <c r="AK111" s="1007"/>
      <c r="AL111" s="1007"/>
      <c r="AM111" s="1007">
        <v>11406867</v>
      </c>
      <c r="AN111" s="1007"/>
      <c r="AO111" s="1007"/>
      <c r="AP111" s="1007">
        <v>73593133</v>
      </c>
      <c r="AQ111" s="1007"/>
      <c r="AR111" s="1007"/>
      <c r="AS111" s="1007"/>
      <c r="AU111" s="1010">
        <f t="shared" si="103"/>
        <v>1</v>
      </c>
      <c r="AV111" s="1007">
        <f t="shared" si="104"/>
        <v>85000000</v>
      </c>
      <c r="AW111" s="1007"/>
      <c r="AX111" s="1007"/>
      <c r="AY111" s="1007"/>
      <c r="AZ111" s="1007"/>
      <c r="BA111" s="1007"/>
      <c r="BB111" s="1007"/>
      <c r="BC111" s="1007"/>
      <c r="BD111" s="1007"/>
      <c r="BE111" s="1007"/>
      <c r="BF111" s="1007"/>
      <c r="BG111" s="1007"/>
      <c r="BH111" s="1007"/>
      <c r="BI111" s="1007"/>
      <c r="BJ111" s="1007">
        <f>+'[16]ENERO 2015'!$T$326</f>
        <v>11406867</v>
      </c>
      <c r="BK111" s="1007"/>
      <c r="BL111" s="1007"/>
      <c r="BM111" s="1007">
        <f>+'[16]ENERO 2015'!$W$326</f>
        <v>73593133</v>
      </c>
      <c r="BN111" s="1007"/>
      <c r="BO111" s="1007"/>
      <c r="BP111" s="1007"/>
      <c r="BQ111" s="1010">
        <f t="shared" si="105"/>
        <v>0</v>
      </c>
      <c r="BR111" s="1007">
        <f t="shared" si="106"/>
        <v>0</v>
      </c>
      <c r="BS111" s="1007">
        <f t="shared" si="107"/>
        <v>0</v>
      </c>
      <c r="BT111" s="1007">
        <f t="shared" si="108"/>
        <v>0</v>
      </c>
      <c r="BU111" s="1007"/>
      <c r="BV111" s="1007">
        <f t="shared" si="109"/>
        <v>0</v>
      </c>
      <c r="BW111" s="1007"/>
      <c r="BX111" s="1007">
        <f t="shared" si="110"/>
        <v>0</v>
      </c>
      <c r="BY111" s="1007">
        <f t="shared" si="110"/>
        <v>0</v>
      </c>
      <c r="BZ111" s="1007"/>
      <c r="CA111" s="1007">
        <f t="shared" si="123"/>
        <v>0</v>
      </c>
      <c r="CB111" s="1007">
        <f t="shared" si="123"/>
        <v>0</v>
      </c>
      <c r="CC111" s="1007">
        <f t="shared" si="123"/>
        <v>0</v>
      </c>
      <c r="CD111" s="1007">
        <f t="shared" si="111"/>
        <v>0</v>
      </c>
      <c r="CE111" s="1007">
        <f t="shared" si="111"/>
        <v>0</v>
      </c>
      <c r="CF111" s="1007">
        <f t="shared" si="111"/>
        <v>0</v>
      </c>
      <c r="CG111" s="1007">
        <f t="shared" si="111"/>
        <v>0</v>
      </c>
      <c r="CH111" s="1007">
        <f t="shared" si="111"/>
        <v>0</v>
      </c>
      <c r="CI111" s="1007">
        <f t="shared" si="111"/>
        <v>0</v>
      </c>
      <c r="CJ111" s="1007"/>
      <c r="CK111" s="1007"/>
      <c r="CL111" s="1007">
        <f t="shared" si="112"/>
        <v>0</v>
      </c>
      <c r="CM111" s="1010">
        <f t="shared" si="113"/>
        <v>0.31680587058823528</v>
      </c>
      <c r="CN111" s="1007">
        <f t="shared" si="114"/>
        <v>26928499</v>
      </c>
      <c r="CO111" s="1007"/>
      <c r="CP111" s="1007"/>
      <c r="CQ111" s="1007"/>
      <c r="CR111" s="1007"/>
      <c r="CS111" s="1007"/>
      <c r="CT111" s="1007"/>
      <c r="CU111" s="1007"/>
      <c r="CV111" s="1007"/>
      <c r="CW111" s="1007"/>
      <c r="CX111" s="1007"/>
      <c r="CY111" s="1007"/>
      <c r="CZ111" s="1007"/>
      <c r="DA111" s="1007"/>
      <c r="DB111" s="1007">
        <v>8728499</v>
      </c>
      <c r="DC111" s="1007"/>
      <c r="DD111" s="1007"/>
      <c r="DE111" s="1007">
        <f>+'[8]SEPTIEMBRE 2015'!$H$1045</f>
        <v>18200000</v>
      </c>
      <c r="DF111" s="1007"/>
      <c r="DG111" s="1007"/>
      <c r="DH111" s="1007"/>
      <c r="DI111" s="1010">
        <f t="shared" si="115"/>
        <v>0.68319412941176472</v>
      </c>
      <c r="DJ111" s="1007">
        <f t="shared" si="116"/>
        <v>58071501</v>
      </c>
      <c r="DK111" s="1007">
        <f t="shared" si="122"/>
        <v>0</v>
      </c>
      <c r="DL111" s="1007"/>
      <c r="DM111" s="1007"/>
      <c r="DN111" s="1007">
        <f>AC111-CR111</f>
        <v>0</v>
      </c>
      <c r="DO111" s="1007"/>
      <c r="DP111" s="1007">
        <f t="shared" si="117"/>
        <v>0</v>
      </c>
      <c r="DQ111" s="1007">
        <f t="shared" si="117"/>
        <v>0</v>
      </c>
      <c r="DR111" s="1007"/>
      <c r="DS111" s="1007">
        <f t="shared" si="118"/>
        <v>0</v>
      </c>
      <c r="DT111" s="1007">
        <f t="shared" si="118"/>
        <v>0</v>
      </c>
      <c r="DU111" s="1007"/>
      <c r="DV111" s="1007">
        <f t="shared" si="119"/>
        <v>0</v>
      </c>
      <c r="DW111" s="1007">
        <f t="shared" si="119"/>
        <v>0</v>
      </c>
      <c r="DX111" s="1007">
        <f t="shared" si="119"/>
        <v>2678368</v>
      </c>
      <c r="DY111" s="1007">
        <f t="shared" si="120"/>
        <v>0</v>
      </c>
      <c r="DZ111" s="1007">
        <f t="shared" si="120"/>
        <v>0</v>
      </c>
      <c r="EA111" s="1007">
        <f t="shared" si="120"/>
        <v>55393133</v>
      </c>
      <c r="EB111" s="1007">
        <f t="shared" si="120"/>
        <v>0</v>
      </c>
      <c r="EC111" s="1007"/>
      <c r="ED111" s="1007">
        <f t="shared" si="121"/>
        <v>0</v>
      </c>
    </row>
    <row r="112" spans="1:134" ht="26.25" customHeight="1" x14ac:dyDescent="0.25">
      <c r="A112" s="1586"/>
      <c r="B112" s="1018"/>
      <c r="C112" s="1114" t="s">
        <v>4675</v>
      </c>
      <c r="D112" s="1018" t="s">
        <v>4701</v>
      </c>
      <c r="E112" s="1019">
        <v>301</v>
      </c>
      <c r="F112" s="1117" t="s">
        <v>4688</v>
      </c>
      <c r="G112" s="1429"/>
      <c r="H112" s="1060">
        <f t="shared" si="100"/>
        <v>34427044</v>
      </c>
      <c r="I112" s="1060">
        <f t="shared" si="101"/>
        <v>45572956</v>
      </c>
      <c r="J112" s="1430"/>
      <c r="K112" s="1258"/>
      <c r="L112" s="1258"/>
      <c r="M112" s="1113">
        <v>5</v>
      </c>
      <c r="N112" s="1113">
        <v>18</v>
      </c>
      <c r="O112" s="1113">
        <v>1</v>
      </c>
      <c r="P112" s="1113">
        <v>23</v>
      </c>
      <c r="Q112" s="1113">
        <v>42</v>
      </c>
      <c r="R112" s="1113">
        <v>9</v>
      </c>
      <c r="S112" s="1117"/>
      <c r="T112" s="1117"/>
      <c r="U112" s="1117"/>
      <c r="V112" s="1117"/>
      <c r="W112" s="1117"/>
      <c r="X112" s="1117"/>
      <c r="Y112" s="1007">
        <f t="shared" si="102"/>
        <v>80000000</v>
      </c>
      <c r="Z112" s="1007">
        <v>80000000</v>
      </c>
      <c r="AA112" s="1007"/>
      <c r="AB112" s="1007"/>
      <c r="AC112" s="1007"/>
      <c r="AD112" s="1007"/>
      <c r="AE112" s="1007"/>
      <c r="AF112" s="1007"/>
      <c r="AG112" s="1007"/>
      <c r="AH112" s="1007"/>
      <c r="AI112" s="1007"/>
      <c r="AJ112" s="1007"/>
      <c r="AK112" s="1007"/>
      <c r="AL112" s="1007"/>
      <c r="AM112" s="1007"/>
      <c r="AN112" s="1007"/>
      <c r="AO112" s="1007"/>
      <c r="AP112" s="1007"/>
      <c r="AQ112" s="1007"/>
      <c r="AR112" s="1007"/>
      <c r="AS112" s="1007"/>
      <c r="AU112" s="1010">
        <f t="shared" si="103"/>
        <v>1</v>
      </c>
      <c r="AV112" s="1007">
        <f t="shared" si="104"/>
        <v>80000000</v>
      </c>
      <c r="AW112" s="1007">
        <f>+'[11]MARZO 2015'!$J$488</f>
        <v>80000000</v>
      </c>
      <c r="AX112" s="1007"/>
      <c r="AY112" s="1007"/>
      <c r="AZ112" s="1007"/>
      <c r="BA112" s="1007"/>
      <c r="BB112" s="1007"/>
      <c r="BC112" s="1007"/>
      <c r="BD112" s="1007"/>
      <c r="BE112" s="1007"/>
      <c r="BF112" s="1007"/>
      <c r="BG112" s="1007"/>
      <c r="BH112" s="1007"/>
      <c r="BI112" s="1007"/>
      <c r="BJ112" s="1007"/>
      <c r="BK112" s="1007"/>
      <c r="BL112" s="1007"/>
      <c r="BM112" s="1007"/>
      <c r="BN112" s="1007"/>
      <c r="BO112" s="1007"/>
      <c r="BP112" s="1007"/>
      <c r="BQ112" s="1010">
        <f t="shared" si="105"/>
        <v>0</v>
      </c>
      <c r="BR112" s="1007">
        <f t="shared" si="106"/>
        <v>0</v>
      </c>
      <c r="BS112" s="1007">
        <f t="shared" si="107"/>
        <v>0</v>
      </c>
      <c r="BT112" s="1007">
        <f t="shared" si="108"/>
        <v>0</v>
      </c>
      <c r="BU112" s="1007"/>
      <c r="BV112" s="1007">
        <f t="shared" si="109"/>
        <v>0</v>
      </c>
      <c r="BW112" s="1007"/>
      <c r="BX112" s="1007"/>
      <c r="BY112" s="1007"/>
      <c r="BZ112" s="1007"/>
      <c r="CA112" s="1007"/>
      <c r="CB112" s="1007"/>
      <c r="CC112" s="1007"/>
      <c r="CD112" s="1007"/>
      <c r="CE112" s="1007">
        <f t="shared" si="111"/>
        <v>0</v>
      </c>
      <c r="CF112" s="1007">
        <f t="shared" si="111"/>
        <v>0</v>
      </c>
      <c r="CG112" s="1007">
        <f t="shared" si="111"/>
        <v>0</v>
      </c>
      <c r="CH112" s="1007">
        <f t="shared" si="111"/>
        <v>0</v>
      </c>
      <c r="CI112" s="1007"/>
      <c r="CJ112" s="1007"/>
      <c r="CK112" s="1007"/>
      <c r="CL112" s="1007">
        <f t="shared" si="112"/>
        <v>0</v>
      </c>
      <c r="CM112" s="1010">
        <f t="shared" si="113"/>
        <v>0.43033805000000003</v>
      </c>
      <c r="CN112" s="1007">
        <f t="shared" si="114"/>
        <v>34427044</v>
      </c>
      <c r="CO112" s="1007">
        <f>+'[8]SEPTIEMBRE 2015'!$H$1051</f>
        <v>34427044</v>
      </c>
      <c r="CP112" s="1007"/>
      <c r="CQ112" s="1007"/>
      <c r="CR112" s="1007"/>
      <c r="CS112" s="1007"/>
      <c r="CT112" s="1007"/>
      <c r="CU112" s="1007"/>
      <c r="CV112" s="1007"/>
      <c r="CW112" s="1007"/>
      <c r="CX112" s="1007"/>
      <c r="CY112" s="1007"/>
      <c r="CZ112" s="1007"/>
      <c r="DA112" s="1007"/>
      <c r="DB112" s="1007"/>
      <c r="DC112" s="1007"/>
      <c r="DD112" s="1007"/>
      <c r="DE112" s="1007"/>
      <c r="DF112" s="1007"/>
      <c r="DG112" s="1007"/>
      <c r="DH112" s="1007"/>
      <c r="DI112" s="1010">
        <f t="shared" si="115"/>
        <v>0.56966194999999997</v>
      </c>
      <c r="DJ112" s="1007">
        <f t="shared" si="116"/>
        <v>45572956</v>
      </c>
      <c r="DK112" s="1007">
        <f t="shared" si="122"/>
        <v>45572956</v>
      </c>
      <c r="DL112" s="1007"/>
      <c r="DM112" s="1007"/>
      <c r="DN112" s="1007"/>
      <c r="DO112" s="1007"/>
      <c r="DP112" s="1007">
        <f>AE112-CT112</f>
        <v>0</v>
      </c>
      <c r="DQ112" s="1007"/>
      <c r="DR112" s="1007"/>
      <c r="DS112" s="1007"/>
      <c r="DT112" s="1007"/>
      <c r="DU112" s="1007"/>
      <c r="DV112" s="1007"/>
      <c r="DW112" s="1007"/>
      <c r="DX112" s="1007"/>
      <c r="DY112" s="1007">
        <f>+AN112-DC112</f>
        <v>0</v>
      </c>
      <c r="DZ112" s="1007"/>
      <c r="EA112" s="1007"/>
      <c r="EB112" s="1007"/>
      <c r="EC112" s="1007"/>
      <c r="ED112" s="1007">
        <f t="shared" si="121"/>
        <v>0</v>
      </c>
    </row>
    <row r="113" spans="1:134" ht="26.25" customHeight="1" x14ac:dyDescent="0.25">
      <c r="A113" s="1586"/>
      <c r="B113" s="1018"/>
      <c r="C113" s="1114" t="s">
        <v>4676</v>
      </c>
      <c r="D113" s="1018" t="s">
        <v>4702</v>
      </c>
      <c r="E113" s="1019">
        <v>301</v>
      </c>
      <c r="F113" s="1117" t="s">
        <v>4591</v>
      </c>
      <c r="G113" s="1429"/>
      <c r="H113" s="1060">
        <f t="shared" si="100"/>
        <v>100000000</v>
      </c>
      <c r="I113" s="1060">
        <f t="shared" si="101"/>
        <v>0</v>
      </c>
      <c r="J113" s="1428" t="s">
        <v>4914</v>
      </c>
      <c r="K113" s="1257" t="s">
        <v>4915</v>
      </c>
      <c r="L113" s="1257" t="s">
        <v>4921</v>
      </c>
      <c r="M113" s="1113">
        <v>0</v>
      </c>
      <c r="N113" s="1113">
        <v>0</v>
      </c>
      <c r="O113" s="1113">
        <v>0</v>
      </c>
      <c r="P113" s="1113">
        <v>100</v>
      </c>
      <c r="Q113" s="1113">
        <v>0</v>
      </c>
      <c r="R113" s="1113">
        <v>0</v>
      </c>
      <c r="S113" s="1117"/>
      <c r="T113" s="1117"/>
      <c r="U113" s="1117"/>
      <c r="V113" s="1117"/>
      <c r="W113" s="1117"/>
      <c r="X113" s="1117"/>
      <c r="Y113" s="1007">
        <f t="shared" si="102"/>
        <v>100000000</v>
      </c>
      <c r="Z113" s="1007"/>
      <c r="AA113" s="1007"/>
      <c r="AB113" s="1007"/>
      <c r="AC113" s="1007"/>
      <c r="AD113" s="1007"/>
      <c r="AE113" s="1007"/>
      <c r="AF113" s="1007"/>
      <c r="AG113" s="1007"/>
      <c r="AH113" s="1007"/>
      <c r="AI113" s="1007"/>
      <c r="AJ113" s="1007"/>
      <c r="AK113" s="1007"/>
      <c r="AL113" s="1007"/>
      <c r="AM113" s="1007"/>
      <c r="AN113" s="1007">
        <v>100000000</v>
      </c>
      <c r="AO113" s="1007"/>
      <c r="AP113" s="1007"/>
      <c r="AQ113" s="1007"/>
      <c r="AR113" s="1007"/>
      <c r="AS113" s="1007"/>
      <c r="AU113" s="1010">
        <f t="shared" si="103"/>
        <v>1</v>
      </c>
      <c r="AV113" s="1007">
        <f t="shared" si="104"/>
        <v>100000000</v>
      </c>
      <c r="AW113" s="1007"/>
      <c r="AX113" s="1007"/>
      <c r="AY113" s="1007"/>
      <c r="AZ113" s="1007"/>
      <c r="BA113" s="1007"/>
      <c r="BB113" s="1007"/>
      <c r="BC113" s="1007"/>
      <c r="BD113" s="1007"/>
      <c r="BE113" s="1007"/>
      <c r="BF113" s="1007"/>
      <c r="BG113" s="1007"/>
      <c r="BH113" s="1007"/>
      <c r="BI113" s="1007"/>
      <c r="BJ113" s="1007"/>
      <c r="BK113" s="1007">
        <f>+'[11]MARZO 2015'!$W$496</f>
        <v>100000000</v>
      </c>
      <c r="BL113" s="1007"/>
      <c r="BM113" s="1007"/>
      <c r="BN113" s="1007"/>
      <c r="BO113" s="1007"/>
      <c r="BP113" s="1007"/>
      <c r="BQ113" s="1010">
        <f t="shared" si="105"/>
        <v>0</v>
      </c>
      <c r="BR113" s="1007">
        <f t="shared" si="106"/>
        <v>0</v>
      </c>
      <c r="BS113" s="1007">
        <f t="shared" si="107"/>
        <v>0</v>
      </c>
      <c r="BT113" s="1007">
        <f t="shared" si="108"/>
        <v>0</v>
      </c>
      <c r="BU113" s="1007"/>
      <c r="BV113" s="1007">
        <f t="shared" si="109"/>
        <v>0</v>
      </c>
      <c r="BW113" s="1007"/>
      <c r="BX113" s="1007"/>
      <c r="BY113" s="1007"/>
      <c r="BZ113" s="1007"/>
      <c r="CA113" s="1007"/>
      <c r="CB113" s="1007"/>
      <c r="CC113" s="1007"/>
      <c r="CD113" s="1007"/>
      <c r="CE113" s="1007">
        <f t="shared" si="111"/>
        <v>0</v>
      </c>
      <c r="CF113" s="1007">
        <f t="shared" si="111"/>
        <v>0</v>
      </c>
      <c r="CG113" s="1007">
        <f t="shared" si="111"/>
        <v>0</v>
      </c>
      <c r="CH113" s="1007">
        <f t="shared" si="111"/>
        <v>0</v>
      </c>
      <c r="CI113" s="1007"/>
      <c r="CJ113" s="1007"/>
      <c r="CK113" s="1007"/>
      <c r="CL113" s="1007">
        <f t="shared" si="112"/>
        <v>0</v>
      </c>
      <c r="CM113" s="1010">
        <f t="shared" si="113"/>
        <v>1</v>
      </c>
      <c r="CN113" s="1007">
        <f t="shared" si="114"/>
        <v>100000000</v>
      </c>
      <c r="CO113" s="1007"/>
      <c r="CP113" s="1007"/>
      <c r="CQ113" s="1007"/>
      <c r="CR113" s="1007"/>
      <c r="CS113" s="1007"/>
      <c r="CT113" s="1007"/>
      <c r="CU113" s="1007"/>
      <c r="CV113" s="1007"/>
      <c r="CW113" s="1007"/>
      <c r="CX113" s="1007"/>
      <c r="CY113" s="1007"/>
      <c r="CZ113" s="1007"/>
      <c r="DA113" s="1007"/>
      <c r="DB113" s="1007"/>
      <c r="DC113" s="1007">
        <f>+'[9]ABRIL 2015'!$H$571</f>
        <v>100000000</v>
      </c>
      <c r="DD113" s="1007"/>
      <c r="DE113" s="1007"/>
      <c r="DF113" s="1007"/>
      <c r="DG113" s="1007"/>
      <c r="DH113" s="1007"/>
      <c r="DI113" s="1010">
        <f t="shared" si="115"/>
        <v>0</v>
      </c>
      <c r="DJ113" s="1007">
        <f t="shared" si="116"/>
        <v>0</v>
      </c>
      <c r="DK113" s="1007">
        <f t="shared" si="122"/>
        <v>0</v>
      </c>
      <c r="DL113" s="1007"/>
      <c r="DM113" s="1007"/>
      <c r="DN113" s="1007"/>
      <c r="DO113" s="1007"/>
      <c r="DP113" s="1007">
        <f>AE113-CT113</f>
        <v>0</v>
      </c>
      <c r="DQ113" s="1007"/>
      <c r="DR113" s="1007"/>
      <c r="DS113" s="1007"/>
      <c r="DT113" s="1007"/>
      <c r="DU113" s="1007"/>
      <c r="DV113" s="1007"/>
      <c r="DW113" s="1007"/>
      <c r="DX113" s="1007"/>
      <c r="DY113" s="1007">
        <f>+AN113-DC113</f>
        <v>0</v>
      </c>
      <c r="DZ113" s="1007"/>
      <c r="EA113" s="1007"/>
      <c r="EB113" s="1007"/>
      <c r="EC113" s="1007"/>
      <c r="ED113" s="1007">
        <f t="shared" si="121"/>
        <v>0</v>
      </c>
    </row>
    <row r="114" spans="1:134" s="203" customFormat="1" ht="33.75" customHeight="1" x14ac:dyDescent="0.25">
      <c r="A114" s="1586"/>
      <c r="B114" s="1018"/>
      <c r="C114" s="1080" t="s">
        <v>4715</v>
      </c>
      <c r="D114" s="1018" t="s">
        <v>4716</v>
      </c>
      <c r="E114" s="1019">
        <v>301</v>
      </c>
      <c r="F114" s="1117" t="s">
        <v>4661</v>
      </c>
      <c r="G114" s="1430"/>
      <c r="H114" s="1060">
        <f t="shared" si="100"/>
        <v>0</v>
      </c>
      <c r="I114" s="1060">
        <f t="shared" si="101"/>
        <v>30000000</v>
      </c>
      <c r="J114" s="1430"/>
      <c r="K114" s="1258"/>
      <c r="L114" s="1258"/>
      <c r="M114" s="1076"/>
      <c r="N114" s="1076"/>
      <c r="O114" s="1076"/>
      <c r="P114" s="1074"/>
      <c r="Q114" s="1074"/>
      <c r="R114" s="1074"/>
      <c r="S114" s="1117"/>
      <c r="T114" s="1117"/>
      <c r="U114" s="1117"/>
      <c r="V114" s="1117"/>
      <c r="W114" s="1117"/>
      <c r="X114" s="1117"/>
      <c r="Y114" s="1066">
        <f t="shared" si="102"/>
        <v>30000000</v>
      </c>
      <c r="Z114" s="1066"/>
      <c r="AA114" s="1066"/>
      <c r="AB114" s="1066"/>
      <c r="AC114" s="1066"/>
      <c r="AD114" s="1066"/>
      <c r="AE114" s="1066"/>
      <c r="AF114" s="1066"/>
      <c r="AG114" s="1066"/>
      <c r="AH114" s="1066"/>
      <c r="AI114" s="1066"/>
      <c r="AJ114" s="1066"/>
      <c r="AK114" s="1066"/>
      <c r="AL114" s="1066"/>
      <c r="AM114" s="1066"/>
      <c r="AN114" s="1066"/>
      <c r="AO114" s="1066">
        <v>30000000</v>
      </c>
      <c r="AP114" s="1066"/>
      <c r="AQ114" s="1066"/>
      <c r="AR114" s="1066"/>
      <c r="AS114" s="1066"/>
      <c r="AU114" s="1081">
        <f t="shared" si="103"/>
        <v>0</v>
      </c>
      <c r="AV114" s="1066">
        <f t="shared" si="104"/>
        <v>0</v>
      </c>
      <c r="AW114" s="1066"/>
      <c r="AX114" s="1066"/>
      <c r="AY114" s="1066"/>
      <c r="AZ114" s="1066"/>
      <c r="BA114" s="1066"/>
      <c r="BB114" s="1066"/>
      <c r="BC114" s="1066"/>
      <c r="BD114" s="1066"/>
      <c r="BE114" s="1066"/>
      <c r="BF114" s="1066"/>
      <c r="BG114" s="1066"/>
      <c r="BH114" s="1066"/>
      <c r="BI114" s="1066"/>
      <c r="BJ114" s="1066"/>
      <c r="BK114" s="1066"/>
      <c r="BL114" s="1066"/>
      <c r="BM114" s="1066"/>
      <c r="BN114" s="1066"/>
      <c r="BO114" s="1066"/>
      <c r="BP114" s="1066"/>
      <c r="BQ114" s="1081">
        <f t="shared" si="105"/>
        <v>1</v>
      </c>
      <c r="BR114" s="1066">
        <f t="shared" si="106"/>
        <v>30000000</v>
      </c>
      <c r="BS114" s="1066"/>
      <c r="BT114" s="1066"/>
      <c r="BU114" s="1066"/>
      <c r="BV114" s="1066"/>
      <c r="BW114" s="1066"/>
      <c r="BX114" s="1066"/>
      <c r="BY114" s="1066"/>
      <c r="BZ114" s="1066"/>
      <c r="CA114" s="1066"/>
      <c r="CB114" s="1066"/>
      <c r="CC114" s="1066"/>
      <c r="CD114" s="1066"/>
      <c r="CE114" s="1066"/>
      <c r="CF114" s="1066"/>
      <c r="CG114" s="1066"/>
      <c r="CH114" s="1066">
        <f t="shared" si="111"/>
        <v>30000000</v>
      </c>
      <c r="CI114" s="1066"/>
      <c r="CJ114" s="1066"/>
      <c r="CK114" s="1066"/>
      <c r="CL114" s="1066"/>
      <c r="CM114" s="1081">
        <f t="shared" si="113"/>
        <v>0</v>
      </c>
      <c r="CN114" s="1066">
        <f t="shared" si="114"/>
        <v>0</v>
      </c>
      <c r="CO114" s="1066"/>
      <c r="CP114" s="1066"/>
      <c r="CQ114" s="1066"/>
      <c r="CR114" s="1066"/>
      <c r="CS114" s="1066"/>
      <c r="CT114" s="1066"/>
      <c r="CU114" s="1066"/>
      <c r="CV114" s="1066"/>
      <c r="CW114" s="1066"/>
      <c r="CX114" s="1066"/>
      <c r="CY114" s="1066"/>
      <c r="CZ114" s="1066"/>
      <c r="DA114" s="1066"/>
      <c r="DB114" s="1066"/>
      <c r="DC114" s="1066"/>
      <c r="DD114" s="1066"/>
      <c r="DE114" s="1066"/>
      <c r="DF114" s="1066"/>
      <c r="DG114" s="1066"/>
      <c r="DH114" s="1066"/>
      <c r="DI114" s="1081">
        <f t="shared" si="115"/>
        <v>1</v>
      </c>
      <c r="DJ114" s="1066">
        <f t="shared" si="116"/>
        <v>30000000</v>
      </c>
      <c r="DK114" s="1066"/>
      <c r="DL114" s="1066"/>
      <c r="DM114" s="1066"/>
      <c r="DN114" s="1066"/>
      <c r="DO114" s="1066"/>
      <c r="DP114" s="1066"/>
      <c r="DQ114" s="1066"/>
      <c r="DR114" s="1066"/>
      <c r="DS114" s="1066"/>
      <c r="DT114" s="1066"/>
      <c r="DU114" s="1066"/>
      <c r="DV114" s="1066"/>
      <c r="DW114" s="1066"/>
      <c r="DX114" s="1066"/>
      <c r="DY114" s="1066"/>
      <c r="DZ114" s="1066">
        <f t="shared" ref="DZ114:EB128" si="124">+AO114-DD114</f>
        <v>30000000</v>
      </c>
      <c r="EA114" s="1066"/>
      <c r="EB114" s="1066"/>
      <c r="EC114" s="1066"/>
      <c r="ED114" s="1066"/>
    </row>
    <row r="115" spans="1:134" ht="49.5" customHeight="1" x14ac:dyDescent="0.25">
      <c r="A115" s="1586"/>
      <c r="B115" s="1027" t="s">
        <v>4442</v>
      </c>
      <c r="C115" s="347" t="s">
        <v>4634</v>
      </c>
      <c r="D115" s="1018" t="s">
        <v>4459</v>
      </c>
      <c r="E115" s="1579">
        <v>301</v>
      </c>
      <c r="F115" s="1428" t="s">
        <v>4739</v>
      </c>
      <c r="G115" s="1067">
        <v>304000000</v>
      </c>
      <c r="H115" s="1060">
        <f t="shared" si="100"/>
        <v>239317227</v>
      </c>
      <c r="I115" s="1060">
        <f t="shared" si="101"/>
        <v>72682773</v>
      </c>
      <c r="J115" s="1117" t="s">
        <v>4937</v>
      </c>
      <c r="K115" s="1113" t="s">
        <v>4940</v>
      </c>
      <c r="L115" s="1113" t="s">
        <v>4943</v>
      </c>
      <c r="M115" s="1257">
        <v>12</v>
      </c>
      <c r="N115" s="1113">
        <v>0</v>
      </c>
      <c r="O115" s="1113">
        <v>0</v>
      </c>
      <c r="P115" s="1257">
        <v>45</v>
      </c>
      <c r="Q115" s="1113">
        <v>57</v>
      </c>
      <c r="R115" s="1113">
        <v>26</v>
      </c>
      <c r="S115" s="1117"/>
      <c r="T115" s="1117"/>
      <c r="U115" s="1117"/>
      <c r="V115" s="1117"/>
      <c r="W115" s="1117"/>
      <c r="X115" s="1117"/>
      <c r="Y115" s="1007">
        <f t="shared" si="102"/>
        <v>312000000</v>
      </c>
      <c r="Z115" s="1007"/>
      <c r="AA115" s="1007"/>
      <c r="AB115" s="1007"/>
      <c r="AC115" s="1007"/>
      <c r="AD115" s="1007"/>
      <c r="AE115" s="1007"/>
      <c r="AF115" s="1007"/>
      <c r="AG115" s="1007"/>
      <c r="AH115" s="1007"/>
      <c r="AI115" s="1007"/>
      <c r="AJ115" s="1007"/>
      <c r="AK115" s="1007"/>
      <c r="AL115" s="1007"/>
      <c r="AM115" s="1007">
        <v>300000000</v>
      </c>
      <c r="AN115" s="1007"/>
      <c r="AO115" s="1007"/>
      <c r="AP115" s="1007"/>
      <c r="AQ115" s="1007"/>
      <c r="AR115" s="1007"/>
      <c r="AS115" s="1007">
        <f>4000000+8000000</f>
        <v>12000000</v>
      </c>
      <c r="AU115" s="1010">
        <f t="shared" si="103"/>
        <v>0.99425641025641021</v>
      </c>
      <c r="AV115" s="1007">
        <f t="shared" si="104"/>
        <v>310208000</v>
      </c>
      <c r="AW115" s="1007"/>
      <c r="AX115" s="1007"/>
      <c r="AY115" s="1007"/>
      <c r="AZ115" s="1007"/>
      <c r="BA115" s="1007"/>
      <c r="BB115" s="1007"/>
      <c r="BC115" s="1007"/>
      <c r="BD115" s="1007"/>
      <c r="BE115" s="1007"/>
      <c r="BF115" s="1007"/>
      <c r="BG115" s="1007"/>
      <c r="BH115" s="1007"/>
      <c r="BI115" s="1007"/>
      <c r="BJ115" s="1007">
        <f>+'[7]AGOSTO 2015'!$W$943</f>
        <v>298208000</v>
      </c>
      <c r="BK115" s="1007"/>
      <c r="BL115" s="1007"/>
      <c r="BM115" s="1007"/>
      <c r="BN115" s="1007"/>
      <c r="BO115" s="1007"/>
      <c r="BP115" s="1007">
        <f>+'[10]JULIO 2015'!$AD$839</f>
        <v>12000000</v>
      </c>
      <c r="BQ115" s="1010">
        <f t="shared" si="105"/>
        <v>5.7435897435897942E-3</v>
      </c>
      <c r="BR115" s="1007">
        <f t="shared" si="106"/>
        <v>1792000</v>
      </c>
      <c r="BS115" s="1007">
        <f t="shared" ref="BS115:BS128" si="125">+Z115-AW115</f>
        <v>0</v>
      </c>
      <c r="BT115" s="1007">
        <f t="shared" ref="BT115:BT128" si="126">AA115-AX115</f>
        <v>0</v>
      </c>
      <c r="BU115" s="1007"/>
      <c r="BV115" s="1007">
        <f t="shared" ref="BV115:BV128" si="127">AC115-AZ115</f>
        <v>0</v>
      </c>
      <c r="BW115" s="1007"/>
      <c r="BX115" s="1007">
        <f t="shared" ref="BX115:BY128" si="128">+AE115-BB115</f>
        <v>0</v>
      </c>
      <c r="BY115" s="1007">
        <f t="shared" si="128"/>
        <v>0</v>
      </c>
      <c r="BZ115" s="1007"/>
      <c r="CA115" s="1007">
        <f t="shared" ref="CA115:CG128" si="129">+AH115-BE115</f>
        <v>0</v>
      </c>
      <c r="CB115" s="1007">
        <f t="shared" si="129"/>
        <v>0</v>
      </c>
      <c r="CC115" s="1007">
        <f t="shared" si="129"/>
        <v>0</v>
      </c>
      <c r="CD115" s="1007">
        <f t="shared" si="129"/>
        <v>0</v>
      </c>
      <c r="CE115" s="1007">
        <f t="shared" si="129"/>
        <v>0</v>
      </c>
      <c r="CF115" s="1007">
        <f t="shared" si="129"/>
        <v>1792000</v>
      </c>
      <c r="CG115" s="1007">
        <f t="shared" si="129"/>
        <v>0</v>
      </c>
      <c r="CH115" s="1007">
        <f t="shared" si="111"/>
        <v>0</v>
      </c>
      <c r="CI115" s="1007">
        <f t="shared" si="111"/>
        <v>0</v>
      </c>
      <c r="CJ115" s="1007"/>
      <c r="CK115" s="1007"/>
      <c r="CL115" s="1007">
        <f t="shared" ref="CL115:CL128" si="130">+AS115-BP115</f>
        <v>0</v>
      </c>
      <c r="CM115" s="1010">
        <f t="shared" si="113"/>
        <v>0.76704239423076925</v>
      </c>
      <c r="CN115" s="1007">
        <f t="shared" si="114"/>
        <v>239317227</v>
      </c>
      <c r="CO115" s="1007"/>
      <c r="CP115" s="1007"/>
      <c r="CQ115" s="1007"/>
      <c r="CR115" s="1007"/>
      <c r="CS115" s="1007"/>
      <c r="CT115" s="1007"/>
      <c r="CU115" s="1007"/>
      <c r="CV115" s="1007"/>
      <c r="CW115" s="1007"/>
      <c r="CX115" s="1007"/>
      <c r="CY115" s="1007"/>
      <c r="CZ115" s="1007"/>
      <c r="DA115" s="1007"/>
      <c r="DB115" s="1007">
        <f>+'[8]SEPTIEMBRE 2015'!$H$1088-DH115</f>
        <v>238317227</v>
      </c>
      <c r="DC115" s="1007"/>
      <c r="DD115" s="1007"/>
      <c r="DE115" s="1007"/>
      <c r="DF115" s="1007"/>
      <c r="DG115" s="1007"/>
      <c r="DH115" s="1007">
        <f>+'[8]SEPTIEMBRE 2015'!$H$1144</f>
        <v>1000000</v>
      </c>
      <c r="DI115" s="1010">
        <f t="shared" si="115"/>
        <v>0.23295760576923075</v>
      </c>
      <c r="DJ115" s="1007">
        <f t="shared" si="116"/>
        <v>72682773</v>
      </c>
      <c r="DK115" s="1007">
        <f t="shared" ref="DK115:DK128" si="131">Z115-CO115</f>
        <v>0</v>
      </c>
      <c r="DL115" s="1007"/>
      <c r="DM115" s="1007"/>
      <c r="DN115" s="1007">
        <f t="shared" ref="DN115:DN128" si="132">AC115-CR115</f>
        <v>0</v>
      </c>
      <c r="DO115" s="1007"/>
      <c r="DP115" s="1007">
        <f t="shared" ref="DP115:DQ128" si="133">AE115-CT115</f>
        <v>0</v>
      </c>
      <c r="DQ115" s="1007">
        <f t="shared" si="133"/>
        <v>0</v>
      </c>
      <c r="DR115" s="1007"/>
      <c r="DS115" s="1007">
        <f t="shared" ref="DS115:DT128" si="134">+AH115-CW115</f>
        <v>0</v>
      </c>
      <c r="DT115" s="1007">
        <f t="shared" si="134"/>
        <v>0</v>
      </c>
      <c r="DU115" s="1007"/>
      <c r="DV115" s="1007">
        <f t="shared" ref="DV115:DX128" si="135">AK115-CZ115</f>
        <v>0</v>
      </c>
      <c r="DW115" s="1007">
        <f t="shared" si="135"/>
        <v>0</v>
      </c>
      <c r="DX115" s="1007">
        <f t="shared" si="135"/>
        <v>61682773</v>
      </c>
      <c r="DY115" s="1007">
        <f t="shared" ref="DY115:DY128" si="136">+AN115-DC115</f>
        <v>0</v>
      </c>
      <c r="DZ115" s="1007">
        <f t="shared" si="124"/>
        <v>0</v>
      </c>
      <c r="EA115" s="1007">
        <f t="shared" si="124"/>
        <v>0</v>
      </c>
      <c r="EB115" s="1007">
        <f t="shared" si="124"/>
        <v>0</v>
      </c>
      <c r="EC115" s="1007"/>
      <c r="ED115" s="1007">
        <f t="shared" ref="ED115:ED128" si="137">+AS115-DH115</f>
        <v>11000000</v>
      </c>
    </row>
    <row r="116" spans="1:134" s="203" customFormat="1" ht="27" hidden="1" customHeight="1" x14ac:dyDescent="0.25">
      <c r="A116" s="1586"/>
      <c r="B116" s="1084"/>
      <c r="C116" s="1085"/>
      <c r="D116" s="1018" t="s">
        <v>4934</v>
      </c>
      <c r="E116" s="1601"/>
      <c r="F116" s="1429"/>
      <c r="G116" s="1086"/>
      <c r="H116" s="1060"/>
      <c r="I116" s="1060"/>
      <c r="J116" s="1117" t="s">
        <v>4936</v>
      </c>
      <c r="K116" s="1113" t="s">
        <v>4939</v>
      </c>
      <c r="L116" s="1113" t="s">
        <v>4942</v>
      </c>
      <c r="M116" s="1562"/>
      <c r="N116" s="1113">
        <v>0</v>
      </c>
      <c r="O116" s="1113">
        <v>0</v>
      </c>
      <c r="P116" s="1562"/>
      <c r="Q116" s="1113">
        <v>68</v>
      </c>
      <c r="R116" s="1113">
        <v>0</v>
      </c>
      <c r="S116" s="1117"/>
      <c r="T116" s="1117"/>
      <c r="U116" s="1117"/>
      <c r="V116" s="1117"/>
      <c r="W116" s="1117"/>
      <c r="X116" s="1117"/>
      <c r="Y116" s="1066"/>
      <c r="Z116" s="1066"/>
      <c r="AA116" s="1066"/>
      <c r="AB116" s="1066"/>
      <c r="AC116" s="1066"/>
      <c r="AD116" s="1066"/>
      <c r="AE116" s="1066"/>
      <c r="AF116" s="1066"/>
      <c r="AG116" s="1066"/>
      <c r="AH116" s="1066"/>
      <c r="AI116" s="1066"/>
      <c r="AJ116" s="1066"/>
      <c r="AK116" s="1066"/>
      <c r="AL116" s="1066"/>
      <c r="AM116" s="1066"/>
      <c r="AN116" s="1066"/>
      <c r="AO116" s="1066"/>
      <c r="AP116" s="1066"/>
      <c r="AQ116" s="1066"/>
      <c r="AR116" s="1066"/>
      <c r="AS116" s="1066"/>
      <c r="AU116" s="1081"/>
      <c r="AV116" s="1066"/>
      <c r="AW116" s="1066"/>
      <c r="AX116" s="1066"/>
      <c r="AY116" s="1066"/>
      <c r="AZ116" s="1066"/>
      <c r="BA116" s="1066"/>
      <c r="BB116" s="1066"/>
      <c r="BC116" s="1066"/>
      <c r="BD116" s="1066"/>
      <c r="BE116" s="1066"/>
      <c r="BF116" s="1066"/>
      <c r="BG116" s="1066"/>
      <c r="BH116" s="1066"/>
      <c r="BI116" s="1066"/>
      <c r="BJ116" s="1066"/>
      <c r="BK116" s="1066"/>
      <c r="BL116" s="1066"/>
      <c r="BM116" s="1066"/>
      <c r="BN116" s="1066"/>
      <c r="BO116" s="1066"/>
      <c r="BP116" s="1066"/>
      <c r="BQ116" s="1081"/>
      <c r="BR116" s="1066"/>
      <c r="BS116" s="1066"/>
      <c r="BT116" s="1066"/>
      <c r="BU116" s="1066"/>
      <c r="BV116" s="1066"/>
      <c r="BW116" s="1066"/>
      <c r="BX116" s="1066"/>
      <c r="BY116" s="1066"/>
      <c r="BZ116" s="1066"/>
      <c r="CA116" s="1066"/>
      <c r="CB116" s="1066"/>
      <c r="CC116" s="1066"/>
      <c r="CD116" s="1066"/>
      <c r="CE116" s="1066"/>
      <c r="CF116" s="1066"/>
      <c r="CG116" s="1066"/>
      <c r="CH116" s="1066"/>
      <c r="CI116" s="1066"/>
      <c r="CJ116" s="1066"/>
      <c r="CK116" s="1066"/>
      <c r="CL116" s="1066"/>
      <c r="CM116" s="1081"/>
      <c r="CN116" s="1066"/>
      <c r="CO116" s="1066"/>
      <c r="CP116" s="1066"/>
      <c r="CQ116" s="1066"/>
      <c r="CR116" s="1066"/>
      <c r="CS116" s="1066"/>
      <c r="CT116" s="1066"/>
      <c r="CU116" s="1066"/>
      <c r="CV116" s="1066"/>
      <c r="CW116" s="1066"/>
      <c r="CX116" s="1066"/>
      <c r="CY116" s="1066"/>
      <c r="CZ116" s="1066"/>
      <c r="DA116" s="1066"/>
      <c r="DB116" s="1066"/>
      <c r="DC116" s="1066"/>
      <c r="DD116" s="1066"/>
      <c r="DE116" s="1066"/>
      <c r="DF116" s="1066"/>
      <c r="DG116" s="1066"/>
      <c r="DH116" s="1066"/>
      <c r="DI116" s="1081"/>
      <c r="DJ116" s="1066"/>
      <c r="DK116" s="1066"/>
      <c r="DL116" s="1066"/>
      <c r="DM116" s="1066"/>
      <c r="DN116" s="1066"/>
      <c r="DO116" s="1066"/>
      <c r="DP116" s="1066"/>
      <c r="DQ116" s="1066"/>
      <c r="DR116" s="1066"/>
      <c r="DS116" s="1066"/>
      <c r="DT116" s="1066"/>
      <c r="DU116" s="1066"/>
      <c r="DV116" s="1066"/>
      <c r="DW116" s="1066"/>
      <c r="DX116" s="1066"/>
      <c r="DY116" s="1066"/>
      <c r="DZ116" s="1066"/>
      <c r="EA116" s="1066"/>
      <c r="EB116" s="1066"/>
      <c r="EC116" s="1066"/>
      <c r="ED116" s="1066"/>
    </row>
    <row r="117" spans="1:134" s="203" customFormat="1" ht="27" hidden="1" customHeight="1" x14ac:dyDescent="0.25">
      <c r="A117" s="1586"/>
      <c r="B117" s="1026"/>
      <c r="C117" s="1087"/>
      <c r="D117" s="1018" t="s">
        <v>4935</v>
      </c>
      <c r="E117" s="1580"/>
      <c r="F117" s="1430"/>
      <c r="G117" s="1071"/>
      <c r="H117" s="1060"/>
      <c r="I117" s="1060"/>
      <c r="J117" s="1117" t="s">
        <v>4938</v>
      </c>
      <c r="K117" s="1113" t="s">
        <v>4941</v>
      </c>
      <c r="L117" s="1113" t="s">
        <v>4944</v>
      </c>
      <c r="M117" s="1258"/>
      <c r="N117" s="1113">
        <v>0</v>
      </c>
      <c r="O117" s="1113">
        <v>0</v>
      </c>
      <c r="P117" s="1258"/>
      <c r="Q117" s="1113">
        <v>23</v>
      </c>
      <c r="R117" s="1113">
        <v>0</v>
      </c>
      <c r="S117" s="1117"/>
      <c r="T117" s="1117"/>
      <c r="U117" s="1117"/>
      <c r="V117" s="1117"/>
      <c r="W117" s="1117"/>
      <c r="X117" s="1117"/>
      <c r="Y117" s="1066"/>
      <c r="Z117" s="1066"/>
      <c r="AA117" s="1066"/>
      <c r="AB117" s="1066"/>
      <c r="AC117" s="1066"/>
      <c r="AD117" s="1066"/>
      <c r="AE117" s="1066"/>
      <c r="AF117" s="1066"/>
      <c r="AG117" s="1066"/>
      <c r="AH117" s="1066"/>
      <c r="AI117" s="1066"/>
      <c r="AJ117" s="1066"/>
      <c r="AK117" s="1066"/>
      <c r="AL117" s="1066"/>
      <c r="AM117" s="1066"/>
      <c r="AN117" s="1066"/>
      <c r="AO117" s="1066"/>
      <c r="AP117" s="1066"/>
      <c r="AQ117" s="1066"/>
      <c r="AR117" s="1066"/>
      <c r="AS117" s="1066"/>
      <c r="AU117" s="1081"/>
      <c r="AV117" s="1066"/>
      <c r="AW117" s="1066"/>
      <c r="AX117" s="1066"/>
      <c r="AY117" s="1066"/>
      <c r="AZ117" s="1066"/>
      <c r="BA117" s="1066"/>
      <c r="BB117" s="1066"/>
      <c r="BC117" s="1066"/>
      <c r="BD117" s="1066"/>
      <c r="BE117" s="1066"/>
      <c r="BF117" s="1066"/>
      <c r="BG117" s="1066"/>
      <c r="BH117" s="1066"/>
      <c r="BI117" s="1066"/>
      <c r="BJ117" s="1066"/>
      <c r="BK117" s="1066"/>
      <c r="BL117" s="1066"/>
      <c r="BM117" s="1066"/>
      <c r="BN117" s="1066"/>
      <c r="BO117" s="1066"/>
      <c r="BP117" s="1066"/>
      <c r="BQ117" s="1081"/>
      <c r="BR117" s="1066"/>
      <c r="BS117" s="1066"/>
      <c r="BT117" s="1066"/>
      <c r="BU117" s="1066"/>
      <c r="BV117" s="1066"/>
      <c r="BW117" s="1066"/>
      <c r="BX117" s="1066"/>
      <c r="BY117" s="1066"/>
      <c r="BZ117" s="1066"/>
      <c r="CA117" s="1066"/>
      <c r="CB117" s="1066"/>
      <c r="CC117" s="1066"/>
      <c r="CD117" s="1066"/>
      <c r="CE117" s="1066"/>
      <c r="CF117" s="1066"/>
      <c r="CG117" s="1066"/>
      <c r="CH117" s="1066"/>
      <c r="CI117" s="1066"/>
      <c r="CJ117" s="1066"/>
      <c r="CK117" s="1066"/>
      <c r="CL117" s="1066"/>
      <c r="CM117" s="1081"/>
      <c r="CN117" s="1066"/>
      <c r="CO117" s="1066"/>
      <c r="CP117" s="1066"/>
      <c r="CQ117" s="1066"/>
      <c r="CR117" s="1066"/>
      <c r="CS117" s="1066"/>
      <c r="CT117" s="1066"/>
      <c r="CU117" s="1066"/>
      <c r="CV117" s="1066"/>
      <c r="CW117" s="1066"/>
      <c r="CX117" s="1066"/>
      <c r="CY117" s="1066"/>
      <c r="CZ117" s="1066"/>
      <c r="DA117" s="1066"/>
      <c r="DB117" s="1066"/>
      <c r="DC117" s="1066"/>
      <c r="DD117" s="1066"/>
      <c r="DE117" s="1066"/>
      <c r="DF117" s="1066"/>
      <c r="DG117" s="1066"/>
      <c r="DH117" s="1066"/>
      <c r="DI117" s="1081"/>
      <c r="DJ117" s="1066"/>
      <c r="DK117" s="1066"/>
      <c r="DL117" s="1066"/>
      <c r="DM117" s="1066"/>
      <c r="DN117" s="1066"/>
      <c r="DO117" s="1066"/>
      <c r="DP117" s="1066"/>
      <c r="DQ117" s="1066"/>
      <c r="DR117" s="1066"/>
      <c r="DS117" s="1066"/>
      <c r="DT117" s="1066"/>
      <c r="DU117" s="1066"/>
      <c r="DV117" s="1066"/>
      <c r="DW117" s="1066"/>
      <c r="DX117" s="1066"/>
      <c r="DY117" s="1066"/>
      <c r="DZ117" s="1066"/>
      <c r="EA117" s="1066"/>
      <c r="EB117" s="1066"/>
      <c r="EC117" s="1066"/>
      <c r="ED117" s="1066"/>
    </row>
    <row r="118" spans="1:134" ht="71.25" customHeight="1" x14ac:dyDescent="0.25">
      <c r="A118" s="1586"/>
      <c r="B118" s="1018" t="s">
        <v>4443</v>
      </c>
      <c r="C118" s="1114" t="s">
        <v>4635</v>
      </c>
      <c r="D118" s="1018" t="s">
        <v>4460</v>
      </c>
      <c r="E118" s="1019">
        <v>301</v>
      </c>
      <c r="F118" s="1117" t="s">
        <v>4740</v>
      </c>
      <c r="G118" s="1117">
        <v>306000000</v>
      </c>
      <c r="H118" s="1060">
        <f t="shared" si="100"/>
        <v>133851634</v>
      </c>
      <c r="I118" s="1060">
        <f>Y118-H118</f>
        <v>186148366</v>
      </c>
      <c r="J118" s="1117" t="s">
        <v>4950</v>
      </c>
      <c r="K118" s="1113" t="s">
        <v>4954</v>
      </c>
      <c r="L118" s="1113" t="s">
        <v>4958</v>
      </c>
      <c r="M118" s="1257">
        <v>13</v>
      </c>
      <c r="N118" s="1113">
        <v>21</v>
      </c>
      <c r="O118" s="1113">
        <v>3</v>
      </c>
      <c r="P118" s="1257">
        <v>32</v>
      </c>
      <c r="Q118" s="1113">
        <v>47</v>
      </c>
      <c r="R118" s="1113">
        <v>15</v>
      </c>
      <c r="S118" s="1117"/>
      <c r="T118" s="1117"/>
      <c r="U118" s="1117"/>
      <c r="V118" s="1117"/>
      <c r="W118" s="1117"/>
      <c r="X118" s="1117"/>
      <c r="Y118" s="1007">
        <f t="shared" si="102"/>
        <v>320000000</v>
      </c>
      <c r="Z118" s="1007"/>
      <c r="AA118" s="1007"/>
      <c r="AB118" s="1007"/>
      <c r="AC118" s="1007"/>
      <c r="AD118" s="1007"/>
      <c r="AE118" s="1007"/>
      <c r="AF118" s="1007"/>
      <c r="AG118" s="1007"/>
      <c r="AH118" s="1007"/>
      <c r="AI118" s="1007"/>
      <c r="AJ118" s="1007"/>
      <c r="AK118" s="1007"/>
      <c r="AL118" s="1007"/>
      <c r="AM118" s="1007">
        <v>300000000</v>
      </c>
      <c r="AN118" s="1007"/>
      <c r="AO118" s="1007"/>
      <c r="AP118" s="1007"/>
      <c r="AQ118" s="1007"/>
      <c r="AR118" s="1007"/>
      <c r="AS118" s="1007">
        <f>1000000+5000000+11000000+3000000</f>
        <v>20000000</v>
      </c>
      <c r="AU118" s="1010">
        <f t="shared" si="103"/>
        <v>0.93057593750000001</v>
      </c>
      <c r="AV118" s="1007">
        <f t="shared" si="104"/>
        <v>297784300</v>
      </c>
      <c r="AW118" s="1007"/>
      <c r="AX118" s="1007"/>
      <c r="AY118" s="1007"/>
      <c r="AZ118" s="1007"/>
      <c r="BA118" s="1007"/>
      <c r="BB118" s="1007"/>
      <c r="BC118" s="1007"/>
      <c r="BD118" s="1007"/>
      <c r="BE118" s="1007"/>
      <c r="BF118" s="1007"/>
      <c r="BG118" s="1007"/>
      <c r="BH118" s="1007"/>
      <c r="BI118" s="1007"/>
      <c r="BJ118" s="1007">
        <f>+'[13]JUNIO 2015'!$W$749</f>
        <v>282584300</v>
      </c>
      <c r="BK118" s="1007"/>
      <c r="BL118" s="1007"/>
      <c r="BM118" s="1007"/>
      <c r="BN118" s="1007"/>
      <c r="BO118" s="1007"/>
      <c r="BP118" s="1007">
        <f>+'[7]AGOSTO 2015'!$AD$997</f>
        <v>15200000</v>
      </c>
      <c r="BQ118" s="1010">
        <f t="shared" si="105"/>
        <v>6.9424062499999994E-2</v>
      </c>
      <c r="BR118" s="1007">
        <f t="shared" si="106"/>
        <v>22215700</v>
      </c>
      <c r="BS118" s="1007">
        <f t="shared" si="125"/>
        <v>0</v>
      </c>
      <c r="BT118" s="1007">
        <f t="shared" si="126"/>
        <v>0</v>
      </c>
      <c r="BU118" s="1007"/>
      <c r="BV118" s="1007">
        <f t="shared" si="127"/>
        <v>0</v>
      </c>
      <c r="BW118" s="1007"/>
      <c r="BX118" s="1007">
        <f t="shared" si="128"/>
        <v>0</v>
      </c>
      <c r="BY118" s="1007">
        <f t="shared" si="128"/>
        <v>0</v>
      </c>
      <c r="BZ118" s="1007"/>
      <c r="CA118" s="1007">
        <f t="shared" si="129"/>
        <v>0</v>
      </c>
      <c r="CB118" s="1007">
        <f t="shared" si="129"/>
        <v>0</v>
      </c>
      <c r="CC118" s="1007">
        <f t="shared" si="129"/>
        <v>0</v>
      </c>
      <c r="CD118" s="1007">
        <f t="shared" si="129"/>
        <v>0</v>
      </c>
      <c r="CE118" s="1007">
        <f t="shared" si="129"/>
        <v>0</v>
      </c>
      <c r="CF118" s="1007">
        <f t="shared" si="129"/>
        <v>17415700</v>
      </c>
      <c r="CG118" s="1007">
        <f t="shared" si="129"/>
        <v>0</v>
      </c>
      <c r="CH118" s="1007">
        <f t="shared" si="111"/>
        <v>0</v>
      </c>
      <c r="CI118" s="1007">
        <f t="shared" si="111"/>
        <v>0</v>
      </c>
      <c r="CJ118" s="1007"/>
      <c r="CK118" s="1007"/>
      <c r="CL118" s="1007">
        <f t="shared" si="130"/>
        <v>4800000</v>
      </c>
      <c r="CM118" s="1010">
        <f t="shared" si="113"/>
        <v>0.41828635624999999</v>
      </c>
      <c r="CN118" s="1007">
        <f t="shared" si="114"/>
        <v>133851634</v>
      </c>
      <c r="CO118" s="1007"/>
      <c r="CP118" s="1007"/>
      <c r="CQ118" s="1007"/>
      <c r="CR118" s="1007"/>
      <c r="CS118" s="1007"/>
      <c r="CT118" s="1007"/>
      <c r="CU118" s="1007"/>
      <c r="CV118" s="1007"/>
      <c r="CW118" s="1007"/>
      <c r="CX118" s="1007"/>
      <c r="CY118" s="1007"/>
      <c r="CZ118" s="1007"/>
      <c r="DA118" s="1007"/>
      <c r="DB118" s="1007">
        <f>+'[8]SEPTIEMBRE 2015'!$H$1149-DH118</f>
        <v>129526634</v>
      </c>
      <c r="DC118" s="1007"/>
      <c r="DD118" s="1007"/>
      <c r="DE118" s="1007"/>
      <c r="DF118" s="1007"/>
      <c r="DG118" s="1007"/>
      <c r="DH118" s="1007">
        <f>+'[8]SEPTIEMBRE 2015'!$H$1152+'[8]SEPTIEMBRE 2015'!$H$1179+'[8]SEPTIEMBRE 2015'!$H$1182+'[8]SEPTIEMBRE 2015'!$H$1187</f>
        <v>4325000</v>
      </c>
      <c r="DI118" s="1010">
        <f t="shared" si="115"/>
        <v>0.58171364375000001</v>
      </c>
      <c r="DJ118" s="1007">
        <f t="shared" si="116"/>
        <v>186148366</v>
      </c>
      <c r="DK118" s="1007">
        <f t="shared" si="131"/>
        <v>0</v>
      </c>
      <c r="DL118" s="1007"/>
      <c r="DM118" s="1007"/>
      <c r="DN118" s="1007">
        <f t="shared" si="132"/>
        <v>0</v>
      </c>
      <c r="DO118" s="1007"/>
      <c r="DP118" s="1007">
        <f t="shared" si="133"/>
        <v>0</v>
      </c>
      <c r="DQ118" s="1007">
        <f t="shared" si="133"/>
        <v>0</v>
      </c>
      <c r="DR118" s="1007"/>
      <c r="DS118" s="1007">
        <f t="shared" si="134"/>
        <v>0</v>
      </c>
      <c r="DT118" s="1007">
        <f t="shared" si="134"/>
        <v>0</v>
      </c>
      <c r="DU118" s="1007"/>
      <c r="DV118" s="1007">
        <f t="shared" si="135"/>
        <v>0</v>
      </c>
      <c r="DW118" s="1007">
        <f t="shared" si="135"/>
        <v>0</v>
      </c>
      <c r="DX118" s="1007">
        <f t="shared" si="135"/>
        <v>170473366</v>
      </c>
      <c r="DY118" s="1007">
        <f t="shared" si="136"/>
        <v>0</v>
      </c>
      <c r="DZ118" s="1007">
        <f t="shared" si="124"/>
        <v>0</v>
      </c>
      <c r="EA118" s="1007">
        <f t="shared" si="124"/>
        <v>0</v>
      </c>
      <c r="EB118" s="1007">
        <f t="shared" si="124"/>
        <v>0</v>
      </c>
      <c r="EC118" s="1007"/>
      <c r="ED118" s="1007">
        <f t="shared" si="137"/>
        <v>15675000</v>
      </c>
    </row>
    <row r="119" spans="1:134" s="203" customFormat="1" ht="27.75" hidden="1" customHeight="1" x14ac:dyDescent="0.25">
      <c r="A119" s="1586"/>
      <c r="B119" s="1018"/>
      <c r="C119" s="1080"/>
      <c r="D119" s="1018" t="s">
        <v>4945</v>
      </c>
      <c r="E119" s="1019"/>
      <c r="F119" s="1117"/>
      <c r="G119" s="1117"/>
      <c r="H119" s="1060"/>
      <c r="I119" s="1060"/>
      <c r="J119" s="1117" t="s">
        <v>4948</v>
      </c>
      <c r="K119" s="1113" t="s">
        <v>4952</v>
      </c>
      <c r="L119" s="1113" t="s">
        <v>4956</v>
      </c>
      <c r="M119" s="1562"/>
      <c r="N119" s="1113">
        <v>31</v>
      </c>
      <c r="O119" s="1113">
        <v>4</v>
      </c>
      <c r="P119" s="1562"/>
      <c r="Q119" s="1113">
        <v>31</v>
      </c>
      <c r="R119" s="1113">
        <v>0</v>
      </c>
      <c r="S119" s="1117"/>
      <c r="T119" s="1117"/>
      <c r="U119" s="1117"/>
      <c r="V119" s="1117"/>
      <c r="W119" s="1117"/>
      <c r="X119" s="1117"/>
      <c r="Y119" s="1066"/>
      <c r="Z119" s="1066"/>
      <c r="AA119" s="1066"/>
      <c r="AB119" s="1066"/>
      <c r="AC119" s="1066"/>
      <c r="AD119" s="1066"/>
      <c r="AE119" s="1066"/>
      <c r="AF119" s="1066"/>
      <c r="AG119" s="1066"/>
      <c r="AH119" s="1066"/>
      <c r="AI119" s="1066"/>
      <c r="AJ119" s="1066"/>
      <c r="AK119" s="1066"/>
      <c r="AL119" s="1066"/>
      <c r="AM119" s="1066"/>
      <c r="AN119" s="1066"/>
      <c r="AO119" s="1066"/>
      <c r="AP119" s="1066"/>
      <c r="AQ119" s="1066"/>
      <c r="AR119" s="1066"/>
      <c r="AS119" s="1066"/>
      <c r="AU119" s="1081"/>
      <c r="AV119" s="1066"/>
      <c r="AW119" s="1066"/>
      <c r="AX119" s="1066"/>
      <c r="AY119" s="1066"/>
      <c r="AZ119" s="1066"/>
      <c r="BA119" s="1066"/>
      <c r="BB119" s="1066"/>
      <c r="BC119" s="1066"/>
      <c r="BD119" s="1066"/>
      <c r="BE119" s="1066"/>
      <c r="BF119" s="1066"/>
      <c r="BG119" s="1066"/>
      <c r="BH119" s="1066"/>
      <c r="BI119" s="1066"/>
      <c r="BJ119" s="1066"/>
      <c r="BK119" s="1066"/>
      <c r="BL119" s="1066"/>
      <c r="BM119" s="1066"/>
      <c r="BN119" s="1066"/>
      <c r="BO119" s="1066"/>
      <c r="BP119" s="1066"/>
      <c r="BQ119" s="1081"/>
      <c r="BR119" s="1066"/>
      <c r="BS119" s="1066"/>
      <c r="BT119" s="1066"/>
      <c r="BU119" s="1066"/>
      <c r="BV119" s="1066"/>
      <c r="BW119" s="1066"/>
      <c r="BX119" s="1066"/>
      <c r="BY119" s="1066"/>
      <c r="BZ119" s="1066"/>
      <c r="CA119" s="1066"/>
      <c r="CB119" s="1066"/>
      <c r="CC119" s="1066"/>
      <c r="CD119" s="1066"/>
      <c r="CE119" s="1066"/>
      <c r="CF119" s="1066"/>
      <c r="CG119" s="1066"/>
      <c r="CH119" s="1066"/>
      <c r="CI119" s="1066"/>
      <c r="CJ119" s="1066"/>
      <c r="CK119" s="1066"/>
      <c r="CL119" s="1066"/>
      <c r="CM119" s="1081"/>
      <c r="CN119" s="1066"/>
      <c r="CO119" s="1066"/>
      <c r="CP119" s="1066"/>
      <c r="CQ119" s="1066"/>
      <c r="CR119" s="1066"/>
      <c r="CS119" s="1066"/>
      <c r="CT119" s="1066"/>
      <c r="CU119" s="1066"/>
      <c r="CV119" s="1066"/>
      <c r="CW119" s="1066"/>
      <c r="CX119" s="1066"/>
      <c r="CY119" s="1066"/>
      <c r="CZ119" s="1066"/>
      <c r="DA119" s="1066"/>
      <c r="DB119" s="1066"/>
      <c r="DC119" s="1066"/>
      <c r="DD119" s="1066"/>
      <c r="DE119" s="1066"/>
      <c r="DF119" s="1066"/>
      <c r="DG119" s="1066"/>
      <c r="DH119" s="1066"/>
      <c r="DI119" s="1081"/>
      <c r="DJ119" s="1066"/>
      <c r="DK119" s="1066"/>
      <c r="DL119" s="1066"/>
      <c r="DM119" s="1066"/>
      <c r="DN119" s="1066"/>
      <c r="DO119" s="1066"/>
      <c r="DP119" s="1066"/>
      <c r="DQ119" s="1066"/>
      <c r="DR119" s="1066"/>
      <c r="DS119" s="1066"/>
      <c r="DT119" s="1066"/>
      <c r="DU119" s="1066"/>
      <c r="DV119" s="1066"/>
      <c r="DW119" s="1066"/>
      <c r="DX119" s="1066"/>
      <c r="DY119" s="1066"/>
      <c r="DZ119" s="1066"/>
      <c r="EA119" s="1066"/>
      <c r="EB119" s="1066"/>
      <c r="EC119" s="1066"/>
      <c r="ED119" s="1066"/>
    </row>
    <row r="120" spans="1:134" s="203" customFormat="1" ht="21.75" hidden="1" customHeight="1" x14ac:dyDescent="0.25">
      <c r="A120" s="1586"/>
      <c r="B120" s="1018"/>
      <c r="C120" s="1080"/>
      <c r="D120" s="1018" t="s">
        <v>4946</v>
      </c>
      <c r="E120" s="1019"/>
      <c r="F120" s="1117"/>
      <c r="G120" s="1117"/>
      <c r="H120" s="1060"/>
      <c r="I120" s="1060"/>
      <c r="J120" s="1117" t="s">
        <v>4949</v>
      </c>
      <c r="K120" s="1113" t="s">
        <v>4953</v>
      </c>
      <c r="L120" s="1113" t="s">
        <v>4957</v>
      </c>
      <c r="M120" s="1562"/>
      <c r="N120" s="1113">
        <v>32</v>
      </c>
      <c r="O120" s="1113">
        <v>4</v>
      </c>
      <c r="P120" s="1562"/>
      <c r="Q120" s="1113">
        <v>66</v>
      </c>
      <c r="R120" s="1113">
        <v>0</v>
      </c>
      <c r="S120" s="1117"/>
      <c r="T120" s="1117"/>
      <c r="U120" s="1117"/>
      <c r="V120" s="1117"/>
      <c r="W120" s="1117"/>
      <c r="X120" s="1117"/>
      <c r="Y120" s="1066"/>
      <c r="Z120" s="1066"/>
      <c r="AA120" s="1066"/>
      <c r="AB120" s="1066"/>
      <c r="AC120" s="1066"/>
      <c r="AD120" s="1066"/>
      <c r="AE120" s="1066"/>
      <c r="AF120" s="1066"/>
      <c r="AG120" s="1066"/>
      <c r="AH120" s="1066"/>
      <c r="AI120" s="1066"/>
      <c r="AJ120" s="1066"/>
      <c r="AK120" s="1066"/>
      <c r="AL120" s="1066"/>
      <c r="AM120" s="1066"/>
      <c r="AN120" s="1066"/>
      <c r="AO120" s="1066"/>
      <c r="AP120" s="1066"/>
      <c r="AQ120" s="1066"/>
      <c r="AR120" s="1066"/>
      <c r="AS120" s="1066"/>
      <c r="AU120" s="1081"/>
      <c r="AV120" s="1066"/>
      <c r="AW120" s="1066"/>
      <c r="AX120" s="1066"/>
      <c r="AY120" s="1066"/>
      <c r="AZ120" s="1066"/>
      <c r="BA120" s="1066"/>
      <c r="BB120" s="1066"/>
      <c r="BC120" s="1066"/>
      <c r="BD120" s="1066"/>
      <c r="BE120" s="1066"/>
      <c r="BF120" s="1066"/>
      <c r="BG120" s="1066"/>
      <c r="BH120" s="1066"/>
      <c r="BI120" s="1066"/>
      <c r="BJ120" s="1066"/>
      <c r="BK120" s="1066"/>
      <c r="BL120" s="1066"/>
      <c r="BM120" s="1066"/>
      <c r="BN120" s="1066"/>
      <c r="BO120" s="1066"/>
      <c r="BP120" s="1066"/>
      <c r="BQ120" s="1081"/>
      <c r="BR120" s="1066"/>
      <c r="BS120" s="1066"/>
      <c r="BT120" s="1066"/>
      <c r="BU120" s="1066"/>
      <c r="BV120" s="1066"/>
      <c r="BW120" s="1066"/>
      <c r="BX120" s="1066"/>
      <c r="BY120" s="1066"/>
      <c r="BZ120" s="1066"/>
      <c r="CA120" s="1066"/>
      <c r="CB120" s="1066"/>
      <c r="CC120" s="1066"/>
      <c r="CD120" s="1066"/>
      <c r="CE120" s="1066"/>
      <c r="CF120" s="1066"/>
      <c r="CG120" s="1066"/>
      <c r="CH120" s="1066"/>
      <c r="CI120" s="1066"/>
      <c r="CJ120" s="1066"/>
      <c r="CK120" s="1066"/>
      <c r="CL120" s="1066"/>
      <c r="CM120" s="1081"/>
      <c r="CN120" s="1066"/>
      <c r="CO120" s="1066"/>
      <c r="CP120" s="1066"/>
      <c r="CQ120" s="1066"/>
      <c r="CR120" s="1066"/>
      <c r="CS120" s="1066"/>
      <c r="CT120" s="1066"/>
      <c r="CU120" s="1066"/>
      <c r="CV120" s="1066"/>
      <c r="CW120" s="1066"/>
      <c r="CX120" s="1066"/>
      <c r="CY120" s="1066"/>
      <c r="CZ120" s="1066"/>
      <c r="DA120" s="1066"/>
      <c r="DB120" s="1066"/>
      <c r="DC120" s="1066"/>
      <c r="DD120" s="1066"/>
      <c r="DE120" s="1066"/>
      <c r="DF120" s="1066"/>
      <c r="DG120" s="1066"/>
      <c r="DH120" s="1066"/>
      <c r="DI120" s="1081"/>
      <c r="DJ120" s="1066"/>
      <c r="DK120" s="1066"/>
      <c r="DL120" s="1066"/>
      <c r="DM120" s="1066"/>
      <c r="DN120" s="1066"/>
      <c r="DO120" s="1066"/>
      <c r="DP120" s="1066"/>
      <c r="DQ120" s="1066"/>
      <c r="DR120" s="1066"/>
      <c r="DS120" s="1066"/>
      <c r="DT120" s="1066"/>
      <c r="DU120" s="1066"/>
      <c r="DV120" s="1066"/>
      <c r="DW120" s="1066"/>
      <c r="DX120" s="1066"/>
      <c r="DY120" s="1066"/>
      <c r="DZ120" s="1066"/>
      <c r="EA120" s="1066"/>
      <c r="EB120" s="1066"/>
      <c r="EC120" s="1066"/>
      <c r="ED120" s="1066"/>
    </row>
    <row r="121" spans="1:134" s="203" customFormat="1" ht="27" hidden="1" customHeight="1" x14ac:dyDescent="0.25">
      <c r="A121" s="1586"/>
      <c r="B121" s="1018"/>
      <c r="C121" s="1080"/>
      <c r="D121" s="1018" t="s">
        <v>4947</v>
      </c>
      <c r="E121" s="1019"/>
      <c r="F121" s="1117"/>
      <c r="G121" s="1117"/>
      <c r="H121" s="1060"/>
      <c r="I121" s="1060"/>
      <c r="J121" s="1117" t="s">
        <v>4951</v>
      </c>
      <c r="K121" s="1113" t="s">
        <v>4955</v>
      </c>
      <c r="L121" s="1113" t="s">
        <v>4959</v>
      </c>
      <c r="M121" s="1258"/>
      <c r="N121" s="1113">
        <v>42</v>
      </c>
      <c r="O121" s="1113">
        <v>5</v>
      </c>
      <c r="P121" s="1258"/>
      <c r="Q121" s="1113">
        <v>87</v>
      </c>
      <c r="R121" s="1113">
        <v>0</v>
      </c>
      <c r="S121" s="1117"/>
      <c r="T121" s="1117"/>
      <c r="U121" s="1117"/>
      <c r="V121" s="1117"/>
      <c r="W121" s="1117"/>
      <c r="X121" s="1117"/>
      <c r="Y121" s="1066"/>
      <c r="Z121" s="1066"/>
      <c r="AA121" s="1066"/>
      <c r="AB121" s="1066"/>
      <c r="AC121" s="1066"/>
      <c r="AD121" s="1066"/>
      <c r="AE121" s="1066"/>
      <c r="AF121" s="1066"/>
      <c r="AG121" s="1066"/>
      <c r="AH121" s="1066"/>
      <c r="AI121" s="1066"/>
      <c r="AJ121" s="1066"/>
      <c r="AK121" s="1066"/>
      <c r="AL121" s="1066"/>
      <c r="AM121" s="1066"/>
      <c r="AN121" s="1066"/>
      <c r="AO121" s="1066"/>
      <c r="AP121" s="1066"/>
      <c r="AQ121" s="1066"/>
      <c r="AR121" s="1066"/>
      <c r="AS121" s="1066"/>
      <c r="AU121" s="1081"/>
      <c r="AV121" s="1066"/>
      <c r="AW121" s="1066"/>
      <c r="AX121" s="1066"/>
      <c r="AY121" s="1066"/>
      <c r="AZ121" s="1066"/>
      <c r="BA121" s="1066"/>
      <c r="BB121" s="1066"/>
      <c r="BC121" s="1066"/>
      <c r="BD121" s="1066"/>
      <c r="BE121" s="1066"/>
      <c r="BF121" s="1066"/>
      <c r="BG121" s="1066"/>
      <c r="BH121" s="1066"/>
      <c r="BI121" s="1066"/>
      <c r="BJ121" s="1066"/>
      <c r="BK121" s="1066"/>
      <c r="BL121" s="1066"/>
      <c r="BM121" s="1066"/>
      <c r="BN121" s="1066"/>
      <c r="BO121" s="1066"/>
      <c r="BP121" s="1066"/>
      <c r="BQ121" s="1081"/>
      <c r="BR121" s="1066"/>
      <c r="BS121" s="1066"/>
      <c r="BT121" s="1066"/>
      <c r="BU121" s="1066"/>
      <c r="BV121" s="1066"/>
      <c r="BW121" s="1066"/>
      <c r="BX121" s="1066"/>
      <c r="BY121" s="1066"/>
      <c r="BZ121" s="1066"/>
      <c r="CA121" s="1066"/>
      <c r="CB121" s="1066"/>
      <c r="CC121" s="1066"/>
      <c r="CD121" s="1066"/>
      <c r="CE121" s="1066"/>
      <c r="CF121" s="1066"/>
      <c r="CG121" s="1066"/>
      <c r="CH121" s="1066"/>
      <c r="CI121" s="1066"/>
      <c r="CJ121" s="1066"/>
      <c r="CK121" s="1066"/>
      <c r="CL121" s="1066"/>
      <c r="CM121" s="1081"/>
      <c r="CN121" s="1066"/>
      <c r="CO121" s="1066"/>
      <c r="CP121" s="1066"/>
      <c r="CQ121" s="1066"/>
      <c r="CR121" s="1066"/>
      <c r="CS121" s="1066"/>
      <c r="CT121" s="1066"/>
      <c r="CU121" s="1066"/>
      <c r="CV121" s="1066"/>
      <c r="CW121" s="1066"/>
      <c r="CX121" s="1066"/>
      <c r="CY121" s="1066"/>
      <c r="CZ121" s="1066"/>
      <c r="DA121" s="1066"/>
      <c r="DB121" s="1066"/>
      <c r="DC121" s="1066"/>
      <c r="DD121" s="1066"/>
      <c r="DE121" s="1066"/>
      <c r="DF121" s="1066"/>
      <c r="DG121" s="1066"/>
      <c r="DH121" s="1066"/>
      <c r="DI121" s="1081"/>
      <c r="DJ121" s="1066"/>
      <c r="DK121" s="1066"/>
      <c r="DL121" s="1066"/>
      <c r="DM121" s="1066"/>
      <c r="DN121" s="1066"/>
      <c r="DO121" s="1066"/>
      <c r="DP121" s="1066"/>
      <c r="DQ121" s="1066"/>
      <c r="DR121" s="1066"/>
      <c r="DS121" s="1066"/>
      <c r="DT121" s="1066"/>
      <c r="DU121" s="1066"/>
      <c r="DV121" s="1066"/>
      <c r="DW121" s="1066"/>
      <c r="DX121" s="1066"/>
      <c r="DY121" s="1066"/>
      <c r="DZ121" s="1066"/>
      <c r="EA121" s="1066"/>
      <c r="EB121" s="1066"/>
      <c r="EC121" s="1066"/>
      <c r="ED121" s="1066"/>
    </row>
    <row r="122" spans="1:134" ht="44.25" customHeight="1" x14ac:dyDescent="0.25">
      <c r="A122" s="1586"/>
      <c r="B122" s="1018" t="s">
        <v>4444</v>
      </c>
      <c r="C122" s="1114" t="s">
        <v>4636</v>
      </c>
      <c r="D122" s="1018" t="s">
        <v>4960</v>
      </c>
      <c r="E122" s="1019">
        <v>301</v>
      </c>
      <c r="F122" s="1117" t="s">
        <v>4741</v>
      </c>
      <c r="G122" s="1117">
        <v>67000000</v>
      </c>
      <c r="H122" s="1060">
        <f t="shared" si="100"/>
        <v>3045000</v>
      </c>
      <c r="I122" s="1060">
        <f>Y122-H122</f>
        <v>19955000</v>
      </c>
      <c r="J122" s="1117" t="s">
        <v>4962</v>
      </c>
      <c r="K122" s="1113" t="s">
        <v>4963</v>
      </c>
      <c r="L122" s="1113" t="s">
        <v>4965</v>
      </c>
      <c r="M122" s="1257">
        <v>0</v>
      </c>
      <c r="N122" s="1113">
        <v>0</v>
      </c>
      <c r="O122" s="1113">
        <v>0</v>
      </c>
      <c r="P122" s="1257">
        <v>15</v>
      </c>
      <c r="Q122" s="1113">
        <v>0</v>
      </c>
      <c r="R122" s="1113">
        <v>0</v>
      </c>
      <c r="S122" s="1117"/>
      <c r="T122" s="1117"/>
      <c r="U122" s="1117"/>
      <c r="V122" s="1117"/>
      <c r="W122" s="1117"/>
      <c r="X122" s="1117"/>
      <c r="Y122" s="1007">
        <f t="shared" si="102"/>
        <v>23000000</v>
      </c>
      <c r="Z122" s="1007"/>
      <c r="AA122" s="1007"/>
      <c r="AB122" s="1007"/>
      <c r="AC122" s="1007"/>
      <c r="AD122" s="1007"/>
      <c r="AE122" s="1007"/>
      <c r="AF122" s="1007"/>
      <c r="AG122" s="1007"/>
      <c r="AH122" s="1007"/>
      <c r="AI122" s="1007"/>
      <c r="AJ122" s="1007"/>
      <c r="AK122" s="1007"/>
      <c r="AL122" s="1007"/>
      <c r="AM122" s="1007">
        <f>67000000-52000000</f>
        <v>15000000</v>
      </c>
      <c r="AN122" s="1007"/>
      <c r="AO122" s="1007"/>
      <c r="AP122" s="1007"/>
      <c r="AQ122" s="1007"/>
      <c r="AR122" s="1007"/>
      <c r="AS122" s="1007">
        <f>5000000+3000000</f>
        <v>8000000</v>
      </c>
      <c r="AU122" s="1010">
        <f t="shared" si="103"/>
        <v>1</v>
      </c>
      <c r="AV122" s="1007">
        <f t="shared" si="104"/>
        <v>23000000</v>
      </c>
      <c r="AW122" s="1007"/>
      <c r="AX122" s="1007"/>
      <c r="AY122" s="1007"/>
      <c r="AZ122" s="1007"/>
      <c r="BA122" s="1007"/>
      <c r="BB122" s="1007"/>
      <c r="BC122" s="1007"/>
      <c r="BD122" s="1007"/>
      <c r="BE122" s="1007"/>
      <c r="BF122" s="1007"/>
      <c r="BG122" s="1007"/>
      <c r="BH122" s="1007"/>
      <c r="BI122" s="1007"/>
      <c r="BJ122" s="1007">
        <f>+'[11]MARZO 2015'!$V$535</f>
        <v>15000000</v>
      </c>
      <c r="BK122" s="1007"/>
      <c r="BL122" s="1007"/>
      <c r="BM122" s="1007"/>
      <c r="BN122" s="1007"/>
      <c r="BO122" s="1007"/>
      <c r="BP122" s="1007">
        <f>+'[8]SEPTIEMBRE 2015'!$AD$1193</f>
        <v>8000000</v>
      </c>
      <c r="BQ122" s="1010">
        <f t="shared" si="105"/>
        <v>0</v>
      </c>
      <c r="BR122" s="1007">
        <f t="shared" si="106"/>
        <v>0</v>
      </c>
      <c r="BS122" s="1007">
        <f t="shared" si="125"/>
        <v>0</v>
      </c>
      <c r="BT122" s="1007">
        <f t="shared" si="126"/>
        <v>0</v>
      </c>
      <c r="BU122" s="1007"/>
      <c r="BV122" s="1007">
        <f t="shared" si="127"/>
        <v>0</v>
      </c>
      <c r="BW122" s="1007"/>
      <c r="BX122" s="1007">
        <f t="shared" si="128"/>
        <v>0</v>
      </c>
      <c r="BY122" s="1007">
        <f t="shared" si="128"/>
        <v>0</v>
      </c>
      <c r="BZ122" s="1007"/>
      <c r="CA122" s="1007"/>
      <c r="CB122" s="1007"/>
      <c r="CC122" s="1007"/>
      <c r="CD122" s="1007">
        <f t="shared" si="129"/>
        <v>0</v>
      </c>
      <c r="CE122" s="1007">
        <f t="shared" si="129"/>
        <v>0</v>
      </c>
      <c r="CF122" s="1007">
        <f t="shared" si="129"/>
        <v>0</v>
      </c>
      <c r="CG122" s="1007">
        <f t="shared" si="129"/>
        <v>0</v>
      </c>
      <c r="CH122" s="1007">
        <f t="shared" si="111"/>
        <v>0</v>
      </c>
      <c r="CI122" s="1007">
        <f t="shared" si="111"/>
        <v>0</v>
      </c>
      <c r="CJ122" s="1007"/>
      <c r="CK122" s="1007"/>
      <c r="CL122" s="1007">
        <f t="shared" si="130"/>
        <v>0</v>
      </c>
      <c r="CM122" s="1010">
        <f t="shared" si="113"/>
        <v>0.13239130434782609</v>
      </c>
      <c r="CN122" s="1007">
        <f t="shared" si="114"/>
        <v>3045000</v>
      </c>
      <c r="CO122" s="1007"/>
      <c r="CP122" s="1007"/>
      <c r="CQ122" s="1007"/>
      <c r="CR122" s="1007"/>
      <c r="CS122" s="1007"/>
      <c r="CT122" s="1007"/>
      <c r="CU122" s="1007"/>
      <c r="CV122" s="1007"/>
      <c r="CW122" s="1007"/>
      <c r="CX122" s="1007"/>
      <c r="CY122" s="1007"/>
      <c r="CZ122" s="1007"/>
      <c r="DA122" s="1007"/>
      <c r="DB122" s="1007"/>
      <c r="DC122" s="1007"/>
      <c r="DD122" s="1007"/>
      <c r="DE122" s="1007"/>
      <c r="DF122" s="1007"/>
      <c r="DG122" s="1007"/>
      <c r="DH122" s="1007">
        <f>+'[13]JUNIO 2015'!$H$782</f>
        <v>3045000</v>
      </c>
      <c r="DI122" s="1010">
        <f t="shared" si="115"/>
        <v>0.86760869565217391</v>
      </c>
      <c r="DJ122" s="1007">
        <f t="shared" si="116"/>
        <v>19955000</v>
      </c>
      <c r="DK122" s="1007">
        <f t="shared" si="131"/>
        <v>0</v>
      </c>
      <c r="DL122" s="1007"/>
      <c r="DM122" s="1007"/>
      <c r="DN122" s="1007">
        <f t="shared" si="132"/>
        <v>0</v>
      </c>
      <c r="DO122" s="1007"/>
      <c r="DP122" s="1007">
        <f t="shared" si="133"/>
        <v>0</v>
      </c>
      <c r="DQ122" s="1007">
        <f t="shared" si="133"/>
        <v>0</v>
      </c>
      <c r="DR122" s="1007"/>
      <c r="DS122" s="1007">
        <f t="shared" si="134"/>
        <v>0</v>
      </c>
      <c r="DT122" s="1007">
        <f t="shared" si="134"/>
        <v>0</v>
      </c>
      <c r="DU122" s="1007"/>
      <c r="DV122" s="1007">
        <f t="shared" si="135"/>
        <v>0</v>
      </c>
      <c r="DW122" s="1007">
        <f t="shared" si="135"/>
        <v>0</v>
      </c>
      <c r="DX122" s="1007">
        <f t="shared" si="135"/>
        <v>15000000</v>
      </c>
      <c r="DY122" s="1007">
        <f t="shared" si="136"/>
        <v>0</v>
      </c>
      <c r="DZ122" s="1007">
        <f t="shared" si="124"/>
        <v>0</v>
      </c>
      <c r="EA122" s="1007">
        <f t="shared" si="124"/>
        <v>0</v>
      </c>
      <c r="EB122" s="1007">
        <f t="shared" si="124"/>
        <v>0</v>
      </c>
      <c r="EC122" s="1007"/>
      <c r="ED122" s="1007">
        <f t="shared" si="137"/>
        <v>4955000</v>
      </c>
    </row>
    <row r="123" spans="1:134" s="203" customFormat="1" ht="29.25" hidden="1" customHeight="1" x14ac:dyDescent="0.25">
      <c r="A123" s="1586"/>
      <c r="B123" s="1018"/>
      <c r="C123" s="1080"/>
      <c r="D123" s="1018" t="s">
        <v>4961</v>
      </c>
      <c r="E123" s="1019"/>
      <c r="F123" s="1117"/>
      <c r="G123" s="1121"/>
      <c r="H123" s="1060"/>
      <c r="I123" s="1060"/>
      <c r="J123" s="1117" t="s">
        <v>4778</v>
      </c>
      <c r="K123" s="1113" t="s">
        <v>4964</v>
      </c>
      <c r="L123" s="1113" t="s">
        <v>4778</v>
      </c>
      <c r="M123" s="1258"/>
      <c r="N123" s="1113">
        <v>0</v>
      </c>
      <c r="O123" s="1113">
        <v>0</v>
      </c>
      <c r="P123" s="1258"/>
      <c r="Q123" s="1113">
        <v>110</v>
      </c>
      <c r="R123" s="1113">
        <v>0</v>
      </c>
      <c r="S123" s="1117"/>
      <c r="T123" s="1117"/>
      <c r="U123" s="1117"/>
      <c r="V123" s="1117"/>
      <c r="W123" s="1117"/>
      <c r="X123" s="1117"/>
      <c r="Y123" s="1066"/>
      <c r="Z123" s="1066"/>
      <c r="AA123" s="1066"/>
      <c r="AB123" s="1066"/>
      <c r="AC123" s="1066"/>
      <c r="AD123" s="1066"/>
      <c r="AE123" s="1066"/>
      <c r="AF123" s="1066"/>
      <c r="AG123" s="1066"/>
      <c r="AH123" s="1066"/>
      <c r="AI123" s="1066"/>
      <c r="AJ123" s="1066"/>
      <c r="AK123" s="1066"/>
      <c r="AL123" s="1066"/>
      <c r="AM123" s="1066"/>
      <c r="AN123" s="1066"/>
      <c r="AO123" s="1066"/>
      <c r="AP123" s="1066"/>
      <c r="AQ123" s="1066"/>
      <c r="AR123" s="1066"/>
      <c r="AS123" s="1066"/>
      <c r="AU123" s="1081"/>
      <c r="AV123" s="1066"/>
      <c r="AW123" s="1066"/>
      <c r="AX123" s="1066"/>
      <c r="AY123" s="1066"/>
      <c r="AZ123" s="1066"/>
      <c r="BA123" s="1066"/>
      <c r="BB123" s="1066"/>
      <c r="BC123" s="1066"/>
      <c r="BD123" s="1066"/>
      <c r="BE123" s="1066"/>
      <c r="BF123" s="1066"/>
      <c r="BG123" s="1066"/>
      <c r="BH123" s="1066"/>
      <c r="BI123" s="1066"/>
      <c r="BJ123" s="1066"/>
      <c r="BK123" s="1066"/>
      <c r="BL123" s="1066"/>
      <c r="BM123" s="1066"/>
      <c r="BN123" s="1066"/>
      <c r="BO123" s="1066"/>
      <c r="BP123" s="1066"/>
      <c r="BQ123" s="1081"/>
      <c r="BR123" s="1066"/>
      <c r="BS123" s="1066"/>
      <c r="BT123" s="1066"/>
      <c r="BU123" s="1066"/>
      <c r="BV123" s="1066"/>
      <c r="BW123" s="1066"/>
      <c r="BX123" s="1066"/>
      <c r="BY123" s="1066"/>
      <c r="BZ123" s="1066"/>
      <c r="CA123" s="1066"/>
      <c r="CB123" s="1066"/>
      <c r="CC123" s="1066"/>
      <c r="CD123" s="1066"/>
      <c r="CE123" s="1066"/>
      <c r="CF123" s="1066"/>
      <c r="CG123" s="1066"/>
      <c r="CH123" s="1066"/>
      <c r="CI123" s="1066"/>
      <c r="CJ123" s="1066"/>
      <c r="CK123" s="1066"/>
      <c r="CL123" s="1066"/>
      <c r="CM123" s="1081"/>
      <c r="CN123" s="1066"/>
      <c r="CO123" s="1066"/>
      <c r="CP123" s="1066"/>
      <c r="CQ123" s="1066"/>
      <c r="CR123" s="1066"/>
      <c r="CS123" s="1066"/>
      <c r="CT123" s="1066"/>
      <c r="CU123" s="1066"/>
      <c r="CV123" s="1066"/>
      <c r="CW123" s="1066"/>
      <c r="CX123" s="1066"/>
      <c r="CY123" s="1066"/>
      <c r="CZ123" s="1066"/>
      <c r="DA123" s="1066"/>
      <c r="DB123" s="1066"/>
      <c r="DC123" s="1066"/>
      <c r="DD123" s="1066"/>
      <c r="DE123" s="1066"/>
      <c r="DF123" s="1066"/>
      <c r="DG123" s="1066"/>
      <c r="DH123" s="1066"/>
      <c r="DI123" s="1081"/>
      <c r="DJ123" s="1066"/>
      <c r="DK123" s="1066"/>
      <c r="DL123" s="1066"/>
      <c r="DM123" s="1066"/>
      <c r="DN123" s="1066"/>
      <c r="DO123" s="1066"/>
      <c r="DP123" s="1066"/>
      <c r="DQ123" s="1066"/>
      <c r="DR123" s="1066"/>
      <c r="DS123" s="1066"/>
      <c r="DT123" s="1066"/>
      <c r="DU123" s="1066"/>
      <c r="DV123" s="1066"/>
      <c r="DW123" s="1066"/>
      <c r="DX123" s="1066"/>
      <c r="DY123" s="1066"/>
      <c r="DZ123" s="1066"/>
      <c r="EA123" s="1066"/>
      <c r="EB123" s="1066"/>
      <c r="EC123" s="1066"/>
      <c r="ED123" s="1066"/>
    </row>
    <row r="124" spans="1:134" ht="60" customHeight="1" x14ac:dyDescent="0.25">
      <c r="A124" s="1586"/>
      <c r="B124" s="1018" t="s">
        <v>4445</v>
      </c>
      <c r="C124" s="1114" t="s">
        <v>4466</v>
      </c>
      <c r="D124" s="1018" t="s">
        <v>4637</v>
      </c>
      <c r="E124" s="1019">
        <v>301</v>
      </c>
      <c r="F124" s="1117" t="s">
        <v>4661</v>
      </c>
      <c r="G124" s="1428">
        <v>900000000</v>
      </c>
      <c r="H124" s="1060">
        <f t="shared" si="100"/>
        <v>1110351728</v>
      </c>
      <c r="I124" s="1060">
        <f>Y124-H124</f>
        <v>28085072</v>
      </c>
      <c r="J124" s="1117" t="s">
        <v>4967</v>
      </c>
      <c r="K124" s="1113" t="s">
        <v>4969</v>
      </c>
      <c r="L124" s="1113" t="s">
        <v>4971</v>
      </c>
      <c r="M124" s="1257">
        <v>33</v>
      </c>
      <c r="N124" s="1113">
        <v>8</v>
      </c>
      <c r="O124" s="1257">
        <v>3</v>
      </c>
      <c r="P124" s="1257">
        <v>99</v>
      </c>
      <c r="Q124" s="1113">
        <v>22</v>
      </c>
      <c r="R124" s="1113">
        <v>22</v>
      </c>
      <c r="S124" s="1117"/>
      <c r="T124" s="1117"/>
      <c r="U124" s="1117"/>
      <c r="V124" s="1117"/>
      <c r="W124" s="1117"/>
      <c r="X124" s="1117"/>
      <c r="Y124" s="1007">
        <f t="shared" si="102"/>
        <v>1138436800</v>
      </c>
      <c r="Z124" s="1007">
        <v>24079469</v>
      </c>
      <c r="AA124" s="1007"/>
      <c r="AB124" s="1007"/>
      <c r="AC124" s="1007"/>
      <c r="AD124" s="1007"/>
      <c r="AE124" s="1007"/>
      <c r="AF124" s="1007"/>
      <c r="AG124" s="1007"/>
      <c r="AH124" s="1007"/>
      <c r="AI124" s="1007"/>
      <c r="AJ124" s="1007"/>
      <c r="AK124" s="1007"/>
      <c r="AL124" s="1007"/>
      <c r="AM124" s="1007">
        <v>52000000</v>
      </c>
      <c r="AN124" s="1007">
        <v>109019196</v>
      </c>
      <c r="AO124" s="1007">
        <f>47588221+35749914</f>
        <v>83338135</v>
      </c>
      <c r="AP124" s="1007">
        <v>870000000</v>
      </c>
      <c r="AQ124" s="1007"/>
      <c r="AR124" s="1007"/>
      <c r="AS124" s="1007"/>
      <c r="AU124" s="1010">
        <f t="shared" si="103"/>
        <v>0.97933827156676589</v>
      </c>
      <c r="AV124" s="1007">
        <f t="shared" si="104"/>
        <v>1114914728</v>
      </c>
      <c r="AW124" s="1007">
        <f>+'[8]SEPTIEMBRE 2015'!$J$1202</f>
        <v>23245422</v>
      </c>
      <c r="AX124" s="1007"/>
      <c r="AY124" s="1007"/>
      <c r="AZ124" s="1007"/>
      <c r="BA124" s="1007"/>
      <c r="BB124" s="1007"/>
      <c r="BC124" s="1007"/>
      <c r="BD124" s="1007"/>
      <c r="BE124" s="1007"/>
      <c r="BF124" s="1007"/>
      <c r="BG124" s="1007"/>
      <c r="BH124" s="1007"/>
      <c r="BI124" s="1007"/>
      <c r="BJ124" s="1007">
        <f>+'[13]JUNIO 2015'!$W$788</f>
        <v>52000000</v>
      </c>
      <c r="BK124" s="1007">
        <f>+'[13]JUNIO 2015'!$X$788</f>
        <v>109019196</v>
      </c>
      <c r="BL124" s="1007">
        <f>+'[8]SEPTIEMBRE 2015'!$Y$1202</f>
        <v>60650110</v>
      </c>
      <c r="BM124" s="1007">
        <f>+'[13]JUNIO 2015'!$Z$788</f>
        <v>870000000</v>
      </c>
      <c r="BN124" s="1007"/>
      <c r="BO124" s="1007"/>
      <c r="BP124" s="1007"/>
      <c r="BQ124" s="1010">
        <f t="shared" si="105"/>
        <v>2.0661728433234106E-2</v>
      </c>
      <c r="BR124" s="1007">
        <f t="shared" si="106"/>
        <v>23522072</v>
      </c>
      <c r="BS124" s="1007">
        <f t="shared" si="125"/>
        <v>834047</v>
      </c>
      <c r="BT124" s="1007">
        <f t="shared" si="126"/>
        <v>0</v>
      </c>
      <c r="BU124" s="1007"/>
      <c r="BV124" s="1007">
        <f t="shared" si="127"/>
        <v>0</v>
      </c>
      <c r="BW124" s="1007"/>
      <c r="BX124" s="1007">
        <f t="shared" si="128"/>
        <v>0</v>
      </c>
      <c r="BY124" s="1007">
        <f t="shared" si="128"/>
        <v>0</v>
      </c>
      <c r="BZ124" s="1007"/>
      <c r="CA124" s="1007"/>
      <c r="CB124" s="1007"/>
      <c r="CC124" s="1007"/>
      <c r="CD124" s="1007">
        <f t="shared" si="129"/>
        <v>0</v>
      </c>
      <c r="CE124" s="1007">
        <f t="shared" si="129"/>
        <v>0</v>
      </c>
      <c r="CF124" s="1007">
        <f t="shared" si="129"/>
        <v>0</v>
      </c>
      <c r="CG124" s="1007">
        <f t="shared" si="129"/>
        <v>0</v>
      </c>
      <c r="CH124" s="1007">
        <f t="shared" si="111"/>
        <v>22688025</v>
      </c>
      <c r="CI124" s="1007">
        <f t="shared" si="111"/>
        <v>0</v>
      </c>
      <c r="CJ124" s="1007"/>
      <c r="CK124" s="1007"/>
      <c r="CL124" s="1007">
        <f t="shared" si="130"/>
        <v>0</v>
      </c>
      <c r="CM124" s="1010">
        <f t="shared" si="113"/>
        <v>0.97533014393069517</v>
      </c>
      <c r="CN124" s="1007">
        <f t="shared" si="114"/>
        <v>1110351728</v>
      </c>
      <c r="CO124" s="1007">
        <f>+'[8]SEPTIEMBRE 2015'!$H$1208+'[8]SEPTIEMBRE 2015'!$H$1222+'[8]SEPTIEMBRE 2015'!$H$1224</f>
        <v>23245422</v>
      </c>
      <c r="CP124" s="1007"/>
      <c r="CQ124" s="1007"/>
      <c r="CR124" s="1007"/>
      <c r="CS124" s="1007"/>
      <c r="CT124" s="1007"/>
      <c r="CU124" s="1007"/>
      <c r="CV124" s="1007"/>
      <c r="CW124" s="1007"/>
      <c r="CX124" s="1007"/>
      <c r="CY124" s="1007"/>
      <c r="CZ124" s="1007"/>
      <c r="DA124" s="1007"/>
      <c r="DB124" s="1007">
        <f>+'[8]SEPTIEMBRE 2015'!$H$1217+'[8]SEPTIEMBRE 2015'!$H$1220</f>
        <v>52000000</v>
      </c>
      <c r="DC124" s="1007">
        <f>+'[8]SEPTIEMBRE 2015'!$H$1210+'[8]SEPTIEMBRE 2015'!$X$1228</f>
        <v>109019196</v>
      </c>
      <c r="DD124" s="1007">
        <f>+'[8]SEPTIEMBRE 2015'!$H$1215+'[8]SEPTIEMBRE 2015'!$H$1219+'[8]SEPTIEMBRE 2015'!$H$1226+'[8]SEPTIEMBRE 2015'!$H$1228-'[8]SEPTIEMBRE 2015'!$X$1228</f>
        <v>56087110</v>
      </c>
      <c r="DE124" s="1007">
        <f>+'[9]ABRIL 2015'!$H$632</f>
        <v>870000000</v>
      </c>
      <c r="DF124" s="1007"/>
      <c r="DG124" s="1007"/>
      <c r="DH124" s="1007"/>
      <c r="DI124" s="1010">
        <f t="shared" si="115"/>
        <v>2.466985606930483E-2</v>
      </c>
      <c r="DJ124" s="1007">
        <f t="shared" si="116"/>
        <v>28085072</v>
      </c>
      <c r="DK124" s="1007">
        <f t="shared" si="131"/>
        <v>834047</v>
      </c>
      <c r="DL124" s="1007"/>
      <c r="DM124" s="1007"/>
      <c r="DN124" s="1007">
        <f t="shared" si="132"/>
        <v>0</v>
      </c>
      <c r="DO124" s="1007"/>
      <c r="DP124" s="1007">
        <f t="shared" si="133"/>
        <v>0</v>
      </c>
      <c r="DQ124" s="1007">
        <f t="shared" si="133"/>
        <v>0</v>
      </c>
      <c r="DR124" s="1007"/>
      <c r="DS124" s="1007">
        <f t="shared" si="134"/>
        <v>0</v>
      </c>
      <c r="DT124" s="1007">
        <f t="shared" si="134"/>
        <v>0</v>
      </c>
      <c r="DU124" s="1007"/>
      <c r="DV124" s="1007">
        <f t="shared" si="135"/>
        <v>0</v>
      </c>
      <c r="DW124" s="1007">
        <f t="shared" si="135"/>
        <v>0</v>
      </c>
      <c r="DX124" s="1007">
        <f t="shared" si="135"/>
        <v>0</v>
      </c>
      <c r="DY124" s="1007">
        <f t="shared" si="136"/>
        <v>0</v>
      </c>
      <c r="DZ124" s="1007">
        <f t="shared" si="124"/>
        <v>27251025</v>
      </c>
      <c r="EA124" s="1007">
        <f t="shared" si="124"/>
        <v>0</v>
      </c>
      <c r="EB124" s="1007">
        <f t="shared" si="124"/>
        <v>0</v>
      </c>
      <c r="EC124" s="1007"/>
      <c r="ED124" s="1007">
        <f t="shared" si="137"/>
        <v>0</v>
      </c>
    </row>
    <row r="125" spans="1:134" s="203" customFormat="1" ht="31.5" hidden="1" customHeight="1" x14ac:dyDescent="0.25">
      <c r="A125" s="1586"/>
      <c r="B125" s="1018"/>
      <c r="C125" s="1080"/>
      <c r="D125" s="1018" t="s">
        <v>4966</v>
      </c>
      <c r="E125" s="1019"/>
      <c r="F125" s="1117"/>
      <c r="G125" s="1429"/>
      <c r="H125" s="1060"/>
      <c r="I125" s="1060"/>
      <c r="J125" s="1117" t="s">
        <v>4968</v>
      </c>
      <c r="K125" s="1113" t="s">
        <v>4970</v>
      </c>
      <c r="L125" s="1113" t="s">
        <v>4972</v>
      </c>
      <c r="M125" s="1562"/>
      <c r="N125" s="1113">
        <v>9</v>
      </c>
      <c r="O125" s="1562"/>
      <c r="P125" s="1562"/>
      <c r="Q125" s="1113">
        <v>26</v>
      </c>
      <c r="R125" s="1113">
        <v>0</v>
      </c>
      <c r="S125" s="1117"/>
      <c r="T125" s="1117"/>
      <c r="U125" s="1117"/>
      <c r="V125" s="1117"/>
      <c r="W125" s="1117"/>
      <c r="X125" s="1117"/>
      <c r="Y125" s="1066"/>
      <c r="Z125" s="1066"/>
      <c r="AA125" s="1066"/>
      <c r="AB125" s="1066"/>
      <c r="AC125" s="1066"/>
      <c r="AD125" s="1066"/>
      <c r="AE125" s="1066"/>
      <c r="AF125" s="1066"/>
      <c r="AG125" s="1066"/>
      <c r="AH125" s="1066"/>
      <c r="AI125" s="1066"/>
      <c r="AJ125" s="1066"/>
      <c r="AK125" s="1066"/>
      <c r="AL125" s="1066"/>
      <c r="AM125" s="1066"/>
      <c r="AN125" s="1066"/>
      <c r="AO125" s="1066"/>
      <c r="AP125" s="1066"/>
      <c r="AQ125" s="1066"/>
      <c r="AR125" s="1066"/>
      <c r="AS125" s="1066"/>
      <c r="AU125" s="1081"/>
      <c r="AV125" s="1066"/>
      <c r="AW125" s="1066"/>
      <c r="AX125" s="1066"/>
      <c r="AY125" s="1066"/>
      <c r="AZ125" s="1066"/>
      <c r="BA125" s="1066"/>
      <c r="BB125" s="1066"/>
      <c r="BC125" s="1066"/>
      <c r="BD125" s="1066"/>
      <c r="BE125" s="1066"/>
      <c r="BF125" s="1066"/>
      <c r="BG125" s="1066"/>
      <c r="BH125" s="1066"/>
      <c r="BI125" s="1066"/>
      <c r="BJ125" s="1066"/>
      <c r="BK125" s="1066"/>
      <c r="BL125" s="1066"/>
      <c r="BM125" s="1066"/>
      <c r="BN125" s="1066"/>
      <c r="BO125" s="1066"/>
      <c r="BP125" s="1066"/>
      <c r="BQ125" s="1081"/>
      <c r="BR125" s="1066"/>
      <c r="BS125" s="1066"/>
      <c r="BT125" s="1066"/>
      <c r="BU125" s="1066"/>
      <c r="BV125" s="1066"/>
      <c r="BW125" s="1066"/>
      <c r="BX125" s="1066"/>
      <c r="BY125" s="1066"/>
      <c r="BZ125" s="1066"/>
      <c r="CA125" s="1066"/>
      <c r="CB125" s="1066"/>
      <c r="CC125" s="1066"/>
      <c r="CD125" s="1066"/>
      <c r="CE125" s="1066"/>
      <c r="CF125" s="1066"/>
      <c r="CG125" s="1066"/>
      <c r="CH125" s="1066"/>
      <c r="CI125" s="1066"/>
      <c r="CJ125" s="1066"/>
      <c r="CK125" s="1066"/>
      <c r="CL125" s="1066"/>
      <c r="CM125" s="1081"/>
      <c r="CN125" s="1066"/>
      <c r="CO125" s="1066"/>
      <c r="CP125" s="1066"/>
      <c r="CQ125" s="1066"/>
      <c r="CR125" s="1066"/>
      <c r="CS125" s="1066"/>
      <c r="CT125" s="1066"/>
      <c r="CU125" s="1066"/>
      <c r="CV125" s="1066"/>
      <c r="CW125" s="1066"/>
      <c r="CX125" s="1066"/>
      <c r="CY125" s="1066"/>
      <c r="CZ125" s="1066"/>
      <c r="DA125" s="1066"/>
      <c r="DB125" s="1066"/>
      <c r="DC125" s="1066"/>
      <c r="DD125" s="1066"/>
      <c r="DE125" s="1066"/>
      <c r="DF125" s="1066"/>
      <c r="DG125" s="1066"/>
      <c r="DH125" s="1066"/>
      <c r="DI125" s="1081"/>
      <c r="DJ125" s="1066"/>
      <c r="DK125" s="1066"/>
      <c r="DL125" s="1066"/>
      <c r="DM125" s="1066"/>
      <c r="DN125" s="1066"/>
      <c r="DO125" s="1066"/>
      <c r="DP125" s="1066"/>
      <c r="DQ125" s="1066"/>
      <c r="DR125" s="1066"/>
      <c r="DS125" s="1066"/>
      <c r="DT125" s="1066"/>
      <c r="DU125" s="1066"/>
      <c r="DV125" s="1066"/>
      <c r="DW125" s="1066"/>
      <c r="DX125" s="1066"/>
      <c r="DY125" s="1066"/>
      <c r="DZ125" s="1066"/>
      <c r="EA125" s="1066"/>
      <c r="EB125" s="1066"/>
      <c r="EC125" s="1066"/>
      <c r="ED125" s="1066"/>
    </row>
    <row r="126" spans="1:134" ht="38.25" customHeight="1" x14ac:dyDescent="0.25">
      <c r="A126" s="1586"/>
      <c r="B126" s="1018"/>
      <c r="C126" s="1114" t="s">
        <v>4467</v>
      </c>
      <c r="D126" s="1018" t="s">
        <v>4638</v>
      </c>
      <c r="E126" s="1019">
        <v>301</v>
      </c>
      <c r="F126" s="1117" t="s">
        <v>4661</v>
      </c>
      <c r="G126" s="1429"/>
      <c r="H126" s="1060">
        <f t="shared" si="100"/>
        <v>10435017</v>
      </c>
      <c r="I126" s="1060">
        <f>Y126-H126</f>
        <v>4564983</v>
      </c>
      <c r="J126" s="1117" t="s">
        <v>4973</v>
      </c>
      <c r="K126" s="1113" t="s">
        <v>4974</v>
      </c>
      <c r="L126" s="1113" t="s">
        <v>4975</v>
      </c>
      <c r="M126" s="1113">
        <v>3</v>
      </c>
      <c r="N126" s="1113">
        <v>90</v>
      </c>
      <c r="O126" s="1113">
        <v>2</v>
      </c>
      <c r="P126" s="1113">
        <v>5</v>
      </c>
      <c r="Q126" s="1113">
        <v>163</v>
      </c>
      <c r="R126" s="1113">
        <v>8</v>
      </c>
      <c r="S126" s="1117"/>
      <c r="T126" s="1117"/>
      <c r="U126" s="1117"/>
      <c r="V126" s="1117"/>
      <c r="W126" s="1117"/>
      <c r="X126" s="1117"/>
      <c r="Y126" s="1007">
        <f t="shared" si="102"/>
        <v>15000000</v>
      </c>
      <c r="Z126" s="1007"/>
      <c r="AA126" s="1007"/>
      <c r="AB126" s="1007"/>
      <c r="AC126" s="1007"/>
      <c r="AD126" s="1007"/>
      <c r="AE126" s="1007"/>
      <c r="AF126" s="1007"/>
      <c r="AG126" s="1007"/>
      <c r="AH126" s="1007"/>
      <c r="AI126" s="1007"/>
      <c r="AJ126" s="1007"/>
      <c r="AK126" s="1007"/>
      <c r="AL126" s="1007"/>
      <c r="AM126" s="1007"/>
      <c r="AN126" s="1007"/>
      <c r="AO126" s="1007"/>
      <c r="AP126" s="1007">
        <v>15000000</v>
      </c>
      <c r="AQ126" s="1007"/>
      <c r="AR126" s="1007"/>
      <c r="AS126" s="1007"/>
      <c r="AU126" s="1010">
        <f t="shared" si="103"/>
        <v>1</v>
      </c>
      <c r="AV126" s="1007">
        <f t="shared" si="104"/>
        <v>15000000</v>
      </c>
      <c r="AW126" s="1007"/>
      <c r="AX126" s="1007"/>
      <c r="AY126" s="1007"/>
      <c r="AZ126" s="1007"/>
      <c r="BA126" s="1007"/>
      <c r="BB126" s="1007"/>
      <c r="BC126" s="1007"/>
      <c r="BD126" s="1007"/>
      <c r="BE126" s="1007"/>
      <c r="BF126" s="1007"/>
      <c r="BG126" s="1007"/>
      <c r="BH126" s="1007"/>
      <c r="BI126" s="1007"/>
      <c r="BJ126" s="1007"/>
      <c r="BK126" s="1007"/>
      <c r="BL126" s="1007"/>
      <c r="BM126" s="1007">
        <f>+'[16]ENERO 2015'!$W$362</f>
        <v>15000000</v>
      </c>
      <c r="BN126" s="1007"/>
      <c r="BO126" s="1007"/>
      <c r="BP126" s="1007"/>
      <c r="BQ126" s="1010">
        <f t="shared" si="105"/>
        <v>0</v>
      </c>
      <c r="BR126" s="1007">
        <f t="shared" si="106"/>
        <v>0</v>
      </c>
      <c r="BS126" s="1007">
        <f t="shared" si="125"/>
        <v>0</v>
      </c>
      <c r="BT126" s="1007">
        <f t="shared" si="126"/>
        <v>0</v>
      </c>
      <c r="BU126" s="1007"/>
      <c r="BV126" s="1007">
        <f t="shared" si="127"/>
        <v>0</v>
      </c>
      <c r="BW126" s="1007"/>
      <c r="BX126" s="1007">
        <f t="shared" si="128"/>
        <v>0</v>
      </c>
      <c r="BY126" s="1007">
        <f t="shared" si="128"/>
        <v>0</v>
      </c>
      <c r="BZ126" s="1007"/>
      <c r="CA126" s="1007"/>
      <c r="CB126" s="1007"/>
      <c r="CC126" s="1007"/>
      <c r="CD126" s="1007">
        <f t="shared" si="129"/>
        <v>0</v>
      </c>
      <c r="CE126" s="1007">
        <f t="shared" si="129"/>
        <v>0</v>
      </c>
      <c r="CF126" s="1007">
        <f t="shared" si="129"/>
        <v>0</v>
      </c>
      <c r="CG126" s="1007">
        <f t="shared" si="129"/>
        <v>0</v>
      </c>
      <c r="CH126" s="1007">
        <f t="shared" si="111"/>
        <v>0</v>
      </c>
      <c r="CI126" s="1007">
        <f t="shared" si="111"/>
        <v>0</v>
      </c>
      <c r="CJ126" s="1007"/>
      <c r="CK126" s="1007"/>
      <c r="CL126" s="1007">
        <f t="shared" si="130"/>
        <v>0</v>
      </c>
      <c r="CM126" s="1010">
        <f t="shared" si="113"/>
        <v>0.69566779999999995</v>
      </c>
      <c r="CN126" s="1007">
        <f t="shared" si="114"/>
        <v>10435017</v>
      </c>
      <c r="CO126" s="1007"/>
      <c r="CP126" s="1007"/>
      <c r="CQ126" s="1007"/>
      <c r="CR126" s="1007"/>
      <c r="CS126" s="1007"/>
      <c r="CT126" s="1007"/>
      <c r="CU126" s="1007"/>
      <c r="CV126" s="1007"/>
      <c r="CW126" s="1007"/>
      <c r="CX126" s="1007"/>
      <c r="CY126" s="1007"/>
      <c r="CZ126" s="1007"/>
      <c r="DA126" s="1007"/>
      <c r="DB126" s="1007"/>
      <c r="DC126" s="1007"/>
      <c r="DD126" s="1007"/>
      <c r="DE126" s="1007">
        <f>+'[7]AGOSTO 2015'!$H$1074</f>
        <v>10435017</v>
      </c>
      <c r="DF126" s="1007"/>
      <c r="DG126" s="1007"/>
      <c r="DH126" s="1007"/>
      <c r="DI126" s="1010">
        <f t="shared" si="115"/>
        <v>0.30433220000000005</v>
      </c>
      <c r="DJ126" s="1007">
        <f t="shared" si="116"/>
        <v>4564983</v>
      </c>
      <c r="DK126" s="1007">
        <f t="shared" si="131"/>
        <v>0</v>
      </c>
      <c r="DL126" s="1007"/>
      <c r="DM126" s="1007"/>
      <c r="DN126" s="1007">
        <f t="shared" si="132"/>
        <v>0</v>
      </c>
      <c r="DO126" s="1007"/>
      <c r="DP126" s="1007">
        <f t="shared" si="133"/>
        <v>0</v>
      </c>
      <c r="DQ126" s="1007">
        <f t="shared" si="133"/>
        <v>0</v>
      </c>
      <c r="DR126" s="1007"/>
      <c r="DS126" s="1007">
        <f t="shared" si="134"/>
        <v>0</v>
      </c>
      <c r="DT126" s="1007">
        <f t="shared" si="134"/>
        <v>0</v>
      </c>
      <c r="DU126" s="1007"/>
      <c r="DV126" s="1007">
        <f t="shared" si="135"/>
        <v>0</v>
      </c>
      <c r="DW126" s="1007">
        <f t="shared" si="135"/>
        <v>0</v>
      </c>
      <c r="DX126" s="1007">
        <f t="shared" si="135"/>
        <v>0</v>
      </c>
      <c r="DY126" s="1007">
        <f t="shared" si="136"/>
        <v>0</v>
      </c>
      <c r="DZ126" s="1007">
        <f t="shared" si="124"/>
        <v>0</v>
      </c>
      <c r="EA126" s="1007">
        <f t="shared" si="124"/>
        <v>4564983</v>
      </c>
      <c r="EB126" s="1007">
        <f t="shared" si="124"/>
        <v>0</v>
      </c>
      <c r="EC126" s="1007"/>
      <c r="ED126" s="1007">
        <f t="shared" si="137"/>
        <v>0</v>
      </c>
    </row>
    <row r="127" spans="1:134" ht="36" customHeight="1" x14ac:dyDescent="0.25">
      <c r="A127" s="1586"/>
      <c r="B127" s="989"/>
      <c r="C127" s="1114" t="s">
        <v>4468</v>
      </c>
      <c r="D127" s="1018" t="s">
        <v>4639</v>
      </c>
      <c r="E127" s="996">
        <v>301</v>
      </c>
      <c r="F127" s="1117" t="s">
        <v>4661</v>
      </c>
      <c r="G127" s="1430"/>
      <c r="H127" s="1060">
        <f t="shared" si="100"/>
        <v>118560400</v>
      </c>
      <c r="I127" s="1060">
        <f>Y127-H127</f>
        <v>34239600</v>
      </c>
      <c r="J127" s="1117" t="s">
        <v>4922</v>
      </c>
      <c r="K127" s="1113" t="s">
        <v>4923</v>
      </c>
      <c r="L127" s="1113" t="s">
        <v>4924</v>
      </c>
      <c r="M127" s="1113">
        <v>2</v>
      </c>
      <c r="N127" s="1113">
        <v>0</v>
      </c>
      <c r="O127" s="1113">
        <v>0</v>
      </c>
      <c r="P127" s="1113">
        <v>39</v>
      </c>
      <c r="Q127" s="1113">
        <v>15</v>
      </c>
      <c r="R127" s="1113">
        <v>6</v>
      </c>
      <c r="S127" s="1117"/>
      <c r="T127" s="1117"/>
      <c r="U127" s="1117"/>
      <c r="V127" s="1117"/>
      <c r="W127" s="1117"/>
      <c r="X127" s="1117"/>
      <c r="Y127" s="1007">
        <f t="shared" si="102"/>
        <v>152800000</v>
      </c>
      <c r="Z127" s="1007"/>
      <c r="AA127" s="1007"/>
      <c r="AB127" s="1007"/>
      <c r="AC127" s="1007"/>
      <c r="AD127" s="1007"/>
      <c r="AE127" s="1007"/>
      <c r="AF127" s="1007"/>
      <c r="AG127" s="1007"/>
      <c r="AH127" s="1007"/>
      <c r="AI127" s="1007"/>
      <c r="AJ127" s="1007"/>
      <c r="AK127" s="1007"/>
      <c r="AL127" s="1007"/>
      <c r="AM127" s="1007"/>
      <c r="AN127" s="1007">
        <v>137800000</v>
      </c>
      <c r="AO127" s="1007"/>
      <c r="AP127" s="1007">
        <v>15000000</v>
      </c>
      <c r="AQ127" s="1007"/>
      <c r="AR127" s="1007"/>
      <c r="AS127" s="1007"/>
      <c r="AU127" s="1010">
        <f t="shared" si="103"/>
        <v>1</v>
      </c>
      <c r="AV127" s="1007">
        <f t="shared" si="104"/>
        <v>152800000</v>
      </c>
      <c r="AW127" s="1007"/>
      <c r="AX127" s="1007"/>
      <c r="AY127" s="1007"/>
      <c r="AZ127" s="1007"/>
      <c r="BA127" s="1007"/>
      <c r="BB127" s="1007"/>
      <c r="BC127" s="1007"/>
      <c r="BD127" s="1007"/>
      <c r="BE127" s="1007"/>
      <c r="BF127" s="1007"/>
      <c r="BG127" s="1007"/>
      <c r="BH127" s="1007"/>
      <c r="BI127" s="1007"/>
      <c r="BJ127" s="1007"/>
      <c r="BK127" s="1007">
        <f>+'[12]FEBRERO 2015'!$W$469</f>
        <v>137800000</v>
      </c>
      <c r="BL127" s="1007"/>
      <c r="BM127" s="1007">
        <f>+'[16]ENERO 2015'!$W$367</f>
        <v>15000000</v>
      </c>
      <c r="BN127" s="1007"/>
      <c r="BO127" s="1007"/>
      <c r="BP127" s="1007"/>
      <c r="BQ127" s="1010">
        <f t="shared" si="105"/>
        <v>0</v>
      </c>
      <c r="BR127" s="1007">
        <f t="shared" si="106"/>
        <v>0</v>
      </c>
      <c r="BS127" s="1007">
        <f t="shared" si="125"/>
        <v>0</v>
      </c>
      <c r="BT127" s="1007">
        <f t="shared" si="126"/>
        <v>0</v>
      </c>
      <c r="BU127" s="1007"/>
      <c r="BV127" s="1007">
        <f t="shared" si="127"/>
        <v>0</v>
      </c>
      <c r="BW127" s="1007"/>
      <c r="BX127" s="1007">
        <f t="shared" si="128"/>
        <v>0</v>
      </c>
      <c r="BY127" s="1007">
        <f t="shared" si="128"/>
        <v>0</v>
      </c>
      <c r="BZ127" s="1007"/>
      <c r="CA127" s="1007"/>
      <c r="CB127" s="1007"/>
      <c r="CC127" s="1007"/>
      <c r="CD127" s="1007">
        <f t="shared" si="129"/>
        <v>0</v>
      </c>
      <c r="CE127" s="1007">
        <f t="shared" si="129"/>
        <v>0</v>
      </c>
      <c r="CF127" s="1007">
        <f t="shared" si="129"/>
        <v>0</v>
      </c>
      <c r="CG127" s="1007">
        <f t="shared" si="129"/>
        <v>0</v>
      </c>
      <c r="CH127" s="1007">
        <f t="shared" si="111"/>
        <v>0</v>
      </c>
      <c r="CI127" s="1007">
        <f t="shared" si="111"/>
        <v>0</v>
      </c>
      <c r="CJ127" s="1007"/>
      <c r="CK127" s="1007"/>
      <c r="CL127" s="1007">
        <f t="shared" si="130"/>
        <v>0</v>
      </c>
      <c r="CM127" s="1010">
        <f t="shared" si="113"/>
        <v>0.77591884816753931</v>
      </c>
      <c r="CN127" s="1007">
        <f t="shared" si="114"/>
        <v>118560400</v>
      </c>
      <c r="CO127" s="1007"/>
      <c r="CP127" s="1007"/>
      <c r="CQ127" s="1007"/>
      <c r="CR127" s="1007"/>
      <c r="CS127" s="1007"/>
      <c r="CT127" s="1007"/>
      <c r="CU127" s="1007"/>
      <c r="CV127" s="1007"/>
      <c r="CW127" s="1007"/>
      <c r="CX127" s="1007"/>
      <c r="CY127" s="1007"/>
      <c r="CZ127" s="1007"/>
      <c r="DA127" s="1007"/>
      <c r="DB127" s="1007"/>
      <c r="DC127" s="1007">
        <f>+'[7]AGOSTO 2015'!$H$1093</f>
        <v>115983000</v>
      </c>
      <c r="DD127" s="1007"/>
      <c r="DE127" s="1007">
        <f>+'[14]MAYO 2015'!$H$689</f>
        <v>2577400</v>
      </c>
      <c r="DF127" s="1007"/>
      <c r="DG127" s="1007"/>
      <c r="DH127" s="1007"/>
      <c r="DI127" s="1010">
        <f t="shared" si="115"/>
        <v>0.22408115183246069</v>
      </c>
      <c r="DJ127" s="1007">
        <f t="shared" si="116"/>
        <v>34239600</v>
      </c>
      <c r="DK127" s="1007">
        <f t="shared" si="131"/>
        <v>0</v>
      </c>
      <c r="DL127" s="1007"/>
      <c r="DM127" s="1007"/>
      <c r="DN127" s="1007">
        <f t="shared" si="132"/>
        <v>0</v>
      </c>
      <c r="DO127" s="1007"/>
      <c r="DP127" s="1007">
        <f t="shared" si="133"/>
        <v>0</v>
      </c>
      <c r="DQ127" s="1007">
        <f t="shared" si="133"/>
        <v>0</v>
      </c>
      <c r="DR127" s="1007"/>
      <c r="DS127" s="1007">
        <f t="shared" si="134"/>
        <v>0</v>
      </c>
      <c r="DT127" s="1007">
        <f t="shared" si="134"/>
        <v>0</v>
      </c>
      <c r="DU127" s="1007"/>
      <c r="DV127" s="1007">
        <f t="shared" si="135"/>
        <v>0</v>
      </c>
      <c r="DW127" s="1007">
        <f t="shared" si="135"/>
        <v>0</v>
      </c>
      <c r="DX127" s="1007">
        <f t="shared" si="135"/>
        <v>0</v>
      </c>
      <c r="DY127" s="1007">
        <f t="shared" si="136"/>
        <v>21817000</v>
      </c>
      <c r="DZ127" s="1007">
        <f t="shared" si="124"/>
        <v>0</v>
      </c>
      <c r="EA127" s="1007">
        <f t="shared" si="124"/>
        <v>12422600</v>
      </c>
      <c r="EB127" s="1007">
        <f t="shared" si="124"/>
        <v>0</v>
      </c>
      <c r="EC127" s="1007"/>
      <c r="ED127" s="1007">
        <f t="shared" si="137"/>
        <v>0</v>
      </c>
    </row>
    <row r="128" spans="1:134" ht="47.25" customHeight="1" x14ac:dyDescent="0.25">
      <c r="A128" s="1586"/>
      <c r="B128" s="989" t="s">
        <v>4446</v>
      </c>
      <c r="C128" s="1114" t="s">
        <v>4690</v>
      </c>
      <c r="D128" s="1018" t="s">
        <v>4640</v>
      </c>
      <c r="E128" s="996">
        <v>301</v>
      </c>
      <c r="F128" s="1117" t="s">
        <v>4661</v>
      </c>
      <c r="G128" s="1117">
        <v>50000000</v>
      </c>
      <c r="H128" s="1060">
        <f t="shared" si="100"/>
        <v>42473434</v>
      </c>
      <c r="I128" s="1060">
        <f>Y128-H128</f>
        <v>7526566</v>
      </c>
      <c r="J128" s="1117" t="s">
        <v>4925</v>
      </c>
      <c r="K128" s="1113" t="s">
        <v>4926</v>
      </c>
      <c r="L128" s="1113" t="s">
        <v>4927</v>
      </c>
      <c r="M128" s="1113">
        <v>60</v>
      </c>
      <c r="N128" s="1113">
        <v>0</v>
      </c>
      <c r="O128" s="1113">
        <v>0</v>
      </c>
      <c r="P128" s="1113">
        <v>64</v>
      </c>
      <c r="Q128" s="1113">
        <v>36</v>
      </c>
      <c r="R128" s="1113">
        <v>23</v>
      </c>
      <c r="S128" s="1117"/>
      <c r="T128" s="1117"/>
      <c r="U128" s="1117"/>
      <c r="V128" s="1117"/>
      <c r="W128" s="1117"/>
      <c r="X128" s="1117"/>
      <c r="Y128" s="1007">
        <f t="shared" si="102"/>
        <v>50000000</v>
      </c>
      <c r="Z128" s="1007"/>
      <c r="AA128" s="1007"/>
      <c r="AB128" s="1007"/>
      <c r="AC128" s="1007"/>
      <c r="AD128" s="1007"/>
      <c r="AE128" s="1007"/>
      <c r="AF128" s="1007"/>
      <c r="AG128" s="1007"/>
      <c r="AH128" s="1007"/>
      <c r="AI128" s="1007"/>
      <c r="AJ128" s="1007"/>
      <c r="AK128" s="1007"/>
      <c r="AL128" s="1007"/>
      <c r="AM128" s="1007">
        <v>50000000</v>
      </c>
      <c r="AN128" s="1007"/>
      <c r="AO128" s="1007"/>
      <c r="AP128" s="1007"/>
      <c r="AQ128" s="1007"/>
      <c r="AR128" s="1007"/>
      <c r="AS128" s="1007"/>
      <c r="AU128" s="1010">
        <f t="shared" si="103"/>
        <v>1</v>
      </c>
      <c r="AV128" s="1007">
        <f t="shared" si="104"/>
        <v>50000000</v>
      </c>
      <c r="AW128" s="1007"/>
      <c r="AX128" s="1007"/>
      <c r="AY128" s="1007"/>
      <c r="AZ128" s="1007"/>
      <c r="BA128" s="1007"/>
      <c r="BB128" s="1007"/>
      <c r="BC128" s="1007"/>
      <c r="BD128" s="1007"/>
      <c r="BE128" s="1007"/>
      <c r="BF128" s="1007"/>
      <c r="BG128" s="1007"/>
      <c r="BH128" s="1007"/>
      <c r="BI128" s="1007"/>
      <c r="BJ128" s="1007">
        <f>+'[16]ENERO 2015'!$T$374</f>
        <v>50000000</v>
      </c>
      <c r="BK128" s="1007"/>
      <c r="BL128" s="1007"/>
      <c r="BM128" s="1007"/>
      <c r="BN128" s="1007"/>
      <c r="BO128" s="1007"/>
      <c r="BP128" s="1007"/>
      <c r="BQ128" s="1010">
        <f t="shared" si="105"/>
        <v>0</v>
      </c>
      <c r="BR128" s="1007">
        <f t="shared" si="106"/>
        <v>0</v>
      </c>
      <c r="BS128" s="1007">
        <f t="shared" si="125"/>
        <v>0</v>
      </c>
      <c r="BT128" s="1007">
        <f t="shared" si="126"/>
        <v>0</v>
      </c>
      <c r="BU128" s="1007"/>
      <c r="BV128" s="1007">
        <f t="shared" si="127"/>
        <v>0</v>
      </c>
      <c r="BW128" s="1007"/>
      <c r="BX128" s="1007">
        <f t="shared" si="128"/>
        <v>0</v>
      </c>
      <c r="BY128" s="1007">
        <f t="shared" si="128"/>
        <v>0</v>
      </c>
      <c r="BZ128" s="1007"/>
      <c r="CA128" s="1007"/>
      <c r="CB128" s="1007"/>
      <c r="CC128" s="1007"/>
      <c r="CD128" s="1007">
        <f t="shared" si="129"/>
        <v>0</v>
      </c>
      <c r="CE128" s="1007">
        <f t="shared" si="129"/>
        <v>0</v>
      </c>
      <c r="CF128" s="1007">
        <f t="shared" si="129"/>
        <v>0</v>
      </c>
      <c r="CG128" s="1007">
        <f t="shared" si="129"/>
        <v>0</v>
      </c>
      <c r="CH128" s="1007">
        <f t="shared" si="111"/>
        <v>0</v>
      </c>
      <c r="CI128" s="1007">
        <f t="shared" si="111"/>
        <v>0</v>
      </c>
      <c r="CJ128" s="1007"/>
      <c r="CK128" s="1007"/>
      <c r="CL128" s="1007">
        <f t="shared" si="130"/>
        <v>0</v>
      </c>
      <c r="CM128" s="1010">
        <f t="shared" si="113"/>
        <v>0.84946867999999998</v>
      </c>
      <c r="CN128" s="1007">
        <f t="shared" si="114"/>
        <v>42473434</v>
      </c>
      <c r="CO128" s="1007"/>
      <c r="CP128" s="1007"/>
      <c r="CQ128" s="1007"/>
      <c r="CR128" s="1007"/>
      <c r="CS128" s="1007"/>
      <c r="CT128" s="1007"/>
      <c r="CU128" s="1007"/>
      <c r="CV128" s="1007"/>
      <c r="CW128" s="1007"/>
      <c r="CX128" s="1007"/>
      <c r="CY128" s="1007"/>
      <c r="CZ128" s="1007"/>
      <c r="DA128" s="1007"/>
      <c r="DB128" s="1007">
        <f>+'[7]AGOSTO 2015'!$H$1135</f>
        <v>42473434</v>
      </c>
      <c r="DC128" s="1007"/>
      <c r="DD128" s="1007"/>
      <c r="DE128" s="1007"/>
      <c r="DF128" s="1007"/>
      <c r="DG128" s="1007"/>
      <c r="DH128" s="1007"/>
      <c r="DI128" s="1010">
        <f t="shared" si="115"/>
        <v>0.15053132000000002</v>
      </c>
      <c r="DJ128" s="1007">
        <f t="shared" si="116"/>
        <v>7526566</v>
      </c>
      <c r="DK128" s="1007">
        <f t="shared" si="131"/>
        <v>0</v>
      </c>
      <c r="DL128" s="1007"/>
      <c r="DM128" s="1007"/>
      <c r="DN128" s="1007">
        <f t="shared" si="132"/>
        <v>0</v>
      </c>
      <c r="DO128" s="1007"/>
      <c r="DP128" s="1007">
        <f t="shared" si="133"/>
        <v>0</v>
      </c>
      <c r="DQ128" s="1007">
        <f t="shared" si="133"/>
        <v>0</v>
      </c>
      <c r="DR128" s="1007"/>
      <c r="DS128" s="1007">
        <f t="shared" si="134"/>
        <v>0</v>
      </c>
      <c r="DT128" s="1007">
        <f t="shared" si="134"/>
        <v>0</v>
      </c>
      <c r="DU128" s="1007"/>
      <c r="DV128" s="1007">
        <f t="shared" si="135"/>
        <v>0</v>
      </c>
      <c r="DW128" s="1007">
        <f t="shared" si="135"/>
        <v>0</v>
      </c>
      <c r="DX128" s="1007">
        <f t="shared" si="135"/>
        <v>7526566</v>
      </c>
      <c r="DY128" s="1007">
        <f t="shared" si="136"/>
        <v>0</v>
      </c>
      <c r="DZ128" s="1007">
        <f t="shared" si="124"/>
        <v>0</v>
      </c>
      <c r="EA128" s="1007">
        <f t="shared" si="124"/>
        <v>0</v>
      </c>
      <c r="EB128" s="1007">
        <f t="shared" si="124"/>
        <v>0</v>
      </c>
      <c r="EC128" s="1007"/>
      <c r="ED128" s="1007">
        <f t="shared" si="137"/>
        <v>0</v>
      </c>
    </row>
    <row r="129" spans="1:136" s="948" customFormat="1" ht="24" customHeight="1" thickBot="1" x14ac:dyDescent="0.3">
      <c r="A129" s="1056"/>
      <c r="B129" s="1587" t="s">
        <v>4447</v>
      </c>
      <c r="C129" s="1588"/>
      <c r="D129" s="1588"/>
      <c r="E129" s="1588"/>
      <c r="F129" s="1589"/>
      <c r="G129" s="1008">
        <f>SUM(G106:G128)</f>
        <v>1952000000</v>
      </c>
      <c r="H129" s="1008">
        <f>SUM(H106:H128)</f>
        <v>1985775008</v>
      </c>
      <c r="I129" s="1008">
        <f>SUM(I106:I128)</f>
        <v>569461792</v>
      </c>
      <c r="J129" s="1125"/>
      <c r="K129" s="1125"/>
      <c r="L129" s="1125"/>
      <c r="M129" s="1125"/>
      <c r="N129" s="1125"/>
      <c r="O129" s="1125"/>
      <c r="P129" s="1125"/>
      <c r="Q129" s="1125"/>
      <c r="R129" s="1125"/>
      <c r="S129" s="1125"/>
      <c r="T129" s="1125"/>
      <c r="U129" s="1125"/>
      <c r="V129" s="1125"/>
      <c r="W129" s="1125"/>
      <c r="X129" s="1125"/>
      <c r="Y129" s="1008">
        <f t="shared" ref="Y129:AS129" si="138">SUM(Y106:Y128)</f>
        <v>2555236800</v>
      </c>
      <c r="Z129" s="1008">
        <f t="shared" si="138"/>
        <v>104079469</v>
      </c>
      <c r="AA129" s="1008">
        <f t="shared" si="138"/>
        <v>0</v>
      </c>
      <c r="AB129" s="1008">
        <f t="shared" si="138"/>
        <v>0</v>
      </c>
      <c r="AC129" s="1008">
        <f t="shared" si="138"/>
        <v>0</v>
      </c>
      <c r="AD129" s="1008">
        <f t="shared" si="138"/>
        <v>0</v>
      </c>
      <c r="AE129" s="1008">
        <f t="shared" si="138"/>
        <v>0</v>
      </c>
      <c r="AF129" s="1008">
        <f t="shared" si="138"/>
        <v>0</v>
      </c>
      <c r="AG129" s="1008">
        <f t="shared" si="138"/>
        <v>0</v>
      </c>
      <c r="AH129" s="1008">
        <f t="shared" si="138"/>
        <v>0</v>
      </c>
      <c r="AI129" s="1008">
        <f t="shared" si="138"/>
        <v>0</v>
      </c>
      <c r="AJ129" s="1008">
        <f t="shared" si="138"/>
        <v>0</v>
      </c>
      <c r="AK129" s="1008">
        <f t="shared" si="138"/>
        <v>0</v>
      </c>
      <c r="AL129" s="1008">
        <f t="shared" si="138"/>
        <v>0</v>
      </c>
      <c r="AM129" s="1008">
        <f t="shared" si="138"/>
        <v>728406867</v>
      </c>
      <c r="AN129" s="1008">
        <f t="shared" si="138"/>
        <v>346819196</v>
      </c>
      <c r="AO129" s="1008">
        <f t="shared" si="138"/>
        <v>120323279</v>
      </c>
      <c r="AP129" s="1008">
        <f t="shared" si="138"/>
        <v>1181607989</v>
      </c>
      <c r="AQ129" s="1008">
        <f t="shared" si="138"/>
        <v>0</v>
      </c>
      <c r="AR129" s="1008">
        <f t="shared" si="138"/>
        <v>0</v>
      </c>
      <c r="AS129" s="1008">
        <f t="shared" si="138"/>
        <v>74000000</v>
      </c>
      <c r="AU129" s="1011">
        <f t="shared" si="103"/>
        <v>0.95557557874870935</v>
      </c>
      <c r="AV129" s="1008">
        <f>SUM(AV106:AV128)</f>
        <v>2441721884</v>
      </c>
      <c r="AW129" s="1008">
        <f>SUM(AW106:AW128)</f>
        <v>103245422</v>
      </c>
      <c r="AX129" s="1008">
        <f>SUM(AX106:AX128)</f>
        <v>0</v>
      </c>
      <c r="AY129" s="1008"/>
      <c r="AZ129" s="1008">
        <f>SUM(AZ106:AZ128)</f>
        <v>0</v>
      </c>
      <c r="BA129" s="1008"/>
      <c r="BB129" s="1008">
        <f t="shared" ref="BB129:BP129" si="139">SUM(BB106:BB128)</f>
        <v>0</v>
      </c>
      <c r="BC129" s="1008">
        <f t="shared" si="139"/>
        <v>0</v>
      </c>
      <c r="BD129" s="1008">
        <f t="shared" si="139"/>
        <v>0</v>
      </c>
      <c r="BE129" s="1008">
        <f t="shared" si="139"/>
        <v>0</v>
      </c>
      <c r="BF129" s="1008">
        <f t="shared" si="139"/>
        <v>0</v>
      </c>
      <c r="BG129" s="1008">
        <f t="shared" si="139"/>
        <v>0</v>
      </c>
      <c r="BH129" s="1008">
        <f t="shared" si="139"/>
        <v>0</v>
      </c>
      <c r="BI129" s="1008">
        <f t="shared" si="139"/>
        <v>0</v>
      </c>
      <c r="BJ129" s="1008">
        <f t="shared" si="139"/>
        <v>709199167</v>
      </c>
      <c r="BK129" s="1008">
        <f t="shared" si="139"/>
        <v>346819196</v>
      </c>
      <c r="BL129" s="1008">
        <f t="shared" si="139"/>
        <v>60650110</v>
      </c>
      <c r="BM129" s="1008">
        <f t="shared" si="139"/>
        <v>1157607989</v>
      </c>
      <c r="BN129" s="1008">
        <f t="shared" si="139"/>
        <v>0</v>
      </c>
      <c r="BO129" s="1008">
        <f t="shared" si="139"/>
        <v>0</v>
      </c>
      <c r="BP129" s="1008">
        <f t="shared" si="139"/>
        <v>64200000</v>
      </c>
      <c r="BQ129" s="1011">
        <f t="shared" si="105"/>
        <v>4.4424421251290647E-2</v>
      </c>
      <c r="BR129" s="1008">
        <f>SUM(BR106:BR128)</f>
        <v>113514916</v>
      </c>
      <c r="BS129" s="1008">
        <f>SUM(BS106:BS128)</f>
        <v>834047</v>
      </c>
      <c r="BT129" s="1008">
        <f>SUM(BT106:BT128)</f>
        <v>0</v>
      </c>
      <c r="BU129" s="1008"/>
      <c r="BV129" s="1008">
        <f t="shared" ref="BV129:CL129" si="140">SUM(BV106:BV128)</f>
        <v>0</v>
      </c>
      <c r="BW129" s="1008">
        <f t="shared" si="140"/>
        <v>0</v>
      </c>
      <c r="BX129" s="1008">
        <f t="shared" si="140"/>
        <v>0</v>
      </c>
      <c r="BY129" s="1008">
        <f t="shared" si="140"/>
        <v>0</v>
      </c>
      <c r="BZ129" s="1008">
        <f t="shared" si="140"/>
        <v>0</v>
      </c>
      <c r="CA129" s="1008">
        <f t="shared" si="140"/>
        <v>0</v>
      </c>
      <c r="CB129" s="1008">
        <f t="shared" si="140"/>
        <v>0</v>
      </c>
      <c r="CC129" s="1008">
        <f t="shared" si="140"/>
        <v>0</v>
      </c>
      <c r="CD129" s="1008">
        <f t="shared" si="140"/>
        <v>0</v>
      </c>
      <c r="CE129" s="1008">
        <f t="shared" si="140"/>
        <v>0</v>
      </c>
      <c r="CF129" s="1008">
        <f t="shared" si="140"/>
        <v>19207700</v>
      </c>
      <c r="CG129" s="1008">
        <f t="shared" si="140"/>
        <v>0</v>
      </c>
      <c r="CH129" s="1008">
        <f t="shared" si="140"/>
        <v>59673169</v>
      </c>
      <c r="CI129" s="1008">
        <f t="shared" si="140"/>
        <v>24000000</v>
      </c>
      <c r="CJ129" s="1008">
        <f t="shared" si="140"/>
        <v>0</v>
      </c>
      <c r="CK129" s="1008">
        <f t="shared" si="140"/>
        <v>0</v>
      </c>
      <c r="CL129" s="1008">
        <f t="shared" si="140"/>
        <v>9800000</v>
      </c>
      <c r="CM129" s="1011">
        <f t="shared" si="113"/>
        <v>0.77713932736097102</v>
      </c>
      <c r="CN129" s="1008">
        <f>SUM(CN106:CN128)</f>
        <v>1985775008</v>
      </c>
      <c r="CO129" s="1008">
        <f>SUM(CO106:CO128)</f>
        <v>57672466</v>
      </c>
      <c r="CP129" s="1008">
        <f>SUM(CP106:CP128)</f>
        <v>0</v>
      </c>
      <c r="CQ129" s="1008"/>
      <c r="CR129" s="1008">
        <f>SUM(CR106:CR128)</f>
        <v>0</v>
      </c>
      <c r="CS129" s="1008"/>
      <c r="CT129" s="1008">
        <f>SUM(CT106:CT128)</f>
        <v>0</v>
      </c>
      <c r="CU129" s="1008">
        <f>SUM(CU106:CU128)</f>
        <v>0</v>
      </c>
      <c r="CV129" s="1008"/>
      <c r="CW129" s="1008">
        <f t="shared" ref="CW129:DH129" si="141">SUM(CW106:CW128)</f>
        <v>0</v>
      </c>
      <c r="CX129" s="1008">
        <f t="shared" si="141"/>
        <v>0</v>
      </c>
      <c r="CY129" s="1008">
        <f t="shared" si="141"/>
        <v>0</v>
      </c>
      <c r="CZ129" s="1008">
        <f t="shared" si="141"/>
        <v>0</v>
      </c>
      <c r="DA129" s="1008">
        <f t="shared" si="141"/>
        <v>0</v>
      </c>
      <c r="DB129" s="1008">
        <f t="shared" si="141"/>
        <v>471045794</v>
      </c>
      <c r="DC129" s="1008">
        <f t="shared" si="141"/>
        <v>325002196</v>
      </c>
      <c r="DD129" s="1008">
        <f t="shared" si="141"/>
        <v>56087110</v>
      </c>
      <c r="DE129" s="1008">
        <f t="shared" si="141"/>
        <v>1046363025</v>
      </c>
      <c r="DF129" s="1008">
        <f t="shared" si="141"/>
        <v>0</v>
      </c>
      <c r="DG129" s="1008">
        <f t="shared" si="141"/>
        <v>0</v>
      </c>
      <c r="DH129" s="1008">
        <f t="shared" si="141"/>
        <v>29604417</v>
      </c>
      <c r="DI129" s="1011">
        <f t="shared" si="115"/>
        <v>0.22286067263902898</v>
      </c>
      <c r="DJ129" s="1008">
        <f>SUM(DJ106:DJ128)</f>
        <v>569461792</v>
      </c>
      <c r="DK129" s="1008">
        <f>SUM(DK106:DK128)</f>
        <v>46407003</v>
      </c>
      <c r="DL129" s="1008">
        <f>SUM(DL106:DL128)</f>
        <v>0</v>
      </c>
      <c r="DM129" s="1008"/>
      <c r="DN129" s="1008">
        <f t="shared" ref="DN129:ED129" si="142">SUM(DN106:DN128)</f>
        <v>0</v>
      </c>
      <c r="DO129" s="1008">
        <f t="shared" si="142"/>
        <v>0</v>
      </c>
      <c r="DP129" s="1008">
        <f t="shared" si="142"/>
        <v>0</v>
      </c>
      <c r="DQ129" s="1008">
        <f t="shared" si="142"/>
        <v>0</v>
      </c>
      <c r="DR129" s="1008">
        <f t="shared" si="142"/>
        <v>0</v>
      </c>
      <c r="DS129" s="1008">
        <f t="shared" si="142"/>
        <v>0</v>
      </c>
      <c r="DT129" s="1008">
        <f t="shared" si="142"/>
        <v>0</v>
      </c>
      <c r="DU129" s="1008">
        <f t="shared" si="142"/>
        <v>0</v>
      </c>
      <c r="DV129" s="1008">
        <f t="shared" si="142"/>
        <v>0</v>
      </c>
      <c r="DW129" s="1008">
        <f t="shared" si="142"/>
        <v>0</v>
      </c>
      <c r="DX129" s="1008">
        <f t="shared" si="142"/>
        <v>257361073</v>
      </c>
      <c r="DY129" s="1008">
        <f t="shared" si="142"/>
        <v>21817000</v>
      </c>
      <c r="DZ129" s="1008">
        <f t="shared" si="142"/>
        <v>64236169</v>
      </c>
      <c r="EA129" s="1008">
        <f t="shared" si="142"/>
        <v>135244964</v>
      </c>
      <c r="EB129" s="1008">
        <f t="shared" si="142"/>
        <v>0</v>
      </c>
      <c r="EC129" s="1008">
        <f t="shared" si="142"/>
        <v>0</v>
      </c>
      <c r="ED129" s="1037">
        <f t="shared" si="142"/>
        <v>44395583</v>
      </c>
    </row>
    <row r="130" spans="1:136" ht="78" customHeight="1" thickTop="1" x14ac:dyDescent="0.25">
      <c r="A130" s="1590" t="s">
        <v>4757</v>
      </c>
      <c r="B130" s="990" t="s">
        <v>4448</v>
      </c>
      <c r="C130" s="1114" t="s">
        <v>4653</v>
      </c>
      <c r="D130" s="1018" t="s">
        <v>4644</v>
      </c>
      <c r="E130" s="994">
        <v>510</v>
      </c>
      <c r="F130" s="1117" t="s">
        <v>4548</v>
      </c>
      <c r="G130" s="1576">
        <v>10000000</v>
      </c>
      <c r="H130" s="1060">
        <f t="shared" ref="H130:H193" si="143">+CN130</f>
        <v>3000000</v>
      </c>
      <c r="I130" s="1060">
        <f t="shared" ref="I130:I193" si="144">Y130-H130</f>
        <v>0</v>
      </c>
      <c r="J130" s="1068">
        <v>0.3</v>
      </c>
      <c r="K130" s="1131">
        <v>1</v>
      </c>
      <c r="L130" s="1131">
        <v>0.37</v>
      </c>
      <c r="M130" s="1077">
        <v>100</v>
      </c>
      <c r="N130" s="1077">
        <v>30</v>
      </c>
      <c r="O130" s="1077">
        <v>30</v>
      </c>
      <c r="P130" s="1113">
        <v>100</v>
      </c>
      <c r="Q130" s="1113">
        <v>45</v>
      </c>
      <c r="R130" s="1113">
        <v>45</v>
      </c>
      <c r="S130" s="1117"/>
      <c r="T130" s="1117"/>
      <c r="U130" s="1117"/>
      <c r="V130" s="1117"/>
      <c r="W130" s="1117"/>
      <c r="X130" s="1117"/>
      <c r="Y130" s="1007">
        <f t="shared" ref="Y130:Y161" si="145">SUM(Z130:AS130)</f>
        <v>3000000</v>
      </c>
      <c r="Z130" s="1007"/>
      <c r="AA130" s="1007"/>
      <c r="AB130" s="1007"/>
      <c r="AC130" s="1007"/>
      <c r="AD130" s="1007"/>
      <c r="AE130" s="1007">
        <v>3000000</v>
      </c>
      <c r="AF130" s="1007"/>
      <c r="AG130" s="1007"/>
      <c r="AH130" s="1007"/>
      <c r="AI130" s="1007"/>
      <c r="AJ130" s="1007"/>
      <c r="AK130" s="1007"/>
      <c r="AL130" s="1007"/>
      <c r="AM130" s="1007"/>
      <c r="AN130" s="1007"/>
      <c r="AO130" s="1007"/>
      <c r="AP130" s="1007"/>
      <c r="AQ130" s="1007"/>
      <c r="AR130" s="1007"/>
      <c r="AS130" s="1007"/>
      <c r="AU130" s="1010">
        <f t="shared" si="103"/>
        <v>1</v>
      </c>
      <c r="AV130" s="1007">
        <f t="shared" ref="AV130:AV161" si="146">SUM(AW130:BP130)</f>
        <v>3000000</v>
      </c>
      <c r="AW130" s="1007"/>
      <c r="AX130" s="1007"/>
      <c r="AY130" s="1007"/>
      <c r="AZ130" s="1007"/>
      <c r="BA130" s="1007"/>
      <c r="BB130" s="1007">
        <f>+'[11]MARZO 2015'!$N$1116</f>
        <v>3000000</v>
      </c>
      <c r="BC130" s="1007"/>
      <c r="BD130" s="1007"/>
      <c r="BE130" s="1007"/>
      <c r="BF130" s="1007"/>
      <c r="BG130" s="1007"/>
      <c r="BH130" s="1007"/>
      <c r="BI130" s="1007"/>
      <c r="BJ130" s="1007"/>
      <c r="BK130" s="1007"/>
      <c r="BL130" s="1007"/>
      <c r="BM130" s="1007"/>
      <c r="BN130" s="1007"/>
      <c r="BO130" s="1007"/>
      <c r="BP130" s="1007"/>
      <c r="BQ130" s="1010">
        <f t="shared" si="105"/>
        <v>0</v>
      </c>
      <c r="BR130" s="1007">
        <f t="shared" ref="BR130:BR161" si="147">SUM(BS130:CL130)</f>
        <v>0</v>
      </c>
      <c r="BS130" s="1007">
        <f t="shared" ref="BS130:BS150" si="148">+Z130-AW130</f>
        <v>0</v>
      </c>
      <c r="BT130" s="1007">
        <f t="shared" ref="BT130:BT150" si="149">AA130-AX130</f>
        <v>0</v>
      </c>
      <c r="BU130" s="1007"/>
      <c r="BV130" s="1007">
        <f t="shared" ref="BV130:BW150" si="150">AC130-AZ130</f>
        <v>0</v>
      </c>
      <c r="BW130" s="1007">
        <f t="shared" si="150"/>
        <v>0</v>
      </c>
      <c r="BX130" s="1007">
        <f t="shared" ref="BX130:BY150" si="151">+AE130-BB130</f>
        <v>0</v>
      </c>
      <c r="BY130" s="1007">
        <f t="shared" si="151"/>
        <v>0</v>
      </c>
      <c r="BZ130" s="1007"/>
      <c r="CA130" s="1007">
        <f t="shared" ref="CA130:CI150" si="152">+AH130-BE130</f>
        <v>0</v>
      </c>
      <c r="CB130" s="1007">
        <f t="shared" si="152"/>
        <v>0</v>
      </c>
      <c r="CC130" s="1007">
        <f t="shared" si="152"/>
        <v>0</v>
      </c>
      <c r="CD130" s="1007">
        <f t="shared" si="152"/>
        <v>0</v>
      </c>
      <c r="CE130" s="1007">
        <f t="shared" si="152"/>
        <v>0</v>
      </c>
      <c r="CF130" s="1007">
        <f t="shared" si="152"/>
        <v>0</v>
      </c>
      <c r="CG130" s="1007">
        <f t="shared" si="152"/>
        <v>0</v>
      </c>
      <c r="CH130" s="1007">
        <f t="shared" si="152"/>
        <v>0</v>
      </c>
      <c r="CI130" s="1007">
        <f t="shared" si="152"/>
        <v>0</v>
      </c>
      <c r="CJ130" s="1007"/>
      <c r="CK130" s="1007"/>
      <c r="CL130" s="1007">
        <f t="shared" ref="CL130:CL150" si="153">+AS130-BP130</f>
        <v>0</v>
      </c>
      <c r="CM130" s="1010">
        <f t="shared" si="113"/>
        <v>1</v>
      </c>
      <c r="CN130" s="1007">
        <f t="shared" ref="CN130:CN161" si="154">SUM(CO130:DH130)</f>
        <v>3000000</v>
      </c>
      <c r="CO130" s="1007"/>
      <c r="CP130" s="1007"/>
      <c r="CQ130" s="1007"/>
      <c r="CR130" s="1007"/>
      <c r="CS130" s="1007"/>
      <c r="CT130" s="1007">
        <f>+'[11]MARZO 2015'!$H$1117</f>
        <v>3000000</v>
      </c>
      <c r="CU130" s="1007"/>
      <c r="CV130" s="1007"/>
      <c r="CW130" s="1007"/>
      <c r="CX130" s="1007"/>
      <c r="CY130" s="1007"/>
      <c r="CZ130" s="1007"/>
      <c r="DA130" s="1007"/>
      <c r="DB130" s="1007"/>
      <c r="DC130" s="1007"/>
      <c r="DD130" s="1007"/>
      <c r="DE130" s="1007"/>
      <c r="DF130" s="1007"/>
      <c r="DG130" s="1007"/>
      <c r="DH130" s="1007"/>
      <c r="DI130" s="1010">
        <f t="shared" si="115"/>
        <v>0</v>
      </c>
      <c r="DJ130" s="1007">
        <f t="shared" ref="DJ130:DJ161" si="155">SUM(DK130:ED130)</f>
        <v>0</v>
      </c>
      <c r="DK130" s="1007"/>
      <c r="DL130" s="1007"/>
      <c r="DM130" s="1007"/>
      <c r="DN130" s="1007">
        <f t="shared" ref="DN130:DQ150" si="156">AC130-CR130</f>
        <v>0</v>
      </c>
      <c r="DO130" s="1007">
        <f t="shared" si="156"/>
        <v>0</v>
      </c>
      <c r="DP130" s="1007">
        <f t="shared" si="156"/>
        <v>0</v>
      </c>
      <c r="DQ130" s="1007">
        <f t="shared" si="156"/>
        <v>0</v>
      </c>
      <c r="DR130" s="1007"/>
      <c r="DS130" s="1007">
        <f t="shared" ref="DS130:DT150" si="157">+AH130-CW130</f>
        <v>0</v>
      </c>
      <c r="DT130" s="1007">
        <f t="shared" si="157"/>
        <v>0</v>
      </c>
      <c r="DU130" s="1007"/>
      <c r="DV130" s="1007">
        <f t="shared" ref="DV130:DX150" si="158">AK130-CZ130</f>
        <v>0</v>
      </c>
      <c r="DW130" s="1007">
        <f t="shared" si="158"/>
        <v>0</v>
      </c>
      <c r="DX130" s="1007">
        <f t="shared" si="158"/>
        <v>0</v>
      </c>
      <c r="DY130" s="1007">
        <f t="shared" ref="DY130:EB150" si="159">+AN130-DC130</f>
        <v>0</v>
      </c>
      <c r="DZ130" s="1007">
        <f t="shared" si="159"/>
        <v>0</v>
      </c>
      <c r="EA130" s="1007">
        <f t="shared" si="159"/>
        <v>0</v>
      </c>
      <c r="EB130" s="1007">
        <f t="shared" si="159"/>
        <v>0</v>
      </c>
      <c r="EC130" s="1007"/>
      <c r="ED130" s="1007">
        <f t="shared" ref="ED130:ED150" si="160">+AS130-DH130</f>
        <v>0</v>
      </c>
    </row>
    <row r="131" spans="1:136" ht="81" customHeight="1" x14ac:dyDescent="0.25">
      <c r="A131" s="1590"/>
      <c r="B131" s="989"/>
      <c r="C131" s="1114" t="s">
        <v>4654</v>
      </c>
      <c r="D131" s="1018" t="s">
        <v>4652</v>
      </c>
      <c r="E131" s="994">
        <v>510</v>
      </c>
      <c r="F131" s="1117" t="s">
        <v>4548</v>
      </c>
      <c r="G131" s="1430"/>
      <c r="H131" s="1060">
        <f t="shared" si="143"/>
        <v>6828964</v>
      </c>
      <c r="I131" s="1060">
        <f t="shared" si="144"/>
        <v>171036</v>
      </c>
      <c r="J131" s="1117">
        <v>48124</v>
      </c>
      <c r="K131" s="1113">
        <v>73148</v>
      </c>
      <c r="L131" s="1113">
        <v>49086</v>
      </c>
      <c r="M131" s="1113">
        <v>98</v>
      </c>
      <c r="N131" s="1113">
        <v>30</v>
      </c>
      <c r="O131" s="1113">
        <v>29</v>
      </c>
      <c r="P131" s="1113">
        <v>98</v>
      </c>
      <c r="Q131" s="1113">
        <v>45</v>
      </c>
      <c r="R131" s="1113">
        <v>44</v>
      </c>
      <c r="S131" s="1117"/>
      <c r="T131" s="1117"/>
      <c r="U131" s="1117"/>
      <c r="V131" s="1117"/>
      <c r="W131" s="1117"/>
      <c r="X131" s="1117"/>
      <c r="Y131" s="1007">
        <f t="shared" si="145"/>
        <v>7000000</v>
      </c>
      <c r="Z131" s="1007"/>
      <c r="AA131" s="1007"/>
      <c r="AB131" s="1007"/>
      <c r="AC131" s="1007"/>
      <c r="AD131" s="1007"/>
      <c r="AE131" s="1007">
        <v>7000000</v>
      </c>
      <c r="AF131" s="1007"/>
      <c r="AG131" s="1007"/>
      <c r="AH131" s="1007"/>
      <c r="AI131" s="1007"/>
      <c r="AJ131" s="1007"/>
      <c r="AK131" s="1007"/>
      <c r="AL131" s="1007"/>
      <c r="AM131" s="1007"/>
      <c r="AN131" s="1007"/>
      <c r="AO131" s="1007"/>
      <c r="AP131" s="1007"/>
      <c r="AQ131" s="1007"/>
      <c r="AR131" s="1007"/>
      <c r="AS131" s="1007"/>
      <c r="AT131" s="984"/>
      <c r="AU131" s="1010">
        <f t="shared" si="103"/>
        <v>0.97557142857142853</v>
      </c>
      <c r="AV131" s="1007">
        <f t="shared" si="146"/>
        <v>6829000</v>
      </c>
      <c r="AW131" s="1007"/>
      <c r="AX131" s="1007"/>
      <c r="AY131" s="1007"/>
      <c r="AZ131" s="1007"/>
      <c r="BA131" s="1007"/>
      <c r="BB131" s="1007">
        <f>+'[11]MARZO 2015'!$N$1122</f>
        <v>6829000</v>
      </c>
      <c r="BC131" s="1007"/>
      <c r="BD131" s="1007"/>
      <c r="BE131" s="1007"/>
      <c r="BF131" s="1007"/>
      <c r="BG131" s="1007"/>
      <c r="BH131" s="1007"/>
      <c r="BI131" s="1007"/>
      <c r="BJ131" s="1007"/>
      <c r="BK131" s="1007"/>
      <c r="BL131" s="1007"/>
      <c r="BM131" s="1007"/>
      <c r="BN131" s="1007"/>
      <c r="BO131" s="1007"/>
      <c r="BP131" s="1007"/>
      <c r="BQ131" s="1010">
        <f t="shared" si="105"/>
        <v>2.4428571428571466E-2</v>
      </c>
      <c r="BR131" s="1007">
        <f t="shared" si="147"/>
        <v>171000</v>
      </c>
      <c r="BS131" s="1007">
        <f t="shared" si="148"/>
        <v>0</v>
      </c>
      <c r="BT131" s="1007">
        <f t="shared" si="149"/>
        <v>0</v>
      </c>
      <c r="BU131" s="1007"/>
      <c r="BV131" s="1007">
        <f t="shared" si="150"/>
        <v>0</v>
      </c>
      <c r="BW131" s="1007">
        <f t="shared" si="150"/>
        <v>0</v>
      </c>
      <c r="BX131" s="1007">
        <f t="shared" si="151"/>
        <v>171000</v>
      </c>
      <c r="BY131" s="1007">
        <f t="shared" si="151"/>
        <v>0</v>
      </c>
      <c r="BZ131" s="1007"/>
      <c r="CA131" s="1007">
        <f t="shared" si="152"/>
        <v>0</v>
      </c>
      <c r="CB131" s="1007">
        <f t="shared" si="152"/>
        <v>0</v>
      </c>
      <c r="CC131" s="1007">
        <f t="shared" si="152"/>
        <v>0</v>
      </c>
      <c r="CD131" s="1007">
        <f t="shared" si="152"/>
        <v>0</v>
      </c>
      <c r="CE131" s="1007">
        <f t="shared" si="152"/>
        <v>0</v>
      </c>
      <c r="CF131" s="1007">
        <f t="shared" si="152"/>
        <v>0</v>
      </c>
      <c r="CG131" s="1007">
        <f t="shared" si="152"/>
        <v>0</v>
      </c>
      <c r="CH131" s="1007">
        <f t="shared" si="152"/>
        <v>0</v>
      </c>
      <c r="CI131" s="1007">
        <f t="shared" si="152"/>
        <v>0</v>
      </c>
      <c r="CJ131" s="1007"/>
      <c r="CK131" s="1007"/>
      <c r="CL131" s="1007">
        <f t="shared" si="153"/>
        <v>0</v>
      </c>
      <c r="CM131" s="1010">
        <f t="shared" si="113"/>
        <v>0.97556628571428572</v>
      </c>
      <c r="CN131" s="1007">
        <f t="shared" si="154"/>
        <v>6828964</v>
      </c>
      <c r="CO131" s="1007"/>
      <c r="CP131" s="1007"/>
      <c r="CQ131" s="1007"/>
      <c r="CR131" s="1007"/>
      <c r="CS131" s="1007"/>
      <c r="CT131" s="1007">
        <f>+'[11]MARZO 2015'!$H$1120</f>
        <v>6828964</v>
      </c>
      <c r="CU131" s="1007"/>
      <c r="CV131" s="1007"/>
      <c r="CW131" s="1007"/>
      <c r="CX131" s="1007"/>
      <c r="CY131" s="1007"/>
      <c r="CZ131" s="1007"/>
      <c r="DA131" s="1007"/>
      <c r="DB131" s="1007"/>
      <c r="DC131" s="1007"/>
      <c r="DD131" s="1007"/>
      <c r="DE131" s="1007"/>
      <c r="DF131" s="1007"/>
      <c r="DG131" s="1007"/>
      <c r="DH131" s="1007"/>
      <c r="DI131" s="1010">
        <f t="shared" si="115"/>
        <v>2.4433714285714281E-2</v>
      </c>
      <c r="DJ131" s="1007">
        <f t="shared" si="155"/>
        <v>171036</v>
      </c>
      <c r="DK131" s="1007"/>
      <c r="DL131" s="1007"/>
      <c r="DM131" s="1007"/>
      <c r="DN131" s="1007">
        <f t="shared" si="156"/>
        <v>0</v>
      </c>
      <c r="DO131" s="1007">
        <f t="shared" si="156"/>
        <v>0</v>
      </c>
      <c r="DP131" s="1007">
        <f t="shared" si="156"/>
        <v>171036</v>
      </c>
      <c r="DQ131" s="1007">
        <f t="shared" si="156"/>
        <v>0</v>
      </c>
      <c r="DR131" s="1007"/>
      <c r="DS131" s="1007">
        <f t="shared" si="157"/>
        <v>0</v>
      </c>
      <c r="DT131" s="1007">
        <f t="shared" si="157"/>
        <v>0</v>
      </c>
      <c r="DU131" s="1007"/>
      <c r="DV131" s="1007">
        <f t="shared" si="158"/>
        <v>0</v>
      </c>
      <c r="DW131" s="1007">
        <f t="shared" si="158"/>
        <v>0</v>
      </c>
      <c r="DX131" s="1007">
        <f t="shared" si="158"/>
        <v>0</v>
      </c>
      <c r="DY131" s="1007">
        <f t="shared" si="159"/>
        <v>0</v>
      </c>
      <c r="DZ131" s="1007">
        <f t="shared" si="159"/>
        <v>0</v>
      </c>
      <c r="EA131" s="1007">
        <f t="shared" si="159"/>
        <v>0</v>
      </c>
      <c r="EB131" s="1007">
        <f t="shared" si="159"/>
        <v>0</v>
      </c>
      <c r="EC131" s="1007"/>
      <c r="ED131" s="1007">
        <f t="shared" si="160"/>
        <v>0</v>
      </c>
      <c r="EF131" s="1"/>
    </row>
    <row r="132" spans="1:136" ht="83.25" customHeight="1" x14ac:dyDescent="0.25">
      <c r="A132" s="1590"/>
      <c r="B132" s="989" t="s">
        <v>4449</v>
      </c>
      <c r="C132" s="852" t="s">
        <v>4485</v>
      </c>
      <c r="D132" s="1018" t="s">
        <v>4584</v>
      </c>
      <c r="E132" s="994">
        <v>111</v>
      </c>
      <c r="F132" s="1117" t="s">
        <v>4482</v>
      </c>
      <c r="G132" s="1428">
        <v>20073000000</v>
      </c>
      <c r="H132" s="1060">
        <f t="shared" si="143"/>
        <v>0</v>
      </c>
      <c r="I132" s="1060">
        <f t="shared" si="144"/>
        <v>600000000</v>
      </c>
      <c r="J132" s="1117">
        <v>32909</v>
      </c>
      <c r="K132" s="1113">
        <v>47093</v>
      </c>
      <c r="L132" s="1113">
        <v>34554</v>
      </c>
      <c r="M132" s="1113">
        <v>0</v>
      </c>
      <c r="N132" s="1113">
        <v>0</v>
      </c>
      <c r="O132" s="1113">
        <v>0</v>
      </c>
      <c r="P132" s="1113">
        <v>0</v>
      </c>
      <c r="Q132" s="1113">
        <v>0</v>
      </c>
      <c r="R132" s="1113">
        <v>0</v>
      </c>
      <c r="S132" s="1117"/>
      <c r="T132" s="1117"/>
      <c r="U132" s="1117"/>
      <c r="V132" s="1117"/>
      <c r="W132" s="1117"/>
      <c r="X132" s="1117"/>
      <c r="Y132" s="1007">
        <f t="shared" si="145"/>
        <v>600000000</v>
      </c>
      <c r="Z132" s="1007"/>
      <c r="AA132" s="1007"/>
      <c r="AB132" s="1007"/>
      <c r="AC132" s="1007">
        <f>1590000000+400000000-850705529-550000000</f>
        <v>589294471</v>
      </c>
      <c r="AD132" s="1007"/>
      <c r="AE132" s="1007">
        <f>5000000</f>
        <v>5000000</v>
      </c>
      <c r="AF132" s="1007"/>
      <c r="AG132" s="1007"/>
      <c r="AH132" s="1007"/>
      <c r="AI132" s="1007"/>
      <c r="AJ132" s="1007"/>
      <c r="AK132" s="1007"/>
      <c r="AL132" s="1007"/>
      <c r="AM132" s="1007"/>
      <c r="AN132" s="1007"/>
      <c r="AO132" s="1007">
        <f>55705529-50000000</f>
        <v>5705529</v>
      </c>
      <c r="AP132" s="1007"/>
      <c r="AQ132" s="1007"/>
      <c r="AR132" s="1007"/>
      <c r="AS132" s="1007"/>
      <c r="AT132" s="984"/>
      <c r="AU132" s="1010">
        <f t="shared" si="103"/>
        <v>0</v>
      </c>
      <c r="AV132" s="1007">
        <f t="shared" si="146"/>
        <v>0</v>
      </c>
      <c r="AW132" s="1007"/>
      <c r="AX132" s="1007"/>
      <c r="AY132" s="1007"/>
      <c r="AZ132" s="1007"/>
      <c r="BA132" s="1007"/>
      <c r="BB132" s="1007"/>
      <c r="BC132" s="1007"/>
      <c r="BD132" s="1007"/>
      <c r="BE132" s="1007"/>
      <c r="BF132" s="1007"/>
      <c r="BG132" s="1007"/>
      <c r="BH132" s="1007"/>
      <c r="BI132" s="1007"/>
      <c r="BJ132" s="1007"/>
      <c r="BK132" s="1007"/>
      <c r="BL132" s="1007"/>
      <c r="BM132" s="1007"/>
      <c r="BN132" s="1007"/>
      <c r="BO132" s="1007"/>
      <c r="BP132" s="1007"/>
      <c r="BQ132" s="1010">
        <f t="shared" si="105"/>
        <v>1</v>
      </c>
      <c r="BR132" s="1007">
        <f t="shared" si="147"/>
        <v>600000000</v>
      </c>
      <c r="BS132" s="1007">
        <f t="shared" si="148"/>
        <v>0</v>
      </c>
      <c r="BT132" s="1007">
        <f t="shared" si="149"/>
        <v>0</v>
      </c>
      <c r="BU132" s="1007"/>
      <c r="BV132" s="1007">
        <f t="shared" si="150"/>
        <v>589294471</v>
      </c>
      <c r="BW132" s="1007">
        <f t="shared" si="150"/>
        <v>0</v>
      </c>
      <c r="BX132" s="1007">
        <f t="shared" si="151"/>
        <v>5000000</v>
      </c>
      <c r="BY132" s="1007">
        <f t="shared" si="151"/>
        <v>0</v>
      </c>
      <c r="BZ132" s="1007"/>
      <c r="CA132" s="1007">
        <f t="shared" si="152"/>
        <v>0</v>
      </c>
      <c r="CB132" s="1007">
        <f t="shared" si="152"/>
        <v>0</v>
      </c>
      <c r="CC132" s="1007">
        <f t="shared" si="152"/>
        <v>0</v>
      </c>
      <c r="CD132" s="1007">
        <f t="shared" si="152"/>
        <v>0</v>
      </c>
      <c r="CE132" s="1007">
        <f t="shared" si="152"/>
        <v>0</v>
      </c>
      <c r="CF132" s="1007">
        <f t="shared" si="152"/>
        <v>0</v>
      </c>
      <c r="CG132" s="1007">
        <f t="shared" si="152"/>
        <v>0</v>
      </c>
      <c r="CH132" s="1007">
        <f t="shared" si="152"/>
        <v>5705529</v>
      </c>
      <c r="CI132" s="1007">
        <f t="shared" si="152"/>
        <v>0</v>
      </c>
      <c r="CJ132" s="1007"/>
      <c r="CK132" s="1007"/>
      <c r="CL132" s="1007">
        <f t="shared" si="153"/>
        <v>0</v>
      </c>
      <c r="CM132" s="1010">
        <f t="shared" si="113"/>
        <v>0</v>
      </c>
      <c r="CN132" s="1007">
        <f t="shared" si="154"/>
        <v>0</v>
      </c>
      <c r="CO132" s="1007"/>
      <c r="CP132" s="1007"/>
      <c r="CQ132" s="1007"/>
      <c r="CR132" s="1007"/>
      <c r="CS132" s="1007"/>
      <c r="CT132" s="1007"/>
      <c r="CU132" s="1007"/>
      <c r="CV132" s="1007"/>
      <c r="CW132" s="1007"/>
      <c r="CX132" s="1007"/>
      <c r="CY132" s="1007"/>
      <c r="CZ132" s="1007"/>
      <c r="DA132" s="1007"/>
      <c r="DB132" s="1007"/>
      <c r="DC132" s="1007"/>
      <c r="DD132" s="1007"/>
      <c r="DE132" s="1007"/>
      <c r="DF132" s="1007"/>
      <c r="DG132" s="1007"/>
      <c r="DH132" s="1007"/>
      <c r="DI132" s="1010">
        <f t="shared" si="115"/>
        <v>1</v>
      </c>
      <c r="DJ132" s="1007">
        <f t="shared" si="155"/>
        <v>600000000</v>
      </c>
      <c r="DK132" s="1007"/>
      <c r="DL132" s="1007"/>
      <c r="DM132" s="1007"/>
      <c r="DN132" s="1007">
        <f t="shared" si="156"/>
        <v>589294471</v>
      </c>
      <c r="DO132" s="1007">
        <f t="shared" si="156"/>
        <v>0</v>
      </c>
      <c r="DP132" s="1007">
        <f t="shared" si="156"/>
        <v>5000000</v>
      </c>
      <c r="DQ132" s="1007">
        <f t="shared" si="156"/>
        <v>0</v>
      </c>
      <c r="DR132" s="1007"/>
      <c r="DS132" s="1007">
        <f t="shared" si="157"/>
        <v>0</v>
      </c>
      <c r="DT132" s="1007">
        <f t="shared" si="157"/>
        <v>0</v>
      </c>
      <c r="DU132" s="1007"/>
      <c r="DV132" s="1007">
        <f t="shared" si="158"/>
        <v>0</v>
      </c>
      <c r="DW132" s="1007">
        <f t="shared" si="158"/>
        <v>0</v>
      </c>
      <c r="DX132" s="1007">
        <f t="shared" si="158"/>
        <v>0</v>
      </c>
      <c r="DY132" s="1007">
        <f t="shared" si="159"/>
        <v>0</v>
      </c>
      <c r="DZ132" s="1007">
        <f t="shared" si="159"/>
        <v>5705529</v>
      </c>
      <c r="EA132" s="1007">
        <f t="shared" si="159"/>
        <v>0</v>
      </c>
      <c r="EB132" s="1007">
        <f t="shared" si="159"/>
        <v>0</v>
      </c>
      <c r="EC132" s="1007"/>
      <c r="ED132" s="1007">
        <f t="shared" si="160"/>
        <v>0</v>
      </c>
    </row>
    <row r="133" spans="1:136" s="203" customFormat="1" ht="36" customHeight="1" x14ac:dyDescent="0.25">
      <c r="A133" s="1590"/>
      <c r="B133" s="989"/>
      <c r="C133" s="1080" t="s">
        <v>4486</v>
      </c>
      <c r="D133" s="1018" t="s">
        <v>4469</v>
      </c>
      <c r="E133" s="996">
        <v>111</v>
      </c>
      <c r="F133" s="1117" t="s">
        <v>4482</v>
      </c>
      <c r="G133" s="1429"/>
      <c r="H133" s="1060">
        <f t="shared" si="143"/>
        <v>0</v>
      </c>
      <c r="I133" s="1060">
        <f t="shared" si="144"/>
        <v>830000000</v>
      </c>
      <c r="J133" s="1117">
        <v>42349</v>
      </c>
      <c r="K133" s="1113">
        <v>50522</v>
      </c>
      <c r="L133" s="1113">
        <v>43238</v>
      </c>
      <c r="M133" s="1074">
        <v>0</v>
      </c>
      <c r="N133" s="1074">
        <v>0</v>
      </c>
      <c r="O133" s="1074">
        <v>0</v>
      </c>
      <c r="P133" s="1074"/>
      <c r="Q133" s="1074"/>
      <c r="R133" s="1074"/>
      <c r="S133" s="1117"/>
      <c r="T133" s="1117"/>
      <c r="U133" s="1117"/>
      <c r="V133" s="1117"/>
      <c r="W133" s="1117"/>
      <c r="X133" s="1117"/>
      <c r="Y133" s="1066">
        <f t="shared" si="145"/>
        <v>830000000</v>
      </c>
      <c r="Z133" s="1066"/>
      <c r="AA133" s="1066"/>
      <c r="AB133" s="1066"/>
      <c r="AC133" s="1066">
        <v>830000000</v>
      </c>
      <c r="AD133" s="1066"/>
      <c r="AE133" s="1066"/>
      <c r="AF133" s="1066"/>
      <c r="AG133" s="1066"/>
      <c r="AH133" s="1066"/>
      <c r="AI133" s="1066"/>
      <c r="AJ133" s="1066"/>
      <c r="AK133" s="1066"/>
      <c r="AL133" s="1066"/>
      <c r="AM133" s="1066"/>
      <c r="AN133" s="1066"/>
      <c r="AO133" s="1066"/>
      <c r="AP133" s="1066"/>
      <c r="AQ133" s="1066"/>
      <c r="AR133" s="1066"/>
      <c r="AS133" s="1066"/>
      <c r="AT133" s="1088"/>
      <c r="AU133" s="1081">
        <f t="shared" si="103"/>
        <v>0</v>
      </c>
      <c r="AV133" s="1066">
        <f t="shared" si="146"/>
        <v>0</v>
      </c>
      <c r="AW133" s="1066"/>
      <c r="AX133" s="1066"/>
      <c r="AY133" s="1066"/>
      <c r="AZ133" s="1066"/>
      <c r="BA133" s="1066"/>
      <c r="BB133" s="1066"/>
      <c r="BC133" s="1066"/>
      <c r="BD133" s="1066"/>
      <c r="BE133" s="1066"/>
      <c r="BF133" s="1066"/>
      <c r="BG133" s="1066"/>
      <c r="BH133" s="1066"/>
      <c r="BI133" s="1066"/>
      <c r="BJ133" s="1066"/>
      <c r="BK133" s="1066"/>
      <c r="BL133" s="1066"/>
      <c r="BM133" s="1066"/>
      <c r="BN133" s="1066"/>
      <c r="BO133" s="1066"/>
      <c r="BP133" s="1066"/>
      <c r="BQ133" s="1081">
        <f t="shared" si="105"/>
        <v>1</v>
      </c>
      <c r="BR133" s="1066">
        <f t="shared" si="147"/>
        <v>830000000</v>
      </c>
      <c r="BS133" s="1066">
        <f t="shared" si="148"/>
        <v>0</v>
      </c>
      <c r="BT133" s="1066">
        <f t="shared" si="149"/>
        <v>0</v>
      </c>
      <c r="BU133" s="1066"/>
      <c r="BV133" s="1066">
        <f t="shared" si="150"/>
        <v>830000000</v>
      </c>
      <c r="BW133" s="1066">
        <f t="shared" si="150"/>
        <v>0</v>
      </c>
      <c r="BX133" s="1066">
        <f t="shared" si="151"/>
        <v>0</v>
      </c>
      <c r="BY133" s="1066">
        <f t="shared" si="151"/>
        <v>0</v>
      </c>
      <c r="BZ133" s="1066"/>
      <c r="CA133" s="1066">
        <f t="shared" si="152"/>
        <v>0</v>
      </c>
      <c r="CB133" s="1066">
        <f t="shared" si="152"/>
        <v>0</v>
      </c>
      <c r="CC133" s="1066">
        <f t="shared" si="152"/>
        <v>0</v>
      </c>
      <c r="CD133" s="1066">
        <f t="shared" si="152"/>
        <v>0</v>
      </c>
      <c r="CE133" s="1066">
        <f t="shared" si="152"/>
        <v>0</v>
      </c>
      <c r="CF133" s="1066">
        <f t="shared" si="152"/>
        <v>0</v>
      </c>
      <c r="CG133" s="1066">
        <f t="shared" si="152"/>
        <v>0</v>
      </c>
      <c r="CH133" s="1066">
        <f t="shared" si="152"/>
        <v>0</v>
      </c>
      <c r="CI133" s="1066">
        <f t="shared" si="152"/>
        <v>0</v>
      </c>
      <c r="CJ133" s="1066"/>
      <c r="CK133" s="1066"/>
      <c r="CL133" s="1066">
        <f t="shared" si="153"/>
        <v>0</v>
      </c>
      <c r="CM133" s="1081">
        <f t="shared" si="113"/>
        <v>0</v>
      </c>
      <c r="CN133" s="1066">
        <f t="shared" si="154"/>
        <v>0</v>
      </c>
      <c r="CO133" s="1066"/>
      <c r="CP133" s="1066"/>
      <c r="CQ133" s="1066"/>
      <c r="CR133" s="1066"/>
      <c r="CS133" s="1066"/>
      <c r="CT133" s="1066"/>
      <c r="CU133" s="1066"/>
      <c r="CV133" s="1066"/>
      <c r="CW133" s="1066"/>
      <c r="CX133" s="1066"/>
      <c r="CY133" s="1066"/>
      <c r="CZ133" s="1066"/>
      <c r="DA133" s="1066"/>
      <c r="DB133" s="1066"/>
      <c r="DC133" s="1066"/>
      <c r="DD133" s="1066"/>
      <c r="DE133" s="1066"/>
      <c r="DF133" s="1066"/>
      <c r="DG133" s="1066"/>
      <c r="DH133" s="1066"/>
      <c r="DI133" s="1081">
        <f t="shared" si="115"/>
        <v>1</v>
      </c>
      <c r="DJ133" s="1066">
        <f t="shared" si="155"/>
        <v>830000000</v>
      </c>
      <c r="DK133" s="1066"/>
      <c r="DL133" s="1066"/>
      <c r="DM133" s="1066"/>
      <c r="DN133" s="1066">
        <f t="shared" si="156"/>
        <v>830000000</v>
      </c>
      <c r="DO133" s="1066">
        <f t="shared" si="156"/>
        <v>0</v>
      </c>
      <c r="DP133" s="1066">
        <f t="shared" si="156"/>
        <v>0</v>
      </c>
      <c r="DQ133" s="1066">
        <f t="shared" si="156"/>
        <v>0</v>
      </c>
      <c r="DR133" s="1066"/>
      <c r="DS133" s="1066">
        <f t="shared" si="157"/>
        <v>0</v>
      </c>
      <c r="DT133" s="1066">
        <f t="shared" si="157"/>
        <v>0</v>
      </c>
      <c r="DU133" s="1066"/>
      <c r="DV133" s="1066">
        <f t="shared" si="158"/>
        <v>0</v>
      </c>
      <c r="DW133" s="1066">
        <f t="shared" si="158"/>
        <v>0</v>
      </c>
      <c r="DX133" s="1066">
        <f t="shared" si="158"/>
        <v>0</v>
      </c>
      <c r="DY133" s="1066">
        <f t="shared" si="159"/>
        <v>0</v>
      </c>
      <c r="DZ133" s="1066">
        <f t="shared" si="159"/>
        <v>0</v>
      </c>
      <c r="EA133" s="1066">
        <f t="shared" si="159"/>
        <v>0</v>
      </c>
      <c r="EB133" s="1066">
        <f t="shared" si="159"/>
        <v>0</v>
      </c>
      <c r="EC133" s="1066"/>
      <c r="ED133" s="1066">
        <f t="shared" si="160"/>
        <v>0</v>
      </c>
    </row>
    <row r="134" spans="1:136" ht="37.5" customHeight="1" x14ac:dyDescent="0.25">
      <c r="A134" s="1590"/>
      <c r="B134" s="989"/>
      <c r="C134" s="852" t="s">
        <v>4487</v>
      </c>
      <c r="D134" s="1018" t="s">
        <v>4470</v>
      </c>
      <c r="E134" s="994">
        <v>111</v>
      </c>
      <c r="F134" s="1117" t="s">
        <v>4482</v>
      </c>
      <c r="G134" s="1429"/>
      <c r="H134" s="1060">
        <f t="shared" si="143"/>
        <v>349660736</v>
      </c>
      <c r="I134" s="1060">
        <f t="shared" si="144"/>
        <v>339264</v>
      </c>
      <c r="J134" s="1117">
        <v>28874</v>
      </c>
      <c r="K134" s="1113">
        <v>48220</v>
      </c>
      <c r="L134" s="1113">
        <v>31184</v>
      </c>
      <c r="M134" s="1113">
        <v>0</v>
      </c>
      <c r="N134" s="1113">
        <v>0</v>
      </c>
      <c r="O134" s="1113">
        <v>0</v>
      </c>
      <c r="P134" s="1113">
        <v>0</v>
      </c>
      <c r="Q134" s="1113"/>
      <c r="R134" s="1113">
        <v>0</v>
      </c>
      <c r="S134" s="1117"/>
      <c r="T134" s="1117"/>
      <c r="U134" s="1117"/>
      <c r="V134" s="1117"/>
      <c r="W134" s="1117"/>
      <c r="X134" s="1117"/>
      <c r="Y134" s="1007">
        <f t="shared" si="145"/>
        <v>350000000</v>
      </c>
      <c r="Z134" s="1007"/>
      <c r="AA134" s="1007"/>
      <c r="AB134" s="1007"/>
      <c r="AC134" s="1007">
        <f>212000000+103000000+12000000</f>
        <v>327000000</v>
      </c>
      <c r="AD134" s="1007"/>
      <c r="AE134" s="1007"/>
      <c r="AF134" s="1007"/>
      <c r="AG134" s="1007"/>
      <c r="AH134" s="1007"/>
      <c r="AI134" s="1007"/>
      <c r="AJ134" s="1007"/>
      <c r="AK134" s="1007"/>
      <c r="AL134" s="1007"/>
      <c r="AM134" s="1007"/>
      <c r="AN134" s="1007"/>
      <c r="AO134" s="1007">
        <v>23000000</v>
      </c>
      <c r="AP134" s="1007"/>
      <c r="AQ134" s="1007"/>
      <c r="AR134" s="1007"/>
      <c r="AS134" s="1007"/>
      <c r="AT134" s="984"/>
      <c r="AU134" s="1010">
        <f t="shared" si="103"/>
        <v>0.99903341142857138</v>
      </c>
      <c r="AV134" s="1007">
        <f t="shared" si="146"/>
        <v>349661694</v>
      </c>
      <c r="AW134" s="1007"/>
      <c r="AX134" s="1007"/>
      <c r="AY134" s="1007"/>
      <c r="AZ134" s="1007">
        <f>+'[8]SEPTIEMBRE 2015'!$M$28</f>
        <v>327000000</v>
      </c>
      <c r="BA134" s="1007"/>
      <c r="BB134" s="1007"/>
      <c r="BC134" s="1007"/>
      <c r="BD134" s="1007"/>
      <c r="BE134" s="1007"/>
      <c r="BF134" s="1007"/>
      <c r="BG134" s="1007"/>
      <c r="BH134" s="1007"/>
      <c r="BI134" s="1007"/>
      <c r="BJ134" s="1007"/>
      <c r="BK134" s="1007"/>
      <c r="BL134" s="1007">
        <f>+'[8]SEPTIEMBRE 2015'!$Y$28</f>
        <v>22661694</v>
      </c>
      <c r="BM134" s="1007"/>
      <c r="BN134" s="1007"/>
      <c r="BO134" s="1007"/>
      <c r="BP134" s="1007"/>
      <c r="BQ134" s="1010">
        <f t="shared" si="105"/>
        <v>9.6658857142861709E-4</v>
      </c>
      <c r="BR134" s="1007">
        <f t="shared" si="147"/>
        <v>338306</v>
      </c>
      <c r="BS134" s="1007">
        <f t="shared" si="148"/>
        <v>0</v>
      </c>
      <c r="BT134" s="1007">
        <f t="shared" si="149"/>
        <v>0</v>
      </c>
      <c r="BU134" s="1007"/>
      <c r="BV134" s="1007">
        <f t="shared" si="150"/>
        <v>0</v>
      </c>
      <c r="BW134" s="1007">
        <f t="shared" si="150"/>
        <v>0</v>
      </c>
      <c r="BX134" s="1007">
        <f t="shared" si="151"/>
        <v>0</v>
      </c>
      <c r="BY134" s="1007">
        <f t="shared" si="151"/>
        <v>0</v>
      </c>
      <c r="BZ134" s="1007"/>
      <c r="CA134" s="1007">
        <f t="shared" si="152"/>
        <v>0</v>
      </c>
      <c r="CB134" s="1007">
        <f t="shared" si="152"/>
        <v>0</v>
      </c>
      <c r="CC134" s="1007">
        <f t="shared" si="152"/>
        <v>0</v>
      </c>
      <c r="CD134" s="1007">
        <f t="shared" si="152"/>
        <v>0</v>
      </c>
      <c r="CE134" s="1007">
        <f t="shared" si="152"/>
        <v>0</v>
      </c>
      <c r="CF134" s="1007">
        <f t="shared" si="152"/>
        <v>0</v>
      </c>
      <c r="CG134" s="1007">
        <f t="shared" si="152"/>
        <v>0</v>
      </c>
      <c r="CH134" s="1007">
        <f t="shared" si="152"/>
        <v>338306</v>
      </c>
      <c r="CI134" s="1007">
        <f t="shared" si="152"/>
        <v>0</v>
      </c>
      <c r="CJ134" s="1007"/>
      <c r="CK134" s="1007"/>
      <c r="CL134" s="1007">
        <f t="shared" si="153"/>
        <v>0</v>
      </c>
      <c r="CM134" s="1010">
        <f t="shared" si="113"/>
        <v>0.99903067428571424</v>
      </c>
      <c r="CN134" s="1007">
        <f t="shared" si="154"/>
        <v>349660736</v>
      </c>
      <c r="CO134" s="1007"/>
      <c r="CP134" s="1007"/>
      <c r="CQ134" s="1007"/>
      <c r="CR134" s="1007">
        <f>+'[8]SEPTIEMBRE 2015'!$H$30+'[8]SEPTIEMBRE 2015'!$H$32</f>
        <v>326999042</v>
      </c>
      <c r="CS134" s="1007"/>
      <c r="CT134" s="1007"/>
      <c r="CU134" s="1007"/>
      <c r="CV134" s="1007"/>
      <c r="CW134" s="1007"/>
      <c r="CX134" s="1007"/>
      <c r="CY134" s="1007"/>
      <c r="CZ134" s="1007"/>
      <c r="DA134" s="1007"/>
      <c r="DB134" s="1007"/>
      <c r="DC134" s="1007"/>
      <c r="DD134" s="1007">
        <f>+'[8]SEPTIEMBRE 2015'!$H$33</f>
        <v>22661694</v>
      </c>
      <c r="DE134" s="1007"/>
      <c r="DF134" s="1007"/>
      <c r="DG134" s="1007"/>
      <c r="DH134" s="1007"/>
      <c r="DI134" s="1010">
        <f t="shared" si="115"/>
        <v>9.6932571428576253E-4</v>
      </c>
      <c r="DJ134" s="1007">
        <f t="shared" si="155"/>
        <v>339264</v>
      </c>
      <c r="DK134" s="1007"/>
      <c r="DL134" s="1007"/>
      <c r="DM134" s="1007"/>
      <c r="DN134" s="1007">
        <f t="shared" si="156"/>
        <v>958</v>
      </c>
      <c r="DO134" s="1007">
        <f t="shared" si="156"/>
        <v>0</v>
      </c>
      <c r="DP134" s="1007">
        <f t="shared" si="156"/>
        <v>0</v>
      </c>
      <c r="DQ134" s="1007">
        <f t="shared" si="156"/>
        <v>0</v>
      </c>
      <c r="DR134" s="1007"/>
      <c r="DS134" s="1007">
        <f t="shared" si="157"/>
        <v>0</v>
      </c>
      <c r="DT134" s="1007">
        <f t="shared" si="157"/>
        <v>0</v>
      </c>
      <c r="DU134" s="1007"/>
      <c r="DV134" s="1007">
        <f t="shared" si="158"/>
        <v>0</v>
      </c>
      <c r="DW134" s="1007">
        <f t="shared" si="158"/>
        <v>0</v>
      </c>
      <c r="DX134" s="1007">
        <f t="shared" si="158"/>
        <v>0</v>
      </c>
      <c r="DY134" s="1007">
        <f t="shared" si="159"/>
        <v>0</v>
      </c>
      <c r="DZ134" s="1007">
        <f t="shared" si="159"/>
        <v>338306</v>
      </c>
      <c r="EA134" s="1007">
        <f t="shared" si="159"/>
        <v>0</v>
      </c>
      <c r="EB134" s="1007">
        <f t="shared" si="159"/>
        <v>0</v>
      </c>
      <c r="EC134" s="1007"/>
      <c r="ED134" s="1007">
        <f t="shared" si="160"/>
        <v>0</v>
      </c>
      <c r="EE134" s="1035"/>
    </row>
    <row r="135" spans="1:136" ht="33" customHeight="1" x14ac:dyDescent="0.25">
      <c r="A135" s="1590"/>
      <c r="B135" s="989"/>
      <c r="C135" s="852" t="s">
        <v>4488</v>
      </c>
      <c r="D135" s="1018" t="s">
        <v>4471</v>
      </c>
      <c r="E135" s="994">
        <v>111</v>
      </c>
      <c r="F135" s="1117" t="s">
        <v>4482</v>
      </c>
      <c r="G135" s="1429"/>
      <c r="H135" s="1060">
        <f t="shared" si="143"/>
        <v>598906128</v>
      </c>
      <c r="I135" s="1060">
        <f t="shared" si="144"/>
        <v>7460796</v>
      </c>
      <c r="J135" s="1117">
        <v>55000</v>
      </c>
      <c r="K135" s="1113">
        <v>85140</v>
      </c>
      <c r="L135" s="1113">
        <v>57970</v>
      </c>
      <c r="M135" s="1113">
        <v>41</v>
      </c>
      <c r="N135" s="1113">
        <v>25</v>
      </c>
      <c r="O135" s="1113">
        <v>10</v>
      </c>
      <c r="P135" s="1113">
        <v>97</v>
      </c>
      <c r="Q135" s="1113">
        <v>25</v>
      </c>
      <c r="R135" s="1113">
        <v>24</v>
      </c>
      <c r="S135" s="1117"/>
      <c r="T135" s="1117"/>
      <c r="U135" s="1117"/>
      <c r="V135" s="1117"/>
      <c r="W135" s="1117"/>
      <c r="X135" s="1117"/>
      <c r="Y135" s="1007">
        <f t="shared" si="145"/>
        <v>606366924</v>
      </c>
      <c r="Z135" s="1007"/>
      <c r="AA135" s="1007"/>
      <c r="AB135" s="1007"/>
      <c r="AC135" s="1007">
        <f>636000000+213203847-262848257</f>
        <v>586355590</v>
      </c>
      <c r="AD135" s="1007">
        <f>20011334</f>
        <v>20011334</v>
      </c>
      <c r="AE135" s="1007"/>
      <c r="AF135" s="1007"/>
      <c r="AG135" s="1007"/>
      <c r="AH135" s="1007"/>
      <c r="AI135" s="1007"/>
      <c r="AJ135" s="1007"/>
      <c r="AK135" s="1007"/>
      <c r="AL135" s="1007"/>
      <c r="AM135" s="1007"/>
      <c r="AN135" s="1007"/>
      <c r="AO135" s="1007"/>
      <c r="AP135" s="1007"/>
      <c r="AQ135" s="1007"/>
      <c r="AR135" s="1007"/>
      <c r="AS135" s="1007"/>
      <c r="AT135" s="984"/>
      <c r="AU135" s="1010">
        <f t="shared" si="103"/>
        <v>0.9958638146298362</v>
      </c>
      <c r="AV135" s="1007">
        <f t="shared" si="146"/>
        <v>603858878</v>
      </c>
      <c r="AW135" s="1007"/>
      <c r="AX135" s="1007"/>
      <c r="AY135" s="1007"/>
      <c r="AZ135" s="1007">
        <f>+'[8]SEPTIEMBRE 2015'!$M$38</f>
        <v>586355588</v>
      </c>
      <c r="BA135" s="1007">
        <f>+'[7]AGOSTO 2015'!$N$33</f>
        <v>17503290</v>
      </c>
      <c r="BB135" s="1007"/>
      <c r="BC135" s="1007"/>
      <c r="BD135" s="1007"/>
      <c r="BE135" s="1007"/>
      <c r="BF135" s="1007"/>
      <c r="BG135" s="1007"/>
      <c r="BH135" s="1007"/>
      <c r="BI135" s="1007"/>
      <c r="BJ135" s="1007"/>
      <c r="BK135" s="1007"/>
      <c r="BL135" s="1007"/>
      <c r="BM135" s="1007"/>
      <c r="BN135" s="1007"/>
      <c r="BO135" s="1007"/>
      <c r="BP135" s="1007"/>
      <c r="BQ135" s="1010">
        <f t="shared" si="105"/>
        <v>4.1361853701638029E-3</v>
      </c>
      <c r="BR135" s="1007">
        <f t="shared" si="147"/>
        <v>2508046</v>
      </c>
      <c r="BS135" s="1007">
        <f t="shared" si="148"/>
        <v>0</v>
      </c>
      <c r="BT135" s="1007">
        <f t="shared" si="149"/>
        <v>0</v>
      </c>
      <c r="BU135" s="1007"/>
      <c r="BV135" s="1007">
        <f t="shared" si="150"/>
        <v>2</v>
      </c>
      <c r="BW135" s="1007">
        <f t="shared" si="150"/>
        <v>2508044</v>
      </c>
      <c r="BX135" s="1007">
        <f t="shared" si="151"/>
        <v>0</v>
      </c>
      <c r="BY135" s="1007">
        <f t="shared" si="151"/>
        <v>0</v>
      </c>
      <c r="BZ135" s="1007"/>
      <c r="CA135" s="1007">
        <f t="shared" si="152"/>
        <v>0</v>
      </c>
      <c r="CB135" s="1007">
        <f t="shared" si="152"/>
        <v>0</v>
      </c>
      <c r="CC135" s="1007">
        <f t="shared" si="152"/>
        <v>0</v>
      </c>
      <c r="CD135" s="1007">
        <f t="shared" si="152"/>
        <v>0</v>
      </c>
      <c r="CE135" s="1007">
        <f t="shared" si="152"/>
        <v>0</v>
      </c>
      <c r="CF135" s="1007">
        <f t="shared" si="152"/>
        <v>0</v>
      </c>
      <c r="CG135" s="1007">
        <f t="shared" si="152"/>
        <v>0</v>
      </c>
      <c r="CH135" s="1007">
        <f t="shared" si="152"/>
        <v>0</v>
      </c>
      <c r="CI135" s="1007">
        <f t="shared" si="152"/>
        <v>0</v>
      </c>
      <c r="CJ135" s="1007"/>
      <c r="CK135" s="1007"/>
      <c r="CL135" s="1007">
        <f t="shared" si="153"/>
        <v>0</v>
      </c>
      <c r="CM135" s="1010">
        <f t="shared" si="113"/>
        <v>0.98769590539209551</v>
      </c>
      <c r="CN135" s="1007">
        <f t="shared" si="154"/>
        <v>598906128</v>
      </c>
      <c r="CO135" s="1007"/>
      <c r="CP135" s="1007"/>
      <c r="CQ135" s="1007"/>
      <c r="CR135" s="1007">
        <f>+'[7]AGOSTO 2015'!$H$34+'[7]AGOSTO 2015'!$G$43</f>
        <v>586355588</v>
      </c>
      <c r="CS135" s="1007">
        <f>+'[7]AGOSTO 2015'!$H$45+'[7]AGOSTO 2015'!$H$47+'[7]AGOSTO 2015'!$H$50</f>
        <v>12550540</v>
      </c>
      <c r="CT135" s="1007"/>
      <c r="CU135" s="1007"/>
      <c r="CV135" s="1007"/>
      <c r="CW135" s="1007"/>
      <c r="CX135" s="1007"/>
      <c r="CY135" s="1007"/>
      <c r="CZ135" s="1007"/>
      <c r="DA135" s="1007"/>
      <c r="DB135" s="1007"/>
      <c r="DC135" s="1007"/>
      <c r="DD135" s="1007"/>
      <c r="DE135" s="1007"/>
      <c r="DF135" s="1007"/>
      <c r="DG135" s="1007"/>
      <c r="DH135" s="1007"/>
      <c r="DI135" s="1010">
        <f t="shared" si="115"/>
        <v>1.2304094607904492E-2</v>
      </c>
      <c r="DJ135" s="1007">
        <f t="shared" si="155"/>
        <v>7460796</v>
      </c>
      <c r="DK135" s="1007"/>
      <c r="DL135" s="1007"/>
      <c r="DM135" s="1007"/>
      <c r="DN135" s="1007">
        <f t="shared" si="156"/>
        <v>2</v>
      </c>
      <c r="DO135" s="1007">
        <f t="shared" si="156"/>
        <v>7460794</v>
      </c>
      <c r="DP135" s="1007">
        <f t="shared" si="156"/>
        <v>0</v>
      </c>
      <c r="DQ135" s="1007">
        <f t="shared" si="156"/>
        <v>0</v>
      </c>
      <c r="DR135" s="1007"/>
      <c r="DS135" s="1007">
        <f t="shared" si="157"/>
        <v>0</v>
      </c>
      <c r="DT135" s="1007">
        <f t="shared" si="157"/>
        <v>0</v>
      </c>
      <c r="DU135" s="1007"/>
      <c r="DV135" s="1007">
        <f t="shared" si="158"/>
        <v>0</v>
      </c>
      <c r="DW135" s="1007">
        <f t="shared" si="158"/>
        <v>0</v>
      </c>
      <c r="DX135" s="1007">
        <f t="shared" si="158"/>
        <v>0</v>
      </c>
      <c r="DY135" s="1007">
        <f t="shared" si="159"/>
        <v>0</v>
      </c>
      <c r="DZ135" s="1007">
        <f t="shared" si="159"/>
        <v>0</v>
      </c>
      <c r="EA135" s="1007">
        <f t="shared" si="159"/>
        <v>0</v>
      </c>
      <c r="EB135" s="1007">
        <f t="shared" si="159"/>
        <v>0</v>
      </c>
      <c r="EC135" s="1007"/>
      <c r="ED135" s="1007">
        <f t="shared" si="160"/>
        <v>0</v>
      </c>
    </row>
    <row r="136" spans="1:136" s="203" customFormat="1" ht="51" customHeight="1" x14ac:dyDescent="0.25">
      <c r="A136" s="1590"/>
      <c r="B136" s="989"/>
      <c r="C136" s="1080" t="s">
        <v>4489</v>
      </c>
      <c r="D136" s="1018" t="s">
        <v>4472</v>
      </c>
      <c r="E136" s="996">
        <v>111</v>
      </c>
      <c r="F136" s="1117" t="s">
        <v>4482</v>
      </c>
      <c r="G136" s="1429"/>
      <c r="H136" s="1060">
        <f t="shared" si="143"/>
        <v>0</v>
      </c>
      <c r="I136" s="1060">
        <f t="shared" si="144"/>
        <v>650000000</v>
      </c>
      <c r="J136" s="1117">
        <v>100</v>
      </c>
      <c r="K136" s="1113">
        <v>130</v>
      </c>
      <c r="L136" s="1113">
        <v>103</v>
      </c>
      <c r="M136" s="1074">
        <v>0</v>
      </c>
      <c r="N136" s="1074">
        <v>0</v>
      </c>
      <c r="O136" s="1074">
        <v>0</v>
      </c>
      <c r="P136" s="1074"/>
      <c r="Q136" s="1074"/>
      <c r="R136" s="1074"/>
      <c r="S136" s="1117"/>
      <c r="T136" s="1117"/>
      <c r="U136" s="1117"/>
      <c r="V136" s="1117"/>
      <c r="W136" s="1117"/>
      <c r="X136" s="1117"/>
      <c r="Y136" s="1066">
        <f t="shared" si="145"/>
        <v>650000000</v>
      </c>
      <c r="Z136" s="1066"/>
      <c r="AA136" s="1066"/>
      <c r="AB136" s="1066"/>
      <c r="AC136" s="1066">
        <f>290000000+70000000+290000000</f>
        <v>650000000</v>
      </c>
      <c r="AD136" s="1066"/>
      <c r="AE136" s="1066"/>
      <c r="AF136" s="1066"/>
      <c r="AG136" s="1066"/>
      <c r="AH136" s="1066"/>
      <c r="AI136" s="1066"/>
      <c r="AJ136" s="1066"/>
      <c r="AK136" s="1066"/>
      <c r="AL136" s="1066"/>
      <c r="AM136" s="1066"/>
      <c r="AN136" s="1066"/>
      <c r="AO136" s="1066"/>
      <c r="AP136" s="1066"/>
      <c r="AQ136" s="1066"/>
      <c r="AR136" s="1066"/>
      <c r="AS136" s="1066"/>
      <c r="AT136" s="1088"/>
      <c r="AU136" s="1081">
        <f t="shared" si="103"/>
        <v>0</v>
      </c>
      <c r="AV136" s="1066">
        <f t="shared" si="146"/>
        <v>0</v>
      </c>
      <c r="AW136" s="1066"/>
      <c r="AX136" s="1066"/>
      <c r="AY136" s="1066"/>
      <c r="AZ136" s="1066"/>
      <c r="BA136" s="1066"/>
      <c r="BB136" s="1066"/>
      <c r="BC136" s="1066"/>
      <c r="BD136" s="1066"/>
      <c r="BE136" s="1066"/>
      <c r="BF136" s="1066"/>
      <c r="BG136" s="1066"/>
      <c r="BH136" s="1066"/>
      <c r="BI136" s="1066"/>
      <c r="BJ136" s="1066"/>
      <c r="BK136" s="1066"/>
      <c r="BL136" s="1066"/>
      <c r="BM136" s="1066"/>
      <c r="BN136" s="1066"/>
      <c r="BO136" s="1066"/>
      <c r="BP136" s="1066"/>
      <c r="BQ136" s="1081">
        <f t="shared" si="105"/>
        <v>1</v>
      </c>
      <c r="BR136" s="1066">
        <f t="shared" si="147"/>
        <v>650000000</v>
      </c>
      <c r="BS136" s="1066">
        <f t="shared" si="148"/>
        <v>0</v>
      </c>
      <c r="BT136" s="1066">
        <f t="shared" si="149"/>
        <v>0</v>
      </c>
      <c r="BU136" s="1066"/>
      <c r="BV136" s="1066">
        <f t="shared" si="150"/>
        <v>650000000</v>
      </c>
      <c r="BW136" s="1066">
        <f t="shared" si="150"/>
        <v>0</v>
      </c>
      <c r="BX136" s="1066">
        <f t="shared" si="151"/>
        <v>0</v>
      </c>
      <c r="BY136" s="1066">
        <f t="shared" si="151"/>
        <v>0</v>
      </c>
      <c r="BZ136" s="1066"/>
      <c r="CA136" s="1066">
        <f t="shared" si="152"/>
        <v>0</v>
      </c>
      <c r="CB136" s="1066">
        <f t="shared" si="152"/>
        <v>0</v>
      </c>
      <c r="CC136" s="1066">
        <f t="shared" si="152"/>
        <v>0</v>
      </c>
      <c r="CD136" s="1066">
        <f t="shared" si="152"/>
        <v>0</v>
      </c>
      <c r="CE136" s="1066">
        <f t="shared" si="152"/>
        <v>0</v>
      </c>
      <c r="CF136" s="1066">
        <f t="shared" si="152"/>
        <v>0</v>
      </c>
      <c r="CG136" s="1066">
        <f t="shared" si="152"/>
        <v>0</v>
      </c>
      <c r="CH136" s="1066">
        <f t="shared" si="152"/>
        <v>0</v>
      </c>
      <c r="CI136" s="1066">
        <f t="shared" si="152"/>
        <v>0</v>
      </c>
      <c r="CJ136" s="1066"/>
      <c r="CK136" s="1066"/>
      <c r="CL136" s="1066">
        <f t="shared" si="153"/>
        <v>0</v>
      </c>
      <c r="CM136" s="1081">
        <f t="shared" si="113"/>
        <v>0</v>
      </c>
      <c r="CN136" s="1066">
        <f t="shared" si="154"/>
        <v>0</v>
      </c>
      <c r="CO136" s="1066"/>
      <c r="CP136" s="1066"/>
      <c r="CQ136" s="1066"/>
      <c r="CR136" s="1066"/>
      <c r="CS136" s="1066"/>
      <c r="CT136" s="1066"/>
      <c r="CU136" s="1066"/>
      <c r="CV136" s="1066"/>
      <c r="CW136" s="1066"/>
      <c r="CX136" s="1066"/>
      <c r="CY136" s="1066"/>
      <c r="CZ136" s="1066"/>
      <c r="DA136" s="1066"/>
      <c r="DB136" s="1066"/>
      <c r="DC136" s="1066"/>
      <c r="DD136" s="1066"/>
      <c r="DE136" s="1066"/>
      <c r="DF136" s="1066"/>
      <c r="DG136" s="1066"/>
      <c r="DH136" s="1066"/>
      <c r="DI136" s="1081">
        <f t="shared" si="115"/>
        <v>1</v>
      </c>
      <c r="DJ136" s="1066">
        <f t="shared" si="155"/>
        <v>650000000</v>
      </c>
      <c r="DK136" s="1066"/>
      <c r="DL136" s="1066"/>
      <c r="DM136" s="1066"/>
      <c r="DN136" s="1066">
        <f t="shared" si="156"/>
        <v>650000000</v>
      </c>
      <c r="DO136" s="1066">
        <f t="shared" si="156"/>
        <v>0</v>
      </c>
      <c r="DP136" s="1066">
        <f t="shared" si="156"/>
        <v>0</v>
      </c>
      <c r="DQ136" s="1066">
        <f t="shared" si="156"/>
        <v>0</v>
      </c>
      <c r="DR136" s="1066"/>
      <c r="DS136" s="1066">
        <f t="shared" si="157"/>
        <v>0</v>
      </c>
      <c r="DT136" s="1066">
        <f t="shared" si="157"/>
        <v>0</v>
      </c>
      <c r="DU136" s="1066"/>
      <c r="DV136" s="1066">
        <f t="shared" si="158"/>
        <v>0</v>
      </c>
      <c r="DW136" s="1066">
        <f t="shared" si="158"/>
        <v>0</v>
      </c>
      <c r="DX136" s="1066">
        <f t="shared" si="158"/>
        <v>0</v>
      </c>
      <c r="DY136" s="1066">
        <f t="shared" si="159"/>
        <v>0</v>
      </c>
      <c r="DZ136" s="1066">
        <f t="shared" si="159"/>
        <v>0</v>
      </c>
      <c r="EA136" s="1066">
        <f t="shared" si="159"/>
        <v>0</v>
      </c>
      <c r="EB136" s="1066">
        <f t="shared" si="159"/>
        <v>0</v>
      </c>
      <c r="EC136" s="1066"/>
      <c r="ED136" s="1066">
        <f t="shared" si="160"/>
        <v>0</v>
      </c>
    </row>
    <row r="137" spans="1:136" ht="45.75" customHeight="1" x14ac:dyDescent="0.25">
      <c r="A137" s="1590"/>
      <c r="B137" s="989"/>
      <c r="C137" s="852" t="s">
        <v>4490</v>
      </c>
      <c r="D137" s="1018" t="s">
        <v>4473</v>
      </c>
      <c r="E137" s="994">
        <v>111</v>
      </c>
      <c r="F137" s="1117" t="s">
        <v>4482</v>
      </c>
      <c r="G137" s="1429"/>
      <c r="H137" s="1060">
        <f t="shared" si="143"/>
        <v>0</v>
      </c>
      <c r="I137" s="1060">
        <f t="shared" si="144"/>
        <v>938075763</v>
      </c>
      <c r="J137" s="1117">
        <v>1273</v>
      </c>
      <c r="K137" s="1113">
        <v>1832</v>
      </c>
      <c r="L137" s="1113">
        <v>1332</v>
      </c>
      <c r="M137" s="1113">
        <v>0</v>
      </c>
      <c r="N137" s="1113">
        <v>0</v>
      </c>
      <c r="O137" s="1113">
        <v>0</v>
      </c>
      <c r="P137" s="1113">
        <v>0</v>
      </c>
      <c r="Q137" s="1113">
        <v>0</v>
      </c>
      <c r="R137" s="1113">
        <v>0</v>
      </c>
      <c r="S137" s="1117"/>
      <c r="T137" s="1117"/>
      <c r="U137" s="1117"/>
      <c r="V137" s="1117"/>
      <c r="W137" s="1117"/>
      <c r="X137" s="1117"/>
      <c r="Y137" s="1007">
        <f t="shared" si="145"/>
        <v>938075763</v>
      </c>
      <c r="Z137" s="1007"/>
      <c r="AA137" s="1007"/>
      <c r="AB137" s="1007"/>
      <c r="AC137" s="1007">
        <f>699600000+99000000+80000000</f>
        <v>878600000</v>
      </c>
      <c r="AD137" s="1007"/>
      <c r="AE137" s="1007"/>
      <c r="AF137" s="1007"/>
      <c r="AG137" s="1007"/>
      <c r="AH137" s="1007"/>
      <c r="AI137" s="1007">
        <v>1940856</v>
      </c>
      <c r="AJ137" s="1007">
        <v>3438802</v>
      </c>
      <c r="AK137" s="1007">
        <v>54096105</v>
      </c>
      <c r="AL137" s="1007"/>
      <c r="AM137" s="1007"/>
      <c r="AN137" s="1007"/>
      <c r="AO137" s="1007"/>
      <c r="AP137" s="1007"/>
      <c r="AQ137" s="1007"/>
      <c r="AR137" s="1007"/>
      <c r="AS137" s="1007"/>
      <c r="AT137" s="984"/>
      <c r="AU137" s="1010">
        <f t="shared" si="103"/>
        <v>0</v>
      </c>
      <c r="AV137" s="1007">
        <f t="shared" si="146"/>
        <v>0</v>
      </c>
      <c r="AW137" s="1007"/>
      <c r="AX137" s="1007"/>
      <c r="AY137" s="1007"/>
      <c r="AZ137" s="1007"/>
      <c r="BA137" s="1007"/>
      <c r="BB137" s="1007"/>
      <c r="BC137" s="1007"/>
      <c r="BD137" s="1007"/>
      <c r="BE137" s="1007"/>
      <c r="BF137" s="1007"/>
      <c r="BG137" s="1007"/>
      <c r="BH137" s="1007"/>
      <c r="BI137" s="1007"/>
      <c r="BJ137" s="1007"/>
      <c r="BK137" s="1007"/>
      <c r="BL137" s="1007"/>
      <c r="BM137" s="1007"/>
      <c r="BN137" s="1007"/>
      <c r="BO137" s="1007"/>
      <c r="BP137" s="1007"/>
      <c r="BQ137" s="1010">
        <f t="shared" si="105"/>
        <v>1</v>
      </c>
      <c r="BR137" s="1007">
        <f t="shared" si="147"/>
        <v>938075763</v>
      </c>
      <c r="BS137" s="1007">
        <f t="shared" si="148"/>
        <v>0</v>
      </c>
      <c r="BT137" s="1007">
        <f t="shared" si="149"/>
        <v>0</v>
      </c>
      <c r="BU137" s="1007"/>
      <c r="BV137" s="1007">
        <f t="shared" si="150"/>
        <v>878600000</v>
      </c>
      <c r="BW137" s="1007">
        <f t="shared" si="150"/>
        <v>0</v>
      </c>
      <c r="BX137" s="1007">
        <f t="shared" si="151"/>
        <v>0</v>
      </c>
      <c r="BY137" s="1007">
        <f t="shared" si="151"/>
        <v>0</v>
      </c>
      <c r="BZ137" s="1007"/>
      <c r="CA137" s="1007">
        <f t="shared" si="152"/>
        <v>0</v>
      </c>
      <c r="CB137" s="1007">
        <f t="shared" si="152"/>
        <v>1940856</v>
      </c>
      <c r="CC137" s="1007">
        <f t="shared" si="152"/>
        <v>3438802</v>
      </c>
      <c r="CD137" s="1007">
        <f t="shared" si="152"/>
        <v>54096105</v>
      </c>
      <c r="CE137" s="1007">
        <f t="shared" si="152"/>
        <v>0</v>
      </c>
      <c r="CF137" s="1007">
        <f t="shared" si="152"/>
        <v>0</v>
      </c>
      <c r="CG137" s="1007">
        <f t="shared" si="152"/>
        <v>0</v>
      </c>
      <c r="CH137" s="1007">
        <f t="shared" si="152"/>
        <v>0</v>
      </c>
      <c r="CI137" s="1007">
        <f t="shared" si="152"/>
        <v>0</v>
      </c>
      <c r="CJ137" s="1007">
        <f>+AQ137-BN137</f>
        <v>0</v>
      </c>
      <c r="CK137" s="1007">
        <f>+AR137-BO137</f>
        <v>0</v>
      </c>
      <c r="CL137" s="1007">
        <f t="shared" si="153"/>
        <v>0</v>
      </c>
      <c r="CM137" s="1010">
        <f t="shared" si="113"/>
        <v>0</v>
      </c>
      <c r="CN137" s="1007">
        <f t="shared" si="154"/>
        <v>0</v>
      </c>
      <c r="CO137" s="1007"/>
      <c r="CP137" s="1007"/>
      <c r="CQ137" s="1007"/>
      <c r="CR137" s="1007"/>
      <c r="CS137" s="1007"/>
      <c r="CT137" s="1007"/>
      <c r="CU137" s="1007"/>
      <c r="CV137" s="1007"/>
      <c r="CW137" s="1007"/>
      <c r="CX137" s="1007"/>
      <c r="CY137" s="1007"/>
      <c r="CZ137" s="1007"/>
      <c r="DA137" s="1007"/>
      <c r="DB137" s="1007"/>
      <c r="DC137" s="1007"/>
      <c r="DD137" s="1007"/>
      <c r="DE137" s="1007"/>
      <c r="DF137" s="1007"/>
      <c r="DG137" s="1007"/>
      <c r="DH137" s="1007"/>
      <c r="DI137" s="1010">
        <f t="shared" si="115"/>
        <v>1</v>
      </c>
      <c r="DJ137" s="1007">
        <f t="shared" si="155"/>
        <v>938075763</v>
      </c>
      <c r="DK137" s="1007"/>
      <c r="DL137" s="1007"/>
      <c r="DM137" s="1007"/>
      <c r="DN137" s="1007">
        <f t="shared" si="156"/>
        <v>878600000</v>
      </c>
      <c r="DO137" s="1007">
        <f t="shared" si="156"/>
        <v>0</v>
      </c>
      <c r="DP137" s="1007">
        <f t="shared" si="156"/>
        <v>0</v>
      </c>
      <c r="DQ137" s="1007">
        <f t="shared" si="156"/>
        <v>0</v>
      </c>
      <c r="DR137" s="1007"/>
      <c r="DS137" s="1007">
        <f t="shared" si="157"/>
        <v>0</v>
      </c>
      <c r="DT137" s="1007">
        <f t="shared" si="157"/>
        <v>1940856</v>
      </c>
      <c r="DU137" s="1007">
        <f>+AJ137-CY137</f>
        <v>3438802</v>
      </c>
      <c r="DV137" s="1007">
        <f t="shared" si="158"/>
        <v>54096105</v>
      </c>
      <c r="DW137" s="1007">
        <f t="shared" si="158"/>
        <v>0</v>
      </c>
      <c r="DX137" s="1007">
        <f t="shared" si="158"/>
        <v>0</v>
      </c>
      <c r="DY137" s="1007">
        <f t="shared" si="159"/>
        <v>0</v>
      </c>
      <c r="DZ137" s="1007">
        <f t="shared" si="159"/>
        <v>0</v>
      </c>
      <c r="EA137" s="1007">
        <f t="shared" si="159"/>
        <v>0</v>
      </c>
      <c r="EB137" s="1007">
        <f t="shared" si="159"/>
        <v>0</v>
      </c>
      <c r="EC137" s="1007"/>
      <c r="ED137" s="1007">
        <f t="shared" si="160"/>
        <v>0</v>
      </c>
    </row>
    <row r="138" spans="1:136" ht="33.75" customHeight="1" x14ac:dyDescent="0.25">
      <c r="A138" s="1590"/>
      <c r="B138" s="989"/>
      <c r="C138" s="852" t="s">
        <v>4491</v>
      </c>
      <c r="D138" s="1018" t="s">
        <v>4474</v>
      </c>
      <c r="E138" s="994">
        <v>111</v>
      </c>
      <c r="F138" s="1117" t="s">
        <v>4482</v>
      </c>
      <c r="G138" s="1429"/>
      <c r="H138" s="1060">
        <f t="shared" si="143"/>
        <v>0</v>
      </c>
      <c r="I138" s="1060">
        <f t="shared" si="144"/>
        <v>233200000</v>
      </c>
      <c r="J138" s="1117">
        <v>60</v>
      </c>
      <c r="K138" s="1113">
        <v>80</v>
      </c>
      <c r="L138" s="1113">
        <v>62</v>
      </c>
      <c r="M138" s="1113">
        <v>0</v>
      </c>
      <c r="N138" s="1113">
        <v>0</v>
      </c>
      <c r="O138" s="1113">
        <v>0</v>
      </c>
      <c r="P138" s="1113">
        <v>0</v>
      </c>
      <c r="Q138" s="1113">
        <v>0</v>
      </c>
      <c r="R138" s="1113">
        <v>0</v>
      </c>
      <c r="S138" s="1117"/>
      <c r="T138" s="1117"/>
      <c r="U138" s="1117"/>
      <c r="V138" s="1117"/>
      <c r="W138" s="1117"/>
      <c r="X138" s="1117"/>
      <c r="Y138" s="1007">
        <f t="shared" si="145"/>
        <v>233200000</v>
      </c>
      <c r="Z138" s="1007"/>
      <c r="AA138" s="1007"/>
      <c r="AB138" s="1007"/>
      <c r="AC138" s="1007">
        <v>233200000</v>
      </c>
      <c r="AD138" s="1007"/>
      <c r="AE138" s="1007"/>
      <c r="AF138" s="1007"/>
      <c r="AG138" s="1007"/>
      <c r="AH138" s="1007"/>
      <c r="AI138" s="1007"/>
      <c r="AJ138" s="1007"/>
      <c r="AK138" s="1007"/>
      <c r="AL138" s="1007"/>
      <c r="AM138" s="1007"/>
      <c r="AN138" s="1007"/>
      <c r="AO138" s="1007"/>
      <c r="AP138" s="1007"/>
      <c r="AQ138" s="1007"/>
      <c r="AR138" s="1007"/>
      <c r="AS138" s="1007"/>
      <c r="AT138" s="984"/>
      <c r="AU138" s="1010">
        <f t="shared" si="103"/>
        <v>0</v>
      </c>
      <c r="AV138" s="1007">
        <f t="shared" si="146"/>
        <v>0</v>
      </c>
      <c r="AW138" s="1007"/>
      <c r="AX138" s="1007"/>
      <c r="AY138" s="1007"/>
      <c r="AZ138" s="1007"/>
      <c r="BA138" s="1007"/>
      <c r="BB138" s="1007"/>
      <c r="BC138" s="1007"/>
      <c r="BD138" s="1007"/>
      <c r="BE138" s="1007"/>
      <c r="BF138" s="1007"/>
      <c r="BG138" s="1007"/>
      <c r="BH138" s="1007"/>
      <c r="BI138" s="1007"/>
      <c r="BJ138" s="1007"/>
      <c r="BK138" s="1007"/>
      <c r="BL138" s="1007"/>
      <c r="BM138" s="1007"/>
      <c r="BN138" s="1007"/>
      <c r="BO138" s="1007"/>
      <c r="BP138" s="1007"/>
      <c r="BQ138" s="1010">
        <f t="shared" si="105"/>
        <v>1</v>
      </c>
      <c r="BR138" s="1007">
        <f t="shared" si="147"/>
        <v>233200000</v>
      </c>
      <c r="BS138" s="1007">
        <f t="shared" si="148"/>
        <v>0</v>
      </c>
      <c r="BT138" s="1007">
        <f t="shared" si="149"/>
        <v>0</v>
      </c>
      <c r="BU138" s="1007"/>
      <c r="BV138" s="1007">
        <f t="shared" si="150"/>
        <v>233200000</v>
      </c>
      <c r="BW138" s="1007">
        <f t="shared" si="150"/>
        <v>0</v>
      </c>
      <c r="BX138" s="1007">
        <f t="shared" si="151"/>
        <v>0</v>
      </c>
      <c r="BY138" s="1007">
        <f t="shared" si="151"/>
        <v>0</v>
      </c>
      <c r="BZ138" s="1007"/>
      <c r="CA138" s="1007">
        <f t="shared" si="152"/>
        <v>0</v>
      </c>
      <c r="CB138" s="1007">
        <f t="shared" si="152"/>
        <v>0</v>
      </c>
      <c r="CC138" s="1007">
        <f t="shared" si="152"/>
        <v>0</v>
      </c>
      <c r="CD138" s="1007">
        <f t="shared" si="152"/>
        <v>0</v>
      </c>
      <c r="CE138" s="1007">
        <f t="shared" si="152"/>
        <v>0</v>
      </c>
      <c r="CF138" s="1007">
        <f t="shared" si="152"/>
        <v>0</v>
      </c>
      <c r="CG138" s="1007">
        <f t="shared" si="152"/>
        <v>0</v>
      </c>
      <c r="CH138" s="1007">
        <f t="shared" si="152"/>
        <v>0</v>
      </c>
      <c r="CI138" s="1007">
        <f t="shared" si="152"/>
        <v>0</v>
      </c>
      <c r="CJ138" s="1007"/>
      <c r="CK138" s="1007">
        <f t="shared" ref="CK138:CK150" si="161">+AR138-BO138</f>
        <v>0</v>
      </c>
      <c r="CL138" s="1007">
        <f t="shared" si="153"/>
        <v>0</v>
      </c>
      <c r="CM138" s="1010">
        <f t="shared" si="113"/>
        <v>0</v>
      </c>
      <c r="CN138" s="1007">
        <f t="shared" si="154"/>
        <v>0</v>
      </c>
      <c r="CO138" s="1007"/>
      <c r="CP138" s="1007"/>
      <c r="CQ138" s="1007"/>
      <c r="CR138" s="1007"/>
      <c r="CS138" s="1007"/>
      <c r="CT138" s="1007"/>
      <c r="CU138" s="1007"/>
      <c r="CV138" s="1007"/>
      <c r="CW138" s="1007"/>
      <c r="CX138" s="1007"/>
      <c r="CY138" s="1007"/>
      <c r="CZ138" s="1007"/>
      <c r="DA138" s="1007"/>
      <c r="DB138" s="1007"/>
      <c r="DC138" s="1007"/>
      <c r="DD138" s="1007"/>
      <c r="DE138" s="1007"/>
      <c r="DF138" s="1007"/>
      <c r="DG138" s="1007"/>
      <c r="DH138" s="1007"/>
      <c r="DI138" s="1010">
        <f t="shared" si="115"/>
        <v>1</v>
      </c>
      <c r="DJ138" s="1007">
        <f t="shared" si="155"/>
        <v>233200000</v>
      </c>
      <c r="DK138" s="1007"/>
      <c r="DL138" s="1007"/>
      <c r="DM138" s="1007"/>
      <c r="DN138" s="1007">
        <f t="shared" si="156"/>
        <v>233200000</v>
      </c>
      <c r="DO138" s="1007">
        <f t="shared" si="156"/>
        <v>0</v>
      </c>
      <c r="DP138" s="1007">
        <f t="shared" si="156"/>
        <v>0</v>
      </c>
      <c r="DQ138" s="1007">
        <f t="shared" si="156"/>
        <v>0</v>
      </c>
      <c r="DR138" s="1007"/>
      <c r="DS138" s="1007">
        <f t="shared" si="157"/>
        <v>0</v>
      </c>
      <c r="DT138" s="1007">
        <f t="shared" si="157"/>
        <v>0</v>
      </c>
      <c r="DU138" s="1007">
        <f>+AJ138-CY138</f>
        <v>0</v>
      </c>
      <c r="DV138" s="1007">
        <f t="shared" si="158"/>
        <v>0</v>
      </c>
      <c r="DW138" s="1007">
        <f t="shared" si="158"/>
        <v>0</v>
      </c>
      <c r="DX138" s="1007">
        <f t="shared" si="158"/>
        <v>0</v>
      </c>
      <c r="DY138" s="1007">
        <f t="shared" si="159"/>
        <v>0</v>
      </c>
      <c r="DZ138" s="1007">
        <f t="shared" si="159"/>
        <v>0</v>
      </c>
      <c r="EA138" s="1007">
        <f t="shared" si="159"/>
        <v>0</v>
      </c>
      <c r="EB138" s="1007">
        <f t="shared" si="159"/>
        <v>0</v>
      </c>
      <c r="EC138" s="1007"/>
      <c r="ED138" s="1007">
        <f t="shared" si="160"/>
        <v>0</v>
      </c>
    </row>
    <row r="139" spans="1:136" ht="52.5" customHeight="1" x14ac:dyDescent="0.25">
      <c r="A139" s="1590"/>
      <c r="B139" s="989"/>
      <c r="C139" s="852" t="s">
        <v>4492</v>
      </c>
      <c r="D139" s="1018" t="s">
        <v>4475</v>
      </c>
      <c r="E139" s="994">
        <v>111</v>
      </c>
      <c r="F139" s="1117" t="s">
        <v>4482</v>
      </c>
      <c r="G139" s="1429"/>
      <c r="H139" s="1060">
        <f t="shared" si="143"/>
        <v>0</v>
      </c>
      <c r="I139" s="1060">
        <f t="shared" si="144"/>
        <v>300000000</v>
      </c>
      <c r="J139" s="1283">
        <v>206</v>
      </c>
      <c r="K139" s="1198">
        <v>448</v>
      </c>
      <c r="L139" s="1198">
        <v>230</v>
      </c>
      <c r="M139" s="1113">
        <v>0</v>
      </c>
      <c r="N139" s="1113">
        <v>0</v>
      </c>
      <c r="O139" s="1113">
        <v>0</v>
      </c>
      <c r="P139" s="1113">
        <v>0</v>
      </c>
      <c r="Q139" s="1113">
        <v>0</v>
      </c>
      <c r="R139" s="1113">
        <v>0</v>
      </c>
      <c r="S139" s="1117"/>
      <c r="T139" s="1117"/>
      <c r="U139" s="1117"/>
      <c r="V139" s="1117"/>
      <c r="W139" s="1117"/>
      <c r="X139" s="1117"/>
      <c r="Y139" s="1007">
        <f t="shared" si="145"/>
        <v>300000000</v>
      </c>
      <c r="Z139" s="1007"/>
      <c r="AA139" s="1007"/>
      <c r="AB139" s="1007"/>
      <c r="AC139" s="1007">
        <f>114715796+100000000-12000000</f>
        <v>202715796</v>
      </c>
      <c r="AD139" s="1007"/>
      <c r="AE139" s="1007"/>
      <c r="AF139" s="1007"/>
      <c r="AG139" s="1007"/>
      <c r="AH139" s="1007"/>
      <c r="AI139" s="1007"/>
      <c r="AJ139" s="1007"/>
      <c r="AK139" s="1007">
        <v>97284204</v>
      </c>
      <c r="AL139" s="1007"/>
      <c r="AM139" s="1007"/>
      <c r="AN139" s="1007"/>
      <c r="AO139" s="1007"/>
      <c r="AP139" s="1007"/>
      <c r="AQ139" s="1007"/>
      <c r="AR139" s="1007"/>
      <c r="AS139" s="1007"/>
      <c r="AT139" s="984"/>
      <c r="AU139" s="1010">
        <f t="shared" si="103"/>
        <v>0</v>
      </c>
      <c r="AV139" s="1007">
        <f t="shared" si="146"/>
        <v>0</v>
      </c>
      <c r="AW139" s="1007"/>
      <c r="AX139" s="1007"/>
      <c r="AY139" s="1007"/>
      <c r="AZ139" s="1007"/>
      <c r="BA139" s="1007"/>
      <c r="BB139" s="1007"/>
      <c r="BC139" s="1007"/>
      <c r="BD139" s="1007"/>
      <c r="BE139" s="1007"/>
      <c r="BF139" s="1007"/>
      <c r="BG139" s="1007"/>
      <c r="BH139" s="1007"/>
      <c r="BI139" s="1007"/>
      <c r="BJ139" s="1007"/>
      <c r="BK139" s="1007"/>
      <c r="BL139" s="1007"/>
      <c r="BM139" s="1007"/>
      <c r="BN139" s="1007"/>
      <c r="BO139" s="1007"/>
      <c r="BP139" s="1007"/>
      <c r="BQ139" s="1010">
        <f t="shared" si="105"/>
        <v>1</v>
      </c>
      <c r="BR139" s="1007">
        <f t="shared" si="147"/>
        <v>300000000</v>
      </c>
      <c r="BS139" s="1007">
        <f t="shared" si="148"/>
        <v>0</v>
      </c>
      <c r="BT139" s="1007">
        <f t="shared" si="149"/>
        <v>0</v>
      </c>
      <c r="BU139" s="1007"/>
      <c r="BV139" s="1007">
        <f t="shared" si="150"/>
        <v>202715796</v>
      </c>
      <c r="BW139" s="1007">
        <f t="shared" si="150"/>
        <v>0</v>
      </c>
      <c r="BX139" s="1007">
        <f t="shared" si="151"/>
        <v>0</v>
      </c>
      <c r="BY139" s="1007">
        <f t="shared" si="151"/>
        <v>0</v>
      </c>
      <c r="BZ139" s="1007"/>
      <c r="CA139" s="1007">
        <f t="shared" si="152"/>
        <v>0</v>
      </c>
      <c r="CB139" s="1007">
        <f t="shared" si="152"/>
        <v>0</v>
      </c>
      <c r="CC139" s="1007">
        <f t="shared" si="152"/>
        <v>0</v>
      </c>
      <c r="CD139" s="1007">
        <f t="shared" si="152"/>
        <v>97284204</v>
      </c>
      <c r="CE139" s="1007">
        <f t="shared" si="152"/>
        <v>0</v>
      </c>
      <c r="CF139" s="1007">
        <f t="shared" si="152"/>
        <v>0</v>
      </c>
      <c r="CG139" s="1007">
        <f t="shared" si="152"/>
        <v>0</v>
      </c>
      <c r="CH139" s="1007">
        <f t="shared" si="152"/>
        <v>0</v>
      </c>
      <c r="CI139" s="1007">
        <f t="shared" si="152"/>
        <v>0</v>
      </c>
      <c r="CJ139" s="1007"/>
      <c r="CK139" s="1007">
        <f t="shared" si="161"/>
        <v>0</v>
      </c>
      <c r="CL139" s="1007">
        <f t="shared" si="153"/>
        <v>0</v>
      </c>
      <c r="CM139" s="1010">
        <f t="shared" si="113"/>
        <v>0</v>
      </c>
      <c r="CN139" s="1007">
        <f t="shared" si="154"/>
        <v>0</v>
      </c>
      <c r="CO139" s="1007"/>
      <c r="CP139" s="1007"/>
      <c r="CQ139" s="1007"/>
      <c r="CR139" s="1007"/>
      <c r="CS139" s="1007"/>
      <c r="CT139" s="1007"/>
      <c r="CU139" s="1007"/>
      <c r="CV139" s="1007"/>
      <c r="CW139" s="1007"/>
      <c r="CX139" s="1007"/>
      <c r="CY139" s="1007"/>
      <c r="CZ139" s="1007"/>
      <c r="DA139" s="1007"/>
      <c r="DB139" s="1007"/>
      <c r="DC139" s="1007"/>
      <c r="DD139" s="1007"/>
      <c r="DE139" s="1007"/>
      <c r="DF139" s="1007"/>
      <c r="DG139" s="1007"/>
      <c r="DH139" s="1007"/>
      <c r="DI139" s="1010">
        <f t="shared" si="115"/>
        <v>1</v>
      </c>
      <c r="DJ139" s="1007">
        <f t="shared" si="155"/>
        <v>300000000</v>
      </c>
      <c r="DK139" s="1007"/>
      <c r="DL139" s="1007"/>
      <c r="DM139" s="1007"/>
      <c r="DN139" s="1007">
        <f t="shared" si="156"/>
        <v>202715796</v>
      </c>
      <c r="DO139" s="1007">
        <f t="shared" si="156"/>
        <v>0</v>
      </c>
      <c r="DP139" s="1007">
        <f t="shared" si="156"/>
        <v>0</v>
      </c>
      <c r="DQ139" s="1007">
        <f t="shared" si="156"/>
        <v>0</v>
      </c>
      <c r="DR139" s="1007"/>
      <c r="DS139" s="1007">
        <f t="shared" si="157"/>
        <v>0</v>
      </c>
      <c r="DT139" s="1007">
        <f t="shared" si="157"/>
        <v>0</v>
      </c>
      <c r="DU139" s="1007"/>
      <c r="DV139" s="1007">
        <f t="shared" si="158"/>
        <v>97284204</v>
      </c>
      <c r="DW139" s="1007">
        <f t="shared" si="158"/>
        <v>0</v>
      </c>
      <c r="DX139" s="1007">
        <f t="shared" si="158"/>
        <v>0</v>
      </c>
      <c r="DY139" s="1007">
        <f t="shared" si="159"/>
        <v>0</v>
      </c>
      <c r="DZ139" s="1007">
        <f t="shared" si="159"/>
        <v>0</v>
      </c>
      <c r="EA139" s="1007">
        <f t="shared" si="159"/>
        <v>0</v>
      </c>
      <c r="EB139" s="1007">
        <f t="shared" si="159"/>
        <v>0</v>
      </c>
      <c r="EC139" s="1007"/>
      <c r="ED139" s="1007">
        <f t="shared" si="160"/>
        <v>0</v>
      </c>
      <c r="EE139" s="1035"/>
    </row>
    <row r="140" spans="1:136" ht="32.25" customHeight="1" x14ac:dyDescent="0.25">
      <c r="A140" s="1590"/>
      <c r="B140" s="989"/>
      <c r="C140" s="852" t="s">
        <v>4493</v>
      </c>
      <c r="D140" s="1018" t="s">
        <v>4476</v>
      </c>
      <c r="E140" s="994">
        <v>111</v>
      </c>
      <c r="F140" s="1117" t="s">
        <v>4482</v>
      </c>
      <c r="G140" s="1429"/>
      <c r="H140" s="1060">
        <f t="shared" si="143"/>
        <v>0</v>
      </c>
      <c r="I140" s="1060">
        <f t="shared" si="144"/>
        <v>35000000</v>
      </c>
      <c r="J140" s="1283"/>
      <c r="K140" s="1198"/>
      <c r="L140" s="1198"/>
      <c r="M140" s="1113">
        <v>0</v>
      </c>
      <c r="N140" s="1113">
        <v>0</v>
      </c>
      <c r="O140" s="1113">
        <v>0</v>
      </c>
      <c r="P140" s="1113">
        <v>0</v>
      </c>
      <c r="Q140" s="1113">
        <v>0</v>
      </c>
      <c r="R140" s="1113">
        <v>0</v>
      </c>
      <c r="S140" s="1117"/>
      <c r="T140" s="1117"/>
      <c r="U140" s="1117"/>
      <c r="V140" s="1117"/>
      <c r="W140" s="1117"/>
      <c r="X140" s="1117"/>
      <c r="Y140" s="1007">
        <f t="shared" si="145"/>
        <v>35000000</v>
      </c>
      <c r="Z140" s="1007"/>
      <c r="AA140" s="1007"/>
      <c r="AB140" s="1007"/>
      <c r="AC140" s="1007">
        <f>71000000-71000000</f>
        <v>0</v>
      </c>
      <c r="AD140" s="1007"/>
      <c r="AE140" s="1007"/>
      <c r="AF140" s="1007"/>
      <c r="AG140" s="1007"/>
      <c r="AH140" s="1007"/>
      <c r="AI140" s="1007"/>
      <c r="AJ140" s="1007"/>
      <c r="AK140" s="1007">
        <v>35000000</v>
      </c>
      <c r="AL140" s="1007"/>
      <c r="AM140" s="1007"/>
      <c r="AN140" s="1007"/>
      <c r="AO140" s="1007"/>
      <c r="AP140" s="1007"/>
      <c r="AQ140" s="1007"/>
      <c r="AR140" s="1007"/>
      <c r="AS140" s="1007"/>
      <c r="AT140" s="984"/>
      <c r="AU140" s="1010">
        <f t="shared" si="103"/>
        <v>0</v>
      </c>
      <c r="AV140" s="1007">
        <f t="shared" si="146"/>
        <v>0</v>
      </c>
      <c r="AW140" s="1007"/>
      <c r="AX140" s="1007"/>
      <c r="AY140" s="1007"/>
      <c r="AZ140" s="1007"/>
      <c r="BA140" s="1007"/>
      <c r="BB140" s="1007"/>
      <c r="BC140" s="1007"/>
      <c r="BD140" s="1007"/>
      <c r="BE140" s="1007"/>
      <c r="BF140" s="1007"/>
      <c r="BG140" s="1007"/>
      <c r="BH140" s="1007"/>
      <c r="BI140" s="1007"/>
      <c r="BJ140" s="1007"/>
      <c r="BK140" s="1007"/>
      <c r="BL140" s="1007"/>
      <c r="BM140" s="1007"/>
      <c r="BN140" s="1007"/>
      <c r="BO140" s="1007"/>
      <c r="BP140" s="1007"/>
      <c r="BQ140" s="1010">
        <f t="shared" si="105"/>
        <v>1</v>
      </c>
      <c r="BR140" s="1007">
        <f t="shared" si="147"/>
        <v>35000000</v>
      </c>
      <c r="BS140" s="1007">
        <f t="shared" si="148"/>
        <v>0</v>
      </c>
      <c r="BT140" s="1007">
        <f t="shared" si="149"/>
        <v>0</v>
      </c>
      <c r="BU140" s="1007"/>
      <c r="BV140" s="1007">
        <f t="shared" si="150"/>
        <v>0</v>
      </c>
      <c r="BW140" s="1007">
        <f t="shared" si="150"/>
        <v>0</v>
      </c>
      <c r="BX140" s="1007">
        <f t="shared" si="151"/>
        <v>0</v>
      </c>
      <c r="BY140" s="1007">
        <f t="shared" si="151"/>
        <v>0</v>
      </c>
      <c r="BZ140" s="1007"/>
      <c r="CA140" s="1007">
        <f t="shared" si="152"/>
        <v>0</v>
      </c>
      <c r="CB140" s="1007">
        <f t="shared" si="152"/>
        <v>0</v>
      </c>
      <c r="CC140" s="1007">
        <f t="shared" si="152"/>
        <v>0</v>
      </c>
      <c r="CD140" s="1007">
        <f t="shared" si="152"/>
        <v>35000000</v>
      </c>
      <c r="CE140" s="1007">
        <f t="shared" si="152"/>
        <v>0</v>
      </c>
      <c r="CF140" s="1007">
        <f t="shared" si="152"/>
        <v>0</v>
      </c>
      <c r="CG140" s="1007">
        <f t="shared" si="152"/>
        <v>0</v>
      </c>
      <c r="CH140" s="1007">
        <f t="shared" si="152"/>
        <v>0</v>
      </c>
      <c r="CI140" s="1007">
        <f t="shared" si="152"/>
        <v>0</v>
      </c>
      <c r="CJ140" s="1007"/>
      <c r="CK140" s="1007">
        <f t="shared" si="161"/>
        <v>0</v>
      </c>
      <c r="CL140" s="1007">
        <f t="shared" si="153"/>
        <v>0</v>
      </c>
      <c r="CM140" s="1010">
        <f t="shared" si="113"/>
        <v>0</v>
      </c>
      <c r="CN140" s="1007">
        <f t="shared" si="154"/>
        <v>0</v>
      </c>
      <c r="CO140" s="1007"/>
      <c r="CP140" s="1007"/>
      <c r="CQ140" s="1007"/>
      <c r="CR140" s="1007"/>
      <c r="CS140" s="1007"/>
      <c r="CT140" s="1007"/>
      <c r="CU140" s="1007"/>
      <c r="CV140" s="1007"/>
      <c r="CW140" s="1007"/>
      <c r="CX140" s="1007"/>
      <c r="CY140" s="1007"/>
      <c r="CZ140" s="1007"/>
      <c r="DA140" s="1007"/>
      <c r="DB140" s="1007"/>
      <c r="DC140" s="1007"/>
      <c r="DD140" s="1007"/>
      <c r="DE140" s="1007"/>
      <c r="DF140" s="1007"/>
      <c r="DG140" s="1007"/>
      <c r="DH140" s="1007"/>
      <c r="DI140" s="1010">
        <f t="shared" si="115"/>
        <v>1</v>
      </c>
      <c r="DJ140" s="1007">
        <f t="shared" si="155"/>
        <v>35000000</v>
      </c>
      <c r="DK140" s="1007"/>
      <c r="DL140" s="1007"/>
      <c r="DM140" s="1007"/>
      <c r="DN140" s="1007">
        <f t="shared" si="156"/>
        <v>0</v>
      </c>
      <c r="DO140" s="1007">
        <f t="shared" si="156"/>
        <v>0</v>
      </c>
      <c r="DP140" s="1007">
        <f t="shared" si="156"/>
        <v>0</v>
      </c>
      <c r="DQ140" s="1007">
        <f t="shared" si="156"/>
        <v>0</v>
      </c>
      <c r="DR140" s="1007"/>
      <c r="DS140" s="1007">
        <f t="shared" si="157"/>
        <v>0</v>
      </c>
      <c r="DT140" s="1007">
        <f t="shared" si="157"/>
        <v>0</v>
      </c>
      <c r="DU140" s="1007"/>
      <c r="DV140" s="1007">
        <f t="shared" si="158"/>
        <v>35000000</v>
      </c>
      <c r="DW140" s="1007">
        <f t="shared" si="158"/>
        <v>0</v>
      </c>
      <c r="DX140" s="1007">
        <f t="shared" si="158"/>
        <v>0</v>
      </c>
      <c r="DY140" s="1007">
        <f t="shared" si="159"/>
        <v>0</v>
      </c>
      <c r="DZ140" s="1007">
        <f t="shared" si="159"/>
        <v>0</v>
      </c>
      <c r="EA140" s="1007">
        <f t="shared" si="159"/>
        <v>0</v>
      </c>
      <c r="EB140" s="1007">
        <f t="shared" si="159"/>
        <v>0</v>
      </c>
      <c r="EC140" s="1007"/>
      <c r="ED140" s="1007">
        <f t="shared" si="160"/>
        <v>0</v>
      </c>
    </row>
    <row r="141" spans="1:136" s="203" customFormat="1" ht="28.5" customHeight="1" x14ac:dyDescent="0.25">
      <c r="A141" s="1590"/>
      <c r="B141" s="989"/>
      <c r="C141" s="1080" t="s">
        <v>4494</v>
      </c>
      <c r="D141" s="1018" t="s">
        <v>4477</v>
      </c>
      <c r="E141" s="996">
        <v>111</v>
      </c>
      <c r="F141" s="1117" t="s">
        <v>4482</v>
      </c>
      <c r="G141" s="1429"/>
      <c r="H141" s="1060">
        <f t="shared" si="143"/>
        <v>0</v>
      </c>
      <c r="I141" s="1060">
        <f t="shared" si="144"/>
        <v>0</v>
      </c>
      <c r="J141" s="1428">
        <v>320</v>
      </c>
      <c r="K141" s="1257">
        <v>948</v>
      </c>
      <c r="L141" s="1257">
        <v>390</v>
      </c>
      <c r="M141" s="1074">
        <v>0</v>
      </c>
      <c r="N141" s="1074">
        <v>0</v>
      </c>
      <c r="O141" s="1074">
        <v>0</v>
      </c>
      <c r="P141" s="1074"/>
      <c r="Q141" s="1074"/>
      <c r="R141" s="1074"/>
      <c r="S141" s="1117"/>
      <c r="T141" s="1117"/>
      <c r="U141" s="1117"/>
      <c r="V141" s="1117"/>
      <c r="W141" s="1117"/>
      <c r="X141" s="1117"/>
      <c r="Y141" s="1066">
        <f t="shared" si="145"/>
        <v>0</v>
      </c>
      <c r="Z141" s="1066"/>
      <c r="AA141" s="1066"/>
      <c r="AB141" s="1066"/>
      <c r="AC141" s="1066">
        <f>1804000000-636519551-639181389-128000000-400299060</f>
        <v>0</v>
      </c>
      <c r="AD141" s="1066"/>
      <c r="AE141" s="1066"/>
      <c r="AF141" s="1066"/>
      <c r="AG141" s="1066"/>
      <c r="AH141" s="1066"/>
      <c r="AI141" s="1066"/>
      <c r="AJ141" s="1066"/>
      <c r="AK141" s="1066"/>
      <c r="AL141" s="1066"/>
      <c r="AM141" s="1066"/>
      <c r="AN141" s="1066"/>
      <c r="AO141" s="1066"/>
      <c r="AP141" s="1066"/>
      <c r="AQ141" s="1066"/>
      <c r="AR141" s="1066"/>
      <c r="AS141" s="1066"/>
      <c r="AT141" s="1088"/>
      <c r="AU141" s="1081" t="e">
        <f t="shared" si="103"/>
        <v>#DIV/0!</v>
      </c>
      <c r="AV141" s="1066">
        <f t="shared" si="146"/>
        <v>0</v>
      </c>
      <c r="AW141" s="1066"/>
      <c r="AX141" s="1066"/>
      <c r="AY141" s="1066"/>
      <c r="AZ141" s="1066"/>
      <c r="BA141" s="1066"/>
      <c r="BB141" s="1066"/>
      <c r="BC141" s="1066"/>
      <c r="BD141" s="1066"/>
      <c r="BE141" s="1066"/>
      <c r="BF141" s="1066"/>
      <c r="BG141" s="1066"/>
      <c r="BH141" s="1066"/>
      <c r="BI141" s="1066"/>
      <c r="BJ141" s="1066"/>
      <c r="BK141" s="1066"/>
      <c r="BL141" s="1066"/>
      <c r="BM141" s="1066"/>
      <c r="BN141" s="1066"/>
      <c r="BO141" s="1066"/>
      <c r="BP141" s="1066"/>
      <c r="BQ141" s="1081" t="e">
        <f t="shared" si="105"/>
        <v>#DIV/0!</v>
      </c>
      <c r="BR141" s="1066">
        <f t="shared" si="147"/>
        <v>0</v>
      </c>
      <c r="BS141" s="1066">
        <f t="shared" si="148"/>
        <v>0</v>
      </c>
      <c r="BT141" s="1066">
        <f t="shared" si="149"/>
        <v>0</v>
      </c>
      <c r="BU141" s="1066"/>
      <c r="BV141" s="1066">
        <f t="shared" si="150"/>
        <v>0</v>
      </c>
      <c r="BW141" s="1066">
        <f t="shared" si="150"/>
        <v>0</v>
      </c>
      <c r="BX141" s="1066">
        <f t="shared" si="151"/>
        <v>0</v>
      </c>
      <c r="BY141" s="1066">
        <f t="shared" si="151"/>
        <v>0</v>
      </c>
      <c r="BZ141" s="1066"/>
      <c r="CA141" s="1066">
        <f t="shared" si="152"/>
        <v>0</v>
      </c>
      <c r="CB141" s="1066">
        <f t="shared" si="152"/>
        <v>0</v>
      </c>
      <c r="CC141" s="1066">
        <f t="shared" si="152"/>
        <v>0</v>
      </c>
      <c r="CD141" s="1066">
        <f t="shared" si="152"/>
        <v>0</v>
      </c>
      <c r="CE141" s="1066">
        <f t="shared" si="152"/>
        <v>0</v>
      </c>
      <c r="CF141" s="1066">
        <f t="shared" si="152"/>
        <v>0</v>
      </c>
      <c r="CG141" s="1066">
        <f t="shared" si="152"/>
        <v>0</v>
      </c>
      <c r="CH141" s="1066">
        <f t="shared" si="152"/>
        <v>0</v>
      </c>
      <c r="CI141" s="1066">
        <f t="shared" si="152"/>
        <v>0</v>
      </c>
      <c r="CJ141" s="1066"/>
      <c r="CK141" s="1066">
        <f t="shared" si="161"/>
        <v>0</v>
      </c>
      <c r="CL141" s="1066">
        <f t="shared" si="153"/>
        <v>0</v>
      </c>
      <c r="CM141" s="1081" t="e">
        <f t="shared" si="113"/>
        <v>#DIV/0!</v>
      </c>
      <c r="CN141" s="1066">
        <f t="shared" si="154"/>
        <v>0</v>
      </c>
      <c r="CO141" s="1066"/>
      <c r="CP141" s="1066"/>
      <c r="CQ141" s="1066"/>
      <c r="CR141" s="1066"/>
      <c r="CS141" s="1066"/>
      <c r="CT141" s="1066"/>
      <c r="CU141" s="1066"/>
      <c r="CV141" s="1066"/>
      <c r="CW141" s="1066"/>
      <c r="CX141" s="1066"/>
      <c r="CY141" s="1066"/>
      <c r="CZ141" s="1066"/>
      <c r="DA141" s="1066"/>
      <c r="DB141" s="1066"/>
      <c r="DC141" s="1066"/>
      <c r="DD141" s="1066"/>
      <c r="DE141" s="1066"/>
      <c r="DF141" s="1066"/>
      <c r="DG141" s="1066"/>
      <c r="DH141" s="1066"/>
      <c r="DI141" s="1081" t="e">
        <f t="shared" si="115"/>
        <v>#DIV/0!</v>
      </c>
      <c r="DJ141" s="1066">
        <f t="shared" si="155"/>
        <v>0</v>
      </c>
      <c r="DK141" s="1066"/>
      <c r="DL141" s="1066"/>
      <c r="DM141" s="1066"/>
      <c r="DN141" s="1066">
        <f t="shared" si="156"/>
        <v>0</v>
      </c>
      <c r="DO141" s="1066">
        <f t="shared" si="156"/>
        <v>0</v>
      </c>
      <c r="DP141" s="1066">
        <f t="shared" si="156"/>
        <v>0</v>
      </c>
      <c r="DQ141" s="1066">
        <f t="shared" si="156"/>
        <v>0</v>
      </c>
      <c r="DR141" s="1066"/>
      <c r="DS141" s="1066">
        <f t="shared" si="157"/>
        <v>0</v>
      </c>
      <c r="DT141" s="1066">
        <f t="shared" si="157"/>
        <v>0</v>
      </c>
      <c r="DU141" s="1066"/>
      <c r="DV141" s="1066">
        <f t="shared" si="158"/>
        <v>0</v>
      </c>
      <c r="DW141" s="1066">
        <f t="shared" si="158"/>
        <v>0</v>
      </c>
      <c r="DX141" s="1066">
        <f t="shared" si="158"/>
        <v>0</v>
      </c>
      <c r="DY141" s="1066">
        <f t="shared" si="159"/>
        <v>0</v>
      </c>
      <c r="DZ141" s="1066">
        <f t="shared" si="159"/>
        <v>0</v>
      </c>
      <c r="EA141" s="1066">
        <f t="shared" si="159"/>
        <v>0</v>
      </c>
      <c r="EB141" s="1066">
        <f t="shared" si="159"/>
        <v>0</v>
      </c>
      <c r="EC141" s="1066"/>
      <c r="ED141" s="1066">
        <f t="shared" si="160"/>
        <v>0</v>
      </c>
    </row>
    <row r="142" spans="1:136" ht="21" customHeight="1" x14ac:dyDescent="0.25">
      <c r="A142" s="1590"/>
      <c r="B142" s="989"/>
      <c r="C142" s="852" t="s">
        <v>4495</v>
      </c>
      <c r="D142" s="1018" t="s">
        <v>4714</v>
      </c>
      <c r="E142" s="994">
        <v>111</v>
      </c>
      <c r="F142" s="1117" t="s">
        <v>4482</v>
      </c>
      <c r="G142" s="1429"/>
      <c r="H142" s="1060">
        <f t="shared" si="143"/>
        <v>375878510</v>
      </c>
      <c r="I142" s="1060">
        <f t="shared" si="144"/>
        <v>180000000</v>
      </c>
      <c r="J142" s="1430"/>
      <c r="K142" s="1258"/>
      <c r="L142" s="1258"/>
      <c r="M142" s="1116">
        <v>6</v>
      </c>
      <c r="N142" s="1116">
        <v>0</v>
      </c>
      <c r="O142" s="1116">
        <v>0</v>
      </c>
      <c r="P142" s="1113">
        <v>100</v>
      </c>
      <c r="Q142" s="1113">
        <v>0</v>
      </c>
      <c r="R142" s="1113">
        <v>0</v>
      </c>
      <c r="S142" s="1117"/>
      <c r="T142" s="1117"/>
      <c r="U142" s="1117"/>
      <c r="V142" s="1117"/>
      <c r="W142" s="1117"/>
      <c r="X142" s="1117"/>
      <c r="Y142" s="1007">
        <f t="shared" si="145"/>
        <v>555878510</v>
      </c>
      <c r="Z142" s="1007"/>
      <c r="AA142" s="1007"/>
      <c r="AB142" s="1007"/>
      <c r="AC142" s="1007">
        <f>424000000+400000000-448121490+180000000</f>
        <v>555878510</v>
      </c>
      <c r="AD142" s="1007"/>
      <c r="AE142" s="1007"/>
      <c r="AF142" s="1007"/>
      <c r="AG142" s="1007"/>
      <c r="AH142" s="1007"/>
      <c r="AI142" s="1007"/>
      <c r="AJ142" s="1007"/>
      <c r="AK142" s="1007"/>
      <c r="AL142" s="1007"/>
      <c r="AM142" s="1007"/>
      <c r="AN142" s="1007"/>
      <c r="AO142" s="1007"/>
      <c r="AP142" s="1007"/>
      <c r="AQ142" s="1007"/>
      <c r="AR142" s="1007"/>
      <c r="AS142" s="1007"/>
      <c r="AT142" s="984"/>
      <c r="AU142" s="1010">
        <f t="shared" si="103"/>
        <v>0.67618823760609126</v>
      </c>
      <c r="AV142" s="1007">
        <f t="shared" si="146"/>
        <v>375878510</v>
      </c>
      <c r="AW142" s="1007"/>
      <c r="AX142" s="1007"/>
      <c r="AY142" s="1007"/>
      <c r="AZ142" s="1007">
        <f>+'[17]MAYO 2015'!$L$79-11600</f>
        <v>375878510</v>
      </c>
      <c r="BA142" s="1007"/>
      <c r="BB142" s="1007"/>
      <c r="BC142" s="1007"/>
      <c r="BD142" s="1007"/>
      <c r="BE142" s="1007"/>
      <c r="BF142" s="1007"/>
      <c r="BG142" s="1007"/>
      <c r="BH142" s="1007"/>
      <c r="BI142" s="1007"/>
      <c r="BJ142" s="1007"/>
      <c r="BK142" s="1007"/>
      <c r="BL142" s="1007"/>
      <c r="BM142" s="1007"/>
      <c r="BN142" s="1007"/>
      <c r="BO142" s="1007"/>
      <c r="BP142" s="1007"/>
      <c r="BQ142" s="1010">
        <f t="shared" si="105"/>
        <v>0.32381176239390874</v>
      </c>
      <c r="BR142" s="1007">
        <f t="shared" si="147"/>
        <v>180000000</v>
      </c>
      <c r="BS142" s="1007">
        <f t="shared" si="148"/>
        <v>0</v>
      </c>
      <c r="BT142" s="1007">
        <f t="shared" si="149"/>
        <v>0</v>
      </c>
      <c r="BU142" s="1007"/>
      <c r="BV142" s="1007">
        <f t="shared" si="150"/>
        <v>180000000</v>
      </c>
      <c r="BW142" s="1007">
        <f t="shared" si="150"/>
        <v>0</v>
      </c>
      <c r="BX142" s="1007">
        <f t="shared" si="151"/>
        <v>0</v>
      </c>
      <c r="BY142" s="1007">
        <f t="shared" si="151"/>
        <v>0</v>
      </c>
      <c r="BZ142" s="1007"/>
      <c r="CA142" s="1007">
        <f t="shared" si="152"/>
        <v>0</v>
      </c>
      <c r="CB142" s="1007">
        <f t="shared" si="152"/>
        <v>0</v>
      </c>
      <c r="CC142" s="1007">
        <f t="shared" si="152"/>
        <v>0</v>
      </c>
      <c r="CD142" s="1007">
        <f t="shared" si="152"/>
        <v>0</v>
      </c>
      <c r="CE142" s="1007">
        <f t="shared" si="152"/>
        <v>0</v>
      </c>
      <c r="CF142" s="1007">
        <f t="shared" si="152"/>
        <v>0</v>
      </c>
      <c r="CG142" s="1007">
        <f t="shared" si="152"/>
        <v>0</v>
      </c>
      <c r="CH142" s="1007">
        <f t="shared" si="152"/>
        <v>0</v>
      </c>
      <c r="CI142" s="1007">
        <f t="shared" si="152"/>
        <v>0</v>
      </c>
      <c r="CJ142" s="1007"/>
      <c r="CK142" s="1007">
        <f t="shared" si="161"/>
        <v>0</v>
      </c>
      <c r="CL142" s="1007">
        <f t="shared" si="153"/>
        <v>0</v>
      </c>
      <c r="CM142" s="1010">
        <f t="shared" si="113"/>
        <v>0.67618823760609126</v>
      </c>
      <c r="CN142" s="1007">
        <f t="shared" si="154"/>
        <v>375878510</v>
      </c>
      <c r="CO142" s="1007"/>
      <c r="CP142" s="1007"/>
      <c r="CQ142" s="1007"/>
      <c r="CR142" s="1007">
        <v>375878510</v>
      </c>
      <c r="CS142" s="1007"/>
      <c r="CT142" s="1007"/>
      <c r="CU142" s="1007"/>
      <c r="CV142" s="1007"/>
      <c r="CW142" s="1007"/>
      <c r="CX142" s="1007"/>
      <c r="CY142" s="1007"/>
      <c r="CZ142" s="1007"/>
      <c r="DA142" s="1007"/>
      <c r="DB142" s="1007"/>
      <c r="DC142" s="1007"/>
      <c r="DD142" s="1007"/>
      <c r="DE142" s="1007"/>
      <c r="DF142" s="1007"/>
      <c r="DG142" s="1007"/>
      <c r="DH142" s="1007"/>
      <c r="DI142" s="1010">
        <f t="shared" si="115"/>
        <v>0.32381176239390874</v>
      </c>
      <c r="DJ142" s="1007">
        <f t="shared" si="155"/>
        <v>180000000</v>
      </c>
      <c r="DK142" s="1007"/>
      <c r="DL142" s="1007"/>
      <c r="DM142" s="1007"/>
      <c r="DN142" s="1007">
        <f t="shared" si="156"/>
        <v>180000000</v>
      </c>
      <c r="DO142" s="1007">
        <f t="shared" si="156"/>
        <v>0</v>
      </c>
      <c r="DP142" s="1007">
        <f t="shared" si="156"/>
        <v>0</v>
      </c>
      <c r="DQ142" s="1007">
        <f t="shared" si="156"/>
        <v>0</v>
      </c>
      <c r="DR142" s="1007"/>
      <c r="DS142" s="1007">
        <f t="shared" si="157"/>
        <v>0</v>
      </c>
      <c r="DT142" s="1007">
        <f t="shared" si="157"/>
        <v>0</v>
      </c>
      <c r="DU142" s="1007"/>
      <c r="DV142" s="1007">
        <f t="shared" si="158"/>
        <v>0</v>
      </c>
      <c r="DW142" s="1007">
        <f t="shared" si="158"/>
        <v>0</v>
      </c>
      <c r="DX142" s="1007">
        <f t="shared" si="158"/>
        <v>0</v>
      </c>
      <c r="DY142" s="1007">
        <f t="shared" si="159"/>
        <v>0</v>
      </c>
      <c r="DZ142" s="1007">
        <f t="shared" si="159"/>
        <v>0</v>
      </c>
      <c r="EA142" s="1007">
        <f t="shared" si="159"/>
        <v>0</v>
      </c>
      <c r="EB142" s="1007">
        <f t="shared" si="159"/>
        <v>0</v>
      </c>
      <c r="EC142" s="1007"/>
      <c r="ED142" s="1007">
        <f t="shared" si="160"/>
        <v>0</v>
      </c>
    </row>
    <row r="143" spans="1:136" s="203" customFormat="1" ht="48.75" customHeight="1" x14ac:dyDescent="0.25">
      <c r="A143" s="1590"/>
      <c r="B143" s="989"/>
      <c r="C143" s="1080" t="s">
        <v>4496</v>
      </c>
      <c r="D143" s="1018" t="s">
        <v>4478</v>
      </c>
      <c r="E143" s="996">
        <v>111</v>
      </c>
      <c r="F143" s="1117" t="s">
        <v>4482</v>
      </c>
      <c r="G143" s="1429"/>
      <c r="H143" s="1060">
        <f t="shared" si="143"/>
        <v>0</v>
      </c>
      <c r="I143" s="1060">
        <f t="shared" si="144"/>
        <v>0</v>
      </c>
      <c r="J143" s="1283">
        <v>9</v>
      </c>
      <c r="K143" s="1198">
        <v>129</v>
      </c>
      <c r="L143" s="1198">
        <v>20</v>
      </c>
      <c r="M143" s="1074">
        <v>0</v>
      </c>
      <c r="N143" s="1074">
        <v>0</v>
      </c>
      <c r="O143" s="1074">
        <v>0</v>
      </c>
      <c r="P143" s="1074"/>
      <c r="Q143" s="1074"/>
      <c r="R143" s="1074"/>
      <c r="S143" s="1117"/>
      <c r="T143" s="1117"/>
      <c r="U143" s="1117"/>
      <c r="V143" s="1117"/>
      <c r="W143" s="1117"/>
      <c r="X143" s="1117"/>
      <c r="Y143" s="1066">
        <f t="shared" si="145"/>
        <v>0</v>
      </c>
      <c r="Z143" s="1066"/>
      <c r="AA143" s="1066"/>
      <c r="AB143" s="1066"/>
      <c r="AC143" s="1066">
        <f>212000000-212000000</f>
        <v>0</v>
      </c>
      <c r="AD143" s="1066"/>
      <c r="AE143" s="1066"/>
      <c r="AF143" s="1066"/>
      <c r="AG143" s="1066"/>
      <c r="AH143" s="1066"/>
      <c r="AI143" s="1066"/>
      <c r="AJ143" s="1066"/>
      <c r="AK143" s="1066"/>
      <c r="AL143" s="1066"/>
      <c r="AM143" s="1066"/>
      <c r="AN143" s="1066"/>
      <c r="AO143" s="1066"/>
      <c r="AP143" s="1066"/>
      <c r="AQ143" s="1066"/>
      <c r="AR143" s="1066"/>
      <c r="AS143" s="1066"/>
      <c r="AT143" s="1088"/>
      <c r="AU143" s="1081" t="e">
        <f t="shared" si="103"/>
        <v>#DIV/0!</v>
      </c>
      <c r="AV143" s="1066">
        <f t="shared" si="146"/>
        <v>0</v>
      </c>
      <c r="AW143" s="1066"/>
      <c r="AX143" s="1066"/>
      <c r="AY143" s="1066"/>
      <c r="AZ143" s="1066"/>
      <c r="BA143" s="1066"/>
      <c r="BB143" s="1066"/>
      <c r="BC143" s="1066"/>
      <c r="BD143" s="1066"/>
      <c r="BE143" s="1066"/>
      <c r="BF143" s="1066"/>
      <c r="BG143" s="1066"/>
      <c r="BH143" s="1066"/>
      <c r="BI143" s="1066"/>
      <c r="BJ143" s="1066"/>
      <c r="BK143" s="1066"/>
      <c r="BL143" s="1066"/>
      <c r="BM143" s="1066"/>
      <c r="BN143" s="1066"/>
      <c r="BO143" s="1066"/>
      <c r="BP143" s="1066"/>
      <c r="BQ143" s="1081" t="e">
        <f t="shared" si="105"/>
        <v>#DIV/0!</v>
      </c>
      <c r="BR143" s="1066">
        <f t="shared" si="147"/>
        <v>0</v>
      </c>
      <c r="BS143" s="1066">
        <f t="shared" si="148"/>
        <v>0</v>
      </c>
      <c r="BT143" s="1066">
        <f t="shared" si="149"/>
        <v>0</v>
      </c>
      <c r="BU143" s="1066"/>
      <c r="BV143" s="1066">
        <f t="shared" si="150"/>
        <v>0</v>
      </c>
      <c r="BW143" s="1066">
        <f t="shared" si="150"/>
        <v>0</v>
      </c>
      <c r="BX143" s="1066">
        <f t="shared" si="151"/>
        <v>0</v>
      </c>
      <c r="BY143" s="1066">
        <f t="shared" si="151"/>
        <v>0</v>
      </c>
      <c r="BZ143" s="1066"/>
      <c r="CA143" s="1066">
        <f t="shared" si="152"/>
        <v>0</v>
      </c>
      <c r="CB143" s="1066">
        <f t="shared" si="152"/>
        <v>0</v>
      </c>
      <c r="CC143" s="1066">
        <f t="shared" si="152"/>
        <v>0</v>
      </c>
      <c r="CD143" s="1066">
        <f t="shared" si="152"/>
        <v>0</v>
      </c>
      <c r="CE143" s="1066">
        <f t="shared" si="152"/>
        <v>0</v>
      </c>
      <c r="CF143" s="1066">
        <f t="shared" si="152"/>
        <v>0</v>
      </c>
      <c r="CG143" s="1066">
        <f t="shared" si="152"/>
        <v>0</v>
      </c>
      <c r="CH143" s="1066">
        <f t="shared" si="152"/>
        <v>0</v>
      </c>
      <c r="CI143" s="1066">
        <f t="shared" si="152"/>
        <v>0</v>
      </c>
      <c r="CJ143" s="1066"/>
      <c r="CK143" s="1066">
        <f t="shared" si="161"/>
        <v>0</v>
      </c>
      <c r="CL143" s="1066">
        <f t="shared" si="153"/>
        <v>0</v>
      </c>
      <c r="CM143" s="1081" t="e">
        <f t="shared" si="113"/>
        <v>#DIV/0!</v>
      </c>
      <c r="CN143" s="1066">
        <f t="shared" si="154"/>
        <v>0</v>
      </c>
      <c r="CO143" s="1066"/>
      <c r="CP143" s="1066"/>
      <c r="CQ143" s="1066"/>
      <c r="CR143" s="1066"/>
      <c r="CS143" s="1066"/>
      <c r="CT143" s="1066"/>
      <c r="CU143" s="1066"/>
      <c r="CV143" s="1066"/>
      <c r="CW143" s="1066"/>
      <c r="CX143" s="1066"/>
      <c r="CY143" s="1066"/>
      <c r="CZ143" s="1066"/>
      <c r="DA143" s="1066"/>
      <c r="DB143" s="1066"/>
      <c r="DC143" s="1066"/>
      <c r="DD143" s="1066"/>
      <c r="DE143" s="1066"/>
      <c r="DF143" s="1066"/>
      <c r="DG143" s="1066"/>
      <c r="DH143" s="1066"/>
      <c r="DI143" s="1081" t="e">
        <f t="shared" si="115"/>
        <v>#DIV/0!</v>
      </c>
      <c r="DJ143" s="1066">
        <f t="shared" si="155"/>
        <v>0</v>
      </c>
      <c r="DK143" s="1066"/>
      <c r="DL143" s="1066"/>
      <c r="DM143" s="1066"/>
      <c r="DN143" s="1066">
        <f t="shared" si="156"/>
        <v>0</v>
      </c>
      <c r="DO143" s="1066">
        <f t="shared" si="156"/>
        <v>0</v>
      </c>
      <c r="DP143" s="1066">
        <f t="shared" si="156"/>
        <v>0</v>
      </c>
      <c r="DQ143" s="1066">
        <f t="shared" si="156"/>
        <v>0</v>
      </c>
      <c r="DR143" s="1066"/>
      <c r="DS143" s="1066">
        <f t="shared" si="157"/>
        <v>0</v>
      </c>
      <c r="DT143" s="1066">
        <f t="shared" si="157"/>
        <v>0</v>
      </c>
      <c r="DU143" s="1066"/>
      <c r="DV143" s="1066">
        <f t="shared" si="158"/>
        <v>0</v>
      </c>
      <c r="DW143" s="1066">
        <f t="shared" si="158"/>
        <v>0</v>
      </c>
      <c r="DX143" s="1066">
        <f t="shared" si="158"/>
        <v>0</v>
      </c>
      <c r="DY143" s="1066">
        <f t="shared" si="159"/>
        <v>0</v>
      </c>
      <c r="DZ143" s="1066">
        <f t="shared" si="159"/>
        <v>0</v>
      </c>
      <c r="EA143" s="1066">
        <f t="shared" si="159"/>
        <v>0</v>
      </c>
      <c r="EB143" s="1066">
        <f t="shared" si="159"/>
        <v>0</v>
      </c>
      <c r="EC143" s="1066"/>
      <c r="ED143" s="1066">
        <f t="shared" si="160"/>
        <v>0</v>
      </c>
    </row>
    <row r="144" spans="1:136" s="203" customFormat="1" ht="27.75" customHeight="1" x14ac:dyDescent="0.25">
      <c r="A144" s="1590"/>
      <c r="B144" s="989"/>
      <c r="C144" s="1080" t="s">
        <v>4497</v>
      </c>
      <c r="D144" s="1018" t="s">
        <v>4479</v>
      </c>
      <c r="E144" s="996">
        <v>111</v>
      </c>
      <c r="F144" s="1117" t="s">
        <v>4482</v>
      </c>
      <c r="G144" s="1429"/>
      <c r="H144" s="1060">
        <f t="shared" si="143"/>
        <v>0</v>
      </c>
      <c r="I144" s="1060">
        <f t="shared" si="144"/>
        <v>0</v>
      </c>
      <c r="J144" s="1283"/>
      <c r="K144" s="1198"/>
      <c r="L144" s="1198"/>
      <c r="M144" s="1074">
        <v>0</v>
      </c>
      <c r="N144" s="1074">
        <v>0</v>
      </c>
      <c r="O144" s="1074">
        <v>0</v>
      </c>
      <c r="P144" s="1074"/>
      <c r="Q144" s="1074"/>
      <c r="R144" s="1074"/>
      <c r="S144" s="1117"/>
      <c r="T144" s="1117"/>
      <c r="U144" s="1117"/>
      <c r="V144" s="1117"/>
      <c r="W144" s="1117"/>
      <c r="X144" s="1117"/>
      <c r="Y144" s="1066">
        <f t="shared" si="145"/>
        <v>0</v>
      </c>
      <c r="Z144" s="1066"/>
      <c r="AA144" s="1066"/>
      <c r="AB144" s="1066"/>
      <c r="AC144" s="1066">
        <f>63600000-50000000-13600000</f>
        <v>0</v>
      </c>
      <c r="AD144" s="1066"/>
      <c r="AE144" s="1066"/>
      <c r="AF144" s="1066"/>
      <c r="AG144" s="1066"/>
      <c r="AH144" s="1066"/>
      <c r="AI144" s="1066"/>
      <c r="AJ144" s="1066"/>
      <c r="AK144" s="1066"/>
      <c r="AL144" s="1066"/>
      <c r="AM144" s="1066"/>
      <c r="AN144" s="1066"/>
      <c r="AO144" s="1066"/>
      <c r="AP144" s="1066"/>
      <c r="AQ144" s="1066"/>
      <c r="AR144" s="1066"/>
      <c r="AS144" s="1066"/>
      <c r="AT144" s="1088"/>
      <c r="AU144" s="1081" t="e">
        <f t="shared" si="103"/>
        <v>#DIV/0!</v>
      </c>
      <c r="AV144" s="1066">
        <f t="shared" si="146"/>
        <v>0</v>
      </c>
      <c r="AW144" s="1066"/>
      <c r="AX144" s="1066"/>
      <c r="AY144" s="1066"/>
      <c r="AZ144" s="1066"/>
      <c r="BA144" s="1066"/>
      <c r="BB144" s="1066"/>
      <c r="BC144" s="1066"/>
      <c r="BD144" s="1066"/>
      <c r="BE144" s="1066"/>
      <c r="BF144" s="1066"/>
      <c r="BG144" s="1066"/>
      <c r="BH144" s="1066"/>
      <c r="BI144" s="1066"/>
      <c r="BJ144" s="1066"/>
      <c r="BK144" s="1066"/>
      <c r="BL144" s="1066"/>
      <c r="BM144" s="1066"/>
      <c r="BN144" s="1066"/>
      <c r="BO144" s="1066"/>
      <c r="BP144" s="1066"/>
      <c r="BQ144" s="1081" t="e">
        <f t="shared" si="105"/>
        <v>#DIV/0!</v>
      </c>
      <c r="BR144" s="1066">
        <f t="shared" si="147"/>
        <v>0</v>
      </c>
      <c r="BS144" s="1066">
        <f t="shared" si="148"/>
        <v>0</v>
      </c>
      <c r="BT144" s="1066">
        <f t="shared" si="149"/>
        <v>0</v>
      </c>
      <c r="BU144" s="1066"/>
      <c r="BV144" s="1066">
        <f t="shared" si="150"/>
        <v>0</v>
      </c>
      <c r="BW144" s="1066">
        <f t="shared" si="150"/>
        <v>0</v>
      </c>
      <c r="BX144" s="1066">
        <f t="shared" si="151"/>
        <v>0</v>
      </c>
      <c r="BY144" s="1066">
        <f t="shared" si="151"/>
        <v>0</v>
      </c>
      <c r="BZ144" s="1066"/>
      <c r="CA144" s="1066">
        <f t="shared" si="152"/>
        <v>0</v>
      </c>
      <c r="CB144" s="1066">
        <f t="shared" si="152"/>
        <v>0</v>
      </c>
      <c r="CC144" s="1066">
        <f t="shared" si="152"/>
        <v>0</v>
      </c>
      <c r="CD144" s="1066">
        <f t="shared" si="152"/>
        <v>0</v>
      </c>
      <c r="CE144" s="1066">
        <f t="shared" si="152"/>
        <v>0</v>
      </c>
      <c r="CF144" s="1066">
        <f t="shared" si="152"/>
        <v>0</v>
      </c>
      <c r="CG144" s="1066">
        <f t="shared" si="152"/>
        <v>0</v>
      </c>
      <c r="CH144" s="1066">
        <f t="shared" si="152"/>
        <v>0</v>
      </c>
      <c r="CI144" s="1066">
        <f t="shared" si="152"/>
        <v>0</v>
      </c>
      <c r="CJ144" s="1066"/>
      <c r="CK144" s="1066">
        <f t="shared" si="161"/>
        <v>0</v>
      </c>
      <c r="CL144" s="1066">
        <f t="shared" si="153"/>
        <v>0</v>
      </c>
      <c r="CM144" s="1081" t="e">
        <f t="shared" si="113"/>
        <v>#DIV/0!</v>
      </c>
      <c r="CN144" s="1066">
        <f t="shared" si="154"/>
        <v>0</v>
      </c>
      <c r="CO144" s="1066"/>
      <c r="CP144" s="1066"/>
      <c r="CQ144" s="1066"/>
      <c r="CR144" s="1066"/>
      <c r="CS144" s="1066"/>
      <c r="CT144" s="1066"/>
      <c r="CU144" s="1066"/>
      <c r="CV144" s="1066"/>
      <c r="CW144" s="1066"/>
      <c r="CX144" s="1066"/>
      <c r="CY144" s="1066"/>
      <c r="CZ144" s="1066"/>
      <c r="DA144" s="1066"/>
      <c r="DB144" s="1066"/>
      <c r="DC144" s="1066"/>
      <c r="DD144" s="1066"/>
      <c r="DE144" s="1066"/>
      <c r="DF144" s="1066"/>
      <c r="DG144" s="1066"/>
      <c r="DH144" s="1066"/>
      <c r="DI144" s="1081" t="e">
        <f t="shared" si="115"/>
        <v>#DIV/0!</v>
      </c>
      <c r="DJ144" s="1066">
        <f t="shared" si="155"/>
        <v>0</v>
      </c>
      <c r="DK144" s="1066"/>
      <c r="DL144" s="1066"/>
      <c r="DM144" s="1066"/>
      <c r="DN144" s="1066">
        <f t="shared" si="156"/>
        <v>0</v>
      </c>
      <c r="DO144" s="1066">
        <f t="shared" si="156"/>
        <v>0</v>
      </c>
      <c r="DP144" s="1066">
        <f t="shared" si="156"/>
        <v>0</v>
      </c>
      <c r="DQ144" s="1066">
        <f t="shared" si="156"/>
        <v>0</v>
      </c>
      <c r="DR144" s="1066"/>
      <c r="DS144" s="1066">
        <f t="shared" si="157"/>
        <v>0</v>
      </c>
      <c r="DT144" s="1066">
        <f t="shared" si="157"/>
        <v>0</v>
      </c>
      <c r="DU144" s="1066"/>
      <c r="DV144" s="1066">
        <f t="shared" si="158"/>
        <v>0</v>
      </c>
      <c r="DW144" s="1066">
        <f t="shared" si="158"/>
        <v>0</v>
      </c>
      <c r="DX144" s="1066">
        <f t="shared" si="158"/>
        <v>0</v>
      </c>
      <c r="DY144" s="1066">
        <f t="shared" si="159"/>
        <v>0</v>
      </c>
      <c r="DZ144" s="1066">
        <f t="shared" si="159"/>
        <v>0</v>
      </c>
      <c r="EA144" s="1066">
        <f t="shared" si="159"/>
        <v>0</v>
      </c>
      <c r="EB144" s="1066">
        <f t="shared" si="159"/>
        <v>0</v>
      </c>
      <c r="EC144" s="1066"/>
      <c r="ED144" s="1066">
        <f t="shared" si="160"/>
        <v>0</v>
      </c>
    </row>
    <row r="145" spans="1:134" ht="34.5" customHeight="1" x14ac:dyDescent="0.25">
      <c r="A145" s="1590"/>
      <c r="B145" s="989"/>
      <c r="C145" s="852" t="s">
        <v>4498</v>
      </c>
      <c r="D145" s="1018" t="s">
        <v>4480</v>
      </c>
      <c r="E145" s="994">
        <v>111</v>
      </c>
      <c r="F145" s="1117" t="s">
        <v>4482</v>
      </c>
      <c r="G145" s="1429"/>
      <c r="H145" s="1060">
        <f t="shared" si="143"/>
        <v>0</v>
      </c>
      <c r="I145" s="1060">
        <f t="shared" si="144"/>
        <v>121000000</v>
      </c>
      <c r="J145" s="1591">
        <v>1120</v>
      </c>
      <c r="K145" s="1594">
        <v>3920</v>
      </c>
      <c r="L145" s="1257">
        <v>1456</v>
      </c>
      <c r="M145" s="1113">
        <v>0</v>
      </c>
      <c r="N145" s="1113">
        <v>0</v>
      </c>
      <c r="O145" s="1113">
        <v>0</v>
      </c>
      <c r="P145" s="1113">
        <v>0</v>
      </c>
      <c r="Q145" s="1113">
        <v>0</v>
      </c>
      <c r="R145" s="1113">
        <v>0</v>
      </c>
      <c r="S145" s="1117"/>
      <c r="T145" s="1117"/>
      <c r="U145" s="1117"/>
      <c r="V145" s="1117"/>
      <c r="W145" s="1117"/>
      <c r="X145" s="1117"/>
      <c r="Y145" s="1007">
        <f t="shared" si="145"/>
        <v>121000000</v>
      </c>
      <c r="Z145" s="1007"/>
      <c r="AA145" s="1007"/>
      <c r="AB145" s="1007"/>
      <c r="AC145" s="1007">
        <f>1590000000+897519551-1587519551-900000000</f>
        <v>0</v>
      </c>
      <c r="AD145" s="1007"/>
      <c r="AE145" s="1007"/>
      <c r="AF145" s="1007"/>
      <c r="AG145" s="1007"/>
      <c r="AH145" s="1007"/>
      <c r="AI145" s="1007"/>
      <c r="AJ145" s="1007"/>
      <c r="AK145" s="1007"/>
      <c r="AL145" s="1007"/>
      <c r="AM145" s="1007"/>
      <c r="AN145" s="1007"/>
      <c r="AO145" s="1007"/>
      <c r="AP145" s="1007"/>
      <c r="AQ145" s="1007"/>
      <c r="AR145" s="1007"/>
      <c r="AS145" s="1007">
        <v>121000000</v>
      </c>
      <c r="AT145" s="984"/>
      <c r="AU145" s="1010">
        <f t="shared" si="103"/>
        <v>0</v>
      </c>
      <c r="AV145" s="1007">
        <f t="shared" si="146"/>
        <v>0</v>
      </c>
      <c r="AW145" s="1007"/>
      <c r="AX145" s="1007"/>
      <c r="AY145" s="1007"/>
      <c r="AZ145" s="1007"/>
      <c r="BA145" s="1007"/>
      <c r="BB145" s="1007"/>
      <c r="BC145" s="1007"/>
      <c r="BD145" s="1007"/>
      <c r="BE145" s="1007"/>
      <c r="BF145" s="1007"/>
      <c r="BG145" s="1007"/>
      <c r="BH145" s="1007"/>
      <c r="BI145" s="1007"/>
      <c r="BJ145" s="1007"/>
      <c r="BK145" s="1007"/>
      <c r="BL145" s="1007"/>
      <c r="BM145" s="1007"/>
      <c r="BN145" s="1007"/>
      <c r="BO145" s="1007"/>
      <c r="BP145" s="1007"/>
      <c r="BQ145" s="1010">
        <f t="shared" si="105"/>
        <v>1</v>
      </c>
      <c r="BR145" s="1007">
        <f t="shared" si="147"/>
        <v>121000000</v>
      </c>
      <c r="BS145" s="1007">
        <f t="shared" si="148"/>
        <v>0</v>
      </c>
      <c r="BT145" s="1007">
        <f t="shared" si="149"/>
        <v>0</v>
      </c>
      <c r="BU145" s="1007"/>
      <c r="BV145" s="1007">
        <f t="shared" si="150"/>
        <v>0</v>
      </c>
      <c r="BW145" s="1007">
        <f t="shared" si="150"/>
        <v>0</v>
      </c>
      <c r="BX145" s="1007">
        <f t="shared" si="151"/>
        <v>0</v>
      </c>
      <c r="BY145" s="1007">
        <f t="shared" si="151"/>
        <v>0</v>
      </c>
      <c r="BZ145" s="1007"/>
      <c r="CA145" s="1007">
        <f t="shared" si="152"/>
        <v>0</v>
      </c>
      <c r="CB145" s="1007">
        <f t="shared" si="152"/>
        <v>0</v>
      </c>
      <c r="CC145" s="1007">
        <f t="shared" si="152"/>
        <v>0</v>
      </c>
      <c r="CD145" s="1007">
        <f t="shared" si="152"/>
        <v>0</v>
      </c>
      <c r="CE145" s="1007">
        <f t="shared" si="152"/>
        <v>0</v>
      </c>
      <c r="CF145" s="1007">
        <f t="shared" si="152"/>
        <v>0</v>
      </c>
      <c r="CG145" s="1007">
        <f t="shared" si="152"/>
        <v>0</v>
      </c>
      <c r="CH145" s="1007">
        <f t="shared" si="152"/>
        <v>0</v>
      </c>
      <c r="CI145" s="1007">
        <f t="shared" si="152"/>
        <v>0</v>
      </c>
      <c r="CJ145" s="1007"/>
      <c r="CK145" s="1007">
        <f t="shared" si="161"/>
        <v>0</v>
      </c>
      <c r="CL145" s="1007">
        <f t="shared" si="153"/>
        <v>121000000</v>
      </c>
      <c r="CM145" s="1010">
        <f t="shared" si="113"/>
        <v>0</v>
      </c>
      <c r="CN145" s="1007">
        <f t="shared" si="154"/>
        <v>0</v>
      </c>
      <c r="CO145" s="1007"/>
      <c r="CP145" s="1007"/>
      <c r="CQ145" s="1007"/>
      <c r="CR145" s="1007"/>
      <c r="CS145" s="1007"/>
      <c r="CT145" s="1007"/>
      <c r="CU145" s="1007"/>
      <c r="CV145" s="1007"/>
      <c r="CW145" s="1007"/>
      <c r="CX145" s="1007"/>
      <c r="CY145" s="1007"/>
      <c r="CZ145" s="1007"/>
      <c r="DA145" s="1007"/>
      <c r="DB145" s="1007"/>
      <c r="DC145" s="1007"/>
      <c r="DD145" s="1007"/>
      <c r="DE145" s="1007"/>
      <c r="DF145" s="1007"/>
      <c r="DG145" s="1007"/>
      <c r="DH145" s="1007"/>
      <c r="DI145" s="1010">
        <f t="shared" si="115"/>
        <v>1</v>
      </c>
      <c r="DJ145" s="1007">
        <f t="shared" si="155"/>
        <v>121000000</v>
      </c>
      <c r="DK145" s="1007"/>
      <c r="DL145" s="1007"/>
      <c r="DM145" s="1007"/>
      <c r="DN145" s="1007">
        <f t="shared" si="156"/>
        <v>0</v>
      </c>
      <c r="DO145" s="1007">
        <f t="shared" si="156"/>
        <v>0</v>
      </c>
      <c r="DP145" s="1007">
        <f t="shared" si="156"/>
        <v>0</v>
      </c>
      <c r="DQ145" s="1007">
        <f t="shared" si="156"/>
        <v>0</v>
      </c>
      <c r="DR145" s="1007"/>
      <c r="DS145" s="1007">
        <f t="shared" si="157"/>
        <v>0</v>
      </c>
      <c r="DT145" s="1007">
        <f t="shared" si="157"/>
        <v>0</v>
      </c>
      <c r="DU145" s="1007"/>
      <c r="DV145" s="1007">
        <f t="shared" si="158"/>
        <v>0</v>
      </c>
      <c r="DW145" s="1007">
        <f t="shared" si="158"/>
        <v>0</v>
      </c>
      <c r="DX145" s="1007">
        <f t="shared" si="158"/>
        <v>0</v>
      </c>
      <c r="DY145" s="1007">
        <f t="shared" si="159"/>
        <v>0</v>
      </c>
      <c r="DZ145" s="1007">
        <f t="shared" si="159"/>
        <v>0</v>
      </c>
      <c r="EA145" s="1007">
        <f t="shared" si="159"/>
        <v>0</v>
      </c>
      <c r="EB145" s="1007">
        <f t="shared" si="159"/>
        <v>0</v>
      </c>
      <c r="EC145" s="1007"/>
      <c r="ED145" s="1007">
        <f t="shared" si="160"/>
        <v>121000000</v>
      </c>
    </row>
    <row r="146" spans="1:134" s="203" customFormat="1" ht="35.25" customHeight="1" x14ac:dyDescent="0.25">
      <c r="A146" s="1590"/>
      <c r="B146" s="989"/>
      <c r="C146" s="1080" t="s">
        <v>4499</v>
      </c>
      <c r="D146" s="1018" t="s">
        <v>4481</v>
      </c>
      <c r="E146" s="996">
        <v>111</v>
      </c>
      <c r="F146" s="1117" t="s">
        <v>4482</v>
      </c>
      <c r="G146" s="1429"/>
      <c r="H146" s="1060">
        <f t="shared" si="143"/>
        <v>0</v>
      </c>
      <c r="I146" s="1060">
        <f t="shared" si="144"/>
        <v>0</v>
      </c>
      <c r="J146" s="1592"/>
      <c r="K146" s="1595"/>
      <c r="L146" s="1562"/>
      <c r="M146" s="1074"/>
      <c r="N146" s="1074"/>
      <c r="O146" s="1074"/>
      <c r="P146" s="1074"/>
      <c r="Q146" s="1074"/>
      <c r="R146" s="1074"/>
      <c r="S146" s="1117"/>
      <c r="T146" s="1117"/>
      <c r="U146" s="1117"/>
      <c r="V146" s="1117"/>
      <c r="W146" s="1117"/>
      <c r="X146" s="1117"/>
      <c r="Y146" s="1066">
        <f t="shared" si="145"/>
        <v>0</v>
      </c>
      <c r="Z146" s="149"/>
      <c r="AA146" s="149"/>
      <c r="AB146" s="149"/>
      <c r="AC146" s="1066">
        <f>417803755-417803755</f>
        <v>0</v>
      </c>
      <c r="AD146" s="149"/>
      <c r="AE146" s="149"/>
      <c r="AF146" s="149"/>
      <c r="AG146" s="149"/>
      <c r="AH146" s="149"/>
      <c r="AI146" s="149"/>
      <c r="AJ146" s="149"/>
      <c r="AK146" s="149"/>
      <c r="AL146" s="149"/>
      <c r="AM146" s="149"/>
      <c r="AN146" s="149"/>
      <c r="AO146" s="149"/>
      <c r="AP146" s="149"/>
      <c r="AQ146" s="149"/>
      <c r="AR146" s="149"/>
      <c r="AS146" s="149"/>
      <c r="AT146" s="1088"/>
      <c r="AU146" s="1081" t="e">
        <f t="shared" si="103"/>
        <v>#DIV/0!</v>
      </c>
      <c r="AV146" s="1066">
        <f t="shared" si="146"/>
        <v>0</v>
      </c>
      <c r="AW146" s="1066"/>
      <c r="AX146" s="1066"/>
      <c r="AY146" s="1066"/>
      <c r="AZ146" s="1066"/>
      <c r="BA146" s="1066"/>
      <c r="BB146" s="1066"/>
      <c r="BC146" s="1066"/>
      <c r="BD146" s="1066"/>
      <c r="BE146" s="1066"/>
      <c r="BF146" s="1066"/>
      <c r="BG146" s="1066"/>
      <c r="BH146" s="1066"/>
      <c r="BI146" s="1066"/>
      <c r="BJ146" s="1066"/>
      <c r="BK146" s="1066"/>
      <c r="BL146" s="1066"/>
      <c r="BM146" s="1066"/>
      <c r="BN146" s="1066"/>
      <c r="BO146" s="1066"/>
      <c r="BP146" s="1066"/>
      <c r="BQ146" s="1081" t="e">
        <f t="shared" si="105"/>
        <v>#DIV/0!</v>
      </c>
      <c r="BR146" s="1066">
        <f t="shared" si="147"/>
        <v>0</v>
      </c>
      <c r="BS146" s="1066">
        <f t="shared" si="148"/>
        <v>0</v>
      </c>
      <c r="BT146" s="1066">
        <f t="shared" si="149"/>
        <v>0</v>
      </c>
      <c r="BU146" s="1066"/>
      <c r="BV146" s="1066">
        <f t="shared" si="150"/>
        <v>0</v>
      </c>
      <c r="BW146" s="1066">
        <f t="shared" si="150"/>
        <v>0</v>
      </c>
      <c r="BX146" s="1066">
        <f t="shared" si="151"/>
        <v>0</v>
      </c>
      <c r="BY146" s="1066">
        <f t="shared" si="151"/>
        <v>0</v>
      </c>
      <c r="BZ146" s="1066"/>
      <c r="CA146" s="1066">
        <f t="shared" si="152"/>
        <v>0</v>
      </c>
      <c r="CB146" s="1066">
        <f t="shared" si="152"/>
        <v>0</v>
      </c>
      <c r="CC146" s="1066">
        <f t="shared" si="152"/>
        <v>0</v>
      </c>
      <c r="CD146" s="1066">
        <f t="shared" si="152"/>
        <v>0</v>
      </c>
      <c r="CE146" s="1066">
        <f t="shared" si="152"/>
        <v>0</v>
      </c>
      <c r="CF146" s="1066">
        <f t="shared" si="152"/>
        <v>0</v>
      </c>
      <c r="CG146" s="1066">
        <f t="shared" si="152"/>
        <v>0</v>
      </c>
      <c r="CH146" s="1066">
        <f t="shared" si="152"/>
        <v>0</v>
      </c>
      <c r="CI146" s="1066">
        <f t="shared" si="152"/>
        <v>0</v>
      </c>
      <c r="CJ146" s="1066"/>
      <c r="CK146" s="1066">
        <f t="shared" si="161"/>
        <v>0</v>
      </c>
      <c r="CL146" s="1066">
        <f t="shared" si="153"/>
        <v>0</v>
      </c>
      <c r="CM146" s="1081" t="e">
        <f t="shared" si="113"/>
        <v>#DIV/0!</v>
      </c>
      <c r="CN146" s="1066">
        <f t="shared" si="154"/>
        <v>0</v>
      </c>
      <c r="CO146" s="1066"/>
      <c r="CP146" s="1066"/>
      <c r="CQ146" s="1066"/>
      <c r="CR146" s="1066"/>
      <c r="CS146" s="1066"/>
      <c r="CT146" s="1066"/>
      <c r="CU146" s="1066"/>
      <c r="CV146" s="1066"/>
      <c r="CW146" s="1066"/>
      <c r="CX146" s="1066"/>
      <c r="CY146" s="1066"/>
      <c r="CZ146" s="1066"/>
      <c r="DA146" s="1066"/>
      <c r="DB146" s="1066"/>
      <c r="DC146" s="1066"/>
      <c r="DD146" s="1066"/>
      <c r="DE146" s="1066"/>
      <c r="DF146" s="1066"/>
      <c r="DG146" s="1066"/>
      <c r="DH146" s="1066"/>
      <c r="DI146" s="1081" t="e">
        <f t="shared" si="115"/>
        <v>#DIV/0!</v>
      </c>
      <c r="DJ146" s="1066">
        <f t="shared" si="155"/>
        <v>0</v>
      </c>
      <c r="DK146" s="1066"/>
      <c r="DL146" s="1066"/>
      <c r="DM146" s="1066"/>
      <c r="DN146" s="1066">
        <f t="shared" si="156"/>
        <v>0</v>
      </c>
      <c r="DO146" s="1066">
        <f t="shared" si="156"/>
        <v>0</v>
      </c>
      <c r="DP146" s="1066">
        <f t="shared" si="156"/>
        <v>0</v>
      </c>
      <c r="DQ146" s="1066">
        <f t="shared" si="156"/>
        <v>0</v>
      </c>
      <c r="DR146" s="1066"/>
      <c r="DS146" s="1066">
        <f t="shared" si="157"/>
        <v>0</v>
      </c>
      <c r="DT146" s="1066">
        <f t="shared" si="157"/>
        <v>0</v>
      </c>
      <c r="DU146" s="1066"/>
      <c r="DV146" s="1066">
        <f t="shared" si="158"/>
        <v>0</v>
      </c>
      <c r="DW146" s="1066">
        <f t="shared" si="158"/>
        <v>0</v>
      </c>
      <c r="DX146" s="1066">
        <f t="shared" si="158"/>
        <v>0</v>
      </c>
      <c r="DY146" s="1066">
        <f t="shared" si="159"/>
        <v>0</v>
      </c>
      <c r="DZ146" s="1066">
        <f t="shared" si="159"/>
        <v>0</v>
      </c>
      <c r="EA146" s="1066">
        <f t="shared" si="159"/>
        <v>0</v>
      </c>
      <c r="EB146" s="1066">
        <f t="shared" si="159"/>
        <v>0</v>
      </c>
      <c r="EC146" s="1066"/>
      <c r="ED146" s="1066">
        <f t="shared" si="160"/>
        <v>0</v>
      </c>
    </row>
    <row r="147" spans="1:134" ht="32.25" customHeight="1" x14ac:dyDescent="0.25">
      <c r="A147" s="1590"/>
      <c r="B147" s="989"/>
      <c r="C147" s="852" t="s">
        <v>4500</v>
      </c>
      <c r="D147" s="1018" t="s">
        <v>4718</v>
      </c>
      <c r="E147" s="994">
        <v>111</v>
      </c>
      <c r="F147" s="1117" t="s">
        <v>4482</v>
      </c>
      <c r="G147" s="1429"/>
      <c r="H147" s="1060">
        <f t="shared" si="143"/>
        <v>661861284</v>
      </c>
      <c r="I147" s="1060">
        <f t="shared" si="144"/>
        <v>463500048</v>
      </c>
      <c r="J147" s="1593"/>
      <c r="K147" s="1596"/>
      <c r="L147" s="1258"/>
      <c r="M147" s="1074"/>
      <c r="N147" s="1074"/>
      <c r="O147" s="1074"/>
      <c r="P147" s="1113">
        <v>42</v>
      </c>
      <c r="Q147" s="1113">
        <v>0</v>
      </c>
      <c r="R147" s="1113">
        <v>0</v>
      </c>
      <c r="S147" s="1117"/>
      <c r="T147" s="1117"/>
      <c r="U147" s="1117"/>
      <c r="V147" s="1117"/>
      <c r="W147" s="1117"/>
      <c r="X147" s="1117"/>
      <c r="Y147" s="1007">
        <f t="shared" si="145"/>
        <v>1125361332</v>
      </c>
      <c r="Z147" s="1007"/>
      <c r="AA147" s="1007"/>
      <c r="AB147" s="1007"/>
      <c r="AC147" s="1007">
        <f>371000000+890000000-104000000-133915719-12442500+39070000</f>
        <v>1049711781</v>
      </c>
      <c r="AD147" s="1007"/>
      <c r="AE147" s="1007"/>
      <c r="AF147" s="1007"/>
      <c r="AG147" s="1007"/>
      <c r="AH147" s="1007"/>
      <c r="AI147" s="1007"/>
      <c r="AJ147" s="1007"/>
      <c r="AK147" s="1007"/>
      <c r="AL147" s="1007"/>
      <c r="AM147" s="1007"/>
      <c r="AN147" s="1007">
        <f>114719551-39070000</f>
        <v>75649551</v>
      </c>
      <c r="AO147" s="1007"/>
      <c r="AP147" s="1007"/>
      <c r="AQ147" s="1007"/>
      <c r="AR147" s="1007"/>
      <c r="AS147" s="1007"/>
      <c r="AT147" s="984"/>
      <c r="AU147" s="1010">
        <f t="shared" si="103"/>
        <v>0.59279626288065845</v>
      </c>
      <c r="AV147" s="1007">
        <f t="shared" si="146"/>
        <v>667109992</v>
      </c>
      <c r="AW147" s="1007"/>
      <c r="AX147" s="1007"/>
      <c r="AY147" s="1007"/>
      <c r="AZ147" s="1007">
        <f>+'[8]SEPTIEMBRE 2015'!$M$130</f>
        <v>667109992</v>
      </c>
      <c r="BA147" s="1007"/>
      <c r="BB147" s="1007"/>
      <c r="BC147" s="1007"/>
      <c r="BD147" s="1007"/>
      <c r="BE147" s="1007"/>
      <c r="BF147" s="1007"/>
      <c r="BG147" s="1007"/>
      <c r="BH147" s="1007"/>
      <c r="BI147" s="1007"/>
      <c r="BJ147" s="1007"/>
      <c r="BK147" s="1007"/>
      <c r="BL147" s="1007"/>
      <c r="BM147" s="1007"/>
      <c r="BN147" s="1007"/>
      <c r="BO147" s="1007"/>
      <c r="BP147" s="1007"/>
      <c r="BQ147" s="1010">
        <f t="shared" si="105"/>
        <v>0.40720373711934155</v>
      </c>
      <c r="BR147" s="1007">
        <f t="shared" si="147"/>
        <v>458251340</v>
      </c>
      <c r="BS147" s="1007">
        <f t="shared" si="148"/>
        <v>0</v>
      </c>
      <c r="BT147" s="1007">
        <f t="shared" si="149"/>
        <v>0</v>
      </c>
      <c r="BU147" s="1007"/>
      <c r="BV147" s="1007">
        <f t="shared" si="150"/>
        <v>382601789</v>
      </c>
      <c r="BW147" s="1007">
        <f t="shared" si="150"/>
        <v>0</v>
      </c>
      <c r="BX147" s="1007">
        <f t="shared" si="151"/>
        <v>0</v>
      </c>
      <c r="BY147" s="1007">
        <f t="shared" si="151"/>
        <v>0</v>
      </c>
      <c r="BZ147" s="1007"/>
      <c r="CA147" s="1007">
        <f t="shared" si="152"/>
        <v>0</v>
      </c>
      <c r="CB147" s="1007">
        <f t="shared" si="152"/>
        <v>0</v>
      </c>
      <c r="CC147" s="1007">
        <f t="shared" si="152"/>
        <v>0</v>
      </c>
      <c r="CD147" s="1007">
        <f t="shared" si="152"/>
        <v>0</v>
      </c>
      <c r="CE147" s="1007">
        <f t="shared" si="152"/>
        <v>0</v>
      </c>
      <c r="CF147" s="1007">
        <f t="shared" si="152"/>
        <v>0</v>
      </c>
      <c r="CG147" s="1007">
        <f t="shared" si="152"/>
        <v>75649551</v>
      </c>
      <c r="CH147" s="1007">
        <f t="shared" si="152"/>
        <v>0</v>
      </c>
      <c r="CI147" s="1007">
        <f t="shared" si="152"/>
        <v>0</v>
      </c>
      <c r="CJ147" s="1007"/>
      <c r="CK147" s="1007">
        <f t="shared" si="161"/>
        <v>0</v>
      </c>
      <c r="CL147" s="1007">
        <f t="shared" si="153"/>
        <v>0</v>
      </c>
      <c r="CM147" s="1010">
        <f t="shared" si="113"/>
        <v>0.58813224266710451</v>
      </c>
      <c r="CN147" s="1007">
        <f t="shared" si="154"/>
        <v>661861284</v>
      </c>
      <c r="CO147" s="1007"/>
      <c r="CP147" s="1007"/>
      <c r="CQ147" s="1007"/>
      <c r="CR147" s="1007">
        <f>+'[8]SEPTIEMBRE 2015'!$H$128</f>
        <v>661861284</v>
      </c>
      <c r="CS147" s="1007"/>
      <c r="CT147" s="1007"/>
      <c r="CU147" s="1007"/>
      <c r="CV147" s="1007"/>
      <c r="CW147" s="1007"/>
      <c r="CX147" s="1007"/>
      <c r="CY147" s="1007"/>
      <c r="CZ147" s="1007"/>
      <c r="DA147" s="1007"/>
      <c r="DB147" s="1007"/>
      <c r="DC147" s="1007"/>
      <c r="DD147" s="1007"/>
      <c r="DE147" s="1007"/>
      <c r="DF147" s="1007"/>
      <c r="DG147" s="1007"/>
      <c r="DH147" s="1007"/>
      <c r="DI147" s="1010">
        <f t="shared" si="115"/>
        <v>0.41186775733289549</v>
      </c>
      <c r="DJ147" s="1007">
        <f t="shared" si="155"/>
        <v>463500048</v>
      </c>
      <c r="DK147" s="1007"/>
      <c r="DL147" s="1007"/>
      <c r="DM147" s="1007"/>
      <c r="DN147" s="1007">
        <f t="shared" si="156"/>
        <v>387850497</v>
      </c>
      <c r="DO147" s="1007">
        <f t="shared" si="156"/>
        <v>0</v>
      </c>
      <c r="DP147" s="1007">
        <f t="shared" si="156"/>
        <v>0</v>
      </c>
      <c r="DQ147" s="1007">
        <f t="shared" si="156"/>
        <v>0</v>
      </c>
      <c r="DR147" s="1007"/>
      <c r="DS147" s="1007">
        <f t="shared" si="157"/>
        <v>0</v>
      </c>
      <c r="DT147" s="1007">
        <f t="shared" si="157"/>
        <v>0</v>
      </c>
      <c r="DU147" s="1007"/>
      <c r="DV147" s="1007">
        <f t="shared" si="158"/>
        <v>0</v>
      </c>
      <c r="DW147" s="1007">
        <f t="shared" si="158"/>
        <v>0</v>
      </c>
      <c r="DX147" s="1007">
        <f t="shared" si="158"/>
        <v>0</v>
      </c>
      <c r="DY147" s="1007">
        <f t="shared" si="159"/>
        <v>75649551</v>
      </c>
      <c r="DZ147" s="1007">
        <f t="shared" si="159"/>
        <v>0</v>
      </c>
      <c r="EA147" s="1007">
        <f t="shared" si="159"/>
        <v>0</v>
      </c>
      <c r="EB147" s="1007">
        <f t="shared" si="159"/>
        <v>0</v>
      </c>
      <c r="EC147" s="1007"/>
      <c r="ED147" s="1007">
        <f t="shared" si="160"/>
        <v>0</v>
      </c>
    </row>
    <row r="148" spans="1:134" ht="52.5" customHeight="1" x14ac:dyDescent="0.25">
      <c r="A148" s="1590"/>
      <c r="B148" s="989"/>
      <c r="C148" s="852" t="s">
        <v>4501</v>
      </c>
      <c r="D148" s="1018" t="s">
        <v>4745</v>
      </c>
      <c r="E148" s="994">
        <v>111</v>
      </c>
      <c r="F148" s="1117" t="s">
        <v>4482</v>
      </c>
      <c r="G148" s="1429"/>
      <c r="H148" s="1060">
        <f t="shared" si="143"/>
        <v>239600131</v>
      </c>
      <c r="I148" s="1060">
        <f t="shared" si="144"/>
        <v>999869</v>
      </c>
      <c r="J148" s="1591">
        <v>184</v>
      </c>
      <c r="K148" s="1594">
        <v>317</v>
      </c>
      <c r="L148" s="1257">
        <v>198</v>
      </c>
      <c r="M148" s="1113">
        <v>0</v>
      </c>
      <c r="N148" s="1113">
        <v>0</v>
      </c>
      <c r="O148" s="1113">
        <v>0</v>
      </c>
      <c r="P148" s="1113">
        <v>0</v>
      </c>
      <c r="Q148" s="1113">
        <v>0</v>
      </c>
      <c r="R148" s="1113">
        <v>0</v>
      </c>
      <c r="S148" s="1117"/>
      <c r="T148" s="1117"/>
      <c r="U148" s="1117"/>
      <c r="V148" s="1117"/>
      <c r="W148" s="1117"/>
      <c r="X148" s="1117"/>
      <c r="Y148" s="1007">
        <f t="shared" si="145"/>
        <v>240600000</v>
      </c>
      <c r="Z148" s="1007"/>
      <c r="AA148" s="1007"/>
      <c r="AB148" s="1007"/>
      <c r="AC148" s="1007">
        <f>540600000-300000000</f>
        <v>240600000</v>
      </c>
      <c r="AD148" s="1007"/>
      <c r="AE148" s="1007"/>
      <c r="AF148" s="1007"/>
      <c r="AG148" s="1007"/>
      <c r="AH148" s="1007"/>
      <c r="AI148" s="1007"/>
      <c r="AJ148" s="1007"/>
      <c r="AK148" s="1007"/>
      <c r="AL148" s="1007"/>
      <c r="AM148" s="1007"/>
      <c r="AN148" s="1007"/>
      <c r="AO148" s="1007"/>
      <c r="AP148" s="1007"/>
      <c r="AQ148" s="1007"/>
      <c r="AR148" s="1007"/>
      <c r="AS148" s="1007"/>
      <c r="AT148" s="984"/>
      <c r="AU148" s="1010">
        <f t="shared" si="103"/>
        <v>0.99584426849542806</v>
      </c>
      <c r="AV148" s="1007">
        <f t="shared" si="146"/>
        <v>239600131</v>
      </c>
      <c r="AW148" s="1007"/>
      <c r="AX148" s="1007"/>
      <c r="AY148" s="1007"/>
      <c r="AZ148" s="1007">
        <f>+'[8]SEPTIEMBRE 2015'!$M$152</f>
        <v>239600131</v>
      </c>
      <c r="BA148" s="1007"/>
      <c r="BB148" s="1007"/>
      <c r="BC148" s="1007"/>
      <c r="BD148" s="1007"/>
      <c r="BE148" s="1007"/>
      <c r="BF148" s="1007"/>
      <c r="BG148" s="1007"/>
      <c r="BH148" s="1007"/>
      <c r="BI148" s="1007"/>
      <c r="BJ148" s="1007"/>
      <c r="BK148" s="1007"/>
      <c r="BL148" s="1007"/>
      <c r="BM148" s="1007"/>
      <c r="BN148" s="1007"/>
      <c r="BO148" s="1007"/>
      <c r="BP148" s="1007"/>
      <c r="BQ148" s="1010">
        <f t="shared" si="105"/>
        <v>4.1557315045719356E-3</v>
      </c>
      <c r="BR148" s="1007">
        <f t="shared" si="147"/>
        <v>999869</v>
      </c>
      <c r="BS148" s="1007">
        <f t="shared" si="148"/>
        <v>0</v>
      </c>
      <c r="BT148" s="1007">
        <f t="shared" si="149"/>
        <v>0</v>
      </c>
      <c r="BU148" s="1007"/>
      <c r="BV148" s="1007">
        <f t="shared" si="150"/>
        <v>999869</v>
      </c>
      <c r="BW148" s="1007">
        <f t="shared" si="150"/>
        <v>0</v>
      </c>
      <c r="BX148" s="1007">
        <f t="shared" si="151"/>
        <v>0</v>
      </c>
      <c r="BY148" s="1007">
        <f t="shared" si="151"/>
        <v>0</v>
      </c>
      <c r="BZ148" s="1007"/>
      <c r="CA148" s="1007">
        <f t="shared" si="152"/>
        <v>0</v>
      </c>
      <c r="CB148" s="1007">
        <f t="shared" si="152"/>
        <v>0</v>
      </c>
      <c r="CC148" s="1007">
        <f t="shared" si="152"/>
        <v>0</v>
      </c>
      <c r="CD148" s="1007">
        <f t="shared" si="152"/>
        <v>0</v>
      </c>
      <c r="CE148" s="1007">
        <f t="shared" si="152"/>
        <v>0</v>
      </c>
      <c r="CF148" s="1007">
        <f t="shared" si="152"/>
        <v>0</v>
      </c>
      <c r="CG148" s="1007">
        <f t="shared" si="152"/>
        <v>0</v>
      </c>
      <c r="CH148" s="1007">
        <f t="shared" si="152"/>
        <v>0</v>
      </c>
      <c r="CI148" s="1007">
        <f t="shared" si="152"/>
        <v>0</v>
      </c>
      <c r="CJ148" s="1007"/>
      <c r="CK148" s="1007">
        <f t="shared" si="161"/>
        <v>0</v>
      </c>
      <c r="CL148" s="1007">
        <f t="shared" si="153"/>
        <v>0</v>
      </c>
      <c r="CM148" s="1010">
        <f t="shared" si="113"/>
        <v>0.99584426849542806</v>
      </c>
      <c r="CN148" s="1007">
        <f t="shared" si="154"/>
        <v>239600131</v>
      </c>
      <c r="CO148" s="1007"/>
      <c r="CP148" s="1007"/>
      <c r="CQ148" s="1007"/>
      <c r="CR148" s="1007">
        <f>+'[10]JULIO 2015'!$H$138</f>
        <v>239600131</v>
      </c>
      <c r="CS148" s="1007"/>
      <c r="CT148" s="1007"/>
      <c r="CU148" s="1007"/>
      <c r="CV148" s="1007"/>
      <c r="CW148" s="1007"/>
      <c r="CX148" s="1007"/>
      <c r="CY148" s="1007"/>
      <c r="CZ148" s="1007"/>
      <c r="DA148" s="1007"/>
      <c r="DB148" s="1007"/>
      <c r="DC148" s="1007"/>
      <c r="DD148" s="1007"/>
      <c r="DE148" s="1007"/>
      <c r="DF148" s="1007"/>
      <c r="DG148" s="1007"/>
      <c r="DH148" s="1007"/>
      <c r="DI148" s="1010">
        <f t="shared" si="115"/>
        <v>4.1557315045719356E-3</v>
      </c>
      <c r="DJ148" s="1007">
        <f t="shared" si="155"/>
        <v>999869</v>
      </c>
      <c r="DK148" s="1007"/>
      <c r="DL148" s="1007"/>
      <c r="DM148" s="1007"/>
      <c r="DN148" s="1007">
        <f t="shared" si="156"/>
        <v>999869</v>
      </c>
      <c r="DO148" s="1007">
        <f t="shared" si="156"/>
        <v>0</v>
      </c>
      <c r="DP148" s="1007">
        <f t="shared" si="156"/>
        <v>0</v>
      </c>
      <c r="DQ148" s="1007">
        <f t="shared" si="156"/>
        <v>0</v>
      </c>
      <c r="DR148" s="1007"/>
      <c r="DS148" s="1007">
        <f t="shared" si="157"/>
        <v>0</v>
      </c>
      <c r="DT148" s="1007">
        <f t="shared" si="157"/>
        <v>0</v>
      </c>
      <c r="DU148" s="1007"/>
      <c r="DV148" s="1007">
        <f t="shared" si="158"/>
        <v>0</v>
      </c>
      <c r="DW148" s="1007">
        <f t="shared" si="158"/>
        <v>0</v>
      </c>
      <c r="DX148" s="1007">
        <f t="shared" si="158"/>
        <v>0</v>
      </c>
      <c r="DY148" s="1007">
        <f t="shared" si="159"/>
        <v>0</v>
      </c>
      <c r="DZ148" s="1007">
        <f t="shared" si="159"/>
        <v>0</v>
      </c>
      <c r="EA148" s="1007">
        <f t="shared" si="159"/>
        <v>0</v>
      </c>
      <c r="EB148" s="1007">
        <f t="shared" si="159"/>
        <v>0</v>
      </c>
      <c r="EC148" s="1007"/>
      <c r="ED148" s="1007">
        <f t="shared" si="160"/>
        <v>0</v>
      </c>
    </row>
    <row r="149" spans="1:134" s="203" customFormat="1" ht="61.5" customHeight="1" x14ac:dyDescent="0.25">
      <c r="A149" s="1590"/>
      <c r="B149" s="989"/>
      <c r="C149" s="1080" t="s">
        <v>4502</v>
      </c>
      <c r="D149" s="1018" t="s">
        <v>4484</v>
      </c>
      <c r="E149" s="996">
        <v>111</v>
      </c>
      <c r="F149" s="1117" t="s">
        <v>4482</v>
      </c>
      <c r="G149" s="1429"/>
      <c r="H149" s="1060">
        <f t="shared" si="143"/>
        <v>0</v>
      </c>
      <c r="I149" s="1060">
        <f t="shared" si="144"/>
        <v>0</v>
      </c>
      <c r="J149" s="1593"/>
      <c r="K149" s="1596"/>
      <c r="L149" s="1258"/>
      <c r="M149" s="1074">
        <v>0</v>
      </c>
      <c r="N149" s="1074">
        <v>0</v>
      </c>
      <c r="O149" s="1074">
        <v>0</v>
      </c>
      <c r="P149" s="1074"/>
      <c r="Q149" s="1074"/>
      <c r="R149" s="1074"/>
      <c r="S149" s="1117"/>
      <c r="T149" s="1117"/>
      <c r="U149" s="1117"/>
      <c r="V149" s="1117"/>
      <c r="W149" s="1117"/>
      <c r="X149" s="1117"/>
      <c r="Y149" s="1066">
        <f t="shared" si="145"/>
        <v>0</v>
      </c>
      <c r="Z149" s="1066"/>
      <c r="AA149" s="1066"/>
      <c r="AB149" s="1066"/>
      <c r="AC149" s="1066">
        <f>2968000000-968000000-897000000-103000000-1000000000</f>
        <v>0</v>
      </c>
      <c r="AD149" s="1066"/>
      <c r="AE149" s="1066"/>
      <c r="AF149" s="1066"/>
      <c r="AG149" s="1066"/>
      <c r="AH149" s="1066"/>
      <c r="AI149" s="1066"/>
      <c r="AJ149" s="1066"/>
      <c r="AK149" s="1066"/>
      <c r="AL149" s="1066"/>
      <c r="AM149" s="1066"/>
      <c r="AN149" s="1066"/>
      <c r="AO149" s="1066"/>
      <c r="AP149" s="1066"/>
      <c r="AQ149" s="1066"/>
      <c r="AR149" s="1066"/>
      <c r="AS149" s="1066"/>
      <c r="AT149" s="1088"/>
      <c r="AU149" s="1081" t="e">
        <f t="shared" si="103"/>
        <v>#DIV/0!</v>
      </c>
      <c r="AV149" s="1066">
        <f t="shared" si="146"/>
        <v>0</v>
      </c>
      <c r="AW149" s="1066"/>
      <c r="AX149" s="1066"/>
      <c r="AY149" s="1066"/>
      <c r="AZ149" s="1066"/>
      <c r="BA149" s="1066"/>
      <c r="BB149" s="1066"/>
      <c r="BC149" s="1066"/>
      <c r="BD149" s="1066"/>
      <c r="BE149" s="1066"/>
      <c r="BF149" s="1066"/>
      <c r="BG149" s="1066"/>
      <c r="BH149" s="1066"/>
      <c r="BI149" s="1066"/>
      <c r="BJ149" s="1066"/>
      <c r="BK149" s="1066"/>
      <c r="BL149" s="1066"/>
      <c r="BM149" s="1066"/>
      <c r="BN149" s="1066"/>
      <c r="BO149" s="1066"/>
      <c r="BP149" s="1066"/>
      <c r="BQ149" s="1081" t="e">
        <f t="shared" si="105"/>
        <v>#DIV/0!</v>
      </c>
      <c r="BR149" s="1066">
        <f t="shared" si="147"/>
        <v>0</v>
      </c>
      <c r="BS149" s="1066">
        <f t="shared" si="148"/>
        <v>0</v>
      </c>
      <c r="BT149" s="1066">
        <f t="shared" si="149"/>
        <v>0</v>
      </c>
      <c r="BU149" s="1066"/>
      <c r="BV149" s="1066">
        <f t="shared" si="150"/>
        <v>0</v>
      </c>
      <c r="BW149" s="1066">
        <f t="shared" si="150"/>
        <v>0</v>
      </c>
      <c r="BX149" s="1066">
        <f t="shared" si="151"/>
        <v>0</v>
      </c>
      <c r="BY149" s="1066">
        <f t="shared" si="151"/>
        <v>0</v>
      </c>
      <c r="BZ149" s="1066"/>
      <c r="CA149" s="1066">
        <f t="shared" si="152"/>
        <v>0</v>
      </c>
      <c r="CB149" s="1066">
        <f t="shared" si="152"/>
        <v>0</v>
      </c>
      <c r="CC149" s="1066">
        <f t="shared" si="152"/>
        <v>0</v>
      </c>
      <c r="CD149" s="1066">
        <f t="shared" si="152"/>
        <v>0</v>
      </c>
      <c r="CE149" s="1066">
        <f t="shared" si="152"/>
        <v>0</v>
      </c>
      <c r="CF149" s="1066">
        <f t="shared" si="152"/>
        <v>0</v>
      </c>
      <c r="CG149" s="1066">
        <f t="shared" si="152"/>
        <v>0</v>
      </c>
      <c r="CH149" s="1066">
        <f t="shared" si="152"/>
        <v>0</v>
      </c>
      <c r="CI149" s="1066">
        <f t="shared" si="152"/>
        <v>0</v>
      </c>
      <c r="CJ149" s="1066"/>
      <c r="CK149" s="1066">
        <f t="shared" si="161"/>
        <v>0</v>
      </c>
      <c r="CL149" s="1066">
        <f t="shared" si="153"/>
        <v>0</v>
      </c>
      <c r="CM149" s="1081" t="e">
        <f t="shared" si="113"/>
        <v>#DIV/0!</v>
      </c>
      <c r="CN149" s="1066">
        <f t="shared" si="154"/>
        <v>0</v>
      </c>
      <c r="CO149" s="1066"/>
      <c r="CP149" s="1066"/>
      <c r="CQ149" s="1066"/>
      <c r="CR149" s="1066"/>
      <c r="CS149" s="1066"/>
      <c r="CT149" s="1066"/>
      <c r="CU149" s="1066"/>
      <c r="CV149" s="1066"/>
      <c r="CW149" s="1066"/>
      <c r="CX149" s="1066"/>
      <c r="CY149" s="1066"/>
      <c r="CZ149" s="1066"/>
      <c r="DA149" s="1066"/>
      <c r="DB149" s="1066"/>
      <c r="DC149" s="1066"/>
      <c r="DD149" s="1066"/>
      <c r="DE149" s="1066"/>
      <c r="DF149" s="1066"/>
      <c r="DG149" s="1066"/>
      <c r="DH149" s="1066"/>
      <c r="DI149" s="1081" t="e">
        <f t="shared" si="115"/>
        <v>#DIV/0!</v>
      </c>
      <c r="DJ149" s="1066">
        <f t="shared" si="155"/>
        <v>0</v>
      </c>
      <c r="DK149" s="1066"/>
      <c r="DL149" s="1066"/>
      <c r="DM149" s="1066"/>
      <c r="DN149" s="1066">
        <f t="shared" si="156"/>
        <v>0</v>
      </c>
      <c r="DO149" s="1066">
        <f t="shared" si="156"/>
        <v>0</v>
      </c>
      <c r="DP149" s="1066">
        <f t="shared" si="156"/>
        <v>0</v>
      </c>
      <c r="DQ149" s="1066">
        <f t="shared" si="156"/>
        <v>0</v>
      </c>
      <c r="DR149" s="1066"/>
      <c r="DS149" s="1066">
        <f t="shared" si="157"/>
        <v>0</v>
      </c>
      <c r="DT149" s="1066">
        <f t="shared" si="157"/>
        <v>0</v>
      </c>
      <c r="DU149" s="1066"/>
      <c r="DV149" s="1066">
        <f t="shared" si="158"/>
        <v>0</v>
      </c>
      <c r="DW149" s="1066">
        <f t="shared" si="158"/>
        <v>0</v>
      </c>
      <c r="DX149" s="1066">
        <f t="shared" si="158"/>
        <v>0</v>
      </c>
      <c r="DY149" s="1066">
        <f t="shared" si="159"/>
        <v>0</v>
      </c>
      <c r="DZ149" s="1066">
        <f t="shared" si="159"/>
        <v>0</v>
      </c>
      <c r="EA149" s="1066">
        <f t="shared" si="159"/>
        <v>0</v>
      </c>
      <c r="EB149" s="1066">
        <f t="shared" si="159"/>
        <v>0</v>
      </c>
      <c r="EC149" s="1066"/>
      <c r="ED149" s="1066">
        <f t="shared" si="160"/>
        <v>0</v>
      </c>
    </row>
    <row r="150" spans="1:134" ht="64.5" customHeight="1" x14ac:dyDescent="0.25">
      <c r="A150" s="1590"/>
      <c r="B150" s="989"/>
      <c r="C150" s="852" t="s">
        <v>4503</v>
      </c>
      <c r="D150" s="1018" t="s">
        <v>4483</v>
      </c>
      <c r="E150" s="994">
        <v>111</v>
      </c>
      <c r="F150" s="1117" t="s">
        <v>4742</v>
      </c>
      <c r="G150" s="1429"/>
      <c r="H150" s="1060">
        <f t="shared" si="143"/>
        <v>53155185</v>
      </c>
      <c r="I150" s="1060">
        <f t="shared" si="144"/>
        <v>18959815</v>
      </c>
      <c r="J150" s="1428">
        <v>3</v>
      </c>
      <c r="K150" s="1257" t="s">
        <v>4928</v>
      </c>
      <c r="L150" s="1257">
        <v>3</v>
      </c>
      <c r="M150" s="1090"/>
      <c r="N150" s="1090"/>
      <c r="O150" s="1090"/>
      <c r="P150" s="1113">
        <v>0</v>
      </c>
      <c r="Q150" s="1113">
        <v>0</v>
      </c>
      <c r="R150" s="1113">
        <v>0</v>
      </c>
      <c r="S150" s="1117"/>
      <c r="T150" s="1117"/>
      <c r="U150" s="1117"/>
      <c r="V150" s="1117"/>
      <c r="W150" s="1117"/>
      <c r="X150" s="1117"/>
      <c r="Y150" s="1007">
        <f t="shared" si="145"/>
        <v>72115000</v>
      </c>
      <c r="Z150" s="1007"/>
      <c r="AA150" s="1007"/>
      <c r="AB150" s="1007"/>
      <c r="AC150" s="1007"/>
      <c r="AD150" s="1007"/>
      <c r="AE150" s="1007"/>
      <c r="AF150" s="1007"/>
      <c r="AG150" s="1007"/>
      <c r="AH150" s="1007"/>
      <c r="AI150" s="1007"/>
      <c r="AJ150" s="1007"/>
      <c r="AK150" s="1007"/>
      <c r="AL150" s="1007"/>
      <c r="AM150" s="1007"/>
      <c r="AN150" s="1007"/>
      <c r="AO150" s="1007"/>
      <c r="AP150" s="1007"/>
      <c r="AQ150" s="1007"/>
      <c r="AR150" s="1007"/>
      <c r="AS150" s="1007">
        <f>587519551+2000000+10000000+37000000-597519551+46500000-13385000</f>
        <v>72115000</v>
      </c>
      <c r="AT150" s="984"/>
      <c r="AU150" s="1010">
        <f t="shared" si="103"/>
        <v>1</v>
      </c>
      <c r="AV150" s="1007">
        <f t="shared" si="146"/>
        <v>72115000</v>
      </c>
      <c r="AW150" s="1007"/>
      <c r="AX150" s="1007"/>
      <c r="AY150" s="1007"/>
      <c r="AZ150" s="1007"/>
      <c r="BA150" s="1007"/>
      <c r="BB150" s="1007"/>
      <c r="BC150" s="1007"/>
      <c r="BD150" s="1007"/>
      <c r="BE150" s="1007"/>
      <c r="BF150" s="1007"/>
      <c r="BG150" s="1007"/>
      <c r="BH150" s="1007"/>
      <c r="BI150" s="1007"/>
      <c r="BJ150" s="1007"/>
      <c r="BK150" s="1007"/>
      <c r="BL150" s="1007"/>
      <c r="BM150" s="1007"/>
      <c r="BN150" s="1007"/>
      <c r="BO150" s="1007"/>
      <c r="BP150" s="1007">
        <f>+'[7]AGOSTO 2015'!$G$156</f>
        <v>72115000</v>
      </c>
      <c r="BQ150" s="1010">
        <f t="shared" si="105"/>
        <v>0</v>
      </c>
      <c r="BR150" s="1007">
        <f t="shared" si="147"/>
        <v>0</v>
      </c>
      <c r="BS150" s="1007">
        <f t="shared" si="148"/>
        <v>0</v>
      </c>
      <c r="BT150" s="1007">
        <f t="shared" si="149"/>
        <v>0</v>
      </c>
      <c r="BU150" s="1007"/>
      <c r="BV150" s="1007">
        <f t="shared" si="150"/>
        <v>0</v>
      </c>
      <c r="BW150" s="1007">
        <f t="shared" si="150"/>
        <v>0</v>
      </c>
      <c r="BX150" s="1007">
        <f t="shared" si="151"/>
        <v>0</v>
      </c>
      <c r="BY150" s="1007">
        <f t="shared" si="151"/>
        <v>0</v>
      </c>
      <c r="BZ150" s="1007"/>
      <c r="CA150" s="1007">
        <f t="shared" si="152"/>
        <v>0</v>
      </c>
      <c r="CB150" s="1007">
        <f t="shared" si="152"/>
        <v>0</v>
      </c>
      <c r="CC150" s="1007">
        <f t="shared" si="152"/>
        <v>0</v>
      </c>
      <c r="CD150" s="1007">
        <f t="shared" si="152"/>
        <v>0</v>
      </c>
      <c r="CE150" s="1007">
        <f t="shared" si="152"/>
        <v>0</v>
      </c>
      <c r="CF150" s="1007">
        <f t="shared" si="152"/>
        <v>0</v>
      </c>
      <c r="CG150" s="1007">
        <f t="shared" si="152"/>
        <v>0</v>
      </c>
      <c r="CH150" s="1007">
        <f t="shared" si="152"/>
        <v>0</v>
      </c>
      <c r="CI150" s="1007">
        <f t="shared" si="152"/>
        <v>0</v>
      </c>
      <c r="CJ150" s="1007"/>
      <c r="CK150" s="1007">
        <f t="shared" si="161"/>
        <v>0</v>
      </c>
      <c r="CL150" s="1007">
        <f t="shared" si="153"/>
        <v>0</v>
      </c>
      <c r="CM150" s="1010">
        <f t="shared" si="113"/>
        <v>0.73708916314220341</v>
      </c>
      <c r="CN150" s="1007">
        <f t="shared" si="154"/>
        <v>53155185</v>
      </c>
      <c r="CO150" s="1007"/>
      <c r="CP150" s="1007"/>
      <c r="CQ150" s="1007"/>
      <c r="CR150" s="1007"/>
      <c r="CS150" s="1007"/>
      <c r="CT150" s="1007"/>
      <c r="CU150" s="1007"/>
      <c r="CV150" s="1007"/>
      <c r="CW150" s="1007"/>
      <c r="CX150" s="1007"/>
      <c r="CY150" s="1007"/>
      <c r="CZ150" s="1007"/>
      <c r="DA150" s="1007"/>
      <c r="DB150" s="1007"/>
      <c r="DC150" s="1007"/>
      <c r="DD150" s="1007"/>
      <c r="DE150" s="1007"/>
      <c r="DF150" s="1007"/>
      <c r="DG150" s="1007"/>
      <c r="DH150" s="1007">
        <f>+'[8]SEPTIEMBRE 2015'!$H$162</f>
        <v>53155185</v>
      </c>
      <c r="DI150" s="1010">
        <f t="shared" si="115"/>
        <v>0.26291083685779659</v>
      </c>
      <c r="DJ150" s="1007">
        <f t="shared" si="155"/>
        <v>18959815</v>
      </c>
      <c r="DK150" s="1007"/>
      <c r="DL150" s="1007"/>
      <c r="DM150" s="1007"/>
      <c r="DN150" s="1007">
        <f t="shared" si="156"/>
        <v>0</v>
      </c>
      <c r="DO150" s="1007">
        <f t="shared" si="156"/>
        <v>0</v>
      </c>
      <c r="DP150" s="1007">
        <f t="shared" si="156"/>
        <v>0</v>
      </c>
      <c r="DQ150" s="1007">
        <f t="shared" si="156"/>
        <v>0</v>
      </c>
      <c r="DR150" s="1007"/>
      <c r="DS150" s="1007">
        <f t="shared" si="157"/>
        <v>0</v>
      </c>
      <c r="DT150" s="1007">
        <f t="shared" si="157"/>
        <v>0</v>
      </c>
      <c r="DU150" s="1007"/>
      <c r="DV150" s="1007">
        <f t="shared" si="158"/>
        <v>0</v>
      </c>
      <c r="DW150" s="1007">
        <f t="shared" si="158"/>
        <v>0</v>
      </c>
      <c r="DX150" s="1007">
        <f t="shared" si="158"/>
        <v>0</v>
      </c>
      <c r="DY150" s="1007">
        <f t="shared" si="159"/>
        <v>0</v>
      </c>
      <c r="DZ150" s="1007">
        <f t="shared" si="159"/>
        <v>0</v>
      </c>
      <c r="EA150" s="1007">
        <f t="shared" si="159"/>
        <v>0</v>
      </c>
      <c r="EB150" s="1007">
        <f t="shared" si="159"/>
        <v>0</v>
      </c>
      <c r="EC150" s="1007"/>
      <c r="ED150" s="1007">
        <f t="shared" si="160"/>
        <v>18959815</v>
      </c>
    </row>
    <row r="151" spans="1:134" s="203" customFormat="1" ht="33.75" customHeight="1" x14ac:dyDescent="0.25">
      <c r="A151" s="1590"/>
      <c r="B151" s="989"/>
      <c r="C151" s="1080" t="s">
        <v>4710</v>
      </c>
      <c r="D151" s="1018" t="s">
        <v>4711</v>
      </c>
      <c r="E151" s="996">
        <v>111</v>
      </c>
      <c r="F151" s="1117" t="s">
        <v>4482</v>
      </c>
      <c r="G151" s="1429"/>
      <c r="H151" s="1060">
        <f t="shared" si="143"/>
        <v>0</v>
      </c>
      <c r="I151" s="1060">
        <f t="shared" si="144"/>
        <v>0</v>
      </c>
      <c r="J151" s="1430"/>
      <c r="K151" s="1258"/>
      <c r="L151" s="1258"/>
      <c r="M151" s="1074">
        <v>0</v>
      </c>
      <c r="N151" s="1074">
        <v>0</v>
      </c>
      <c r="O151" s="1074">
        <v>0</v>
      </c>
      <c r="P151" s="1074"/>
      <c r="Q151" s="1074"/>
      <c r="R151" s="1074"/>
      <c r="S151" s="1117"/>
      <c r="T151" s="1117"/>
      <c r="U151" s="1117"/>
      <c r="V151" s="1117"/>
      <c r="W151" s="1117"/>
      <c r="X151" s="1117"/>
      <c r="Y151" s="1066">
        <f t="shared" si="145"/>
        <v>0</v>
      </c>
      <c r="Z151" s="1066"/>
      <c r="AA151" s="1066"/>
      <c r="AB151" s="1066"/>
      <c r="AC151" s="1066">
        <f>400000000-400000000</f>
        <v>0</v>
      </c>
      <c r="AD151" s="1066"/>
      <c r="AE151" s="1066"/>
      <c r="AF151" s="1066"/>
      <c r="AG151" s="1066"/>
      <c r="AH151" s="1066"/>
      <c r="AI151" s="1066"/>
      <c r="AJ151" s="1066"/>
      <c r="AK151" s="1066"/>
      <c r="AL151" s="1066"/>
      <c r="AM151" s="1066"/>
      <c r="AN151" s="1066"/>
      <c r="AO151" s="1066"/>
      <c r="AP151" s="1066"/>
      <c r="AQ151" s="1066"/>
      <c r="AR151" s="1066"/>
      <c r="AS151" s="1066"/>
      <c r="AT151" s="1089"/>
      <c r="AU151" s="1081" t="e">
        <f t="shared" si="103"/>
        <v>#DIV/0!</v>
      </c>
      <c r="AV151" s="1066">
        <f t="shared" si="146"/>
        <v>0</v>
      </c>
      <c r="AW151" s="1066"/>
      <c r="AX151" s="1066"/>
      <c r="AY151" s="1066"/>
      <c r="AZ151" s="1066"/>
      <c r="BA151" s="1066"/>
      <c r="BB151" s="1066"/>
      <c r="BC151" s="1066"/>
      <c r="BD151" s="1066"/>
      <c r="BE151" s="1066"/>
      <c r="BF151" s="1066"/>
      <c r="BG151" s="1066"/>
      <c r="BH151" s="1066"/>
      <c r="BI151" s="1066"/>
      <c r="BJ151" s="1066"/>
      <c r="BK151" s="1066"/>
      <c r="BL151" s="1066"/>
      <c r="BM151" s="1066"/>
      <c r="BN151" s="1066"/>
      <c r="BO151" s="1066"/>
      <c r="BP151" s="1066"/>
      <c r="BQ151" s="1081" t="e">
        <f t="shared" si="105"/>
        <v>#DIV/0!</v>
      </c>
      <c r="BR151" s="1066">
        <f t="shared" si="147"/>
        <v>0</v>
      </c>
      <c r="BS151" s="1066"/>
      <c r="BT151" s="1066"/>
      <c r="BU151" s="1066"/>
      <c r="BV151" s="1066">
        <f t="shared" ref="BV151:BW194" si="162">AC151-AZ151</f>
        <v>0</v>
      </c>
      <c r="BW151" s="1066"/>
      <c r="BX151" s="1066"/>
      <c r="BY151" s="1066"/>
      <c r="BZ151" s="1066"/>
      <c r="CA151" s="1066"/>
      <c r="CB151" s="1066"/>
      <c r="CC151" s="1066"/>
      <c r="CD151" s="1066"/>
      <c r="CE151" s="1066"/>
      <c r="CF151" s="1066"/>
      <c r="CG151" s="1066"/>
      <c r="CH151" s="1066"/>
      <c r="CI151" s="1066"/>
      <c r="CJ151" s="1066"/>
      <c r="CK151" s="1066"/>
      <c r="CL151" s="1066"/>
      <c r="CM151" s="1081" t="e">
        <f t="shared" si="113"/>
        <v>#DIV/0!</v>
      </c>
      <c r="CN151" s="1066">
        <f t="shared" si="154"/>
        <v>0</v>
      </c>
      <c r="CO151" s="1066"/>
      <c r="CP151" s="1066"/>
      <c r="CQ151" s="1066"/>
      <c r="CR151" s="1066"/>
      <c r="CS151" s="1066"/>
      <c r="CT151" s="1066"/>
      <c r="CU151" s="1066"/>
      <c r="CV151" s="1066"/>
      <c r="CW151" s="1066"/>
      <c r="CX151" s="1066"/>
      <c r="CY151" s="1066"/>
      <c r="CZ151" s="1066"/>
      <c r="DA151" s="1066"/>
      <c r="DB151" s="1066"/>
      <c r="DC151" s="1066"/>
      <c r="DD151" s="1066"/>
      <c r="DE151" s="1066"/>
      <c r="DF151" s="1066"/>
      <c r="DG151" s="1066"/>
      <c r="DH151" s="1066"/>
      <c r="DI151" s="1081" t="e">
        <f t="shared" si="115"/>
        <v>#DIV/0!</v>
      </c>
      <c r="DJ151" s="1066">
        <f t="shared" si="155"/>
        <v>0</v>
      </c>
      <c r="DK151" s="1066"/>
      <c r="DL151" s="1066"/>
      <c r="DM151" s="1066"/>
      <c r="DN151" s="1066">
        <f t="shared" ref="DN151:DQ194" si="163">AC151-CR151</f>
        <v>0</v>
      </c>
      <c r="DO151" s="1066"/>
      <c r="DP151" s="1066"/>
      <c r="DQ151" s="1066"/>
      <c r="DR151" s="1066"/>
      <c r="DS151" s="1066"/>
      <c r="DT151" s="1066"/>
      <c r="DU151" s="1066"/>
      <c r="DV151" s="1066"/>
      <c r="DW151" s="1066"/>
      <c r="DX151" s="1066"/>
      <c r="DY151" s="1066"/>
      <c r="DZ151" s="1066"/>
      <c r="EA151" s="1066"/>
      <c r="EB151" s="1066"/>
      <c r="EC151" s="1066"/>
      <c r="ED151" s="1066"/>
    </row>
    <row r="152" spans="1:134" ht="64.5" customHeight="1" x14ac:dyDescent="0.25">
      <c r="A152" s="1590"/>
      <c r="B152" s="989" t="s">
        <v>4450</v>
      </c>
      <c r="C152" s="852" t="s">
        <v>4513</v>
      </c>
      <c r="D152" s="1018" t="s">
        <v>4549</v>
      </c>
      <c r="E152" s="994">
        <v>211</v>
      </c>
      <c r="F152" s="1117" t="s">
        <v>4482</v>
      </c>
      <c r="G152" s="1429"/>
      <c r="H152" s="1060">
        <f t="shared" si="143"/>
        <v>189556618</v>
      </c>
      <c r="I152" s="1060">
        <f t="shared" si="144"/>
        <v>0</v>
      </c>
      <c r="J152" s="1428">
        <v>117</v>
      </c>
      <c r="K152" s="1257">
        <v>127</v>
      </c>
      <c r="L152" s="1257">
        <v>118</v>
      </c>
      <c r="M152" s="1113">
        <v>0</v>
      </c>
      <c r="N152" s="1113">
        <v>0</v>
      </c>
      <c r="O152" s="1113">
        <v>0</v>
      </c>
      <c r="P152" s="1113">
        <v>100</v>
      </c>
      <c r="Q152" s="1113">
        <v>100</v>
      </c>
      <c r="R152" s="1113">
        <v>100</v>
      </c>
      <c r="S152" s="1117"/>
      <c r="T152" s="1117"/>
      <c r="U152" s="1117"/>
      <c r="V152" s="1117"/>
      <c r="W152" s="1117"/>
      <c r="X152" s="1117"/>
      <c r="Y152" s="1007">
        <f t="shared" si="145"/>
        <v>189556618</v>
      </c>
      <c r="Z152" s="1007"/>
      <c r="AA152" s="1007"/>
      <c r="AB152" s="1007"/>
      <c r="AC152" s="1007">
        <f>500000000-100000000-210443382</f>
        <v>189556618</v>
      </c>
      <c r="AD152" s="1007"/>
      <c r="AE152" s="1007"/>
      <c r="AF152" s="1007"/>
      <c r="AG152" s="1007"/>
      <c r="AH152" s="1007"/>
      <c r="AI152" s="1007"/>
      <c r="AJ152" s="1007"/>
      <c r="AK152" s="1007"/>
      <c r="AL152" s="1007"/>
      <c r="AM152" s="1007"/>
      <c r="AN152" s="1007"/>
      <c r="AO152" s="1007"/>
      <c r="AP152" s="1007"/>
      <c r="AQ152" s="1007"/>
      <c r="AR152" s="1007"/>
      <c r="AS152" s="1007"/>
      <c r="AU152" s="1010">
        <f t="shared" si="103"/>
        <v>1</v>
      </c>
      <c r="AV152" s="1007">
        <f t="shared" si="146"/>
        <v>189556618</v>
      </c>
      <c r="AW152" s="1007"/>
      <c r="AX152" s="1007"/>
      <c r="AY152" s="1007"/>
      <c r="AZ152" s="1007">
        <v>189556618</v>
      </c>
      <c r="BA152" s="1007"/>
      <c r="BB152" s="1007"/>
      <c r="BC152" s="1007"/>
      <c r="BD152" s="1007"/>
      <c r="BE152" s="1007"/>
      <c r="BF152" s="1007"/>
      <c r="BG152" s="1007"/>
      <c r="BH152" s="1007"/>
      <c r="BI152" s="1007"/>
      <c r="BJ152" s="1007"/>
      <c r="BK152" s="1007"/>
      <c r="BL152" s="1007"/>
      <c r="BM152" s="1007"/>
      <c r="BN152" s="1007"/>
      <c r="BO152" s="1007"/>
      <c r="BP152" s="1007"/>
      <c r="BQ152" s="1010">
        <f t="shared" si="105"/>
        <v>0</v>
      </c>
      <c r="BR152" s="1007">
        <f t="shared" si="147"/>
        <v>0</v>
      </c>
      <c r="BS152" s="1007">
        <f t="shared" ref="BS152:BS173" si="164">+Z152-AW152</f>
        <v>0</v>
      </c>
      <c r="BT152" s="1007">
        <f t="shared" ref="BT152:BT173" si="165">AA152-AX152</f>
        <v>0</v>
      </c>
      <c r="BU152" s="1007"/>
      <c r="BV152" s="1007">
        <f t="shared" si="162"/>
        <v>0</v>
      </c>
      <c r="BW152" s="1007">
        <f t="shared" si="162"/>
        <v>0</v>
      </c>
      <c r="BX152" s="1007">
        <f t="shared" ref="BX152:BY173" si="166">+AE152-BB152</f>
        <v>0</v>
      </c>
      <c r="BY152" s="1007">
        <f t="shared" si="166"/>
        <v>0</v>
      </c>
      <c r="BZ152" s="1007"/>
      <c r="CA152" s="1007">
        <f t="shared" ref="CA152:CI173" si="167">+AH152-BE152</f>
        <v>0</v>
      </c>
      <c r="CB152" s="1007">
        <f t="shared" si="167"/>
        <v>0</v>
      </c>
      <c r="CC152" s="1007">
        <f t="shared" si="167"/>
        <v>0</v>
      </c>
      <c r="CD152" s="1007">
        <f t="shared" si="167"/>
        <v>0</v>
      </c>
      <c r="CE152" s="1007">
        <f t="shared" si="167"/>
        <v>0</v>
      </c>
      <c r="CF152" s="1007">
        <f t="shared" si="167"/>
        <v>0</v>
      </c>
      <c r="CG152" s="1007">
        <f t="shared" si="167"/>
        <v>0</v>
      </c>
      <c r="CH152" s="1007">
        <f t="shared" si="167"/>
        <v>0</v>
      </c>
      <c r="CI152" s="1007">
        <f t="shared" si="167"/>
        <v>0</v>
      </c>
      <c r="CJ152" s="1007"/>
      <c r="CK152" s="1007">
        <f t="shared" ref="CK152:CL173" si="168">+AR152-BO152</f>
        <v>0</v>
      </c>
      <c r="CL152" s="1007">
        <f t="shared" si="168"/>
        <v>0</v>
      </c>
      <c r="CM152" s="1010">
        <f t="shared" si="113"/>
        <v>1</v>
      </c>
      <c r="CN152" s="1007">
        <f t="shared" si="154"/>
        <v>189556618</v>
      </c>
      <c r="CO152" s="1007"/>
      <c r="CP152" s="1007"/>
      <c r="CQ152" s="1007"/>
      <c r="CR152" s="1007">
        <f>+'[13]JUNIO 2015'!$H$171</f>
        <v>189556618</v>
      </c>
      <c r="CS152" s="1007"/>
      <c r="CT152" s="1007"/>
      <c r="CU152" s="1007"/>
      <c r="CV152" s="1007"/>
      <c r="CW152" s="1007"/>
      <c r="CX152" s="1007"/>
      <c r="CY152" s="1007"/>
      <c r="CZ152" s="1007"/>
      <c r="DA152" s="1007"/>
      <c r="DB152" s="1007"/>
      <c r="DC152" s="1007"/>
      <c r="DD152" s="1007"/>
      <c r="DE152" s="1007"/>
      <c r="DF152" s="1007"/>
      <c r="DG152" s="1007"/>
      <c r="DH152" s="1007"/>
      <c r="DI152" s="1010">
        <f t="shared" si="115"/>
        <v>0</v>
      </c>
      <c r="DJ152" s="1007">
        <f t="shared" si="155"/>
        <v>0</v>
      </c>
      <c r="DK152" s="1007"/>
      <c r="DL152" s="1007"/>
      <c r="DM152" s="1007"/>
      <c r="DN152" s="1007">
        <f t="shared" si="163"/>
        <v>0</v>
      </c>
      <c r="DO152" s="1007">
        <f t="shared" si="163"/>
        <v>0</v>
      </c>
      <c r="DP152" s="1007">
        <f t="shared" si="163"/>
        <v>0</v>
      </c>
      <c r="DQ152" s="1007">
        <f t="shared" si="163"/>
        <v>0</v>
      </c>
      <c r="DR152" s="1007"/>
      <c r="DS152" s="1007">
        <f t="shared" ref="DS152:DT173" si="169">+AH152-CW152</f>
        <v>0</v>
      </c>
      <c r="DT152" s="1007">
        <f t="shared" si="169"/>
        <v>0</v>
      </c>
      <c r="DU152" s="1007"/>
      <c r="DV152" s="1007">
        <f t="shared" ref="DV152:DX173" si="170">AK152-CZ152</f>
        <v>0</v>
      </c>
      <c r="DW152" s="1007">
        <f t="shared" si="170"/>
        <v>0</v>
      </c>
      <c r="DX152" s="1007">
        <f t="shared" si="170"/>
        <v>0</v>
      </c>
      <c r="DY152" s="1007">
        <f t="shared" ref="DY152:EC173" si="171">+AN152-DC152</f>
        <v>0</v>
      </c>
      <c r="DZ152" s="1007">
        <f t="shared" si="171"/>
        <v>0</v>
      </c>
      <c r="EA152" s="1007">
        <f t="shared" si="171"/>
        <v>0</v>
      </c>
      <c r="EB152" s="1007">
        <f t="shared" si="171"/>
        <v>0</v>
      </c>
      <c r="EC152" s="1007"/>
      <c r="ED152" s="1007">
        <f t="shared" ref="ED152:ED173" si="172">+AS152-DH152</f>
        <v>0</v>
      </c>
    </row>
    <row r="153" spans="1:134" ht="48" customHeight="1" x14ac:dyDescent="0.25">
      <c r="A153" s="1590"/>
      <c r="B153" s="989"/>
      <c r="C153" s="852" t="s">
        <v>4514</v>
      </c>
      <c r="D153" s="1018" t="s">
        <v>4550</v>
      </c>
      <c r="E153" s="994">
        <v>211</v>
      </c>
      <c r="F153" s="1117" t="s">
        <v>4482</v>
      </c>
      <c r="G153" s="1429"/>
      <c r="H153" s="1060">
        <f t="shared" si="143"/>
        <v>48956036</v>
      </c>
      <c r="I153" s="1060">
        <f t="shared" si="144"/>
        <v>60887622</v>
      </c>
      <c r="J153" s="1429"/>
      <c r="K153" s="1562"/>
      <c r="L153" s="1562"/>
      <c r="M153" s="1113">
        <v>2</v>
      </c>
      <c r="N153" s="1113">
        <v>0</v>
      </c>
      <c r="O153" s="1113">
        <v>0</v>
      </c>
      <c r="P153" s="1113">
        <v>45</v>
      </c>
      <c r="Q153" s="1113">
        <v>35</v>
      </c>
      <c r="R153" s="1113">
        <v>16</v>
      </c>
      <c r="S153" s="1117"/>
      <c r="T153" s="1117"/>
      <c r="U153" s="1117"/>
      <c r="V153" s="1117"/>
      <c r="W153" s="1117"/>
      <c r="X153" s="1117"/>
      <c r="Y153" s="1007">
        <f t="shared" si="145"/>
        <v>109843658</v>
      </c>
      <c r="Z153" s="1007"/>
      <c r="AA153" s="1007"/>
      <c r="AB153" s="1007"/>
      <c r="AC153" s="1007">
        <f>498457340+300000000-790156342</f>
        <v>8300998</v>
      </c>
      <c r="AD153" s="1007"/>
      <c r="AE153" s="1007"/>
      <c r="AF153" s="1007"/>
      <c r="AG153" s="1007"/>
      <c r="AH153" s="1007"/>
      <c r="AI153" s="1007"/>
      <c r="AJ153" s="1007"/>
      <c r="AK153" s="1007">
        <v>101542660</v>
      </c>
      <c r="AL153" s="1007"/>
      <c r="AM153" s="1007"/>
      <c r="AN153" s="1007"/>
      <c r="AO153" s="1007"/>
      <c r="AP153" s="1007"/>
      <c r="AQ153" s="1007"/>
      <c r="AR153" s="1007"/>
      <c r="AS153" s="1007"/>
      <c r="AU153" s="1010">
        <f t="shared" si="103"/>
        <v>0.4456883254925833</v>
      </c>
      <c r="AV153" s="1007">
        <f t="shared" si="146"/>
        <v>48956036</v>
      </c>
      <c r="AW153" s="1007"/>
      <c r="AX153" s="1007"/>
      <c r="AY153" s="1007"/>
      <c r="AZ153" s="1007">
        <f>+'[13]JUNIO 2015'!$M$180</f>
        <v>8300998</v>
      </c>
      <c r="BA153" s="1007"/>
      <c r="BB153" s="1007"/>
      <c r="BC153" s="1007"/>
      <c r="BD153" s="1007"/>
      <c r="BE153" s="1007"/>
      <c r="BF153" s="1007"/>
      <c r="BG153" s="1007"/>
      <c r="BH153" s="1007">
        <f>+'[13]JUNIO 2015'!$U$180</f>
        <v>40655038</v>
      </c>
      <c r="BI153" s="1007"/>
      <c r="BJ153" s="1007"/>
      <c r="BK153" s="1007"/>
      <c r="BL153" s="1007"/>
      <c r="BM153" s="1007"/>
      <c r="BN153" s="1007"/>
      <c r="BO153" s="1007"/>
      <c r="BP153" s="1007"/>
      <c r="BQ153" s="1010">
        <f t="shared" si="105"/>
        <v>0.5543116745074167</v>
      </c>
      <c r="BR153" s="1007">
        <f t="shared" si="147"/>
        <v>60887622</v>
      </c>
      <c r="BS153" s="1007">
        <f t="shared" si="164"/>
        <v>0</v>
      </c>
      <c r="BT153" s="1007">
        <f t="shared" si="165"/>
        <v>0</v>
      </c>
      <c r="BU153" s="1007"/>
      <c r="BV153" s="1007">
        <f t="shared" si="162"/>
        <v>0</v>
      </c>
      <c r="BW153" s="1007">
        <f t="shared" si="162"/>
        <v>0</v>
      </c>
      <c r="BX153" s="1007">
        <f t="shared" si="166"/>
        <v>0</v>
      </c>
      <c r="BY153" s="1007">
        <f t="shared" si="166"/>
        <v>0</v>
      </c>
      <c r="BZ153" s="1007"/>
      <c r="CA153" s="1007">
        <f t="shared" si="167"/>
        <v>0</v>
      </c>
      <c r="CB153" s="1007">
        <f t="shared" si="167"/>
        <v>0</v>
      </c>
      <c r="CC153" s="1007">
        <f t="shared" si="167"/>
        <v>0</v>
      </c>
      <c r="CD153" s="1007">
        <f t="shared" si="167"/>
        <v>60887622</v>
      </c>
      <c r="CE153" s="1007">
        <f t="shared" si="167"/>
        <v>0</v>
      </c>
      <c r="CF153" s="1007">
        <f t="shared" si="167"/>
        <v>0</v>
      </c>
      <c r="CG153" s="1007">
        <f t="shared" si="167"/>
        <v>0</v>
      </c>
      <c r="CH153" s="1007">
        <f t="shared" si="167"/>
        <v>0</v>
      </c>
      <c r="CI153" s="1007">
        <f t="shared" si="167"/>
        <v>0</v>
      </c>
      <c r="CJ153" s="1007"/>
      <c r="CK153" s="1007">
        <f t="shared" si="168"/>
        <v>0</v>
      </c>
      <c r="CL153" s="1007">
        <f t="shared" si="168"/>
        <v>0</v>
      </c>
      <c r="CM153" s="1010">
        <f t="shared" si="113"/>
        <v>0.4456883254925833</v>
      </c>
      <c r="CN153" s="1007">
        <f t="shared" si="154"/>
        <v>48956036</v>
      </c>
      <c r="CO153" s="1007"/>
      <c r="CP153" s="1007"/>
      <c r="CQ153" s="1007"/>
      <c r="CR153" s="1007">
        <f>+'[9]ABRIL 2015'!$H$166</f>
        <v>8300998</v>
      </c>
      <c r="CS153" s="1007"/>
      <c r="CT153" s="1007"/>
      <c r="CU153" s="1007"/>
      <c r="CV153" s="1007"/>
      <c r="CW153" s="1007"/>
      <c r="CX153" s="1007"/>
      <c r="CY153" s="1007"/>
      <c r="CZ153" s="1007">
        <f>8301038+32354000</f>
        <v>40655038</v>
      </c>
      <c r="DA153" s="1007"/>
      <c r="DB153" s="1007"/>
      <c r="DC153" s="1007"/>
      <c r="DD153" s="1007"/>
      <c r="DE153" s="1007"/>
      <c r="DF153" s="1007"/>
      <c r="DG153" s="1007"/>
      <c r="DH153" s="1007"/>
      <c r="DI153" s="1010">
        <f t="shared" si="115"/>
        <v>0.5543116745074167</v>
      </c>
      <c r="DJ153" s="1007">
        <f t="shared" si="155"/>
        <v>60887622</v>
      </c>
      <c r="DK153" s="1007"/>
      <c r="DL153" s="1007"/>
      <c r="DM153" s="1007"/>
      <c r="DN153" s="1007">
        <f t="shared" si="163"/>
        <v>0</v>
      </c>
      <c r="DO153" s="1007">
        <f t="shared" si="163"/>
        <v>0</v>
      </c>
      <c r="DP153" s="1007">
        <f t="shared" si="163"/>
        <v>0</v>
      </c>
      <c r="DQ153" s="1007">
        <f t="shared" si="163"/>
        <v>0</v>
      </c>
      <c r="DR153" s="1007"/>
      <c r="DS153" s="1007">
        <f t="shared" si="169"/>
        <v>0</v>
      </c>
      <c r="DT153" s="1007">
        <f t="shared" si="169"/>
        <v>0</v>
      </c>
      <c r="DU153" s="1007"/>
      <c r="DV153" s="1007">
        <f t="shared" si="170"/>
        <v>60887622</v>
      </c>
      <c r="DW153" s="1007">
        <f t="shared" si="170"/>
        <v>0</v>
      </c>
      <c r="DX153" s="1007">
        <f t="shared" si="170"/>
        <v>0</v>
      </c>
      <c r="DY153" s="1007">
        <f t="shared" si="171"/>
        <v>0</v>
      </c>
      <c r="DZ153" s="1007">
        <f t="shared" si="171"/>
        <v>0</v>
      </c>
      <c r="EA153" s="1007">
        <f t="shared" si="171"/>
        <v>0</v>
      </c>
      <c r="EB153" s="1007">
        <f t="shared" si="171"/>
        <v>0</v>
      </c>
      <c r="EC153" s="1007"/>
      <c r="ED153" s="1007">
        <f t="shared" si="172"/>
        <v>0</v>
      </c>
    </row>
    <row r="154" spans="1:134" s="203" customFormat="1" ht="36" customHeight="1" x14ac:dyDescent="0.25">
      <c r="A154" s="1590"/>
      <c r="B154" s="989"/>
      <c r="C154" s="1080" t="s">
        <v>4515</v>
      </c>
      <c r="D154" s="1018" t="s">
        <v>4551</v>
      </c>
      <c r="E154" s="996">
        <v>211</v>
      </c>
      <c r="F154" s="1117" t="s">
        <v>4482</v>
      </c>
      <c r="G154" s="1429"/>
      <c r="H154" s="1060">
        <f t="shared" si="143"/>
        <v>0</v>
      </c>
      <c r="I154" s="1060">
        <f t="shared" si="144"/>
        <v>0</v>
      </c>
      <c r="J154" s="1430"/>
      <c r="K154" s="1258"/>
      <c r="L154" s="1258"/>
      <c r="M154" s="1074">
        <v>0</v>
      </c>
      <c r="N154" s="1074">
        <v>0</v>
      </c>
      <c r="O154" s="1074">
        <v>0</v>
      </c>
      <c r="P154" s="1074"/>
      <c r="Q154" s="1074"/>
      <c r="R154" s="1074"/>
      <c r="S154" s="1117"/>
      <c r="T154" s="1117"/>
      <c r="U154" s="1117"/>
      <c r="V154" s="1117"/>
      <c r="W154" s="1117"/>
      <c r="X154" s="1117"/>
      <c r="Y154" s="1066">
        <f t="shared" si="145"/>
        <v>0</v>
      </c>
      <c r="Z154" s="149"/>
      <c r="AA154" s="149"/>
      <c r="AB154" s="149"/>
      <c r="AC154" s="1066">
        <f>600000000-600000000</f>
        <v>0</v>
      </c>
      <c r="AD154" s="149"/>
      <c r="AE154" s="149"/>
      <c r="AF154" s="1066"/>
      <c r="AG154" s="1066"/>
      <c r="AH154" s="1066"/>
      <c r="AI154" s="1066"/>
      <c r="AJ154" s="1066"/>
      <c r="AK154" s="1066"/>
      <c r="AL154" s="1066"/>
      <c r="AM154" s="149"/>
      <c r="AN154" s="149"/>
      <c r="AO154" s="149"/>
      <c r="AP154" s="149"/>
      <c r="AQ154" s="149"/>
      <c r="AR154" s="149"/>
      <c r="AS154" s="1066"/>
      <c r="AU154" s="1081" t="e">
        <f t="shared" si="103"/>
        <v>#DIV/0!</v>
      </c>
      <c r="AV154" s="1066">
        <f t="shared" si="146"/>
        <v>0</v>
      </c>
      <c r="AW154" s="1066"/>
      <c r="AX154" s="1066"/>
      <c r="AY154" s="1066"/>
      <c r="AZ154" s="1066"/>
      <c r="BA154" s="1066"/>
      <c r="BB154" s="1066"/>
      <c r="BC154" s="1066"/>
      <c r="BD154" s="1066"/>
      <c r="BE154" s="1066"/>
      <c r="BF154" s="1066"/>
      <c r="BG154" s="1066"/>
      <c r="BH154" s="1066"/>
      <c r="BI154" s="1066"/>
      <c r="BJ154" s="1066"/>
      <c r="BK154" s="1066"/>
      <c r="BL154" s="1066"/>
      <c r="BM154" s="1066"/>
      <c r="BN154" s="1066"/>
      <c r="BO154" s="1066"/>
      <c r="BP154" s="1066"/>
      <c r="BQ154" s="1081" t="e">
        <f t="shared" si="105"/>
        <v>#DIV/0!</v>
      </c>
      <c r="BR154" s="1066">
        <f t="shared" si="147"/>
        <v>0</v>
      </c>
      <c r="BS154" s="1066">
        <f t="shared" si="164"/>
        <v>0</v>
      </c>
      <c r="BT154" s="1066">
        <f t="shared" si="165"/>
        <v>0</v>
      </c>
      <c r="BU154" s="1066"/>
      <c r="BV154" s="1066">
        <f t="shared" si="162"/>
        <v>0</v>
      </c>
      <c r="BW154" s="1066">
        <f t="shared" si="162"/>
        <v>0</v>
      </c>
      <c r="BX154" s="1066">
        <f t="shared" si="166"/>
        <v>0</v>
      </c>
      <c r="BY154" s="1066">
        <f t="shared" si="166"/>
        <v>0</v>
      </c>
      <c r="BZ154" s="1066"/>
      <c r="CA154" s="1066">
        <f t="shared" si="167"/>
        <v>0</v>
      </c>
      <c r="CB154" s="1066">
        <f t="shared" si="167"/>
        <v>0</v>
      </c>
      <c r="CC154" s="1066">
        <f t="shared" si="167"/>
        <v>0</v>
      </c>
      <c r="CD154" s="1066">
        <f t="shared" si="167"/>
        <v>0</v>
      </c>
      <c r="CE154" s="1066">
        <f t="shared" si="167"/>
        <v>0</v>
      </c>
      <c r="CF154" s="1066">
        <f t="shared" si="167"/>
        <v>0</v>
      </c>
      <c r="CG154" s="1066">
        <f t="shared" si="167"/>
        <v>0</v>
      </c>
      <c r="CH154" s="1066">
        <f t="shared" si="167"/>
        <v>0</v>
      </c>
      <c r="CI154" s="1066">
        <f t="shared" si="167"/>
        <v>0</v>
      </c>
      <c r="CJ154" s="1066"/>
      <c r="CK154" s="1066">
        <f t="shared" si="168"/>
        <v>0</v>
      </c>
      <c r="CL154" s="1066">
        <f t="shared" si="168"/>
        <v>0</v>
      </c>
      <c r="CM154" s="1081" t="e">
        <f t="shared" si="113"/>
        <v>#DIV/0!</v>
      </c>
      <c r="CN154" s="1066">
        <f t="shared" si="154"/>
        <v>0</v>
      </c>
      <c r="CO154" s="1066"/>
      <c r="CP154" s="1066"/>
      <c r="CQ154" s="1066"/>
      <c r="CR154" s="1066"/>
      <c r="CS154" s="1066"/>
      <c r="CT154" s="1066"/>
      <c r="CU154" s="1066"/>
      <c r="CV154" s="1066"/>
      <c r="CW154" s="1066"/>
      <c r="CX154" s="1066"/>
      <c r="CY154" s="1066"/>
      <c r="CZ154" s="1066"/>
      <c r="DA154" s="1066"/>
      <c r="DB154" s="1066"/>
      <c r="DC154" s="1066"/>
      <c r="DD154" s="1066"/>
      <c r="DE154" s="1066"/>
      <c r="DF154" s="1066"/>
      <c r="DG154" s="1066"/>
      <c r="DH154" s="1066"/>
      <c r="DI154" s="1081" t="e">
        <f t="shared" si="115"/>
        <v>#DIV/0!</v>
      </c>
      <c r="DJ154" s="1066">
        <f t="shared" si="155"/>
        <v>0</v>
      </c>
      <c r="DK154" s="1066"/>
      <c r="DL154" s="1066"/>
      <c r="DM154" s="1066"/>
      <c r="DN154" s="1066">
        <f t="shared" si="163"/>
        <v>0</v>
      </c>
      <c r="DO154" s="1066">
        <f t="shared" si="163"/>
        <v>0</v>
      </c>
      <c r="DP154" s="1066">
        <f t="shared" si="163"/>
        <v>0</v>
      </c>
      <c r="DQ154" s="1066">
        <f t="shared" si="163"/>
        <v>0</v>
      </c>
      <c r="DR154" s="1066"/>
      <c r="DS154" s="1066">
        <f t="shared" si="169"/>
        <v>0</v>
      </c>
      <c r="DT154" s="1066">
        <f t="shared" si="169"/>
        <v>0</v>
      </c>
      <c r="DU154" s="1066"/>
      <c r="DV154" s="1066">
        <f t="shared" si="170"/>
        <v>0</v>
      </c>
      <c r="DW154" s="1066">
        <f t="shared" si="170"/>
        <v>0</v>
      </c>
      <c r="DX154" s="1066">
        <f t="shared" si="170"/>
        <v>0</v>
      </c>
      <c r="DY154" s="1066">
        <f t="shared" si="171"/>
        <v>0</v>
      </c>
      <c r="DZ154" s="1066">
        <f t="shared" si="171"/>
        <v>0</v>
      </c>
      <c r="EA154" s="1066">
        <f t="shared" si="171"/>
        <v>0</v>
      </c>
      <c r="EB154" s="1066">
        <f t="shared" si="171"/>
        <v>0</v>
      </c>
      <c r="EC154" s="1066">
        <f t="shared" si="171"/>
        <v>0</v>
      </c>
      <c r="ED154" s="1066">
        <f t="shared" si="172"/>
        <v>0</v>
      </c>
    </row>
    <row r="155" spans="1:134" ht="48.75" customHeight="1" x14ac:dyDescent="0.25">
      <c r="A155" s="1590"/>
      <c r="B155" s="989"/>
      <c r="C155" s="852" t="s">
        <v>4516</v>
      </c>
      <c r="D155" s="1018" t="s">
        <v>4726</v>
      </c>
      <c r="E155" s="994">
        <v>211</v>
      </c>
      <c r="F155" s="1117" t="s">
        <v>4482</v>
      </c>
      <c r="G155" s="1429"/>
      <c r="H155" s="1060">
        <f t="shared" si="143"/>
        <v>372698968</v>
      </c>
      <c r="I155" s="1060">
        <f t="shared" si="144"/>
        <v>2518133</v>
      </c>
      <c r="J155" s="1597">
        <v>60</v>
      </c>
      <c r="K155" s="1598">
        <v>78</v>
      </c>
      <c r="L155" s="1198">
        <v>62</v>
      </c>
      <c r="M155" s="1116">
        <v>0</v>
      </c>
      <c r="N155" s="1116">
        <v>0</v>
      </c>
      <c r="O155" s="1116">
        <v>0</v>
      </c>
      <c r="P155" s="1113">
        <v>0</v>
      </c>
      <c r="Q155" s="1113">
        <v>0</v>
      </c>
      <c r="R155" s="1113">
        <v>0</v>
      </c>
      <c r="S155" s="1117"/>
      <c r="T155" s="1117"/>
      <c r="U155" s="1117"/>
      <c r="V155" s="1117"/>
      <c r="W155" s="1117"/>
      <c r="X155" s="1117"/>
      <c r="Y155" s="1007">
        <f t="shared" si="145"/>
        <v>375217101</v>
      </c>
      <c r="Z155" s="944"/>
      <c r="AA155" s="944"/>
      <c r="AB155" s="944"/>
      <c r="AC155" s="1007">
        <f>1007000000-631782899</f>
        <v>375217101</v>
      </c>
      <c r="AD155" s="944"/>
      <c r="AE155" s="944"/>
      <c r="AF155" s="1007"/>
      <c r="AG155" s="1007"/>
      <c r="AH155" s="1007"/>
      <c r="AI155" s="1007"/>
      <c r="AJ155" s="1007"/>
      <c r="AK155" s="1007"/>
      <c r="AL155" s="1007"/>
      <c r="AM155" s="149"/>
      <c r="AN155" s="149"/>
      <c r="AO155" s="149"/>
      <c r="AP155" s="149"/>
      <c r="AQ155" s="149"/>
      <c r="AR155" s="149"/>
      <c r="AS155" s="1007"/>
      <c r="AU155" s="1010">
        <f t="shared" si="103"/>
        <v>0.99328886398490668</v>
      </c>
      <c r="AV155" s="1007">
        <f t="shared" si="146"/>
        <v>372698968</v>
      </c>
      <c r="AW155" s="1007"/>
      <c r="AX155" s="1007"/>
      <c r="AY155" s="1007"/>
      <c r="AZ155" s="1007">
        <f>+'[10]JULIO 2015'!$M$208</f>
        <v>372698968</v>
      </c>
      <c r="BA155" s="1007"/>
      <c r="BB155" s="1007"/>
      <c r="BC155" s="1007"/>
      <c r="BD155" s="1007"/>
      <c r="BE155" s="1007"/>
      <c r="BF155" s="1007"/>
      <c r="BG155" s="1007"/>
      <c r="BH155" s="1007"/>
      <c r="BI155" s="1007"/>
      <c r="BJ155" s="1007"/>
      <c r="BK155" s="1007"/>
      <c r="BL155" s="1007"/>
      <c r="BM155" s="1007"/>
      <c r="BN155" s="1007"/>
      <c r="BO155" s="1007"/>
      <c r="BP155" s="1007"/>
      <c r="BQ155" s="1010">
        <f t="shared" si="105"/>
        <v>6.7111360150933219E-3</v>
      </c>
      <c r="BR155" s="1007">
        <f t="shared" si="147"/>
        <v>2518133</v>
      </c>
      <c r="BS155" s="1007">
        <f t="shared" si="164"/>
        <v>0</v>
      </c>
      <c r="BT155" s="1007">
        <f t="shared" si="165"/>
        <v>0</v>
      </c>
      <c r="BU155" s="1007"/>
      <c r="BV155" s="1007">
        <f t="shared" si="162"/>
        <v>2518133</v>
      </c>
      <c r="BW155" s="1007">
        <f t="shared" si="162"/>
        <v>0</v>
      </c>
      <c r="BX155" s="1007">
        <f t="shared" si="166"/>
        <v>0</v>
      </c>
      <c r="BY155" s="1007">
        <f t="shared" si="166"/>
        <v>0</v>
      </c>
      <c r="BZ155" s="1007"/>
      <c r="CA155" s="1007">
        <f t="shared" si="167"/>
        <v>0</v>
      </c>
      <c r="CB155" s="1007">
        <f t="shared" si="167"/>
        <v>0</v>
      </c>
      <c r="CC155" s="1007">
        <f t="shared" si="167"/>
        <v>0</v>
      </c>
      <c r="CD155" s="1007">
        <f t="shared" si="167"/>
        <v>0</v>
      </c>
      <c r="CE155" s="1007">
        <f t="shared" si="167"/>
        <v>0</v>
      </c>
      <c r="CF155" s="1007">
        <f t="shared" si="167"/>
        <v>0</v>
      </c>
      <c r="CG155" s="1007">
        <f t="shared" si="167"/>
        <v>0</v>
      </c>
      <c r="CH155" s="1007">
        <f t="shared" si="167"/>
        <v>0</v>
      </c>
      <c r="CI155" s="1007">
        <f t="shared" si="167"/>
        <v>0</v>
      </c>
      <c r="CJ155" s="1007"/>
      <c r="CK155" s="1007">
        <f t="shared" si="168"/>
        <v>0</v>
      </c>
      <c r="CL155" s="1007">
        <f t="shared" si="168"/>
        <v>0</v>
      </c>
      <c r="CM155" s="1010">
        <f t="shared" si="113"/>
        <v>0.99328886398490668</v>
      </c>
      <c r="CN155" s="1007">
        <f t="shared" si="154"/>
        <v>372698968</v>
      </c>
      <c r="CO155" s="1007"/>
      <c r="CP155" s="1007"/>
      <c r="CQ155" s="1007"/>
      <c r="CR155" s="1007">
        <f>+'[7]AGOSTO 2015'!$H$214</f>
        <v>372698968</v>
      </c>
      <c r="CS155" s="1007"/>
      <c r="CT155" s="1007"/>
      <c r="CU155" s="1007"/>
      <c r="CV155" s="1007"/>
      <c r="CW155" s="1007"/>
      <c r="CX155" s="1007"/>
      <c r="CY155" s="1007"/>
      <c r="CZ155" s="1007"/>
      <c r="DA155" s="1007"/>
      <c r="DB155" s="1007"/>
      <c r="DC155" s="1007"/>
      <c r="DD155" s="1007"/>
      <c r="DE155" s="1007"/>
      <c r="DF155" s="1007"/>
      <c r="DG155" s="1007"/>
      <c r="DH155" s="1007"/>
      <c r="DI155" s="1010">
        <f t="shared" si="115"/>
        <v>6.7111360150933219E-3</v>
      </c>
      <c r="DJ155" s="1007">
        <f t="shared" si="155"/>
        <v>2518133</v>
      </c>
      <c r="DK155" s="1007"/>
      <c r="DL155" s="1007"/>
      <c r="DM155" s="1007"/>
      <c r="DN155" s="1007">
        <f t="shared" si="163"/>
        <v>2518133</v>
      </c>
      <c r="DO155" s="1007">
        <f t="shared" si="163"/>
        <v>0</v>
      </c>
      <c r="DP155" s="1007">
        <f t="shared" si="163"/>
        <v>0</v>
      </c>
      <c r="DQ155" s="1007">
        <f t="shared" si="163"/>
        <v>0</v>
      </c>
      <c r="DR155" s="1007"/>
      <c r="DS155" s="1007">
        <f t="shared" si="169"/>
        <v>0</v>
      </c>
      <c r="DT155" s="1007">
        <f t="shared" si="169"/>
        <v>0</v>
      </c>
      <c r="DU155" s="1007"/>
      <c r="DV155" s="1007">
        <f t="shared" si="170"/>
        <v>0</v>
      </c>
      <c r="DW155" s="1007">
        <f t="shared" si="170"/>
        <v>0</v>
      </c>
      <c r="DX155" s="1007">
        <f t="shared" si="170"/>
        <v>0</v>
      </c>
      <c r="DY155" s="1007">
        <f t="shared" si="171"/>
        <v>0</v>
      </c>
      <c r="DZ155" s="1007">
        <f t="shared" si="171"/>
        <v>0</v>
      </c>
      <c r="EA155" s="1007">
        <f t="shared" si="171"/>
        <v>0</v>
      </c>
      <c r="EB155" s="1007">
        <f t="shared" si="171"/>
        <v>0</v>
      </c>
      <c r="EC155" s="1007">
        <f t="shared" si="171"/>
        <v>0</v>
      </c>
      <c r="ED155" s="1007">
        <f t="shared" si="172"/>
        <v>0</v>
      </c>
    </row>
    <row r="156" spans="1:134" ht="49.5" customHeight="1" x14ac:dyDescent="0.25">
      <c r="A156" s="1590"/>
      <c r="B156" s="989"/>
      <c r="C156" s="852" t="s">
        <v>4517</v>
      </c>
      <c r="D156" s="1018" t="s">
        <v>4552</v>
      </c>
      <c r="E156" s="994">
        <v>211</v>
      </c>
      <c r="F156" s="1117" t="s">
        <v>4482</v>
      </c>
      <c r="G156" s="1429"/>
      <c r="H156" s="1060">
        <f t="shared" si="143"/>
        <v>244800000</v>
      </c>
      <c r="I156" s="1060">
        <f t="shared" si="144"/>
        <v>0</v>
      </c>
      <c r="J156" s="1597"/>
      <c r="K156" s="1598"/>
      <c r="L156" s="1198"/>
      <c r="M156" s="1116">
        <v>0</v>
      </c>
      <c r="N156" s="1116">
        <v>0</v>
      </c>
      <c r="O156" s="1116">
        <v>0</v>
      </c>
      <c r="P156" s="1113">
        <v>100</v>
      </c>
      <c r="Q156" s="1113">
        <v>40</v>
      </c>
      <c r="R156" s="1113">
        <v>40</v>
      </c>
      <c r="S156" s="1117"/>
      <c r="T156" s="1117"/>
      <c r="U156" s="1117"/>
      <c r="V156" s="1117"/>
      <c r="W156" s="1117"/>
      <c r="X156" s="1117"/>
      <c r="Y156" s="1007">
        <f t="shared" si="145"/>
        <v>244800000</v>
      </c>
      <c r="Z156" s="944"/>
      <c r="AA156" s="944"/>
      <c r="AB156" s="944"/>
      <c r="AC156" s="1007">
        <f>2000000000-1755200000</f>
        <v>244800000</v>
      </c>
      <c r="AD156" s="944"/>
      <c r="AE156" s="944"/>
      <c r="AF156" s="1007"/>
      <c r="AG156" s="1007"/>
      <c r="AH156" s="1007"/>
      <c r="AI156" s="1007"/>
      <c r="AJ156" s="1007"/>
      <c r="AK156" s="1007"/>
      <c r="AL156" s="1007"/>
      <c r="AM156" s="149"/>
      <c r="AN156" s="149"/>
      <c r="AO156" s="149"/>
      <c r="AP156" s="149"/>
      <c r="AQ156" s="149"/>
      <c r="AR156" s="149"/>
      <c r="AS156" s="1007"/>
      <c r="AU156" s="1010">
        <f t="shared" si="103"/>
        <v>1</v>
      </c>
      <c r="AV156" s="1007">
        <f t="shared" si="146"/>
        <v>244800000</v>
      </c>
      <c r="AW156" s="1007"/>
      <c r="AX156" s="1007"/>
      <c r="AY156" s="1007"/>
      <c r="AZ156" s="1007">
        <f>+'[9]ABRIL 2015'!$G$182</f>
        <v>244800000</v>
      </c>
      <c r="BA156" s="1007"/>
      <c r="BB156" s="1007"/>
      <c r="BC156" s="1007"/>
      <c r="BD156" s="1007"/>
      <c r="BE156" s="1007"/>
      <c r="BF156" s="1007"/>
      <c r="BG156" s="1007"/>
      <c r="BH156" s="1007"/>
      <c r="BI156" s="1007"/>
      <c r="BJ156" s="1007"/>
      <c r="BK156" s="1007"/>
      <c r="BL156" s="1007"/>
      <c r="BM156" s="1007"/>
      <c r="BN156" s="1007"/>
      <c r="BO156" s="1007"/>
      <c r="BP156" s="1007"/>
      <c r="BQ156" s="1010">
        <f t="shared" si="105"/>
        <v>0</v>
      </c>
      <c r="BR156" s="1007">
        <f t="shared" si="147"/>
        <v>0</v>
      </c>
      <c r="BS156" s="1007">
        <f t="shared" si="164"/>
        <v>0</v>
      </c>
      <c r="BT156" s="1007">
        <f t="shared" si="165"/>
        <v>0</v>
      </c>
      <c r="BU156" s="1007"/>
      <c r="BV156" s="1007">
        <f t="shared" si="162"/>
        <v>0</v>
      </c>
      <c r="BW156" s="1007">
        <f t="shared" si="162"/>
        <v>0</v>
      </c>
      <c r="BX156" s="1007">
        <f t="shared" si="166"/>
        <v>0</v>
      </c>
      <c r="BY156" s="1007">
        <f t="shared" si="166"/>
        <v>0</v>
      </c>
      <c r="BZ156" s="1007"/>
      <c r="CA156" s="1007">
        <f t="shared" si="167"/>
        <v>0</v>
      </c>
      <c r="CB156" s="1007">
        <f t="shared" si="167"/>
        <v>0</v>
      </c>
      <c r="CC156" s="1007">
        <f t="shared" si="167"/>
        <v>0</v>
      </c>
      <c r="CD156" s="1007">
        <f t="shared" si="167"/>
        <v>0</v>
      </c>
      <c r="CE156" s="1007">
        <f t="shared" si="167"/>
        <v>0</v>
      </c>
      <c r="CF156" s="1007">
        <f t="shared" si="167"/>
        <v>0</v>
      </c>
      <c r="CG156" s="1007">
        <f t="shared" si="167"/>
        <v>0</v>
      </c>
      <c r="CH156" s="1007">
        <f t="shared" si="167"/>
        <v>0</v>
      </c>
      <c r="CI156" s="1007">
        <f t="shared" si="167"/>
        <v>0</v>
      </c>
      <c r="CJ156" s="1007"/>
      <c r="CK156" s="1007">
        <f t="shared" si="168"/>
        <v>0</v>
      </c>
      <c r="CL156" s="1007">
        <f t="shared" si="168"/>
        <v>0</v>
      </c>
      <c r="CM156" s="1010">
        <f t="shared" si="113"/>
        <v>1</v>
      </c>
      <c r="CN156" s="1007">
        <f t="shared" si="154"/>
        <v>244800000</v>
      </c>
      <c r="CO156" s="1007"/>
      <c r="CP156" s="1007"/>
      <c r="CQ156" s="1007"/>
      <c r="CR156" s="1007">
        <v>244800000</v>
      </c>
      <c r="CS156" s="1007"/>
      <c r="CT156" s="1007"/>
      <c r="CU156" s="1007"/>
      <c r="CV156" s="1007"/>
      <c r="CW156" s="1007"/>
      <c r="CX156" s="1007"/>
      <c r="CY156" s="1007"/>
      <c r="CZ156" s="1007"/>
      <c r="DA156" s="1007"/>
      <c r="DB156" s="1007"/>
      <c r="DC156" s="1007"/>
      <c r="DD156" s="1007"/>
      <c r="DE156" s="1007"/>
      <c r="DF156" s="1007"/>
      <c r="DG156" s="1007"/>
      <c r="DH156" s="1007"/>
      <c r="DI156" s="1010">
        <f t="shared" si="115"/>
        <v>0</v>
      </c>
      <c r="DJ156" s="1007">
        <f t="shared" si="155"/>
        <v>0</v>
      </c>
      <c r="DK156" s="1007"/>
      <c r="DL156" s="1007"/>
      <c r="DM156" s="1007"/>
      <c r="DN156" s="1007">
        <f t="shared" si="163"/>
        <v>0</v>
      </c>
      <c r="DO156" s="1007">
        <f t="shared" si="163"/>
        <v>0</v>
      </c>
      <c r="DP156" s="1007">
        <f t="shared" si="163"/>
        <v>0</v>
      </c>
      <c r="DQ156" s="1007">
        <f t="shared" si="163"/>
        <v>0</v>
      </c>
      <c r="DR156" s="1007"/>
      <c r="DS156" s="1007">
        <f t="shared" si="169"/>
        <v>0</v>
      </c>
      <c r="DT156" s="1007">
        <f t="shared" si="169"/>
        <v>0</v>
      </c>
      <c r="DU156" s="1007"/>
      <c r="DV156" s="1007">
        <f t="shared" si="170"/>
        <v>0</v>
      </c>
      <c r="DW156" s="1007">
        <f t="shared" si="170"/>
        <v>0</v>
      </c>
      <c r="DX156" s="1007">
        <f t="shared" si="170"/>
        <v>0</v>
      </c>
      <c r="DY156" s="1007">
        <f t="shared" si="171"/>
        <v>0</v>
      </c>
      <c r="DZ156" s="1007">
        <f t="shared" si="171"/>
        <v>0</v>
      </c>
      <c r="EA156" s="1007">
        <f t="shared" si="171"/>
        <v>0</v>
      </c>
      <c r="EB156" s="1007">
        <f t="shared" si="171"/>
        <v>0</v>
      </c>
      <c r="EC156" s="1007">
        <f t="shared" si="171"/>
        <v>0</v>
      </c>
      <c r="ED156" s="1007">
        <f t="shared" si="172"/>
        <v>0</v>
      </c>
    </row>
    <row r="157" spans="1:134" ht="22.5" customHeight="1" x14ac:dyDescent="0.25">
      <c r="A157" s="1590"/>
      <c r="B157" s="989"/>
      <c r="C157" s="852" t="s">
        <v>4518</v>
      </c>
      <c r="D157" s="1018" t="s">
        <v>4553</v>
      </c>
      <c r="E157" s="994">
        <v>211</v>
      </c>
      <c r="F157" s="1117" t="s">
        <v>4482</v>
      </c>
      <c r="G157" s="1429"/>
      <c r="H157" s="1060">
        <f t="shared" si="143"/>
        <v>96000000</v>
      </c>
      <c r="I157" s="1060">
        <f t="shared" si="144"/>
        <v>250985280</v>
      </c>
      <c r="J157" s="1597"/>
      <c r="K157" s="1598"/>
      <c r="L157" s="1198"/>
      <c r="M157" s="1116">
        <v>0</v>
      </c>
      <c r="N157" s="1116">
        <v>0</v>
      </c>
      <c r="O157" s="1116">
        <v>0</v>
      </c>
      <c r="P157" s="1113">
        <v>13</v>
      </c>
      <c r="Q157" s="1113">
        <v>5</v>
      </c>
      <c r="R157" s="1113">
        <v>1</v>
      </c>
      <c r="S157" s="1117"/>
      <c r="T157" s="1117"/>
      <c r="U157" s="1117"/>
      <c r="V157" s="1117"/>
      <c r="W157" s="1117"/>
      <c r="X157" s="1117"/>
      <c r="Y157" s="1007">
        <f t="shared" si="145"/>
        <v>346985280</v>
      </c>
      <c r="Z157" s="944"/>
      <c r="AA157" s="944"/>
      <c r="AB157" s="944"/>
      <c r="AC157" s="1007">
        <f>178840000+200000000-72884540+72884540-31854720</f>
        <v>346985280</v>
      </c>
      <c r="AD157" s="1007">
        <f>72884540-72884540</f>
        <v>0</v>
      </c>
      <c r="AE157" s="944"/>
      <c r="AF157" s="1007"/>
      <c r="AG157" s="1007"/>
      <c r="AH157" s="1007"/>
      <c r="AI157" s="1007"/>
      <c r="AJ157" s="1007"/>
      <c r="AK157" s="1007"/>
      <c r="AL157" s="1007"/>
      <c r="AM157" s="149"/>
      <c r="AN157" s="149"/>
      <c r="AO157" s="149"/>
      <c r="AP157" s="149"/>
      <c r="AQ157" s="149"/>
      <c r="AR157" s="149"/>
      <c r="AS157" s="1007"/>
      <c r="AU157" s="1010">
        <f t="shared" si="103"/>
        <v>0.27666879701640368</v>
      </c>
      <c r="AV157" s="1007">
        <f t="shared" si="146"/>
        <v>96000000</v>
      </c>
      <c r="AW157" s="1007"/>
      <c r="AX157" s="1007"/>
      <c r="AY157" s="1007"/>
      <c r="AZ157" s="1007">
        <f>+'[7]AGOSTO 2015'!$M$233</f>
        <v>96000000</v>
      </c>
      <c r="BA157" s="1007"/>
      <c r="BB157" s="1007"/>
      <c r="BC157" s="1007"/>
      <c r="BD157" s="1007"/>
      <c r="BE157" s="1007"/>
      <c r="BF157" s="1007"/>
      <c r="BG157" s="1007"/>
      <c r="BH157" s="1007"/>
      <c r="BI157" s="1007"/>
      <c r="BJ157" s="1007"/>
      <c r="BK157" s="1007"/>
      <c r="BL157" s="1007"/>
      <c r="BM157" s="1007"/>
      <c r="BN157" s="1007"/>
      <c r="BO157" s="1007"/>
      <c r="BP157" s="1007"/>
      <c r="BQ157" s="1010">
        <f t="shared" si="105"/>
        <v>0.72333120298359632</v>
      </c>
      <c r="BR157" s="1007">
        <f t="shared" si="147"/>
        <v>250985280</v>
      </c>
      <c r="BS157" s="1007">
        <f t="shared" si="164"/>
        <v>0</v>
      </c>
      <c r="BT157" s="1007">
        <f t="shared" si="165"/>
        <v>0</v>
      </c>
      <c r="BU157" s="1007"/>
      <c r="BV157" s="1007">
        <f t="shared" si="162"/>
        <v>250985280</v>
      </c>
      <c r="BW157" s="1007">
        <f t="shared" si="162"/>
        <v>0</v>
      </c>
      <c r="BX157" s="1007">
        <f t="shared" si="166"/>
        <v>0</v>
      </c>
      <c r="BY157" s="1007">
        <f t="shared" si="166"/>
        <v>0</v>
      </c>
      <c r="BZ157" s="1007"/>
      <c r="CA157" s="1007">
        <f t="shared" si="167"/>
        <v>0</v>
      </c>
      <c r="CB157" s="1007">
        <f t="shared" si="167"/>
        <v>0</v>
      </c>
      <c r="CC157" s="1007">
        <f t="shared" si="167"/>
        <v>0</v>
      </c>
      <c r="CD157" s="1007">
        <f t="shared" si="167"/>
        <v>0</v>
      </c>
      <c r="CE157" s="1007">
        <f t="shared" si="167"/>
        <v>0</v>
      </c>
      <c r="CF157" s="1007">
        <f t="shared" si="167"/>
        <v>0</v>
      </c>
      <c r="CG157" s="1007">
        <f t="shared" si="167"/>
        <v>0</v>
      </c>
      <c r="CH157" s="1007">
        <f t="shared" si="167"/>
        <v>0</v>
      </c>
      <c r="CI157" s="1007">
        <f t="shared" si="167"/>
        <v>0</v>
      </c>
      <c r="CJ157" s="1007"/>
      <c r="CK157" s="1007">
        <f t="shared" si="168"/>
        <v>0</v>
      </c>
      <c r="CL157" s="1007">
        <f t="shared" si="168"/>
        <v>0</v>
      </c>
      <c r="CM157" s="1010">
        <f t="shared" si="113"/>
        <v>0.27666879701640368</v>
      </c>
      <c r="CN157" s="1007">
        <f t="shared" si="154"/>
        <v>96000000</v>
      </c>
      <c r="CO157" s="1007"/>
      <c r="CP157" s="1007"/>
      <c r="CQ157" s="1007"/>
      <c r="CR157" s="1007">
        <f>+'[7]AGOSTO 2015'!$H$231</f>
        <v>96000000</v>
      </c>
      <c r="CS157" s="1007"/>
      <c r="CT157" s="1007"/>
      <c r="CU157" s="1007"/>
      <c r="CV157" s="1007"/>
      <c r="CW157" s="1007"/>
      <c r="CX157" s="1007"/>
      <c r="CY157" s="1007"/>
      <c r="CZ157" s="1007"/>
      <c r="DA157" s="1007"/>
      <c r="DB157" s="1007"/>
      <c r="DC157" s="1007"/>
      <c r="DD157" s="1007"/>
      <c r="DE157" s="1007"/>
      <c r="DF157" s="1007"/>
      <c r="DG157" s="1007"/>
      <c r="DH157" s="1007"/>
      <c r="DI157" s="1010">
        <f t="shared" si="115"/>
        <v>0.72333120298359632</v>
      </c>
      <c r="DJ157" s="1007">
        <f t="shared" si="155"/>
        <v>250985280</v>
      </c>
      <c r="DK157" s="1007"/>
      <c r="DL157" s="1007"/>
      <c r="DM157" s="1007"/>
      <c r="DN157" s="1007">
        <f t="shared" si="163"/>
        <v>250985280</v>
      </c>
      <c r="DO157" s="1007">
        <f t="shared" si="163"/>
        <v>0</v>
      </c>
      <c r="DP157" s="1007">
        <f t="shared" si="163"/>
        <v>0</v>
      </c>
      <c r="DQ157" s="1007">
        <f t="shared" si="163"/>
        <v>0</v>
      </c>
      <c r="DR157" s="1007"/>
      <c r="DS157" s="1007">
        <f t="shared" si="169"/>
        <v>0</v>
      </c>
      <c r="DT157" s="1007">
        <f t="shared" si="169"/>
        <v>0</v>
      </c>
      <c r="DU157" s="1007"/>
      <c r="DV157" s="1007">
        <f t="shared" si="170"/>
        <v>0</v>
      </c>
      <c r="DW157" s="1007">
        <f t="shared" si="170"/>
        <v>0</v>
      </c>
      <c r="DX157" s="1007">
        <f t="shared" si="170"/>
        <v>0</v>
      </c>
      <c r="DY157" s="1007">
        <f t="shared" si="171"/>
        <v>0</v>
      </c>
      <c r="DZ157" s="1007">
        <f t="shared" si="171"/>
        <v>0</v>
      </c>
      <c r="EA157" s="1007">
        <f t="shared" si="171"/>
        <v>0</v>
      </c>
      <c r="EB157" s="1007">
        <f t="shared" si="171"/>
        <v>0</v>
      </c>
      <c r="EC157" s="1007">
        <f t="shared" si="171"/>
        <v>0</v>
      </c>
      <c r="ED157" s="1007">
        <f t="shared" si="172"/>
        <v>0</v>
      </c>
    </row>
    <row r="158" spans="1:134" ht="45.75" customHeight="1" x14ac:dyDescent="0.25">
      <c r="A158" s="1590"/>
      <c r="B158" s="989"/>
      <c r="C158" s="852" t="s">
        <v>4519</v>
      </c>
      <c r="D158" s="1052" t="s">
        <v>4554</v>
      </c>
      <c r="E158" s="994">
        <v>211</v>
      </c>
      <c r="F158" s="1053" t="s">
        <v>4482</v>
      </c>
      <c r="G158" s="1429"/>
      <c r="H158" s="1060">
        <f t="shared" si="143"/>
        <v>186695</v>
      </c>
      <c r="I158" s="1060">
        <f t="shared" si="144"/>
        <v>39813305</v>
      </c>
      <c r="J158" s="1597">
        <v>54</v>
      </c>
      <c r="K158" s="1598">
        <v>71</v>
      </c>
      <c r="L158" s="1198">
        <v>56</v>
      </c>
      <c r="M158" s="1116">
        <v>0</v>
      </c>
      <c r="N158" s="1116">
        <v>0</v>
      </c>
      <c r="O158" s="1116">
        <v>0</v>
      </c>
      <c r="P158" s="1113">
        <v>0</v>
      </c>
      <c r="Q158" s="1113">
        <v>0</v>
      </c>
      <c r="R158" s="1113">
        <v>0</v>
      </c>
      <c r="S158" s="1053"/>
      <c r="T158" s="1053"/>
      <c r="U158" s="1053"/>
      <c r="V158" s="1053"/>
      <c r="W158" s="1053"/>
      <c r="X158" s="1053"/>
      <c r="Y158" s="1007">
        <f t="shared" si="145"/>
        <v>40000000</v>
      </c>
      <c r="Z158" s="944"/>
      <c r="AA158" s="944"/>
      <c r="AB158" s="944"/>
      <c r="AC158" s="1007">
        <f>90000000+500000000-250000000-300000000-39070000</f>
        <v>930000</v>
      </c>
      <c r="AD158" s="944"/>
      <c r="AE158" s="944"/>
      <c r="AF158" s="1007"/>
      <c r="AG158" s="1007"/>
      <c r="AH158" s="1007"/>
      <c r="AI158" s="1007"/>
      <c r="AJ158" s="1007"/>
      <c r="AK158" s="1007"/>
      <c r="AL158" s="1007"/>
      <c r="AM158" s="149"/>
      <c r="AN158" s="149">
        <f>39070000</f>
        <v>39070000</v>
      </c>
      <c r="AO158" s="149"/>
      <c r="AP158" s="149"/>
      <c r="AQ158" s="149"/>
      <c r="AR158" s="149"/>
      <c r="AS158" s="1007"/>
      <c r="AU158" s="1010">
        <f t="shared" si="103"/>
        <v>2.325E-2</v>
      </c>
      <c r="AV158" s="1007">
        <f t="shared" si="146"/>
        <v>930000</v>
      </c>
      <c r="AW158" s="1007"/>
      <c r="AX158" s="1007"/>
      <c r="AY158" s="1007"/>
      <c r="AZ158" s="1007">
        <f>+'[13]JUNIO 2015'!$M$212</f>
        <v>930000</v>
      </c>
      <c r="BA158" s="1007"/>
      <c r="BB158" s="1007"/>
      <c r="BC158" s="1007"/>
      <c r="BD158" s="1007"/>
      <c r="BE158" s="1007"/>
      <c r="BF158" s="1007"/>
      <c r="BG158" s="1007"/>
      <c r="BH158" s="1007"/>
      <c r="BI158" s="1007"/>
      <c r="BJ158" s="1007"/>
      <c r="BK158" s="1007"/>
      <c r="BL158" s="1007"/>
      <c r="BM158" s="1007"/>
      <c r="BN158" s="1007"/>
      <c r="BO158" s="1007"/>
      <c r="BP158" s="1007"/>
      <c r="BQ158" s="1010">
        <f t="shared" si="105"/>
        <v>0.97675000000000001</v>
      </c>
      <c r="BR158" s="1007">
        <f t="shared" si="147"/>
        <v>39070000</v>
      </c>
      <c r="BS158" s="1007">
        <f t="shared" si="164"/>
        <v>0</v>
      </c>
      <c r="BT158" s="1007">
        <f t="shared" si="165"/>
        <v>0</v>
      </c>
      <c r="BU158" s="1007"/>
      <c r="BV158" s="1007">
        <f t="shared" si="162"/>
        <v>0</v>
      </c>
      <c r="BW158" s="1007">
        <f t="shared" si="162"/>
        <v>0</v>
      </c>
      <c r="BX158" s="1007">
        <f t="shared" si="166"/>
        <v>0</v>
      </c>
      <c r="BY158" s="1007">
        <f t="shared" si="166"/>
        <v>0</v>
      </c>
      <c r="BZ158" s="1007"/>
      <c r="CA158" s="1007">
        <f t="shared" si="167"/>
        <v>0</v>
      </c>
      <c r="CB158" s="1007">
        <f t="shared" si="167"/>
        <v>0</v>
      </c>
      <c r="CC158" s="1007">
        <f t="shared" si="167"/>
        <v>0</v>
      </c>
      <c r="CD158" s="1007">
        <f t="shared" si="167"/>
        <v>0</v>
      </c>
      <c r="CE158" s="1007">
        <f t="shared" si="167"/>
        <v>0</v>
      </c>
      <c r="CF158" s="1007">
        <f t="shared" si="167"/>
        <v>0</v>
      </c>
      <c r="CG158" s="1007">
        <f t="shared" si="167"/>
        <v>39070000</v>
      </c>
      <c r="CH158" s="1007">
        <f t="shared" si="167"/>
        <v>0</v>
      </c>
      <c r="CI158" s="1007">
        <f t="shared" si="167"/>
        <v>0</v>
      </c>
      <c r="CJ158" s="1007"/>
      <c r="CK158" s="1007">
        <f t="shared" si="168"/>
        <v>0</v>
      </c>
      <c r="CL158" s="1007">
        <f t="shared" si="168"/>
        <v>0</v>
      </c>
      <c r="CM158" s="1010">
        <f t="shared" si="113"/>
        <v>4.6673749999999996E-3</v>
      </c>
      <c r="CN158" s="1007">
        <f t="shared" si="154"/>
        <v>186695</v>
      </c>
      <c r="CO158" s="1007"/>
      <c r="CP158" s="1007"/>
      <c r="CQ158" s="1007"/>
      <c r="CR158" s="1007">
        <f>+'[13]JUNIO 2015'!$H$210</f>
        <v>186695</v>
      </c>
      <c r="CS158" s="1007"/>
      <c r="CT158" s="1007"/>
      <c r="CU158" s="1007"/>
      <c r="CV158" s="1007"/>
      <c r="CW158" s="1007"/>
      <c r="CX158" s="1007"/>
      <c r="CY158" s="1007"/>
      <c r="CZ158" s="1007"/>
      <c r="DA158" s="1007"/>
      <c r="DB158" s="1007"/>
      <c r="DC158" s="1007"/>
      <c r="DD158" s="1007"/>
      <c r="DE158" s="1007"/>
      <c r="DF158" s="1007"/>
      <c r="DG158" s="1007"/>
      <c r="DH158" s="1007"/>
      <c r="DI158" s="1010">
        <f t="shared" si="115"/>
        <v>0.99533262499999997</v>
      </c>
      <c r="DJ158" s="1007">
        <f t="shared" si="155"/>
        <v>39813305</v>
      </c>
      <c r="DK158" s="1007"/>
      <c r="DL158" s="1007"/>
      <c r="DM158" s="1007"/>
      <c r="DN158" s="1007">
        <f t="shared" si="163"/>
        <v>743305</v>
      </c>
      <c r="DO158" s="1007">
        <f t="shared" si="163"/>
        <v>0</v>
      </c>
      <c r="DP158" s="1007">
        <f t="shared" si="163"/>
        <v>0</v>
      </c>
      <c r="DQ158" s="1007">
        <f t="shared" si="163"/>
        <v>0</v>
      </c>
      <c r="DR158" s="1007"/>
      <c r="DS158" s="1007">
        <f t="shared" si="169"/>
        <v>0</v>
      </c>
      <c r="DT158" s="1007">
        <f t="shared" si="169"/>
        <v>0</v>
      </c>
      <c r="DU158" s="1007"/>
      <c r="DV158" s="1007">
        <f t="shared" si="170"/>
        <v>0</v>
      </c>
      <c r="DW158" s="1007">
        <f t="shared" si="170"/>
        <v>0</v>
      </c>
      <c r="DX158" s="1007">
        <f t="shared" si="170"/>
        <v>0</v>
      </c>
      <c r="DY158" s="1007">
        <f t="shared" si="171"/>
        <v>39070000</v>
      </c>
      <c r="DZ158" s="1007">
        <f t="shared" si="171"/>
        <v>0</v>
      </c>
      <c r="EA158" s="1007">
        <f t="shared" si="171"/>
        <v>0</v>
      </c>
      <c r="EB158" s="1007">
        <f t="shared" si="171"/>
        <v>0</v>
      </c>
      <c r="EC158" s="1007">
        <f t="shared" si="171"/>
        <v>0</v>
      </c>
      <c r="ED158" s="1007">
        <f t="shared" si="172"/>
        <v>0</v>
      </c>
    </row>
    <row r="159" spans="1:134" s="203" customFormat="1" ht="35.25" customHeight="1" x14ac:dyDescent="0.25">
      <c r="A159" s="1590"/>
      <c r="B159" s="989"/>
      <c r="C159" s="1080" t="s">
        <v>4520</v>
      </c>
      <c r="D159" s="1018" t="s">
        <v>4555</v>
      </c>
      <c r="E159" s="996">
        <v>211</v>
      </c>
      <c r="F159" s="1117" t="s">
        <v>4482</v>
      </c>
      <c r="G159" s="1429"/>
      <c r="H159" s="1060">
        <f t="shared" si="143"/>
        <v>0</v>
      </c>
      <c r="I159" s="1060">
        <f t="shared" si="144"/>
        <v>300000000</v>
      </c>
      <c r="J159" s="1597"/>
      <c r="K159" s="1598"/>
      <c r="L159" s="1198"/>
      <c r="M159" s="1076">
        <v>0</v>
      </c>
      <c r="N159" s="1076">
        <v>0</v>
      </c>
      <c r="O159" s="1076">
        <v>0</v>
      </c>
      <c r="P159" s="1074"/>
      <c r="Q159" s="1074"/>
      <c r="R159" s="1074"/>
      <c r="S159" s="1117"/>
      <c r="T159" s="1117"/>
      <c r="U159" s="1117"/>
      <c r="V159" s="1117"/>
      <c r="W159" s="1117"/>
      <c r="X159" s="1117"/>
      <c r="Y159" s="1066">
        <f t="shared" si="145"/>
        <v>300000000</v>
      </c>
      <c r="Z159" s="149"/>
      <c r="AA159" s="149"/>
      <c r="AB159" s="149"/>
      <c r="AC159" s="1066">
        <f>300000000-300000000+300000000</f>
        <v>300000000</v>
      </c>
      <c r="AD159" s="149"/>
      <c r="AE159" s="149"/>
      <c r="AF159" s="1066"/>
      <c r="AG159" s="1066"/>
      <c r="AH159" s="1066"/>
      <c r="AI159" s="1066"/>
      <c r="AJ159" s="1066"/>
      <c r="AK159" s="1066"/>
      <c r="AL159" s="1066"/>
      <c r="AM159" s="149"/>
      <c r="AN159" s="149"/>
      <c r="AO159" s="149"/>
      <c r="AP159" s="149"/>
      <c r="AQ159" s="149"/>
      <c r="AR159" s="149"/>
      <c r="AS159" s="1066"/>
      <c r="AU159" s="1081">
        <f t="shared" si="103"/>
        <v>1</v>
      </c>
      <c r="AV159" s="1066">
        <f t="shared" si="146"/>
        <v>300000000</v>
      </c>
      <c r="AW159" s="1066"/>
      <c r="AX159" s="1066"/>
      <c r="AY159" s="1066"/>
      <c r="AZ159" s="1066">
        <f>+'[10]JULIO 2015'!$M$236</f>
        <v>300000000</v>
      </c>
      <c r="BA159" s="1066"/>
      <c r="BB159" s="1066"/>
      <c r="BC159" s="1066"/>
      <c r="BD159" s="1066"/>
      <c r="BE159" s="1066"/>
      <c r="BF159" s="1066"/>
      <c r="BG159" s="1066"/>
      <c r="BH159" s="1066"/>
      <c r="BI159" s="1066"/>
      <c r="BJ159" s="1066"/>
      <c r="BK159" s="1066"/>
      <c r="BL159" s="1066"/>
      <c r="BM159" s="1066"/>
      <c r="BN159" s="1066"/>
      <c r="BO159" s="1066"/>
      <c r="BP159" s="1066"/>
      <c r="BQ159" s="1081">
        <f t="shared" si="105"/>
        <v>0</v>
      </c>
      <c r="BR159" s="1066">
        <f t="shared" si="147"/>
        <v>0</v>
      </c>
      <c r="BS159" s="1066">
        <f t="shared" si="164"/>
        <v>0</v>
      </c>
      <c r="BT159" s="1066">
        <f t="shared" si="165"/>
        <v>0</v>
      </c>
      <c r="BU159" s="1066"/>
      <c r="BV159" s="1066">
        <f t="shared" si="162"/>
        <v>0</v>
      </c>
      <c r="BW159" s="1066">
        <f t="shared" si="162"/>
        <v>0</v>
      </c>
      <c r="BX159" s="1066">
        <f t="shared" si="166"/>
        <v>0</v>
      </c>
      <c r="BY159" s="1066">
        <f t="shared" si="166"/>
        <v>0</v>
      </c>
      <c r="BZ159" s="1066"/>
      <c r="CA159" s="1066">
        <f t="shared" si="167"/>
        <v>0</v>
      </c>
      <c r="CB159" s="1066">
        <f t="shared" si="167"/>
        <v>0</v>
      </c>
      <c r="CC159" s="1066">
        <f t="shared" si="167"/>
        <v>0</v>
      </c>
      <c r="CD159" s="1066">
        <f t="shared" si="167"/>
        <v>0</v>
      </c>
      <c r="CE159" s="1066">
        <f t="shared" si="167"/>
        <v>0</v>
      </c>
      <c r="CF159" s="1066">
        <f t="shared" si="167"/>
        <v>0</v>
      </c>
      <c r="CG159" s="1066">
        <f t="shared" si="167"/>
        <v>0</v>
      </c>
      <c r="CH159" s="1066">
        <f t="shared" si="167"/>
        <v>0</v>
      </c>
      <c r="CI159" s="1066">
        <f t="shared" si="167"/>
        <v>0</v>
      </c>
      <c r="CJ159" s="1066"/>
      <c r="CK159" s="1066">
        <f t="shared" si="168"/>
        <v>0</v>
      </c>
      <c r="CL159" s="1066">
        <f t="shared" si="168"/>
        <v>0</v>
      </c>
      <c r="CM159" s="1081">
        <f t="shared" si="113"/>
        <v>0</v>
      </c>
      <c r="CN159" s="1066">
        <f t="shared" si="154"/>
        <v>0</v>
      </c>
      <c r="CO159" s="1066"/>
      <c r="CP159" s="1066"/>
      <c r="CQ159" s="1066"/>
      <c r="CR159" s="1066"/>
      <c r="CS159" s="1066"/>
      <c r="CT159" s="1066"/>
      <c r="CU159" s="1066"/>
      <c r="CV159" s="1066"/>
      <c r="CW159" s="1066"/>
      <c r="CX159" s="1066"/>
      <c r="CY159" s="1066"/>
      <c r="CZ159" s="1066"/>
      <c r="DA159" s="1066"/>
      <c r="DB159" s="1066"/>
      <c r="DC159" s="1066"/>
      <c r="DD159" s="1066"/>
      <c r="DE159" s="1066"/>
      <c r="DF159" s="1066"/>
      <c r="DG159" s="1066"/>
      <c r="DH159" s="1066"/>
      <c r="DI159" s="1081">
        <f t="shared" si="115"/>
        <v>1</v>
      </c>
      <c r="DJ159" s="1066">
        <f t="shared" si="155"/>
        <v>300000000</v>
      </c>
      <c r="DK159" s="1066"/>
      <c r="DL159" s="1066"/>
      <c r="DM159" s="1066"/>
      <c r="DN159" s="1066">
        <f t="shared" si="163"/>
        <v>300000000</v>
      </c>
      <c r="DO159" s="1066">
        <f t="shared" si="163"/>
        <v>0</v>
      </c>
      <c r="DP159" s="1066">
        <f t="shared" si="163"/>
        <v>0</v>
      </c>
      <c r="DQ159" s="1066">
        <f t="shared" si="163"/>
        <v>0</v>
      </c>
      <c r="DR159" s="1066"/>
      <c r="DS159" s="1066">
        <f t="shared" si="169"/>
        <v>0</v>
      </c>
      <c r="DT159" s="1066">
        <f t="shared" si="169"/>
        <v>0</v>
      </c>
      <c r="DU159" s="1066"/>
      <c r="DV159" s="1066">
        <f t="shared" si="170"/>
        <v>0</v>
      </c>
      <c r="DW159" s="1066">
        <f t="shared" si="170"/>
        <v>0</v>
      </c>
      <c r="DX159" s="1066">
        <f t="shared" si="170"/>
        <v>0</v>
      </c>
      <c r="DY159" s="1066">
        <f t="shared" si="171"/>
        <v>0</v>
      </c>
      <c r="DZ159" s="1066">
        <f t="shared" si="171"/>
        <v>0</v>
      </c>
      <c r="EA159" s="1066">
        <f t="shared" si="171"/>
        <v>0</v>
      </c>
      <c r="EB159" s="1066">
        <f t="shared" si="171"/>
        <v>0</v>
      </c>
      <c r="EC159" s="1066">
        <f t="shared" si="171"/>
        <v>0</v>
      </c>
      <c r="ED159" s="1066">
        <f t="shared" si="172"/>
        <v>0</v>
      </c>
    </row>
    <row r="160" spans="1:134" ht="36.75" customHeight="1" x14ac:dyDescent="0.25">
      <c r="A160" s="1590"/>
      <c r="B160" s="989"/>
      <c r="C160" s="852" t="s">
        <v>4521</v>
      </c>
      <c r="D160" s="1018" t="s">
        <v>4504</v>
      </c>
      <c r="E160" s="994">
        <v>211</v>
      </c>
      <c r="F160" s="1117" t="s">
        <v>4506</v>
      </c>
      <c r="G160" s="1429"/>
      <c r="H160" s="1060">
        <f t="shared" si="143"/>
        <v>0</v>
      </c>
      <c r="I160" s="1060">
        <f t="shared" si="144"/>
        <v>4200000</v>
      </c>
      <c r="J160" s="1597"/>
      <c r="K160" s="1598"/>
      <c r="L160" s="1198"/>
      <c r="M160" s="1116">
        <v>0</v>
      </c>
      <c r="N160" s="1116">
        <v>0</v>
      </c>
      <c r="O160" s="1116">
        <v>0</v>
      </c>
      <c r="P160" s="1113">
        <v>0</v>
      </c>
      <c r="Q160" s="1113">
        <v>0</v>
      </c>
      <c r="R160" s="1113">
        <v>0</v>
      </c>
      <c r="S160" s="1117"/>
      <c r="T160" s="1117"/>
      <c r="U160" s="1117"/>
      <c r="V160" s="1117"/>
      <c r="W160" s="1117"/>
      <c r="X160" s="1117"/>
      <c r="Y160" s="1007">
        <f t="shared" si="145"/>
        <v>4200000</v>
      </c>
      <c r="Z160" s="944"/>
      <c r="AA160" s="944"/>
      <c r="AB160" s="944"/>
      <c r="AC160" s="1007"/>
      <c r="AD160" s="944"/>
      <c r="AE160" s="944"/>
      <c r="AF160" s="1007"/>
      <c r="AG160" s="1007"/>
      <c r="AH160" s="1007"/>
      <c r="AI160" s="1007"/>
      <c r="AJ160" s="1007"/>
      <c r="AK160" s="1007"/>
      <c r="AL160" s="1007"/>
      <c r="AM160" s="149"/>
      <c r="AN160" s="149"/>
      <c r="AO160" s="149"/>
      <c r="AP160" s="149"/>
      <c r="AQ160" s="149"/>
      <c r="AR160" s="149"/>
      <c r="AS160" s="1007">
        <f>4200000</f>
        <v>4200000</v>
      </c>
      <c r="AU160" s="1010">
        <f t="shared" si="103"/>
        <v>1</v>
      </c>
      <c r="AV160" s="1007">
        <f t="shared" si="146"/>
        <v>4200000</v>
      </c>
      <c r="AW160" s="1007"/>
      <c r="AX160" s="1007"/>
      <c r="AY160" s="1007"/>
      <c r="AZ160" s="1007"/>
      <c r="BA160" s="1007"/>
      <c r="BB160" s="1007"/>
      <c r="BC160" s="1007"/>
      <c r="BD160" s="1007"/>
      <c r="BE160" s="1007"/>
      <c r="BF160" s="1007"/>
      <c r="BG160" s="1007"/>
      <c r="BH160" s="1007"/>
      <c r="BI160" s="1007"/>
      <c r="BJ160" s="1007"/>
      <c r="BK160" s="1007"/>
      <c r="BL160" s="1007"/>
      <c r="BM160" s="1007"/>
      <c r="BN160" s="1007"/>
      <c r="BO160" s="1007"/>
      <c r="BP160" s="1007">
        <f>+'[16]ENERO 2015'!$AA$166</f>
        <v>4200000</v>
      </c>
      <c r="BQ160" s="1010">
        <f t="shared" si="105"/>
        <v>0</v>
      </c>
      <c r="BR160" s="1007">
        <f t="shared" si="147"/>
        <v>0</v>
      </c>
      <c r="BS160" s="1007">
        <f t="shared" si="164"/>
        <v>0</v>
      </c>
      <c r="BT160" s="1007">
        <f t="shared" si="165"/>
        <v>0</v>
      </c>
      <c r="BU160" s="1007"/>
      <c r="BV160" s="1007">
        <f t="shared" si="162"/>
        <v>0</v>
      </c>
      <c r="BW160" s="1007">
        <f t="shared" si="162"/>
        <v>0</v>
      </c>
      <c r="BX160" s="1007">
        <f t="shared" si="166"/>
        <v>0</v>
      </c>
      <c r="BY160" s="1007">
        <f t="shared" si="166"/>
        <v>0</v>
      </c>
      <c r="BZ160" s="1007"/>
      <c r="CA160" s="1007">
        <f t="shared" si="167"/>
        <v>0</v>
      </c>
      <c r="CB160" s="1007">
        <f t="shared" si="167"/>
        <v>0</v>
      </c>
      <c r="CC160" s="1007">
        <f t="shared" si="167"/>
        <v>0</v>
      </c>
      <c r="CD160" s="1007">
        <f t="shared" si="167"/>
        <v>0</v>
      </c>
      <c r="CE160" s="1007">
        <f t="shared" si="167"/>
        <v>0</v>
      </c>
      <c r="CF160" s="1007">
        <f t="shared" si="167"/>
        <v>0</v>
      </c>
      <c r="CG160" s="1007">
        <f t="shared" si="167"/>
        <v>0</v>
      </c>
      <c r="CH160" s="1007">
        <f t="shared" si="167"/>
        <v>0</v>
      </c>
      <c r="CI160" s="1007">
        <f t="shared" si="167"/>
        <v>0</v>
      </c>
      <c r="CJ160" s="1007"/>
      <c r="CK160" s="1007">
        <f t="shared" si="168"/>
        <v>0</v>
      </c>
      <c r="CL160" s="1007">
        <f t="shared" si="168"/>
        <v>0</v>
      </c>
      <c r="CM160" s="1010">
        <f t="shared" si="113"/>
        <v>0</v>
      </c>
      <c r="CN160" s="1007">
        <f t="shared" si="154"/>
        <v>0</v>
      </c>
      <c r="CO160" s="1007"/>
      <c r="CP160" s="1007"/>
      <c r="CQ160" s="1007"/>
      <c r="CR160" s="1007"/>
      <c r="CS160" s="1007"/>
      <c r="CT160" s="1007"/>
      <c r="CU160" s="1007"/>
      <c r="CV160" s="1007"/>
      <c r="CW160" s="1007"/>
      <c r="CX160" s="1007"/>
      <c r="CY160" s="1007"/>
      <c r="CZ160" s="1007"/>
      <c r="DA160" s="1007"/>
      <c r="DB160" s="1007"/>
      <c r="DC160" s="1007"/>
      <c r="DD160" s="1007"/>
      <c r="DE160" s="1007"/>
      <c r="DF160" s="1007"/>
      <c r="DG160" s="1007"/>
      <c r="DH160" s="1007"/>
      <c r="DI160" s="1010">
        <f t="shared" si="115"/>
        <v>1</v>
      </c>
      <c r="DJ160" s="1007">
        <f t="shared" si="155"/>
        <v>4200000</v>
      </c>
      <c r="DK160" s="1007"/>
      <c r="DL160" s="1007"/>
      <c r="DM160" s="1007"/>
      <c r="DN160" s="1007">
        <f t="shared" si="163"/>
        <v>0</v>
      </c>
      <c r="DO160" s="1007">
        <f t="shared" si="163"/>
        <v>0</v>
      </c>
      <c r="DP160" s="1007">
        <f t="shared" si="163"/>
        <v>0</v>
      </c>
      <c r="DQ160" s="1007">
        <f t="shared" si="163"/>
        <v>0</v>
      </c>
      <c r="DR160" s="1007"/>
      <c r="DS160" s="1007">
        <f t="shared" si="169"/>
        <v>0</v>
      </c>
      <c r="DT160" s="1007">
        <f t="shared" si="169"/>
        <v>0</v>
      </c>
      <c r="DU160" s="1007"/>
      <c r="DV160" s="1007">
        <f t="shared" si="170"/>
        <v>0</v>
      </c>
      <c r="DW160" s="1007">
        <f t="shared" si="170"/>
        <v>0</v>
      </c>
      <c r="DX160" s="1007">
        <f t="shared" si="170"/>
        <v>0</v>
      </c>
      <c r="DY160" s="1007">
        <f t="shared" si="171"/>
        <v>0</v>
      </c>
      <c r="DZ160" s="1007">
        <f t="shared" si="171"/>
        <v>0</v>
      </c>
      <c r="EA160" s="1007">
        <f t="shared" si="171"/>
        <v>0</v>
      </c>
      <c r="EB160" s="1007">
        <f t="shared" si="171"/>
        <v>0</v>
      </c>
      <c r="EC160" s="1007">
        <f t="shared" si="171"/>
        <v>0</v>
      </c>
      <c r="ED160" s="1007">
        <f t="shared" si="172"/>
        <v>4200000</v>
      </c>
    </row>
    <row r="161" spans="1:134" ht="21" customHeight="1" x14ac:dyDescent="0.25">
      <c r="A161" s="1590"/>
      <c r="B161" s="989"/>
      <c r="C161" s="852" t="s">
        <v>4522</v>
      </c>
      <c r="D161" s="1018" t="s">
        <v>4505</v>
      </c>
      <c r="E161" s="994">
        <v>211</v>
      </c>
      <c r="F161" s="1117" t="s">
        <v>4482</v>
      </c>
      <c r="G161" s="1429"/>
      <c r="H161" s="1060">
        <f t="shared" si="143"/>
        <v>0</v>
      </c>
      <c r="I161" s="1060">
        <f t="shared" si="144"/>
        <v>30741545</v>
      </c>
      <c r="J161" s="1428">
        <v>299</v>
      </c>
      <c r="K161" s="1257">
        <v>399</v>
      </c>
      <c r="L161" s="1257">
        <v>309</v>
      </c>
      <c r="M161" s="1116">
        <v>0</v>
      </c>
      <c r="N161" s="1116">
        <v>0</v>
      </c>
      <c r="O161" s="1116">
        <v>0</v>
      </c>
      <c r="P161" s="1113">
        <v>0</v>
      </c>
      <c r="Q161" s="1113">
        <v>0</v>
      </c>
      <c r="R161" s="1113">
        <v>0</v>
      </c>
      <c r="S161" s="1117"/>
      <c r="T161" s="1117"/>
      <c r="U161" s="1117"/>
      <c r="V161" s="1117"/>
      <c r="W161" s="1117"/>
      <c r="X161" s="1117"/>
      <c r="Y161" s="1007">
        <f t="shared" si="145"/>
        <v>30741545</v>
      </c>
      <c r="Z161" s="944"/>
      <c r="AA161" s="944"/>
      <c r="AB161" s="944"/>
      <c r="AC161" s="1007">
        <f>124058456-124058456</f>
        <v>0</v>
      </c>
      <c r="AD161" s="944"/>
      <c r="AE161" s="944"/>
      <c r="AF161" s="1007"/>
      <c r="AG161" s="1007"/>
      <c r="AH161" s="1007"/>
      <c r="AI161" s="1007"/>
      <c r="AJ161" s="1007"/>
      <c r="AK161" s="1007">
        <v>30741545</v>
      </c>
      <c r="AL161" s="1007"/>
      <c r="AM161" s="149"/>
      <c r="AN161" s="149"/>
      <c r="AO161" s="149"/>
      <c r="AP161" s="149"/>
      <c r="AQ161" s="149"/>
      <c r="AR161" s="149"/>
      <c r="AS161" s="1007"/>
      <c r="AU161" s="1010">
        <f t="shared" si="103"/>
        <v>0.33179854818617605</v>
      </c>
      <c r="AV161" s="1007">
        <f t="shared" si="146"/>
        <v>10200000</v>
      </c>
      <c r="AW161" s="1007"/>
      <c r="AX161" s="1007"/>
      <c r="AY161" s="1007"/>
      <c r="AZ161" s="1007"/>
      <c r="BA161" s="1007"/>
      <c r="BB161" s="1007"/>
      <c r="BC161" s="1007"/>
      <c r="BD161" s="1007"/>
      <c r="BE161" s="1007"/>
      <c r="BF161" s="1007"/>
      <c r="BG161" s="1007"/>
      <c r="BH161" s="1007">
        <f>+'[8]SEPTIEMBRE 2015'!$U$271</f>
        <v>10200000</v>
      </c>
      <c r="BI161" s="1007"/>
      <c r="BJ161" s="1007"/>
      <c r="BK161" s="1007"/>
      <c r="BL161" s="1007"/>
      <c r="BM161" s="1007"/>
      <c r="BN161" s="1007"/>
      <c r="BO161" s="1007"/>
      <c r="BP161" s="1007"/>
      <c r="BQ161" s="1010">
        <f t="shared" si="105"/>
        <v>0.66820145181382395</v>
      </c>
      <c r="BR161" s="1007">
        <f t="shared" si="147"/>
        <v>20541545</v>
      </c>
      <c r="BS161" s="1007">
        <f t="shared" si="164"/>
        <v>0</v>
      </c>
      <c r="BT161" s="1007">
        <f t="shared" si="165"/>
        <v>0</v>
      </c>
      <c r="BU161" s="1007"/>
      <c r="BV161" s="1007">
        <f t="shared" si="162"/>
        <v>0</v>
      </c>
      <c r="BW161" s="1007">
        <f t="shared" si="162"/>
        <v>0</v>
      </c>
      <c r="BX161" s="1007">
        <f t="shared" si="166"/>
        <v>0</v>
      </c>
      <c r="BY161" s="1007">
        <f t="shared" si="166"/>
        <v>0</v>
      </c>
      <c r="BZ161" s="1007"/>
      <c r="CA161" s="1007">
        <f t="shared" si="167"/>
        <v>0</v>
      </c>
      <c r="CB161" s="1007">
        <f t="shared" si="167"/>
        <v>0</v>
      </c>
      <c r="CC161" s="1007">
        <f t="shared" si="167"/>
        <v>0</v>
      </c>
      <c r="CD161" s="1007">
        <f t="shared" si="167"/>
        <v>20541545</v>
      </c>
      <c r="CE161" s="1007">
        <f t="shared" si="167"/>
        <v>0</v>
      </c>
      <c r="CF161" s="1007">
        <f t="shared" si="167"/>
        <v>0</v>
      </c>
      <c r="CG161" s="1007">
        <f t="shared" si="167"/>
        <v>0</v>
      </c>
      <c r="CH161" s="1007">
        <f t="shared" si="167"/>
        <v>0</v>
      </c>
      <c r="CI161" s="1007">
        <f t="shared" si="167"/>
        <v>0</v>
      </c>
      <c r="CJ161" s="1007"/>
      <c r="CK161" s="1007">
        <f t="shared" si="168"/>
        <v>0</v>
      </c>
      <c r="CL161" s="1007">
        <f t="shared" si="168"/>
        <v>0</v>
      </c>
      <c r="CM161" s="1010">
        <f t="shared" si="113"/>
        <v>0</v>
      </c>
      <c r="CN161" s="1007">
        <f t="shared" si="154"/>
        <v>0</v>
      </c>
      <c r="CO161" s="1007"/>
      <c r="CP161" s="1007"/>
      <c r="CQ161" s="1007"/>
      <c r="CR161" s="1007"/>
      <c r="CS161" s="1007"/>
      <c r="CT161" s="1007"/>
      <c r="CU161" s="1007"/>
      <c r="CV161" s="1007"/>
      <c r="CW161" s="1007"/>
      <c r="CX161" s="1007"/>
      <c r="CY161" s="1007"/>
      <c r="CZ161" s="1007"/>
      <c r="DA161" s="1007"/>
      <c r="DB161" s="1007"/>
      <c r="DC161" s="1007"/>
      <c r="DD161" s="1007"/>
      <c r="DE161" s="1007"/>
      <c r="DF161" s="1007"/>
      <c r="DG161" s="1007"/>
      <c r="DH161" s="1007"/>
      <c r="DI161" s="1010">
        <f t="shared" si="115"/>
        <v>1</v>
      </c>
      <c r="DJ161" s="1007">
        <f t="shared" si="155"/>
        <v>30741545</v>
      </c>
      <c r="DK161" s="1007"/>
      <c r="DL161" s="1007"/>
      <c r="DM161" s="1007"/>
      <c r="DN161" s="1007">
        <f t="shared" si="163"/>
        <v>0</v>
      </c>
      <c r="DO161" s="1007">
        <f t="shared" si="163"/>
        <v>0</v>
      </c>
      <c r="DP161" s="1007">
        <f t="shared" si="163"/>
        <v>0</v>
      </c>
      <c r="DQ161" s="1007">
        <f t="shared" si="163"/>
        <v>0</v>
      </c>
      <c r="DR161" s="1007"/>
      <c r="DS161" s="1007">
        <f t="shared" si="169"/>
        <v>0</v>
      </c>
      <c r="DT161" s="1007">
        <f t="shared" si="169"/>
        <v>0</v>
      </c>
      <c r="DU161" s="1007"/>
      <c r="DV161" s="1007">
        <f t="shared" si="170"/>
        <v>30741545</v>
      </c>
      <c r="DW161" s="1007">
        <f t="shared" si="170"/>
        <v>0</v>
      </c>
      <c r="DX161" s="1007">
        <f t="shared" si="170"/>
        <v>0</v>
      </c>
      <c r="DY161" s="1007">
        <f t="shared" si="171"/>
        <v>0</v>
      </c>
      <c r="DZ161" s="1007">
        <f t="shared" si="171"/>
        <v>0</v>
      </c>
      <c r="EA161" s="1007">
        <f t="shared" si="171"/>
        <v>0</v>
      </c>
      <c r="EB161" s="1007">
        <f t="shared" si="171"/>
        <v>0</v>
      </c>
      <c r="EC161" s="1007">
        <f t="shared" si="171"/>
        <v>0</v>
      </c>
      <c r="ED161" s="1007">
        <f t="shared" si="172"/>
        <v>0</v>
      </c>
    </row>
    <row r="162" spans="1:134" ht="40.5" customHeight="1" x14ac:dyDescent="0.25">
      <c r="A162" s="1590"/>
      <c r="B162" s="989"/>
      <c r="C162" s="852" t="s">
        <v>4523</v>
      </c>
      <c r="D162" s="1018" t="s">
        <v>4507</v>
      </c>
      <c r="E162" s="994">
        <v>211</v>
      </c>
      <c r="F162" s="1117" t="s">
        <v>4482</v>
      </c>
      <c r="G162" s="1429"/>
      <c r="H162" s="1060">
        <f t="shared" si="143"/>
        <v>239816980</v>
      </c>
      <c r="I162" s="1060">
        <f t="shared" si="144"/>
        <v>0</v>
      </c>
      <c r="J162" s="1429"/>
      <c r="K162" s="1562"/>
      <c r="L162" s="1562"/>
      <c r="M162" s="1116">
        <v>0</v>
      </c>
      <c r="N162" s="1116">
        <v>0</v>
      </c>
      <c r="O162" s="1116">
        <v>0</v>
      </c>
      <c r="P162" s="1113">
        <v>100</v>
      </c>
      <c r="Q162" s="1113">
        <v>100</v>
      </c>
      <c r="R162" s="1113">
        <v>100</v>
      </c>
      <c r="S162" s="1117"/>
      <c r="T162" s="1117"/>
      <c r="U162" s="1117"/>
      <c r="V162" s="1117"/>
      <c r="W162" s="1117"/>
      <c r="X162" s="1117"/>
      <c r="Y162" s="1007">
        <f t="shared" ref="Y162:Y193" si="173">SUM(Z162:AS162)</f>
        <v>239816980</v>
      </c>
      <c r="Z162" s="944"/>
      <c r="AA162" s="944"/>
      <c r="AB162" s="944"/>
      <c r="AC162" s="1007">
        <f>101542660+138457340-183020</f>
        <v>239816980</v>
      </c>
      <c r="AD162" s="944"/>
      <c r="AE162" s="944"/>
      <c r="AF162" s="1007">
        <f>169457340-169457340</f>
        <v>0</v>
      </c>
      <c r="AG162" s="1007"/>
      <c r="AH162" s="1007"/>
      <c r="AI162" s="1007"/>
      <c r="AJ162" s="1007"/>
      <c r="AK162" s="1007"/>
      <c r="AL162" s="1007"/>
      <c r="AM162" s="149"/>
      <c r="AN162" s="149"/>
      <c r="AO162" s="149"/>
      <c r="AP162" s="149"/>
      <c r="AQ162" s="149"/>
      <c r="AR162" s="149"/>
      <c r="AS162" s="1007"/>
      <c r="AU162" s="1010">
        <f t="shared" si="103"/>
        <v>1</v>
      </c>
      <c r="AV162" s="1007">
        <f t="shared" ref="AV162:AV193" si="174">SUM(AW162:BP162)</f>
        <v>239816980</v>
      </c>
      <c r="AW162" s="1007"/>
      <c r="AX162" s="1007"/>
      <c r="AY162" s="1007"/>
      <c r="AZ162" s="1007">
        <f>+'[13]JUNIO 2015'!$M$235</f>
        <v>239816980</v>
      </c>
      <c r="BA162" s="1007"/>
      <c r="BB162" s="1007"/>
      <c r="BC162" s="1007"/>
      <c r="BD162" s="1007"/>
      <c r="BE162" s="1007"/>
      <c r="BF162" s="1007"/>
      <c r="BG162" s="1007"/>
      <c r="BH162" s="1007"/>
      <c r="BI162" s="1007"/>
      <c r="BJ162" s="1007"/>
      <c r="BK162" s="1007"/>
      <c r="BL162" s="1007"/>
      <c r="BM162" s="1007"/>
      <c r="BN162" s="1007"/>
      <c r="BO162" s="1007"/>
      <c r="BP162" s="1007"/>
      <c r="BQ162" s="1010">
        <f t="shared" si="105"/>
        <v>0</v>
      </c>
      <c r="BR162" s="1007">
        <f t="shared" ref="BR162:BR194" si="175">SUM(BS162:CL162)</f>
        <v>0</v>
      </c>
      <c r="BS162" s="1007">
        <f t="shared" si="164"/>
        <v>0</v>
      </c>
      <c r="BT162" s="1007">
        <f t="shared" si="165"/>
        <v>0</v>
      </c>
      <c r="BU162" s="1007"/>
      <c r="BV162" s="1007">
        <f t="shared" si="162"/>
        <v>0</v>
      </c>
      <c r="BW162" s="1007">
        <f t="shared" si="162"/>
        <v>0</v>
      </c>
      <c r="BX162" s="1007">
        <f t="shared" si="166"/>
        <v>0</v>
      </c>
      <c r="BY162" s="1007">
        <f t="shared" si="166"/>
        <v>0</v>
      </c>
      <c r="BZ162" s="1007"/>
      <c r="CA162" s="1007">
        <f t="shared" si="167"/>
        <v>0</v>
      </c>
      <c r="CB162" s="1007">
        <f t="shared" si="167"/>
        <v>0</v>
      </c>
      <c r="CC162" s="1007">
        <f t="shared" si="167"/>
        <v>0</v>
      </c>
      <c r="CD162" s="1007">
        <f t="shared" si="167"/>
        <v>0</v>
      </c>
      <c r="CE162" s="1007">
        <f t="shared" si="167"/>
        <v>0</v>
      </c>
      <c r="CF162" s="1007">
        <f t="shared" si="167"/>
        <v>0</v>
      </c>
      <c r="CG162" s="1007">
        <f t="shared" si="167"/>
        <v>0</v>
      </c>
      <c r="CH162" s="1007">
        <f t="shared" si="167"/>
        <v>0</v>
      </c>
      <c r="CI162" s="1007">
        <f t="shared" si="167"/>
        <v>0</v>
      </c>
      <c r="CJ162" s="1007"/>
      <c r="CK162" s="1007">
        <f t="shared" si="168"/>
        <v>0</v>
      </c>
      <c r="CL162" s="1007">
        <f t="shared" si="168"/>
        <v>0</v>
      </c>
      <c r="CM162" s="1010">
        <f t="shared" si="113"/>
        <v>1</v>
      </c>
      <c r="CN162" s="1007">
        <f t="shared" ref="CN162:CN194" si="176">SUM(CO162:DH162)</f>
        <v>239816980</v>
      </c>
      <c r="CO162" s="1007"/>
      <c r="CP162" s="1007"/>
      <c r="CQ162" s="1007"/>
      <c r="CR162" s="1007">
        <f>+'[9]ABRIL 2015'!$H$216</f>
        <v>239816980</v>
      </c>
      <c r="CS162" s="1007"/>
      <c r="CT162" s="1007"/>
      <c r="CU162" s="1007"/>
      <c r="CV162" s="1007"/>
      <c r="CW162" s="1007"/>
      <c r="CX162" s="1007"/>
      <c r="CY162" s="1007"/>
      <c r="CZ162" s="1007"/>
      <c r="DA162" s="1007"/>
      <c r="DB162" s="1007"/>
      <c r="DC162" s="1007"/>
      <c r="DD162" s="1007"/>
      <c r="DE162" s="1007"/>
      <c r="DF162" s="1007"/>
      <c r="DG162" s="1007"/>
      <c r="DH162" s="1007"/>
      <c r="DI162" s="1010">
        <f t="shared" si="115"/>
        <v>0</v>
      </c>
      <c r="DJ162" s="1007">
        <f t="shared" ref="DJ162:DJ194" si="177">SUM(DK162:ED162)</f>
        <v>0</v>
      </c>
      <c r="DK162" s="1007"/>
      <c r="DL162" s="1007"/>
      <c r="DM162" s="1007"/>
      <c r="DN162" s="1007">
        <f t="shared" si="163"/>
        <v>0</v>
      </c>
      <c r="DO162" s="1007">
        <f t="shared" si="163"/>
        <v>0</v>
      </c>
      <c r="DP162" s="1007">
        <f t="shared" si="163"/>
        <v>0</v>
      </c>
      <c r="DQ162" s="1007">
        <f t="shared" si="163"/>
        <v>0</v>
      </c>
      <c r="DR162" s="1007"/>
      <c r="DS162" s="1007">
        <f t="shared" si="169"/>
        <v>0</v>
      </c>
      <c r="DT162" s="1007">
        <f t="shared" si="169"/>
        <v>0</v>
      </c>
      <c r="DU162" s="1007"/>
      <c r="DV162" s="1007">
        <f t="shared" si="170"/>
        <v>0</v>
      </c>
      <c r="DW162" s="1007">
        <f t="shared" si="170"/>
        <v>0</v>
      </c>
      <c r="DX162" s="1007">
        <f t="shared" si="170"/>
        <v>0</v>
      </c>
      <c r="DY162" s="1007">
        <f t="shared" si="171"/>
        <v>0</v>
      </c>
      <c r="DZ162" s="1007">
        <f t="shared" si="171"/>
        <v>0</v>
      </c>
      <c r="EA162" s="1007">
        <f t="shared" si="171"/>
        <v>0</v>
      </c>
      <c r="EB162" s="1007">
        <f t="shared" si="171"/>
        <v>0</v>
      </c>
      <c r="EC162" s="1007">
        <f t="shared" si="171"/>
        <v>0</v>
      </c>
      <c r="ED162" s="1007">
        <f t="shared" si="172"/>
        <v>0</v>
      </c>
    </row>
    <row r="163" spans="1:134" s="203" customFormat="1" ht="33.75" customHeight="1" x14ac:dyDescent="0.25">
      <c r="A163" s="1590"/>
      <c r="B163" s="989"/>
      <c r="C163" s="1080" t="s">
        <v>4524</v>
      </c>
      <c r="D163" s="1018" t="s">
        <v>4508</v>
      </c>
      <c r="E163" s="996">
        <v>211</v>
      </c>
      <c r="F163" s="1117" t="s">
        <v>4482</v>
      </c>
      <c r="G163" s="1429"/>
      <c r="H163" s="1060">
        <f t="shared" si="143"/>
        <v>0</v>
      </c>
      <c r="I163" s="1060">
        <f t="shared" si="144"/>
        <v>0</v>
      </c>
      <c r="J163" s="1430"/>
      <c r="K163" s="1258"/>
      <c r="L163" s="1258"/>
      <c r="M163" s="1076">
        <v>0</v>
      </c>
      <c r="N163" s="1076">
        <v>0</v>
      </c>
      <c r="O163" s="1076">
        <v>0</v>
      </c>
      <c r="P163" s="1074"/>
      <c r="Q163" s="1074"/>
      <c r="R163" s="1074"/>
      <c r="S163" s="1117"/>
      <c r="T163" s="1117"/>
      <c r="U163" s="1117"/>
      <c r="V163" s="1117"/>
      <c r="W163" s="1117"/>
      <c r="X163" s="1117"/>
      <c r="Y163" s="1066">
        <f t="shared" si="173"/>
        <v>0</v>
      </c>
      <c r="Z163" s="149"/>
      <c r="AA163" s="1066">
        <f>353000000-353000000</f>
        <v>0</v>
      </c>
      <c r="AB163" s="1066"/>
      <c r="AC163" s="1066">
        <f>99815599-99815599</f>
        <v>0</v>
      </c>
      <c r="AD163" s="1066"/>
      <c r="AE163" s="1066"/>
      <c r="AF163" s="1066">
        <f>500000000-37000000-110000000-353000000</f>
        <v>0</v>
      </c>
      <c r="AG163" s="149"/>
      <c r="AH163" s="149"/>
      <c r="AI163" s="149"/>
      <c r="AJ163" s="149"/>
      <c r="AK163" s="149"/>
      <c r="AL163" s="149"/>
      <c r="AM163" s="149"/>
      <c r="AN163" s="149"/>
      <c r="AO163" s="149"/>
      <c r="AP163" s="149"/>
      <c r="AQ163" s="149"/>
      <c r="AR163" s="149"/>
      <c r="AS163" s="1066"/>
      <c r="AU163" s="1081" t="e">
        <f t="shared" si="103"/>
        <v>#DIV/0!</v>
      </c>
      <c r="AV163" s="1066">
        <f t="shared" si="174"/>
        <v>0</v>
      </c>
      <c r="AW163" s="1066"/>
      <c r="AX163" s="1066"/>
      <c r="AY163" s="1066"/>
      <c r="AZ163" s="1066"/>
      <c r="BA163" s="1066"/>
      <c r="BB163" s="1066"/>
      <c r="BC163" s="1066"/>
      <c r="BD163" s="1066"/>
      <c r="BE163" s="1066"/>
      <c r="BF163" s="1066"/>
      <c r="BG163" s="1066"/>
      <c r="BH163" s="1066"/>
      <c r="BI163" s="1066"/>
      <c r="BJ163" s="1066"/>
      <c r="BK163" s="1066"/>
      <c r="BL163" s="1066"/>
      <c r="BM163" s="1066"/>
      <c r="BN163" s="1066"/>
      <c r="BO163" s="1066"/>
      <c r="BP163" s="1066"/>
      <c r="BQ163" s="1081" t="e">
        <f t="shared" si="105"/>
        <v>#DIV/0!</v>
      </c>
      <c r="BR163" s="1066">
        <f t="shared" si="175"/>
        <v>0</v>
      </c>
      <c r="BS163" s="1066">
        <f t="shared" si="164"/>
        <v>0</v>
      </c>
      <c r="BT163" s="1066">
        <f t="shared" si="165"/>
        <v>0</v>
      </c>
      <c r="BU163" s="1066"/>
      <c r="BV163" s="1066">
        <f t="shared" si="162"/>
        <v>0</v>
      </c>
      <c r="BW163" s="1066">
        <f t="shared" si="162"/>
        <v>0</v>
      </c>
      <c r="BX163" s="1066">
        <f t="shared" si="166"/>
        <v>0</v>
      </c>
      <c r="BY163" s="1066">
        <f t="shared" si="166"/>
        <v>0</v>
      </c>
      <c r="BZ163" s="1066"/>
      <c r="CA163" s="1066">
        <f t="shared" si="167"/>
        <v>0</v>
      </c>
      <c r="CB163" s="1066">
        <f t="shared" si="167"/>
        <v>0</v>
      </c>
      <c r="CC163" s="1066">
        <f t="shared" si="167"/>
        <v>0</v>
      </c>
      <c r="CD163" s="1066">
        <f t="shared" si="167"/>
        <v>0</v>
      </c>
      <c r="CE163" s="1066">
        <f t="shared" si="167"/>
        <v>0</v>
      </c>
      <c r="CF163" s="1066">
        <f t="shared" si="167"/>
        <v>0</v>
      </c>
      <c r="CG163" s="1066">
        <f t="shared" si="167"/>
        <v>0</v>
      </c>
      <c r="CH163" s="1066">
        <f t="shared" si="167"/>
        <v>0</v>
      </c>
      <c r="CI163" s="1066">
        <f t="shared" si="167"/>
        <v>0</v>
      </c>
      <c r="CJ163" s="1066">
        <f>+AQ163-BN163</f>
        <v>0</v>
      </c>
      <c r="CK163" s="1066">
        <f t="shared" si="168"/>
        <v>0</v>
      </c>
      <c r="CL163" s="1066">
        <f t="shared" si="168"/>
        <v>0</v>
      </c>
      <c r="CM163" s="1081" t="e">
        <f t="shared" si="113"/>
        <v>#DIV/0!</v>
      </c>
      <c r="CN163" s="1066">
        <f t="shared" si="176"/>
        <v>0</v>
      </c>
      <c r="CO163" s="1066"/>
      <c r="CP163" s="1066"/>
      <c r="CQ163" s="1066"/>
      <c r="CR163" s="1066"/>
      <c r="CS163" s="1066"/>
      <c r="CT163" s="1066"/>
      <c r="CU163" s="1066"/>
      <c r="CV163" s="1066"/>
      <c r="CW163" s="1066"/>
      <c r="CX163" s="1066"/>
      <c r="CY163" s="1066"/>
      <c r="CZ163" s="1066"/>
      <c r="DA163" s="1066"/>
      <c r="DB163" s="1066"/>
      <c r="DC163" s="1066"/>
      <c r="DD163" s="1066"/>
      <c r="DE163" s="1066"/>
      <c r="DF163" s="1066"/>
      <c r="DG163" s="1066"/>
      <c r="DH163" s="1066"/>
      <c r="DI163" s="1081" t="e">
        <f t="shared" si="115"/>
        <v>#DIV/0!</v>
      </c>
      <c r="DJ163" s="1066">
        <f t="shared" si="177"/>
        <v>0</v>
      </c>
      <c r="DK163" s="1066"/>
      <c r="DL163" s="1066">
        <f>AA163-CP163</f>
        <v>0</v>
      </c>
      <c r="DM163" s="1066">
        <f>AB163-CQ163</f>
        <v>0</v>
      </c>
      <c r="DN163" s="1066">
        <f t="shared" si="163"/>
        <v>0</v>
      </c>
      <c r="DO163" s="1066">
        <f t="shared" si="163"/>
        <v>0</v>
      </c>
      <c r="DP163" s="1066">
        <f t="shared" si="163"/>
        <v>0</v>
      </c>
      <c r="DQ163" s="1066">
        <f t="shared" si="163"/>
        <v>0</v>
      </c>
      <c r="DR163" s="1066"/>
      <c r="DS163" s="1066">
        <f t="shared" si="169"/>
        <v>0</v>
      </c>
      <c r="DT163" s="1066">
        <f t="shared" si="169"/>
        <v>0</v>
      </c>
      <c r="DU163" s="1066"/>
      <c r="DV163" s="1066">
        <f t="shared" si="170"/>
        <v>0</v>
      </c>
      <c r="DW163" s="1066">
        <f t="shared" si="170"/>
        <v>0</v>
      </c>
      <c r="DX163" s="1066">
        <f t="shared" si="170"/>
        <v>0</v>
      </c>
      <c r="DY163" s="1066">
        <f t="shared" si="171"/>
        <v>0</v>
      </c>
      <c r="DZ163" s="1066">
        <f t="shared" si="171"/>
        <v>0</v>
      </c>
      <c r="EA163" s="1066">
        <f t="shared" si="171"/>
        <v>0</v>
      </c>
      <c r="EB163" s="1066">
        <f t="shared" si="171"/>
        <v>0</v>
      </c>
      <c r="EC163" s="1066">
        <f t="shared" si="171"/>
        <v>0</v>
      </c>
      <c r="ED163" s="1066">
        <f t="shared" si="172"/>
        <v>0</v>
      </c>
    </row>
    <row r="164" spans="1:134" ht="42.75" customHeight="1" x14ac:dyDescent="0.25">
      <c r="A164" s="1590"/>
      <c r="B164" s="989"/>
      <c r="C164" s="852" t="s">
        <v>4525</v>
      </c>
      <c r="D164" s="1018" t="s">
        <v>4673</v>
      </c>
      <c r="E164" s="994">
        <v>211</v>
      </c>
      <c r="F164" s="1117" t="s">
        <v>4819</v>
      </c>
      <c r="G164" s="1429"/>
      <c r="H164" s="1060">
        <f t="shared" si="143"/>
        <v>36999994</v>
      </c>
      <c r="I164" s="1060">
        <f t="shared" si="144"/>
        <v>423775120</v>
      </c>
      <c r="J164" s="1591">
        <v>58</v>
      </c>
      <c r="K164" s="1594">
        <v>98</v>
      </c>
      <c r="L164" s="1257">
        <v>63</v>
      </c>
      <c r="M164" s="1116">
        <v>0</v>
      </c>
      <c r="N164" s="1116">
        <v>0</v>
      </c>
      <c r="O164" s="1116">
        <v>0</v>
      </c>
      <c r="P164" s="1113">
        <v>16</v>
      </c>
      <c r="Q164" s="1113">
        <v>0</v>
      </c>
      <c r="R164" s="1113">
        <v>0</v>
      </c>
      <c r="S164" s="1117"/>
      <c r="T164" s="1117"/>
      <c r="U164" s="1117"/>
      <c r="V164" s="1117"/>
      <c r="W164" s="1117"/>
      <c r="X164" s="1117"/>
      <c r="Y164" s="1007">
        <f t="shared" si="173"/>
        <v>460775114</v>
      </c>
      <c r="Z164" s="944"/>
      <c r="AA164" s="1007"/>
      <c r="AB164" s="1007"/>
      <c r="AC164" s="1007">
        <v>420000000</v>
      </c>
      <c r="AD164" s="1007"/>
      <c r="AE164" s="1007"/>
      <c r="AF164" s="1007"/>
      <c r="AG164" s="944"/>
      <c r="AH164" s="944"/>
      <c r="AI164" s="149"/>
      <c r="AJ164" s="149"/>
      <c r="AK164" s="149"/>
      <c r="AL164" s="149"/>
      <c r="AM164" s="149"/>
      <c r="AN164" s="944"/>
      <c r="AO164" s="944"/>
      <c r="AP164" s="944"/>
      <c r="AQ164" s="944"/>
      <c r="AR164" s="944"/>
      <c r="AS164" s="1007">
        <f>37000000+3775114</f>
        <v>40775114</v>
      </c>
      <c r="AU164" s="1010">
        <f t="shared" si="103"/>
        <v>0.78585471523533712</v>
      </c>
      <c r="AV164" s="1007">
        <f t="shared" si="174"/>
        <v>362102296</v>
      </c>
      <c r="AW164" s="1007"/>
      <c r="AX164" s="1007"/>
      <c r="AY164" s="1007"/>
      <c r="AZ164" s="1007">
        <f>+'[8]SEPTIEMBRE 2015'!$M$291</f>
        <v>325102296</v>
      </c>
      <c r="BA164" s="1007"/>
      <c r="BB164" s="1007"/>
      <c r="BC164" s="1007"/>
      <c r="BD164" s="1007"/>
      <c r="BE164" s="1007"/>
      <c r="BF164" s="1007"/>
      <c r="BG164" s="1007"/>
      <c r="BH164" s="1007"/>
      <c r="BI164" s="1007"/>
      <c r="BJ164" s="1007"/>
      <c r="BK164" s="1007"/>
      <c r="BL164" s="1007"/>
      <c r="BM164" s="1007"/>
      <c r="BN164" s="1007"/>
      <c r="BO164" s="1007"/>
      <c r="BP164" s="1007">
        <f>+'[15]FEBRERO 2015'!$G$196</f>
        <v>37000000</v>
      </c>
      <c r="BQ164" s="1010">
        <f t="shared" si="105"/>
        <v>0.21414528476466288</v>
      </c>
      <c r="BR164" s="1007">
        <f t="shared" si="175"/>
        <v>98672818</v>
      </c>
      <c r="BS164" s="1007">
        <f t="shared" si="164"/>
        <v>0</v>
      </c>
      <c r="BT164" s="1007">
        <f t="shared" si="165"/>
        <v>0</v>
      </c>
      <c r="BU164" s="1007"/>
      <c r="BV164" s="1007">
        <f t="shared" si="162"/>
        <v>94897704</v>
      </c>
      <c r="BW164" s="1007">
        <f t="shared" si="162"/>
        <v>0</v>
      </c>
      <c r="BX164" s="1007">
        <f t="shared" si="166"/>
        <v>0</v>
      </c>
      <c r="BY164" s="1007">
        <f t="shared" si="166"/>
        <v>0</v>
      </c>
      <c r="BZ164" s="1007"/>
      <c r="CA164" s="1007">
        <f t="shared" si="167"/>
        <v>0</v>
      </c>
      <c r="CB164" s="1007">
        <f t="shared" si="167"/>
        <v>0</v>
      </c>
      <c r="CC164" s="1007">
        <f t="shared" si="167"/>
        <v>0</v>
      </c>
      <c r="CD164" s="1007">
        <f t="shared" si="167"/>
        <v>0</v>
      </c>
      <c r="CE164" s="1007">
        <f t="shared" si="167"/>
        <v>0</v>
      </c>
      <c r="CF164" s="1007">
        <f t="shared" si="167"/>
        <v>0</v>
      </c>
      <c r="CG164" s="1007">
        <f t="shared" si="167"/>
        <v>0</v>
      </c>
      <c r="CH164" s="1007">
        <f t="shared" si="167"/>
        <v>0</v>
      </c>
      <c r="CI164" s="1007">
        <f t="shared" si="167"/>
        <v>0</v>
      </c>
      <c r="CJ164" s="1007"/>
      <c r="CK164" s="1007">
        <f t="shared" si="168"/>
        <v>0</v>
      </c>
      <c r="CL164" s="1007">
        <f t="shared" si="168"/>
        <v>3775114</v>
      </c>
      <c r="CM164" s="1010">
        <f t="shared" si="113"/>
        <v>8.0299462526962767E-2</v>
      </c>
      <c r="CN164" s="1007">
        <f t="shared" si="176"/>
        <v>36999994</v>
      </c>
      <c r="CO164" s="1007"/>
      <c r="CP164" s="1007"/>
      <c r="CQ164" s="1007"/>
      <c r="CR164" s="1007"/>
      <c r="CS164" s="1007"/>
      <c r="CT164" s="1007"/>
      <c r="CU164" s="1007"/>
      <c r="CV164" s="1007"/>
      <c r="CW164" s="1007"/>
      <c r="CX164" s="1007"/>
      <c r="CY164" s="1007"/>
      <c r="CZ164" s="1007"/>
      <c r="DA164" s="1007"/>
      <c r="DB164" s="1007"/>
      <c r="DC164" s="1007"/>
      <c r="DD164" s="1007"/>
      <c r="DE164" s="1007"/>
      <c r="DF164" s="1007"/>
      <c r="DG164" s="1007"/>
      <c r="DH164" s="1007">
        <f>+'[8]SEPTIEMBRE 2015'!$H$292</f>
        <v>36999994</v>
      </c>
      <c r="DI164" s="1010">
        <f t="shared" si="115"/>
        <v>0.91970053747303726</v>
      </c>
      <c r="DJ164" s="1007">
        <f t="shared" si="177"/>
        <v>423775120</v>
      </c>
      <c r="DK164" s="1007"/>
      <c r="DL164" s="1007"/>
      <c r="DM164" s="1007"/>
      <c r="DN164" s="1007">
        <f t="shared" si="163"/>
        <v>420000000</v>
      </c>
      <c r="DO164" s="1007">
        <f t="shared" si="163"/>
        <v>0</v>
      </c>
      <c r="DP164" s="1007">
        <f t="shared" si="163"/>
        <v>0</v>
      </c>
      <c r="DQ164" s="1007">
        <f t="shared" si="163"/>
        <v>0</v>
      </c>
      <c r="DR164" s="1007"/>
      <c r="DS164" s="1007">
        <f t="shared" si="169"/>
        <v>0</v>
      </c>
      <c r="DT164" s="1007">
        <f t="shared" si="169"/>
        <v>0</v>
      </c>
      <c r="DU164" s="1007"/>
      <c r="DV164" s="1007">
        <f t="shared" si="170"/>
        <v>0</v>
      </c>
      <c r="DW164" s="1007">
        <f t="shared" si="170"/>
        <v>0</v>
      </c>
      <c r="DX164" s="1007">
        <f t="shared" si="170"/>
        <v>0</v>
      </c>
      <c r="DY164" s="1007">
        <f t="shared" si="171"/>
        <v>0</v>
      </c>
      <c r="DZ164" s="1007">
        <f t="shared" si="171"/>
        <v>0</v>
      </c>
      <c r="EA164" s="1007">
        <f t="shared" si="171"/>
        <v>0</v>
      </c>
      <c r="EB164" s="1007">
        <f t="shared" si="171"/>
        <v>0</v>
      </c>
      <c r="EC164" s="1007">
        <f t="shared" si="171"/>
        <v>0</v>
      </c>
      <c r="ED164" s="1007">
        <f t="shared" si="172"/>
        <v>3775120</v>
      </c>
    </row>
    <row r="165" spans="1:134" ht="81" customHeight="1" x14ac:dyDescent="0.25">
      <c r="A165" s="1590"/>
      <c r="B165" s="989"/>
      <c r="C165" s="852" t="s">
        <v>4526</v>
      </c>
      <c r="D165" s="1018" t="s">
        <v>4641</v>
      </c>
      <c r="E165" s="994">
        <v>211</v>
      </c>
      <c r="F165" s="1117" t="s">
        <v>4672</v>
      </c>
      <c r="G165" s="1429"/>
      <c r="H165" s="1060">
        <f t="shared" si="143"/>
        <v>21204410</v>
      </c>
      <c r="I165" s="1060">
        <f t="shared" si="144"/>
        <v>56002527</v>
      </c>
      <c r="J165" s="1592"/>
      <c r="K165" s="1595"/>
      <c r="L165" s="1562"/>
      <c r="M165" s="1116">
        <v>0</v>
      </c>
      <c r="N165" s="1116">
        <v>0</v>
      </c>
      <c r="O165" s="1116">
        <v>0</v>
      </c>
      <c r="P165" s="1113">
        <v>29</v>
      </c>
      <c r="Q165" s="1113">
        <v>0</v>
      </c>
      <c r="R165" s="1113">
        <v>0</v>
      </c>
      <c r="S165" s="1117"/>
      <c r="T165" s="1117"/>
      <c r="U165" s="1117"/>
      <c r="V165" s="1117"/>
      <c r="W165" s="1117"/>
      <c r="X165" s="1117"/>
      <c r="Y165" s="1007">
        <f t="shared" si="173"/>
        <v>77206937</v>
      </c>
      <c r="Z165" s="944"/>
      <c r="AA165" s="1007"/>
      <c r="AB165" s="1007"/>
      <c r="AC165" s="1007"/>
      <c r="AD165" s="1007"/>
      <c r="AE165" s="1007"/>
      <c r="AF165" s="1007"/>
      <c r="AG165" s="944"/>
      <c r="AH165" s="944"/>
      <c r="AI165" s="149"/>
      <c r="AJ165" s="149"/>
      <c r="AK165" s="149"/>
      <c r="AL165" s="149"/>
      <c r="AM165" s="149"/>
      <c r="AN165" s="944"/>
      <c r="AO165" s="944"/>
      <c r="AP165" s="944"/>
      <c r="AQ165" s="944"/>
      <c r="AR165" s="944"/>
      <c r="AS165" s="1007">
        <f>6158702+2689112+21598701+428146+6000101+7556188+25983466+3000000+3792521</f>
        <v>77206937</v>
      </c>
      <c r="AU165" s="1010">
        <f t="shared" si="103"/>
        <v>0.83788704116056312</v>
      </c>
      <c r="AV165" s="1007">
        <f t="shared" si="174"/>
        <v>64690692</v>
      </c>
      <c r="AW165" s="1007"/>
      <c r="AX165" s="1007"/>
      <c r="AY165" s="1007"/>
      <c r="AZ165" s="1007"/>
      <c r="BA165" s="1007"/>
      <c r="BB165" s="1007"/>
      <c r="BC165" s="1007"/>
      <c r="BD165" s="1007"/>
      <c r="BE165" s="1007"/>
      <c r="BF165" s="1007"/>
      <c r="BG165" s="1007"/>
      <c r="BH165" s="1007"/>
      <c r="BI165" s="1007"/>
      <c r="BJ165" s="1007"/>
      <c r="BK165" s="1007"/>
      <c r="BL165" s="1007"/>
      <c r="BM165" s="1007"/>
      <c r="BN165" s="1007"/>
      <c r="BO165" s="1007"/>
      <c r="BP165" s="1007">
        <f>+'[8]SEPTIEMBRE 2015'!$G$303</f>
        <v>64690692</v>
      </c>
      <c r="BQ165" s="1010">
        <f t="shared" si="105"/>
        <v>0.16211295883943688</v>
      </c>
      <c r="BR165" s="1007">
        <f t="shared" si="175"/>
        <v>12516245</v>
      </c>
      <c r="BS165" s="1007">
        <f t="shared" si="164"/>
        <v>0</v>
      </c>
      <c r="BT165" s="1007">
        <f t="shared" si="165"/>
        <v>0</v>
      </c>
      <c r="BU165" s="1007"/>
      <c r="BV165" s="1007">
        <f t="shared" si="162"/>
        <v>0</v>
      </c>
      <c r="BW165" s="1007">
        <f t="shared" si="162"/>
        <v>0</v>
      </c>
      <c r="BX165" s="1007">
        <f t="shared" si="166"/>
        <v>0</v>
      </c>
      <c r="BY165" s="1007">
        <f t="shared" si="166"/>
        <v>0</v>
      </c>
      <c r="BZ165" s="1007"/>
      <c r="CA165" s="1007">
        <f t="shared" si="167"/>
        <v>0</v>
      </c>
      <c r="CB165" s="1007">
        <f t="shared" si="167"/>
        <v>0</v>
      </c>
      <c r="CC165" s="1007">
        <f t="shared" si="167"/>
        <v>0</v>
      </c>
      <c r="CD165" s="1007">
        <f t="shared" si="167"/>
        <v>0</v>
      </c>
      <c r="CE165" s="1007">
        <f t="shared" si="167"/>
        <v>0</v>
      </c>
      <c r="CF165" s="1007">
        <f t="shared" si="167"/>
        <v>0</v>
      </c>
      <c r="CG165" s="1007">
        <f t="shared" si="167"/>
        <v>0</v>
      </c>
      <c r="CH165" s="1007">
        <f t="shared" si="167"/>
        <v>0</v>
      </c>
      <c r="CI165" s="1007">
        <f t="shared" si="167"/>
        <v>0</v>
      </c>
      <c r="CJ165" s="1007"/>
      <c r="CK165" s="1007">
        <f t="shared" si="168"/>
        <v>0</v>
      </c>
      <c r="CL165" s="1007">
        <f t="shared" si="168"/>
        <v>12516245</v>
      </c>
      <c r="CM165" s="1010">
        <f t="shared" si="113"/>
        <v>0.27464384450324714</v>
      </c>
      <c r="CN165" s="1007">
        <f t="shared" si="176"/>
        <v>21204410</v>
      </c>
      <c r="CO165" s="1007"/>
      <c r="CP165" s="1007"/>
      <c r="CQ165" s="1007"/>
      <c r="CR165" s="1007"/>
      <c r="CS165" s="1007"/>
      <c r="CT165" s="1007"/>
      <c r="CU165" s="1007"/>
      <c r="CV165" s="1007"/>
      <c r="CW165" s="1007"/>
      <c r="CX165" s="1007"/>
      <c r="CY165" s="1007"/>
      <c r="CZ165" s="1007"/>
      <c r="DA165" s="1007"/>
      <c r="DB165" s="1007"/>
      <c r="DC165" s="1007"/>
      <c r="DD165" s="1007"/>
      <c r="DE165" s="1007"/>
      <c r="DF165" s="1007"/>
      <c r="DG165" s="1007"/>
      <c r="DH165" s="1007">
        <f>+'[7]AGOSTO 2015'!$H$284</f>
        <v>21204410</v>
      </c>
      <c r="DI165" s="1010">
        <f t="shared" si="115"/>
        <v>0.72535615549675292</v>
      </c>
      <c r="DJ165" s="1007">
        <f t="shared" si="177"/>
        <v>56002527</v>
      </c>
      <c r="DK165" s="1007"/>
      <c r="DL165" s="1007"/>
      <c r="DM165" s="1007"/>
      <c r="DN165" s="1007">
        <f t="shared" si="163"/>
        <v>0</v>
      </c>
      <c r="DO165" s="1007">
        <f t="shared" si="163"/>
        <v>0</v>
      </c>
      <c r="DP165" s="1007">
        <f t="shared" si="163"/>
        <v>0</v>
      </c>
      <c r="DQ165" s="1007">
        <f t="shared" si="163"/>
        <v>0</v>
      </c>
      <c r="DR165" s="1007"/>
      <c r="DS165" s="1007">
        <f t="shared" si="169"/>
        <v>0</v>
      </c>
      <c r="DT165" s="1007">
        <f t="shared" si="169"/>
        <v>0</v>
      </c>
      <c r="DU165" s="1007"/>
      <c r="DV165" s="1007">
        <f t="shared" si="170"/>
        <v>0</v>
      </c>
      <c r="DW165" s="1007">
        <f t="shared" si="170"/>
        <v>0</v>
      </c>
      <c r="DX165" s="1007">
        <f t="shared" si="170"/>
        <v>0</v>
      </c>
      <c r="DY165" s="1007">
        <f t="shared" si="171"/>
        <v>0</v>
      </c>
      <c r="DZ165" s="1007">
        <f t="shared" si="171"/>
        <v>0</v>
      </c>
      <c r="EA165" s="1007">
        <f t="shared" si="171"/>
        <v>0</v>
      </c>
      <c r="EB165" s="1007">
        <f t="shared" si="171"/>
        <v>0</v>
      </c>
      <c r="EC165" s="1007">
        <f t="shared" si="171"/>
        <v>0</v>
      </c>
      <c r="ED165" s="1007">
        <f t="shared" si="172"/>
        <v>56002527</v>
      </c>
    </row>
    <row r="166" spans="1:134" s="203" customFormat="1" ht="27.75" customHeight="1" x14ac:dyDescent="0.25">
      <c r="A166" s="1590"/>
      <c r="B166" s="989"/>
      <c r="C166" s="1080" t="s">
        <v>4527</v>
      </c>
      <c r="D166" s="1018" t="s">
        <v>4509</v>
      </c>
      <c r="E166" s="996">
        <v>211</v>
      </c>
      <c r="F166" s="1117" t="s">
        <v>4482</v>
      </c>
      <c r="G166" s="1429"/>
      <c r="H166" s="1060">
        <f t="shared" si="143"/>
        <v>0</v>
      </c>
      <c r="I166" s="1060">
        <f t="shared" si="144"/>
        <v>0</v>
      </c>
      <c r="J166" s="1593"/>
      <c r="K166" s="1596"/>
      <c r="L166" s="1258"/>
      <c r="M166" s="1076">
        <v>0</v>
      </c>
      <c r="N166" s="1076">
        <v>0</v>
      </c>
      <c r="O166" s="1076">
        <v>0</v>
      </c>
      <c r="P166" s="1074"/>
      <c r="Q166" s="1074"/>
      <c r="R166" s="1074"/>
      <c r="S166" s="1117"/>
      <c r="T166" s="1117"/>
      <c r="U166" s="1117"/>
      <c r="V166" s="1117"/>
      <c r="W166" s="1117"/>
      <c r="X166" s="1117"/>
      <c r="Y166" s="1066">
        <f t="shared" si="173"/>
        <v>0</v>
      </c>
      <c r="Z166" s="149"/>
      <c r="AA166" s="1066">
        <f>270014856-270014856</f>
        <v>0</v>
      </c>
      <c r="AB166" s="1066"/>
      <c r="AC166" s="1066">
        <f>65677916-65677916</f>
        <v>0</v>
      </c>
      <c r="AD166" s="1066"/>
      <c r="AE166" s="1066"/>
      <c r="AF166" s="1066">
        <f>335692772-270014856-65677916</f>
        <v>0</v>
      </c>
      <c r="AG166" s="149"/>
      <c r="AH166" s="149"/>
      <c r="AI166" s="149"/>
      <c r="AJ166" s="149"/>
      <c r="AK166" s="149"/>
      <c r="AL166" s="149"/>
      <c r="AM166" s="149"/>
      <c r="AN166" s="149"/>
      <c r="AO166" s="149"/>
      <c r="AP166" s="149"/>
      <c r="AQ166" s="149"/>
      <c r="AR166" s="149"/>
      <c r="AS166" s="149"/>
      <c r="AU166" s="1081" t="e">
        <f t="shared" si="103"/>
        <v>#DIV/0!</v>
      </c>
      <c r="AV166" s="1066">
        <f t="shared" si="174"/>
        <v>0</v>
      </c>
      <c r="AW166" s="1066"/>
      <c r="AX166" s="1066"/>
      <c r="AY166" s="1066"/>
      <c r="AZ166" s="1066"/>
      <c r="BA166" s="1066"/>
      <c r="BB166" s="1066"/>
      <c r="BC166" s="1066"/>
      <c r="BD166" s="1066"/>
      <c r="BE166" s="1066"/>
      <c r="BF166" s="1066"/>
      <c r="BG166" s="1066"/>
      <c r="BH166" s="1066"/>
      <c r="BI166" s="1066"/>
      <c r="BJ166" s="1066"/>
      <c r="BK166" s="1066"/>
      <c r="BL166" s="1066"/>
      <c r="BM166" s="1066"/>
      <c r="BN166" s="1066"/>
      <c r="BO166" s="1066"/>
      <c r="BP166" s="1066"/>
      <c r="BQ166" s="1081" t="e">
        <f t="shared" si="105"/>
        <v>#DIV/0!</v>
      </c>
      <c r="BR166" s="1066">
        <f t="shared" si="175"/>
        <v>0</v>
      </c>
      <c r="BS166" s="1066">
        <f t="shared" si="164"/>
        <v>0</v>
      </c>
      <c r="BT166" s="1066">
        <f t="shared" si="165"/>
        <v>0</v>
      </c>
      <c r="BU166" s="1066"/>
      <c r="BV166" s="1066">
        <f t="shared" si="162"/>
        <v>0</v>
      </c>
      <c r="BW166" s="1066">
        <f t="shared" si="162"/>
        <v>0</v>
      </c>
      <c r="BX166" s="1066">
        <f t="shared" si="166"/>
        <v>0</v>
      </c>
      <c r="BY166" s="1066">
        <f t="shared" si="166"/>
        <v>0</v>
      </c>
      <c r="BZ166" s="1066"/>
      <c r="CA166" s="1066">
        <f t="shared" si="167"/>
        <v>0</v>
      </c>
      <c r="CB166" s="1066">
        <f t="shared" si="167"/>
        <v>0</v>
      </c>
      <c r="CC166" s="1066">
        <f t="shared" si="167"/>
        <v>0</v>
      </c>
      <c r="CD166" s="1066">
        <f t="shared" si="167"/>
        <v>0</v>
      </c>
      <c r="CE166" s="1066">
        <f t="shared" si="167"/>
        <v>0</v>
      </c>
      <c r="CF166" s="1066">
        <f t="shared" si="167"/>
        <v>0</v>
      </c>
      <c r="CG166" s="1066">
        <f t="shared" si="167"/>
        <v>0</v>
      </c>
      <c r="CH166" s="1066">
        <f t="shared" si="167"/>
        <v>0</v>
      </c>
      <c r="CI166" s="1066">
        <f t="shared" si="167"/>
        <v>0</v>
      </c>
      <c r="CJ166" s="1066"/>
      <c r="CK166" s="1066">
        <f t="shared" si="168"/>
        <v>0</v>
      </c>
      <c r="CL166" s="1066">
        <f t="shared" si="168"/>
        <v>0</v>
      </c>
      <c r="CM166" s="1081" t="e">
        <f t="shared" si="113"/>
        <v>#DIV/0!</v>
      </c>
      <c r="CN166" s="1066">
        <f t="shared" si="176"/>
        <v>0</v>
      </c>
      <c r="CO166" s="1066"/>
      <c r="CP166" s="1066"/>
      <c r="CQ166" s="1066"/>
      <c r="CR166" s="1066"/>
      <c r="CS166" s="1066"/>
      <c r="CT166" s="1066"/>
      <c r="CU166" s="1066"/>
      <c r="CV166" s="1066"/>
      <c r="CW166" s="1066"/>
      <c r="CX166" s="1066"/>
      <c r="CY166" s="1066"/>
      <c r="CZ166" s="1066"/>
      <c r="DA166" s="1066"/>
      <c r="DB166" s="1066"/>
      <c r="DC166" s="1066"/>
      <c r="DD166" s="1066"/>
      <c r="DE166" s="1066"/>
      <c r="DF166" s="1066"/>
      <c r="DG166" s="1066"/>
      <c r="DH166" s="1066"/>
      <c r="DI166" s="1081" t="e">
        <f t="shared" si="115"/>
        <v>#DIV/0!</v>
      </c>
      <c r="DJ166" s="1066">
        <f t="shared" si="177"/>
        <v>0</v>
      </c>
      <c r="DK166" s="1066"/>
      <c r="DL166" s="1066">
        <f>AA166-CP166</f>
        <v>0</v>
      </c>
      <c r="DM166" s="1066">
        <f>AB166-CQ166</f>
        <v>0</v>
      </c>
      <c r="DN166" s="1066">
        <f t="shared" si="163"/>
        <v>0</v>
      </c>
      <c r="DO166" s="1066">
        <f t="shared" si="163"/>
        <v>0</v>
      </c>
      <c r="DP166" s="1066">
        <f t="shared" si="163"/>
        <v>0</v>
      </c>
      <c r="DQ166" s="1066">
        <f t="shared" si="163"/>
        <v>0</v>
      </c>
      <c r="DR166" s="1066"/>
      <c r="DS166" s="1066">
        <f t="shared" si="169"/>
        <v>0</v>
      </c>
      <c r="DT166" s="1066">
        <f t="shared" si="169"/>
        <v>0</v>
      </c>
      <c r="DU166" s="1066"/>
      <c r="DV166" s="1066">
        <f t="shared" si="170"/>
        <v>0</v>
      </c>
      <c r="DW166" s="1066">
        <f t="shared" si="170"/>
        <v>0</v>
      </c>
      <c r="DX166" s="1066">
        <f t="shared" si="170"/>
        <v>0</v>
      </c>
      <c r="DY166" s="1066">
        <f t="shared" si="171"/>
        <v>0</v>
      </c>
      <c r="DZ166" s="1066">
        <f t="shared" si="171"/>
        <v>0</v>
      </c>
      <c r="EA166" s="1066">
        <f t="shared" si="171"/>
        <v>0</v>
      </c>
      <c r="EB166" s="1066">
        <f t="shared" si="171"/>
        <v>0</v>
      </c>
      <c r="EC166" s="1066">
        <f t="shared" si="171"/>
        <v>0</v>
      </c>
      <c r="ED166" s="1066">
        <f t="shared" si="172"/>
        <v>0</v>
      </c>
    </row>
    <row r="167" spans="1:134" ht="35.25" customHeight="1" x14ac:dyDescent="0.25">
      <c r="A167" s="1590"/>
      <c r="B167" s="989"/>
      <c r="C167" s="852" t="s">
        <v>4528</v>
      </c>
      <c r="D167" s="1018" t="s">
        <v>4723</v>
      </c>
      <c r="E167" s="994">
        <v>211</v>
      </c>
      <c r="F167" s="1117" t="s">
        <v>4482</v>
      </c>
      <c r="G167" s="1429"/>
      <c r="H167" s="1060">
        <f t="shared" si="143"/>
        <v>167851094</v>
      </c>
      <c r="I167" s="1060">
        <f t="shared" si="144"/>
        <v>32148906</v>
      </c>
      <c r="J167" s="1591">
        <v>120</v>
      </c>
      <c r="K167" s="1594">
        <v>600</v>
      </c>
      <c r="L167" s="1257">
        <v>168</v>
      </c>
      <c r="M167" s="1116">
        <v>0</v>
      </c>
      <c r="N167" s="1116">
        <v>0</v>
      </c>
      <c r="O167" s="1116">
        <v>0</v>
      </c>
      <c r="P167" s="1113">
        <v>51</v>
      </c>
      <c r="Q167" s="1113">
        <v>35</v>
      </c>
      <c r="R167" s="1113">
        <v>18</v>
      </c>
      <c r="S167" s="1117"/>
      <c r="T167" s="1117"/>
      <c r="U167" s="1117"/>
      <c r="V167" s="1117"/>
      <c r="W167" s="1117"/>
      <c r="X167" s="1117"/>
      <c r="Y167" s="1007">
        <f t="shared" si="173"/>
        <v>200000000</v>
      </c>
      <c r="Z167" s="944"/>
      <c r="AA167" s="1007"/>
      <c r="AB167" s="1007"/>
      <c r="AC167" s="1007">
        <f>300000000-100000000</f>
        <v>200000000</v>
      </c>
      <c r="AD167" s="1007"/>
      <c r="AE167" s="1007"/>
      <c r="AF167" s="1007">
        <f>300000000-300000000</f>
        <v>0</v>
      </c>
      <c r="AG167" s="1007"/>
      <c r="AH167" s="1007"/>
      <c r="AI167" s="1007"/>
      <c r="AJ167" s="1007"/>
      <c r="AK167" s="1007"/>
      <c r="AL167" s="1007"/>
      <c r="AM167" s="1007"/>
      <c r="AN167" s="1007"/>
      <c r="AO167" s="1007"/>
      <c r="AP167" s="1007"/>
      <c r="AQ167" s="1007"/>
      <c r="AR167" s="1007"/>
      <c r="AS167" s="1007"/>
      <c r="AT167" s="1007"/>
      <c r="AU167" s="1010">
        <f t="shared" si="103"/>
        <v>0.91125051999999995</v>
      </c>
      <c r="AV167" s="1007">
        <f t="shared" si="174"/>
        <v>182250104</v>
      </c>
      <c r="AW167" s="1007"/>
      <c r="AX167" s="1007"/>
      <c r="AY167" s="1007"/>
      <c r="AZ167" s="1007">
        <f>+'[8]SEPTIEMBRE 2015'!$M$327</f>
        <v>182250104</v>
      </c>
      <c r="BA167" s="1007"/>
      <c r="BB167" s="1007"/>
      <c r="BC167" s="1007"/>
      <c r="BD167" s="1007"/>
      <c r="BE167" s="1007"/>
      <c r="BF167" s="1007"/>
      <c r="BG167" s="1007"/>
      <c r="BH167" s="1007"/>
      <c r="BI167" s="1007"/>
      <c r="BJ167" s="1007"/>
      <c r="BK167" s="1007"/>
      <c r="BL167" s="1007"/>
      <c r="BM167" s="1007"/>
      <c r="BN167" s="1007"/>
      <c r="BO167" s="1007"/>
      <c r="BP167" s="1007"/>
      <c r="BQ167" s="1010">
        <f t="shared" si="105"/>
        <v>8.8749480000000047E-2</v>
      </c>
      <c r="BR167" s="1007">
        <f t="shared" si="175"/>
        <v>17749896</v>
      </c>
      <c r="BS167" s="1007">
        <f t="shared" si="164"/>
        <v>0</v>
      </c>
      <c r="BT167" s="1007">
        <f t="shared" si="165"/>
        <v>0</v>
      </c>
      <c r="BU167" s="1007"/>
      <c r="BV167" s="1007">
        <f t="shared" si="162"/>
        <v>17749896</v>
      </c>
      <c r="BW167" s="1007">
        <f t="shared" si="162"/>
        <v>0</v>
      </c>
      <c r="BX167" s="1007">
        <f t="shared" si="166"/>
        <v>0</v>
      </c>
      <c r="BY167" s="1007">
        <f t="shared" si="166"/>
        <v>0</v>
      </c>
      <c r="BZ167" s="1007"/>
      <c r="CA167" s="1007">
        <f t="shared" si="167"/>
        <v>0</v>
      </c>
      <c r="CB167" s="1007">
        <f t="shared" si="167"/>
        <v>0</v>
      </c>
      <c r="CC167" s="1007">
        <f t="shared" si="167"/>
        <v>0</v>
      </c>
      <c r="CD167" s="1007">
        <f t="shared" si="167"/>
        <v>0</v>
      </c>
      <c r="CE167" s="1007">
        <f t="shared" si="167"/>
        <v>0</v>
      </c>
      <c r="CF167" s="1007">
        <f t="shared" si="167"/>
        <v>0</v>
      </c>
      <c r="CG167" s="1007">
        <f t="shared" si="167"/>
        <v>0</v>
      </c>
      <c r="CH167" s="1007">
        <f t="shared" si="167"/>
        <v>0</v>
      </c>
      <c r="CI167" s="1007">
        <f t="shared" si="167"/>
        <v>0</v>
      </c>
      <c r="CJ167" s="1007"/>
      <c r="CK167" s="1007">
        <f t="shared" si="168"/>
        <v>0</v>
      </c>
      <c r="CL167" s="1007">
        <f t="shared" si="168"/>
        <v>0</v>
      </c>
      <c r="CM167" s="1010">
        <f t="shared" si="113"/>
        <v>0.83925547</v>
      </c>
      <c r="CN167" s="1007">
        <f t="shared" si="176"/>
        <v>167851094</v>
      </c>
      <c r="CO167" s="1007"/>
      <c r="CP167" s="1007"/>
      <c r="CQ167" s="1007"/>
      <c r="CR167" s="1007">
        <f>+'[7]AGOSTO 2015'!$H$305</f>
        <v>167851094</v>
      </c>
      <c r="CS167" s="1007"/>
      <c r="CT167" s="1007"/>
      <c r="CU167" s="1007"/>
      <c r="CV167" s="1007"/>
      <c r="CW167" s="1007"/>
      <c r="CX167" s="1007"/>
      <c r="CY167" s="1007"/>
      <c r="CZ167" s="1007"/>
      <c r="DA167" s="1007"/>
      <c r="DB167" s="1007"/>
      <c r="DC167" s="1007"/>
      <c r="DD167" s="1007"/>
      <c r="DE167" s="1007"/>
      <c r="DF167" s="1007"/>
      <c r="DG167" s="1007"/>
      <c r="DH167" s="1007"/>
      <c r="DI167" s="1010">
        <f t="shared" si="115"/>
        <v>0.16074453</v>
      </c>
      <c r="DJ167" s="1007">
        <f t="shared" si="177"/>
        <v>32148906</v>
      </c>
      <c r="DK167" s="1007"/>
      <c r="DL167" s="1007"/>
      <c r="DM167" s="1007"/>
      <c r="DN167" s="1007">
        <f t="shared" si="163"/>
        <v>32148906</v>
      </c>
      <c r="DO167" s="1007">
        <f t="shared" si="163"/>
        <v>0</v>
      </c>
      <c r="DP167" s="1007">
        <f t="shared" si="163"/>
        <v>0</v>
      </c>
      <c r="DQ167" s="1007">
        <f t="shared" si="163"/>
        <v>0</v>
      </c>
      <c r="DR167" s="1007"/>
      <c r="DS167" s="1007">
        <f t="shared" si="169"/>
        <v>0</v>
      </c>
      <c r="DT167" s="1007">
        <f t="shared" si="169"/>
        <v>0</v>
      </c>
      <c r="DU167" s="1007"/>
      <c r="DV167" s="1007">
        <f t="shared" si="170"/>
        <v>0</v>
      </c>
      <c r="DW167" s="1007">
        <f t="shared" si="170"/>
        <v>0</v>
      </c>
      <c r="DX167" s="1007">
        <f t="shared" si="170"/>
        <v>0</v>
      </c>
      <c r="DY167" s="1007">
        <f t="shared" si="171"/>
        <v>0</v>
      </c>
      <c r="DZ167" s="1007">
        <f t="shared" si="171"/>
        <v>0</v>
      </c>
      <c r="EA167" s="1007">
        <f t="shared" si="171"/>
        <v>0</v>
      </c>
      <c r="EB167" s="1007">
        <f t="shared" si="171"/>
        <v>0</v>
      </c>
      <c r="EC167" s="1007">
        <f t="shared" si="171"/>
        <v>0</v>
      </c>
      <c r="ED167" s="1007">
        <f t="shared" si="172"/>
        <v>0</v>
      </c>
    </row>
    <row r="168" spans="1:134" ht="55.5" customHeight="1" x14ac:dyDescent="0.25">
      <c r="A168" s="1590"/>
      <c r="B168" s="989"/>
      <c r="C168" s="852" t="s">
        <v>4529</v>
      </c>
      <c r="D168" s="1018" t="s">
        <v>4642</v>
      </c>
      <c r="E168" s="994">
        <v>211</v>
      </c>
      <c r="F168" s="1117" t="s">
        <v>4743</v>
      </c>
      <c r="G168" s="1429"/>
      <c r="H168" s="1060">
        <f t="shared" si="143"/>
        <v>168595305</v>
      </c>
      <c r="I168" s="1060">
        <f t="shared" si="144"/>
        <v>394603405</v>
      </c>
      <c r="J168" s="1592"/>
      <c r="K168" s="1595"/>
      <c r="L168" s="1562"/>
      <c r="M168" s="1113">
        <v>1</v>
      </c>
      <c r="N168" s="1113">
        <v>0</v>
      </c>
      <c r="O168" s="1113">
        <v>0</v>
      </c>
      <c r="P168" s="1113">
        <v>0</v>
      </c>
      <c r="Q168" s="1113">
        <v>0</v>
      </c>
      <c r="R168" s="1113">
        <v>0</v>
      </c>
      <c r="S168" s="1117"/>
      <c r="T168" s="1117"/>
      <c r="U168" s="1117"/>
      <c r="V168" s="1117"/>
      <c r="W168" s="1117"/>
      <c r="X168" s="1117"/>
      <c r="Y168" s="1007">
        <f t="shared" si="173"/>
        <v>563198710</v>
      </c>
      <c r="Z168" s="944"/>
      <c r="AA168" s="1007"/>
      <c r="AB168" s="1007"/>
      <c r="AC168" s="1007">
        <f>200000000+194000000-116541544+210000000</f>
        <v>487458456</v>
      </c>
      <c r="AD168" s="1007"/>
      <c r="AE168" s="1007"/>
      <c r="AF168" s="1007">
        <f>194000000-194000000</f>
        <v>0</v>
      </c>
      <c r="AG168" s="1007"/>
      <c r="AH168" s="1007"/>
      <c r="AI168" s="1007"/>
      <c r="AJ168" s="1007"/>
      <c r="AK168" s="1007"/>
      <c r="AL168" s="1007"/>
      <c r="AM168" s="1007"/>
      <c r="AN168" s="1007"/>
      <c r="AO168" s="1007"/>
      <c r="AP168" s="1007"/>
      <c r="AQ168" s="1007"/>
      <c r="AR168" s="1007"/>
      <c r="AS168" s="1007">
        <f>45131378+17223876+13385000</f>
        <v>75740254</v>
      </c>
      <c r="AT168" s="1007"/>
      <c r="AU168" s="1010">
        <f t="shared" si="103"/>
        <v>0.96941776375872735</v>
      </c>
      <c r="AV168" s="1007">
        <f t="shared" si="174"/>
        <v>545974834</v>
      </c>
      <c r="AW168" s="1007"/>
      <c r="AX168" s="1007"/>
      <c r="AY168" s="1007"/>
      <c r="AZ168" s="1007">
        <f>+'[8]SEPTIEMBRE 2015'!$M$341</f>
        <v>487458456</v>
      </c>
      <c r="BA168" s="1007"/>
      <c r="BB168" s="1007"/>
      <c r="BC168" s="1007"/>
      <c r="BD168" s="1007"/>
      <c r="BE168" s="1007"/>
      <c r="BF168" s="1007"/>
      <c r="BG168" s="1007"/>
      <c r="BH168" s="1007"/>
      <c r="BI168" s="1007"/>
      <c r="BJ168" s="1007"/>
      <c r="BK168" s="1007"/>
      <c r="BL168" s="1007"/>
      <c r="BM168" s="1007"/>
      <c r="BN168" s="1007"/>
      <c r="BO168" s="1007"/>
      <c r="BP168" s="1007">
        <f>+'[8]SEPTIEMBRE 2015'!$AD$341</f>
        <v>58516378</v>
      </c>
      <c r="BQ168" s="1010">
        <f t="shared" si="105"/>
        <v>3.0582236241272653E-2</v>
      </c>
      <c r="BR168" s="1007">
        <f t="shared" si="175"/>
        <v>17223876</v>
      </c>
      <c r="BS168" s="1007">
        <f t="shared" si="164"/>
        <v>0</v>
      </c>
      <c r="BT168" s="1007">
        <f t="shared" si="165"/>
        <v>0</v>
      </c>
      <c r="BU168" s="1007"/>
      <c r="BV168" s="1007">
        <f t="shared" si="162"/>
        <v>0</v>
      </c>
      <c r="BW168" s="1007">
        <f t="shared" si="162"/>
        <v>0</v>
      </c>
      <c r="BX168" s="1007">
        <f t="shared" si="166"/>
        <v>0</v>
      </c>
      <c r="BY168" s="1007">
        <f t="shared" si="166"/>
        <v>0</v>
      </c>
      <c r="BZ168" s="1007"/>
      <c r="CA168" s="1007">
        <f t="shared" si="167"/>
        <v>0</v>
      </c>
      <c r="CB168" s="1007">
        <f t="shared" si="167"/>
        <v>0</v>
      </c>
      <c r="CC168" s="1007">
        <f t="shared" si="167"/>
        <v>0</v>
      </c>
      <c r="CD168" s="1007">
        <f t="shared" si="167"/>
        <v>0</v>
      </c>
      <c r="CE168" s="1007">
        <f t="shared" si="167"/>
        <v>0</v>
      </c>
      <c r="CF168" s="1007">
        <f t="shared" si="167"/>
        <v>0</v>
      </c>
      <c r="CG168" s="1007">
        <f t="shared" si="167"/>
        <v>0</v>
      </c>
      <c r="CH168" s="1007">
        <f t="shared" si="167"/>
        <v>0</v>
      </c>
      <c r="CI168" s="1007">
        <f t="shared" si="167"/>
        <v>0</v>
      </c>
      <c r="CJ168" s="1007"/>
      <c r="CK168" s="1007">
        <f t="shared" si="168"/>
        <v>0</v>
      </c>
      <c r="CL168" s="1007">
        <f t="shared" si="168"/>
        <v>17223876</v>
      </c>
      <c r="CM168" s="1010">
        <f t="shared" si="113"/>
        <v>0.29935314482520742</v>
      </c>
      <c r="CN168" s="1007">
        <f t="shared" si="176"/>
        <v>168595305</v>
      </c>
      <c r="CO168" s="1007"/>
      <c r="CP168" s="1007"/>
      <c r="CQ168" s="1007"/>
      <c r="CR168" s="1007">
        <f>+'[7]AGOSTO 2015'!$H$322+'[7]AGOSTO 2015'!$H$328+'[7]AGOSTO 2015'!$H$330+'[7]AGOSTO 2015'!$H$335</f>
        <v>149011305</v>
      </c>
      <c r="CS168" s="1007"/>
      <c r="CT168" s="1007"/>
      <c r="CU168" s="1007"/>
      <c r="CV168" s="1007"/>
      <c r="CW168" s="1007"/>
      <c r="CX168" s="1007"/>
      <c r="CY168" s="1007"/>
      <c r="CZ168" s="1007"/>
      <c r="DA168" s="1007"/>
      <c r="DB168" s="1007"/>
      <c r="DC168" s="1007"/>
      <c r="DD168" s="1007"/>
      <c r="DE168" s="1007"/>
      <c r="DF168" s="1007"/>
      <c r="DG168" s="1007"/>
      <c r="DH168" s="1007">
        <f>+'[8]SEPTIEMBRE 2015'!$H$344+'[8]SEPTIEMBRE 2015'!$H$346+'[8]SEPTIEMBRE 2015'!$H$354</f>
        <v>19584000</v>
      </c>
      <c r="DI168" s="1010">
        <f t="shared" si="115"/>
        <v>0.70064685517479264</v>
      </c>
      <c r="DJ168" s="1007">
        <f t="shared" si="177"/>
        <v>394603405</v>
      </c>
      <c r="DK168" s="1007"/>
      <c r="DL168" s="1007"/>
      <c r="DM168" s="1007"/>
      <c r="DN168" s="1007">
        <f t="shared" si="163"/>
        <v>338447151</v>
      </c>
      <c r="DO168" s="1007">
        <f t="shared" si="163"/>
        <v>0</v>
      </c>
      <c r="DP168" s="1007">
        <f t="shared" si="163"/>
        <v>0</v>
      </c>
      <c r="DQ168" s="1007">
        <f t="shared" si="163"/>
        <v>0</v>
      </c>
      <c r="DR168" s="1007"/>
      <c r="DS168" s="1007">
        <f t="shared" si="169"/>
        <v>0</v>
      </c>
      <c r="DT168" s="1007">
        <f t="shared" si="169"/>
        <v>0</v>
      </c>
      <c r="DU168" s="1007"/>
      <c r="DV168" s="1007">
        <f t="shared" si="170"/>
        <v>0</v>
      </c>
      <c r="DW168" s="1007">
        <f t="shared" si="170"/>
        <v>0</v>
      </c>
      <c r="DX168" s="1007">
        <f t="shared" si="170"/>
        <v>0</v>
      </c>
      <c r="DY168" s="1007">
        <f t="shared" si="171"/>
        <v>0</v>
      </c>
      <c r="DZ168" s="1007">
        <f t="shared" si="171"/>
        <v>0</v>
      </c>
      <c r="EA168" s="1007">
        <f t="shared" si="171"/>
        <v>0</v>
      </c>
      <c r="EB168" s="1007">
        <f t="shared" si="171"/>
        <v>0</v>
      </c>
      <c r="EC168" s="1007">
        <f t="shared" si="171"/>
        <v>0</v>
      </c>
      <c r="ED168" s="1007">
        <f t="shared" si="172"/>
        <v>56156254</v>
      </c>
    </row>
    <row r="169" spans="1:134" ht="36" customHeight="1" x14ac:dyDescent="0.25">
      <c r="A169" s="1590"/>
      <c r="B169" s="989"/>
      <c r="C169" s="852" t="s">
        <v>4530</v>
      </c>
      <c r="D169" s="1052" t="s">
        <v>4510</v>
      </c>
      <c r="E169" s="994">
        <v>211</v>
      </c>
      <c r="F169" s="1117" t="s">
        <v>4670</v>
      </c>
      <c r="G169" s="1429"/>
      <c r="H169" s="1060">
        <f t="shared" si="143"/>
        <v>3525240</v>
      </c>
      <c r="I169" s="1060">
        <f t="shared" si="144"/>
        <v>0</v>
      </c>
      <c r="J169" s="1593"/>
      <c r="K169" s="1596"/>
      <c r="L169" s="1258"/>
      <c r="M169" s="1113">
        <v>59</v>
      </c>
      <c r="N169" s="1113">
        <v>0</v>
      </c>
      <c r="O169" s="1113">
        <v>0</v>
      </c>
      <c r="P169" s="1113">
        <v>44</v>
      </c>
      <c r="Q169" s="1113">
        <v>60</v>
      </c>
      <c r="R169" s="1113">
        <v>26</v>
      </c>
      <c r="S169" s="1117"/>
      <c r="T169" s="1117"/>
      <c r="U169" s="1117"/>
      <c r="V169" s="1117"/>
      <c r="W169" s="1117"/>
      <c r="X169" s="1117"/>
      <c r="Y169" s="1007">
        <f t="shared" si="173"/>
        <v>3525240</v>
      </c>
      <c r="Z169" s="944"/>
      <c r="AA169" s="1007"/>
      <c r="AB169" s="1007"/>
      <c r="AC169" s="1007"/>
      <c r="AD169" s="1007"/>
      <c r="AE169" s="1007"/>
      <c r="AF169" s="1007"/>
      <c r="AG169" s="1007"/>
      <c r="AH169" s="1007"/>
      <c r="AI169" s="1007"/>
      <c r="AJ169" s="1007"/>
      <c r="AK169" s="1007"/>
      <c r="AL169" s="1007"/>
      <c r="AM169" s="1007"/>
      <c r="AN169" s="1007"/>
      <c r="AO169" s="1007"/>
      <c r="AP169" s="1007"/>
      <c r="AQ169" s="1007"/>
      <c r="AR169" s="1007"/>
      <c r="AS169" s="1007">
        <f>6000000+2000000-4474760</f>
        <v>3525240</v>
      </c>
      <c r="AT169" s="1007"/>
      <c r="AU169" s="1010">
        <f t="shared" si="103"/>
        <v>1</v>
      </c>
      <c r="AV169" s="1007">
        <f t="shared" si="174"/>
        <v>3525240</v>
      </c>
      <c r="AW169" s="1007"/>
      <c r="AX169" s="1007"/>
      <c r="AY169" s="1007"/>
      <c r="AZ169" s="1007"/>
      <c r="BA169" s="1007"/>
      <c r="BB169" s="1007"/>
      <c r="BC169" s="1007"/>
      <c r="BD169" s="1007"/>
      <c r="BE169" s="1007"/>
      <c r="BF169" s="1007"/>
      <c r="BG169" s="1007"/>
      <c r="BH169" s="1007"/>
      <c r="BI169" s="1007"/>
      <c r="BJ169" s="1007"/>
      <c r="BK169" s="1007"/>
      <c r="BL169" s="1007"/>
      <c r="BM169" s="1007"/>
      <c r="BN169" s="1007"/>
      <c r="BO169" s="1007"/>
      <c r="BP169" s="1007">
        <f>+'[7]AGOSTO 2015'!$AD$339</f>
        <v>3525240</v>
      </c>
      <c r="BQ169" s="1010">
        <f t="shared" si="105"/>
        <v>0</v>
      </c>
      <c r="BR169" s="1007">
        <f t="shared" si="175"/>
        <v>0</v>
      </c>
      <c r="BS169" s="1007">
        <f t="shared" si="164"/>
        <v>0</v>
      </c>
      <c r="BT169" s="1007">
        <f t="shared" si="165"/>
        <v>0</v>
      </c>
      <c r="BU169" s="1007"/>
      <c r="BV169" s="1007">
        <f t="shared" si="162"/>
        <v>0</v>
      </c>
      <c r="BW169" s="1007">
        <f t="shared" si="162"/>
        <v>0</v>
      </c>
      <c r="BX169" s="1007">
        <f t="shared" si="166"/>
        <v>0</v>
      </c>
      <c r="BY169" s="1007">
        <f t="shared" si="166"/>
        <v>0</v>
      </c>
      <c r="BZ169" s="1007"/>
      <c r="CA169" s="1007">
        <f t="shared" si="167"/>
        <v>0</v>
      </c>
      <c r="CB169" s="1007">
        <f t="shared" si="167"/>
        <v>0</v>
      </c>
      <c r="CC169" s="1007">
        <f t="shared" si="167"/>
        <v>0</v>
      </c>
      <c r="CD169" s="1007">
        <f t="shared" si="167"/>
        <v>0</v>
      </c>
      <c r="CE169" s="1007">
        <f t="shared" si="167"/>
        <v>0</v>
      </c>
      <c r="CF169" s="1007">
        <f t="shared" si="167"/>
        <v>0</v>
      </c>
      <c r="CG169" s="1007">
        <f t="shared" si="167"/>
        <v>0</v>
      </c>
      <c r="CH169" s="1007">
        <f t="shared" si="167"/>
        <v>0</v>
      </c>
      <c r="CI169" s="1007">
        <f t="shared" si="167"/>
        <v>0</v>
      </c>
      <c r="CJ169" s="1007"/>
      <c r="CK169" s="1007">
        <f t="shared" si="168"/>
        <v>0</v>
      </c>
      <c r="CL169" s="1007">
        <f t="shared" si="168"/>
        <v>0</v>
      </c>
      <c r="CM169" s="1010">
        <f t="shared" si="113"/>
        <v>1</v>
      </c>
      <c r="CN169" s="1007">
        <f t="shared" si="176"/>
        <v>3525240</v>
      </c>
      <c r="CO169" s="1007"/>
      <c r="CP169" s="1007"/>
      <c r="CQ169" s="1007"/>
      <c r="CR169" s="1007"/>
      <c r="CS169" s="1007"/>
      <c r="CT169" s="1007"/>
      <c r="CU169" s="1007"/>
      <c r="CV169" s="1007"/>
      <c r="CW169" s="1007"/>
      <c r="CX169" s="1007"/>
      <c r="CY169" s="1007"/>
      <c r="CZ169" s="1007"/>
      <c r="DA169" s="1007"/>
      <c r="DB169" s="1007"/>
      <c r="DC169" s="1007"/>
      <c r="DD169" s="1007"/>
      <c r="DE169" s="1007"/>
      <c r="DF169" s="1007"/>
      <c r="DG169" s="1007"/>
      <c r="DH169" s="1007">
        <f>+'[12]FEBRERO 2015'!$H$228</f>
        <v>3525240</v>
      </c>
      <c r="DI169" s="1010">
        <f t="shared" si="115"/>
        <v>0</v>
      </c>
      <c r="DJ169" s="1007">
        <f t="shared" si="177"/>
        <v>0</v>
      </c>
      <c r="DK169" s="1007"/>
      <c r="DL169" s="1007"/>
      <c r="DM169" s="1007"/>
      <c r="DN169" s="1007">
        <f t="shared" si="163"/>
        <v>0</v>
      </c>
      <c r="DO169" s="1007">
        <f t="shared" si="163"/>
        <v>0</v>
      </c>
      <c r="DP169" s="1007">
        <f t="shared" si="163"/>
        <v>0</v>
      </c>
      <c r="DQ169" s="1007">
        <f t="shared" si="163"/>
        <v>0</v>
      </c>
      <c r="DR169" s="1007"/>
      <c r="DS169" s="1007">
        <f t="shared" si="169"/>
        <v>0</v>
      </c>
      <c r="DT169" s="1007">
        <f t="shared" si="169"/>
        <v>0</v>
      </c>
      <c r="DU169" s="1007"/>
      <c r="DV169" s="1007">
        <f t="shared" si="170"/>
        <v>0</v>
      </c>
      <c r="DW169" s="1007">
        <f t="shared" si="170"/>
        <v>0</v>
      </c>
      <c r="DX169" s="1007">
        <f t="shared" si="170"/>
        <v>0</v>
      </c>
      <c r="DY169" s="1007">
        <f t="shared" si="171"/>
        <v>0</v>
      </c>
      <c r="DZ169" s="1007">
        <f t="shared" si="171"/>
        <v>0</v>
      </c>
      <c r="EA169" s="1007">
        <f t="shared" si="171"/>
        <v>0</v>
      </c>
      <c r="EB169" s="1007">
        <f t="shared" si="171"/>
        <v>0</v>
      </c>
      <c r="EC169" s="1007">
        <f t="shared" si="171"/>
        <v>0</v>
      </c>
      <c r="ED169" s="1007">
        <f t="shared" si="172"/>
        <v>0</v>
      </c>
    </row>
    <row r="170" spans="1:134" ht="29.25" customHeight="1" x14ac:dyDescent="0.25">
      <c r="A170" s="1590"/>
      <c r="B170" s="989"/>
      <c r="C170" s="852" t="s">
        <v>4531</v>
      </c>
      <c r="D170" s="1018" t="s">
        <v>4511</v>
      </c>
      <c r="E170" s="994">
        <v>211</v>
      </c>
      <c r="F170" s="1117" t="s">
        <v>4482</v>
      </c>
      <c r="G170" s="1429"/>
      <c r="H170" s="1060">
        <f t="shared" si="143"/>
        <v>293993067</v>
      </c>
      <c r="I170" s="1060">
        <f t="shared" si="144"/>
        <v>21537385</v>
      </c>
      <c r="J170" s="1428">
        <v>60</v>
      </c>
      <c r="K170" s="1257">
        <v>117</v>
      </c>
      <c r="L170" s="1257">
        <v>117</v>
      </c>
      <c r="M170" s="1113">
        <v>56</v>
      </c>
      <c r="N170" s="1113">
        <v>0</v>
      </c>
      <c r="O170" s="1113">
        <v>0</v>
      </c>
      <c r="P170" s="1113">
        <v>49</v>
      </c>
      <c r="Q170" s="1113">
        <v>51</v>
      </c>
      <c r="R170" s="1113">
        <v>25</v>
      </c>
      <c r="S170" s="1117"/>
      <c r="T170" s="1117"/>
      <c r="U170" s="1117"/>
      <c r="V170" s="1117"/>
      <c r="W170" s="1117"/>
      <c r="X170" s="1117"/>
      <c r="Y170" s="1007">
        <f t="shared" si="173"/>
        <v>315530452</v>
      </c>
      <c r="Z170" s="944"/>
      <c r="AA170" s="944"/>
      <c r="AB170" s="944"/>
      <c r="AC170" s="1007">
        <v>80000000</v>
      </c>
      <c r="AD170" s="944"/>
      <c r="AE170" s="1007">
        <v>210000000</v>
      </c>
      <c r="AF170" s="1007"/>
      <c r="AG170" s="1007"/>
      <c r="AH170" s="1007"/>
      <c r="AI170" s="1007"/>
      <c r="AJ170" s="1007"/>
      <c r="AK170" s="1007"/>
      <c r="AL170" s="1007"/>
      <c r="AM170" s="1007"/>
      <c r="AN170" s="1007"/>
      <c r="AO170" s="1007">
        <v>25530452</v>
      </c>
      <c r="AP170" s="1007"/>
      <c r="AQ170" s="1007"/>
      <c r="AR170" s="1007"/>
      <c r="AS170" s="1007"/>
      <c r="AT170" s="1007"/>
      <c r="AU170" s="1010">
        <f t="shared" si="103"/>
        <v>0.99152227627145162</v>
      </c>
      <c r="AV170" s="1007">
        <f t="shared" si="174"/>
        <v>312855472</v>
      </c>
      <c r="AW170" s="1007"/>
      <c r="AX170" s="1007"/>
      <c r="AY170" s="1007"/>
      <c r="AZ170" s="1007">
        <f>+'[8]SEPTIEMBRE 2015'!$M$371</f>
        <v>77325020</v>
      </c>
      <c r="BA170" s="1007"/>
      <c r="BB170" s="1007">
        <f>+'[13]JUNIO 2015'!$O$297</f>
        <v>210000000</v>
      </c>
      <c r="BC170" s="1007"/>
      <c r="BD170" s="1007"/>
      <c r="BE170" s="1007"/>
      <c r="BF170" s="1007"/>
      <c r="BG170" s="1007"/>
      <c r="BH170" s="1007"/>
      <c r="BI170" s="1007"/>
      <c r="BJ170" s="1007"/>
      <c r="BK170" s="1007"/>
      <c r="BL170" s="1007">
        <f>+'[13]JUNIO 2015'!$Y$297</f>
        <v>25530452</v>
      </c>
      <c r="BM170" s="1007"/>
      <c r="BN170" s="1007"/>
      <c r="BO170" s="1007"/>
      <c r="BP170" s="1007"/>
      <c r="BQ170" s="1010">
        <f t="shared" si="105"/>
        <v>8.4777237285483809E-3</v>
      </c>
      <c r="BR170" s="1007">
        <f t="shared" si="175"/>
        <v>2674980</v>
      </c>
      <c r="BS170" s="1007">
        <f t="shared" si="164"/>
        <v>0</v>
      </c>
      <c r="BT170" s="1007">
        <f t="shared" si="165"/>
        <v>0</v>
      </c>
      <c r="BU170" s="1007"/>
      <c r="BV170" s="1007">
        <f t="shared" si="162"/>
        <v>2674980</v>
      </c>
      <c r="BW170" s="1007">
        <f t="shared" si="162"/>
        <v>0</v>
      </c>
      <c r="BX170" s="1007">
        <f t="shared" si="166"/>
        <v>0</v>
      </c>
      <c r="BY170" s="1007">
        <f t="shared" si="166"/>
        <v>0</v>
      </c>
      <c r="BZ170" s="1007"/>
      <c r="CA170" s="1007">
        <f t="shared" si="167"/>
        <v>0</v>
      </c>
      <c r="CB170" s="1007">
        <f t="shared" si="167"/>
        <v>0</v>
      </c>
      <c r="CC170" s="1007">
        <f t="shared" si="167"/>
        <v>0</v>
      </c>
      <c r="CD170" s="1007">
        <f t="shared" si="167"/>
        <v>0</v>
      </c>
      <c r="CE170" s="1007">
        <f t="shared" si="167"/>
        <v>0</v>
      </c>
      <c r="CF170" s="1007">
        <f t="shared" si="167"/>
        <v>0</v>
      </c>
      <c r="CG170" s="1007">
        <f t="shared" si="167"/>
        <v>0</v>
      </c>
      <c r="CH170" s="1007">
        <f t="shared" si="167"/>
        <v>0</v>
      </c>
      <c r="CI170" s="1007">
        <f t="shared" si="167"/>
        <v>0</v>
      </c>
      <c r="CJ170" s="1007"/>
      <c r="CK170" s="1007">
        <f t="shared" si="168"/>
        <v>0</v>
      </c>
      <c r="CL170" s="1007">
        <f t="shared" si="168"/>
        <v>0</v>
      </c>
      <c r="CM170" s="1010">
        <f t="shared" si="113"/>
        <v>0.93174229345064929</v>
      </c>
      <c r="CN170" s="1007">
        <f t="shared" si="176"/>
        <v>293993067</v>
      </c>
      <c r="CO170" s="1007"/>
      <c r="CP170" s="1007"/>
      <c r="CQ170" s="1007"/>
      <c r="CR170" s="1007">
        <f>+'[8]SEPTIEMBRE 2015'!$H$400</f>
        <v>77280360</v>
      </c>
      <c r="CS170" s="1007"/>
      <c r="CT170" s="1007">
        <f>+'[10]JULIO 2015'!$H$332+'[10]JULIO 2015'!$H$347</f>
        <v>208736238</v>
      </c>
      <c r="CU170" s="1007"/>
      <c r="CV170" s="1007"/>
      <c r="CW170" s="1007"/>
      <c r="CX170" s="1007"/>
      <c r="CY170" s="1007"/>
      <c r="CZ170" s="1007"/>
      <c r="DA170" s="1007"/>
      <c r="DB170" s="1007"/>
      <c r="DC170" s="1007"/>
      <c r="DD170" s="1007">
        <f>+'[10]JULIO 2015'!$H$358</f>
        <v>7976469</v>
      </c>
      <c r="DE170" s="1007"/>
      <c r="DF170" s="1007"/>
      <c r="DG170" s="1007"/>
      <c r="DH170" s="1007"/>
      <c r="DI170" s="1010">
        <f t="shared" si="115"/>
        <v>6.8257706549350705E-2</v>
      </c>
      <c r="DJ170" s="1007">
        <f t="shared" si="177"/>
        <v>21537385</v>
      </c>
      <c r="DK170" s="1007"/>
      <c r="DL170" s="1007"/>
      <c r="DM170" s="1007"/>
      <c r="DN170" s="1007">
        <f t="shared" si="163"/>
        <v>2719640</v>
      </c>
      <c r="DO170" s="1007">
        <f t="shared" si="163"/>
        <v>0</v>
      </c>
      <c r="DP170" s="1007">
        <f t="shared" si="163"/>
        <v>1263762</v>
      </c>
      <c r="DQ170" s="1007">
        <f t="shared" si="163"/>
        <v>0</v>
      </c>
      <c r="DR170" s="1007"/>
      <c r="DS170" s="1007">
        <f t="shared" si="169"/>
        <v>0</v>
      </c>
      <c r="DT170" s="1007">
        <f t="shared" si="169"/>
        <v>0</v>
      </c>
      <c r="DU170" s="1007"/>
      <c r="DV170" s="1007">
        <f t="shared" si="170"/>
        <v>0</v>
      </c>
      <c r="DW170" s="1007">
        <f t="shared" si="170"/>
        <v>0</v>
      </c>
      <c r="DX170" s="1007">
        <f t="shared" si="170"/>
        <v>0</v>
      </c>
      <c r="DY170" s="1007">
        <f t="shared" si="171"/>
        <v>0</v>
      </c>
      <c r="DZ170" s="1007">
        <f t="shared" si="171"/>
        <v>17553983</v>
      </c>
      <c r="EA170" s="1007">
        <f t="shared" si="171"/>
        <v>0</v>
      </c>
      <c r="EB170" s="1007">
        <f t="shared" si="171"/>
        <v>0</v>
      </c>
      <c r="EC170" s="1007">
        <f t="shared" si="171"/>
        <v>0</v>
      </c>
      <c r="ED170" s="1007">
        <f t="shared" si="172"/>
        <v>0</v>
      </c>
    </row>
    <row r="171" spans="1:134" ht="50.25" customHeight="1" x14ac:dyDescent="0.25">
      <c r="A171" s="1590"/>
      <c r="B171" s="989"/>
      <c r="C171" s="852" t="s">
        <v>4532</v>
      </c>
      <c r="D171" s="1018" t="s">
        <v>4746</v>
      </c>
      <c r="E171" s="994">
        <v>211</v>
      </c>
      <c r="F171" s="1117" t="s">
        <v>4744</v>
      </c>
      <c r="G171" s="1429"/>
      <c r="H171" s="1060">
        <f t="shared" si="143"/>
        <v>0</v>
      </c>
      <c r="I171" s="1060">
        <f t="shared" si="144"/>
        <v>5000000</v>
      </c>
      <c r="J171" s="1429"/>
      <c r="K171" s="1562"/>
      <c r="L171" s="1562"/>
      <c r="M171" s="1113">
        <v>0</v>
      </c>
      <c r="N171" s="1113">
        <v>0</v>
      </c>
      <c r="O171" s="1113">
        <v>0</v>
      </c>
      <c r="P171" s="1113">
        <v>0</v>
      </c>
      <c r="Q171" s="1113">
        <v>0</v>
      </c>
      <c r="R171" s="1113">
        <v>0</v>
      </c>
      <c r="S171" s="1117"/>
      <c r="T171" s="1117"/>
      <c r="U171" s="1117"/>
      <c r="V171" s="1117"/>
      <c r="W171" s="1117"/>
      <c r="X171" s="1117"/>
      <c r="Y171" s="1007">
        <f t="shared" si="173"/>
        <v>5000000</v>
      </c>
      <c r="Z171" s="944"/>
      <c r="AA171" s="944"/>
      <c r="AB171" s="944"/>
      <c r="AC171" s="944">
        <f>97849888-97849888</f>
        <v>0</v>
      </c>
      <c r="AD171" s="944"/>
      <c r="AE171" s="1007"/>
      <c r="AF171" s="1007">
        <f>97849888-97849888</f>
        <v>0</v>
      </c>
      <c r="AG171" s="1007"/>
      <c r="AH171" s="1007"/>
      <c r="AI171" s="1007"/>
      <c r="AJ171" s="1007"/>
      <c r="AK171" s="1007"/>
      <c r="AL171" s="1007"/>
      <c r="AM171" s="1007"/>
      <c r="AN171" s="1007"/>
      <c r="AO171" s="1007"/>
      <c r="AP171" s="1007"/>
      <c r="AQ171" s="1007"/>
      <c r="AR171" s="1007"/>
      <c r="AS171" s="1007">
        <f>5000000</f>
        <v>5000000</v>
      </c>
      <c r="AT171" s="1007"/>
      <c r="AU171" s="1010">
        <f t="shared" si="103"/>
        <v>1</v>
      </c>
      <c r="AV171" s="1007">
        <f t="shared" si="174"/>
        <v>5000000</v>
      </c>
      <c r="AW171" s="1007"/>
      <c r="AX171" s="1007"/>
      <c r="AY171" s="1007"/>
      <c r="AZ171" s="1007"/>
      <c r="BA171" s="1007"/>
      <c r="BB171" s="1007"/>
      <c r="BC171" s="1007"/>
      <c r="BD171" s="1007"/>
      <c r="BE171" s="1007"/>
      <c r="BF171" s="1007"/>
      <c r="BG171" s="1007"/>
      <c r="BH171" s="1007"/>
      <c r="BI171" s="1007"/>
      <c r="BJ171" s="1007"/>
      <c r="BK171" s="1007"/>
      <c r="BL171" s="1007"/>
      <c r="BM171" s="1007"/>
      <c r="BN171" s="1007"/>
      <c r="BO171" s="1007"/>
      <c r="BP171" s="1007">
        <f>+'[10]JULIO 2015'!$AD$363</f>
        <v>5000000</v>
      </c>
      <c r="BQ171" s="1010">
        <f t="shared" si="105"/>
        <v>0</v>
      </c>
      <c r="BR171" s="1007">
        <f t="shared" si="175"/>
        <v>0</v>
      </c>
      <c r="BS171" s="1007">
        <f t="shared" si="164"/>
        <v>0</v>
      </c>
      <c r="BT171" s="1007">
        <f t="shared" si="165"/>
        <v>0</v>
      </c>
      <c r="BU171" s="1007"/>
      <c r="BV171" s="1007">
        <f t="shared" si="162"/>
        <v>0</v>
      </c>
      <c r="BW171" s="1007">
        <f t="shared" si="162"/>
        <v>0</v>
      </c>
      <c r="BX171" s="1007">
        <f t="shared" si="166"/>
        <v>0</v>
      </c>
      <c r="BY171" s="1007">
        <f t="shared" si="166"/>
        <v>0</v>
      </c>
      <c r="BZ171" s="1007"/>
      <c r="CA171" s="1007">
        <f t="shared" si="167"/>
        <v>0</v>
      </c>
      <c r="CB171" s="1007">
        <f t="shared" si="167"/>
        <v>0</v>
      </c>
      <c r="CC171" s="1007">
        <f t="shared" si="167"/>
        <v>0</v>
      </c>
      <c r="CD171" s="1007">
        <f t="shared" si="167"/>
        <v>0</v>
      </c>
      <c r="CE171" s="1007">
        <f t="shared" si="167"/>
        <v>0</v>
      </c>
      <c r="CF171" s="1007">
        <f t="shared" si="167"/>
        <v>0</v>
      </c>
      <c r="CG171" s="1007">
        <f t="shared" si="167"/>
        <v>0</v>
      </c>
      <c r="CH171" s="1007">
        <f t="shared" si="167"/>
        <v>0</v>
      </c>
      <c r="CI171" s="1007">
        <f t="shared" si="167"/>
        <v>0</v>
      </c>
      <c r="CJ171" s="1007"/>
      <c r="CK171" s="1007">
        <f t="shared" si="168"/>
        <v>0</v>
      </c>
      <c r="CL171" s="1007">
        <f t="shared" si="168"/>
        <v>0</v>
      </c>
      <c r="CM171" s="1010">
        <f t="shared" si="113"/>
        <v>0</v>
      </c>
      <c r="CN171" s="1007">
        <f t="shared" si="176"/>
        <v>0</v>
      </c>
      <c r="CO171" s="1007"/>
      <c r="CP171" s="1007"/>
      <c r="CQ171" s="1007"/>
      <c r="CR171" s="1007"/>
      <c r="CS171" s="1007"/>
      <c r="CT171" s="1007"/>
      <c r="CU171" s="1007"/>
      <c r="CV171" s="1007"/>
      <c r="CW171" s="1007"/>
      <c r="CX171" s="1007"/>
      <c r="CY171" s="1007"/>
      <c r="CZ171" s="1007"/>
      <c r="DA171" s="1007"/>
      <c r="DB171" s="1007"/>
      <c r="DC171" s="1007"/>
      <c r="DD171" s="1007"/>
      <c r="DE171" s="1007"/>
      <c r="DF171" s="1007"/>
      <c r="DG171" s="1007"/>
      <c r="DH171" s="1007"/>
      <c r="DI171" s="1010">
        <f t="shared" si="115"/>
        <v>1</v>
      </c>
      <c r="DJ171" s="1007">
        <f t="shared" si="177"/>
        <v>5000000</v>
      </c>
      <c r="DK171" s="1007"/>
      <c r="DL171" s="1007"/>
      <c r="DM171" s="1007"/>
      <c r="DN171" s="1007">
        <f t="shared" si="163"/>
        <v>0</v>
      </c>
      <c r="DO171" s="1007">
        <f t="shared" si="163"/>
        <v>0</v>
      </c>
      <c r="DP171" s="1007">
        <f t="shared" si="163"/>
        <v>0</v>
      </c>
      <c r="DQ171" s="1007">
        <f t="shared" si="163"/>
        <v>0</v>
      </c>
      <c r="DR171" s="1007"/>
      <c r="DS171" s="1007">
        <f t="shared" si="169"/>
        <v>0</v>
      </c>
      <c r="DT171" s="1007">
        <f t="shared" si="169"/>
        <v>0</v>
      </c>
      <c r="DU171" s="1007"/>
      <c r="DV171" s="1007">
        <f t="shared" si="170"/>
        <v>0</v>
      </c>
      <c r="DW171" s="1007">
        <f t="shared" si="170"/>
        <v>0</v>
      </c>
      <c r="DX171" s="1007">
        <f t="shared" si="170"/>
        <v>0</v>
      </c>
      <c r="DY171" s="1007">
        <f t="shared" si="171"/>
        <v>0</v>
      </c>
      <c r="DZ171" s="1007">
        <f t="shared" si="171"/>
        <v>0</v>
      </c>
      <c r="EA171" s="1007">
        <f t="shared" si="171"/>
        <v>0</v>
      </c>
      <c r="EB171" s="1007">
        <f t="shared" si="171"/>
        <v>0</v>
      </c>
      <c r="EC171" s="1007">
        <f t="shared" si="171"/>
        <v>0</v>
      </c>
      <c r="ED171" s="1007">
        <f t="shared" si="172"/>
        <v>5000000</v>
      </c>
    </row>
    <row r="172" spans="1:134" ht="51.75" customHeight="1" x14ac:dyDescent="0.25">
      <c r="A172" s="1590"/>
      <c r="B172" s="989"/>
      <c r="C172" s="852" t="s">
        <v>4533</v>
      </c>
      <c r="D172" s="1018" t="s">
        <v>4537</v>
      </c>
      <c r="E172" s="994">
        <v>211</v>
      </c>
      <c r="F172" s="1117" t="s">
        <v>4512</v>
      </c>
      <c r="G172" s="1429"/>
      <c r="H172" s="1060">
        <f t="shared" si="143"/>
        <v>14364850</v>
      </c>
      <c r="I172" s="1060">
        <f t="shared" si="144"/>
        <v>27985262</v>
      </c>
      <c r="J172" s="1430"/>
      <c r="K172" s="1258"/>
      <c r="L172" s="1258"/>
      <c r="M172" s="1113">
        <v>21</v>
      </c>
      <c r="N172" s="1113">
        <v>0</v>
      </c>
      <c r="O172" s="1113">
        <v>0</v>
      </c>
      <c r="P172" s="1113">
        <v>10</v>
      </c>
      <c r="Q172" s="1113">
        <v>20</v>
      </c>
      <c r="R172" s="1113">
        <v>2</v>
      </c>
      <c r="S172" s="1117"/>
      <c r="T172" s="1117"/>
      <c r="U172" s="1117"/>
      <c r="V172" s="1117"/>
      <c r="W172" s="1117"/>
      <c r="X172" s="1117"/>
      <c r="Y172" s="1007">
        <f t="shared" si="173"/>
        <v>42350112</v>
      </c>
      <c r="Z172" s="944"/>
      <c r="AA172" s="1007"/>
      <c r="AB172" s="1007"/>
      <c r="AC172" s="1007"/>
      <c r="AD172" s="1007"/>
      <c r="AE172" s="1007"/>
      <c r="AF172" s="1007"/>
      <c r="AG172" s="1007"/>
      <c r="AH172" s="1007"/>
      <c r="AI172" s="1007"/>
      <c r="AJ172" s="1007"/>
      <c r="AK172" s="1007"/>
      <c r="AL172" s="1007"/>
      <c r="AM172" s="1007"/>
      <c r="AN172" s="1007"/>
      <c r="AO172" s="1007"/>
      <c r="AP172" s="1007"/>
      <c r="AQ172" s="1007"/>
      <c r="AR172" s="1007"/>
      <c r="AS172" s="1007">
        <f>8134775+1015337+11000000+21000000+1200000</f>
        <v>42350112</v>
      </c>
      <c r="AT172" s="1007"/>
      <c r="AU172" s="1010">
        <f t="shared" si="103"/>
        <v>0.57491994354111742</v>
      </c>
      <c r="AV172" s="1007">
        <f t="shared" si="174"/>
        <v>24347924</v>
      </c>
      <c r="AW172" s="1007"/>
      <c r="AX172" s="1007"/>
      <c r="AY172" s="1007"/>
      <c r="AZ172" s="1007"/>
      <c r="BA172" s="1007"/>
      <c r="BB172" s="1007"/>
      <c r="BC172" s="1007"/>
      <c r="BD172" s="1007"/>
      <c r="BE172" s="1007"/>
      <c r="BF172" s="1007"/>
      <c r="BG172" s="1007"/>
      <c r="BH172" s="1007"/>
      <c r="BI172" s="1007"/>
      <c r="BJ172" s="1007"/>
      <c r="BK172" s="1007"/>
      <c r="BL172" s="1007"/>
      <c r="BM172" s="1007"/>
      <c r="BN172" s="1007"/>
      <c r="BO172" s="1007"/>
      <c r="BP172" s="1007">
        <f>+'[8]SEPTIEMBRE 2015'!$AD$411</f>
        <v>24347924</v>
      </c>
      <c r="BQ172" s="1010">
        <f t="shared" si="105"/>
        <v>0.42508005645888258</v>
      </c>
      <c r="BR172" s="1007">
        <f t="shared" si="175"/>
        <v>18002188</v>
      </c>
      <c r="BS172" s="1007">
        <f t="shared" si="164"/>
        <v>0</v>
      </c>
      <c r="BT172" s="1007">
        <f t="shared" si="165"/>
        <v>0</v>
      </c>
      <c r="BU172" s="1007"/>
      <c r="BV172" s="1007">
        <f t="shared" si="162"/>
        <v>0</v>
      </c>
      <c r="BW172" s="1007">
        <f t="shared" si="162"/>
        <v>0</v>
      </c>
      <c r="BX172" s="1007">
        <f t="shared" si="166"/>
        <v>0</v>
      </c>
      <c r="BY172" s="1007">
        <f t="shared" si="166"/>
        <v>0</v>
      </c>
      <c r="BZ172" s="1007"/>
      <c r="CA172" s="1007">
        <f t="shared" si="167"/>
        <v>0</v>
      </c>
      <c r="CB172" s="1007">
        <f t="shared" si="167"/>
        <v>0</v>
      </c>
      <c r="CC172" s="1007">
        <f t="shared" si="167"/>
        <v>0</v>
      </c>
      <c r="CD172" s="1007">
        <f t="shared" si="167"/>
        <v>0</v>
      </c>
      <c r="CE172" s="1007">
        <f t="shared" si="167"/>
        <v>0</v>
      </c>
      <c r="CF172" s="1007">
        <f t="shared" si="167"/>
        <v>0</v>
      </c>
      <c r="CG172" s="1007">
        <f t="shared" si="167"/>
        <v>0</v>
      </c>
      <c r="CH172" s="1007">
        <f t="shared" si="167"/>
        <v>0</v>
      </c>
      <c r="CI172" s="1007">
        <f t="shared" si="167"/>
        <v>0</v>
      </c>
      <c r="CJ172" s="1007"/>
      <c r="CK172" s="1007">
        <f t="shared" si="168"/>
        <v>0</v>
      </c>
      <c r="CL172" s="1007">
        <f t="shared" si="168"/>
        <v>18002188</v>
      </c>
      <c r="CM172" s="1010">
        <f t="shared" si="113"/>
        <v>0.33919272751864271</v>
      </c>
      <c r="CN172" s="1007">
        <f t="shared" si="176"/>
        <v>14364850</v>
      </c>
      <c r="CO172" s="1007"/>
      <c r="CP172" s="1007"/>
      <c r="CQ172" s="1007"/>
      <c r="CR172" s="1007"/>
      <c r="CS172" s="1007"/>
      <c r="CT172" s="1007"/>
      <c r="CU172" s="1007"/>
      <c r="CV172" s="1007"/>
      <c r="CW172" s="1007"/>
      <c r="CX172" s="1007"/>
      <c r="CY172" s="1007"/>
      <c r="CZ172" s="1007"/>
      <c r="DA172" s="1007"/>
      <c r="DB172" s="1007"/>
      <c r="DC172" s="1007"/>
      <c r="DD172" s="1007"/>
      <c r="DE172" s="1007"/>
      <c r="DF172" s="1007"/>
      <c r="DG172" s="1007"/>
      <c r="DH172" s="1007">
        <f>+'[8]SEPTIEMBRE 2015'!$H$409</f>
        <v>14364850</v>
      </c>
      <c r="DI172" s="1010">
        <f t="shared" si="115"/>
        <v>0.66080727248135729</v>
      </c>
      <c r="DJ172" s="1007">
        <f t="shared" si="177"/>
        <v>27985262</v>
      </c>
      <c r="DK172" s="1007"/>
      <c r="DL172" s="1007"/>
      <c r="DM172" s="1007"/>
      <c r="DN172" s="1007">
        <f t="shared" si="163"/>
        <v>0</v>
      </c>
      <c r="DO172" s="1007">
        <f t="shared" si="163"/>
        <v>0</v>
      </c>
      <c r="DP172" s="1007">
        <f t="shared" si="163"/>
        <v>0</v>
      </c>
      <c r="DQ172" s="1007">
        <f t="shared" si="163"/>
        <v>0</v>
      </c>
      <c r="DR172" s="1007"/>
      <c r="DS172" s="1007">
        <f t="shared" si="169"/>
        <v>0</v>
      </c>
      <c r="DT172" s="1007">
        <f t="shared" si="169"/>
        <v>0</v>
      </c>
      <c r="DU172" s="1007"/>
      <c r="DV172" s="1007">
        <f t="shared" si="170"/>
        <v>0</v>
      </c>
      <c r="DW172" s="1007">
        <f t="shared" si="170"/>
        <v>0</v>
      </c>
      <c r="DX172" s="1007">
        <f t="shared" si="170"/>
        <v>0</v>
      </c>
      <c r="DY172" s="1007">
        <f t="shared" si="171"/>
        <v>0</v>
      </c>
      <c r="DZ172" s="1007">
        <f t="shared" si="171"/>
        <v>0</v>
      </c>
      <c r="EA172" s="1007">
        <f t="shared" si="171"/>
        <v>0</v>
      </c>
      <c r="EB172" s="1007">
        <f t="shared" si="171"/>
        <v>0</v>
      </c>
      <c r="EC172" s="1007">
        <f t="shared" si="171"/>
        <v>0</v>
      </c>
      <c r="ED172" s="1007">
        <f t="shared" si="172"/>
        <v>27985262</v>
      </c>
    </row>
    <row r="173" spans="1:134" ht="51.75" customHeight="1" x14ac:dyDescent="0.25">
      <c r="A173" s="1590"/>
      <c r="B173" s="989"/>
      <c r="C173" s="852" t="s">
        <v>4679</v>
      </c>
      <c r="D173" s="1018" t="s">
        <v>4682</v>
      </c>
      <c r="E173" s="994">
        <v>211</v>
      </c>
      <c r="F173" s="1117" t="s">
        <v>4482</v>
      </c>
      <c r="G173" s="1429"/>
      <c r="H173" s="1060">
        <f t="shared" si="143"/>
        <v>0</v>
      </c>
      <c r="I173" s="1060">
        <f t="shared" si="144"/>
        <v>92524043</v>
      </c>
      <c r="J173" s="1428">
        <v>0</v>
      </c>
      <c r="K173" s="1606">
        <v>1</v>
      </c>
      <c r="L173" s="1257">
        <v>100</v>
      </c>
      <c r="M173" s="1113">
        <v>0</v>
      </c>
      <c r="N173" s="1113">
        <v>0</v>
      </c>
      <c r="O173" s="1113">
        <v>0</v>
      </c>
      <c r="P173" s="1113">
        <v>0</v>
      </c>
      <c r="Q173" s="1113">
        <v>0</v>
      </c>
      <c r="R173" s="1113">
        <v>0</v>
      </c>
      <c r="S173" s="1117"/>
      <c r="T173" s="1117"/>
      <c r="U173" s="1117"/>
      <c r="V173" s="1117"/>
      <c r="W173" s="1117"/>
      <c r="X173" s="1117"/>
      <c r="Y173" s="1007">
        <f t="shared" si="173"/>
        <v>92524043</v>
      </c>
      <c r="Z173" s="944"/>
      <c r="AA173" s="1007"/>
      <c r="AB173" s="1007"/>
      <c r="AC173" s="1007"/>
      <c r="AD173" s="1007"/>
      <c r="AE173" s="1007"/>
      <c r="AF173" s="1007"/>
      <c r="AG173" s="1007"/>
      <c r="AH173" s="1007"/>
      <c r="AI173" s="1007"/>
      <c r="AJ173" s="1007"/>
      <c r="AK173" s="1007"/>
      <c r="AL173" s="1007"/>
      <c r="AM173" s="1007"/>
      <c r="AN173" s="1007"/>
      <c r="AO173" s="1007"/>
      <c r="AP173" s="1007"/>
      <c r="AQ173" s="1007"/>
      <c r="AR173" s="1007">
        <v>92524043</v>
      </c>
      <c r="AS173" s="1007"/>
      <c r="AT173" s="1007"/>
      <c r="AU173" s="1010">
        <f t="shared" si="103"/>
        <v>1</v>
      </c>
      <c r="AV173" s="1007">
        <f t="shared" si="174"/>
        <v>92524043</v>
      </c>
      <c r="AW173" s="1007"/>
      <c r="AX173" s="1007"/>
      <c r="AY173" s="1007"/>
      <c r="AZ173" s="1007"/>
      <c r="BA173" s="1007"/>
      <c r="BB173" s="1007"/>
      <c r="BC173" s="1007"/>
      <c r="BD173" s="1007"/>
      <c r="BE173" s="1007"/>
      <c r="BF173" s="1007"/>
      <c r="BG173" s="1007"/>
      <c r="BH173" s="1007"/>
      <c r="BI173" s="1007"/>
      <c r="BJ173" s="1007"/>
      <c r="BK173" s="1007"/>
      <c r="BL173" s="1007"/>
      <c r="BM173" s="1007"/>
      <c r="BN173" s="1007"/>
      <c r="BO173" s="1007">
        <f>+'[7]AGOSTO 2015'!$AC$401</f>
        <v>92524043</v>
      </c>
      <c r="BP173" s="1007"/>
      <c r="BQ173" s="1010">
        <f t="shared" si="105"/>
        <v>0</v>
      </c>
      <c r="BR173" s="1007">
        <f t="shared" si="175"/>
        <v>0</v>
      </c>
      <c r="BS173" s="1007">
        <f t="shared" si="164"/>
        <v>0</v>
      </c>
      <c r="BT173" s="1007">
        <f t="shared" si="165"/>
        <v>0</v>
      </c>
      <c r="BU173" s="1007"/>
      <c r="BV173" s="1007">
        <f t="shared" si="162"/>
        <v>0</v>
      </c>
      <c r="BW173" s="1007">
        <f t="shared" si="162"/>
        <v>0</v>
      </c>
      <c r="BX173" s="1007">
        <f t="shared" si="166"/>
        <v>0</v>
      </c>
      <c r="BY173" s="1007">
        <f t="shared" si="166"/>
        <v>0</v>
      </c>
      <c r="BZ173" s="1007"/>
      <c r="CA173" s="1007">
        <f t="shared" si="167"/>
        <v>0</v>
      </c>
      <c r="CB173" s="1007">
        <f t="shared" si="167"/>
        <v>0</v>
      </c>
      <c r="CC173" s="1007">
        <f t="shared" si="167"/>
        <v>0</v>
      </c>
      <c r="CD173" s="1007">
        <f t="shared" si="167"/>
        <v>0</v>
      </c>
      <c r="CE173" s="1007">
        <f t="shared" si="167"/>
        <v>0</v>
      </c>
      <c r="CF173" s="1007">
        <f t="shared" si="167"/>
        <v>0</v>
      </c>
      <c r="CG173" s="1007">
        <f t="shared" si="167"/>
        <v>0</v>
      </c>
      <c r="CH173" s="1007">
        <f t="shared" si="167"/>
        <v>0</v>
      </c>
      <c r="CI173" s="1007">
        <f t="shared" si="167"/>
        <v>0</v>
      </c>
      <c r="CJ173" s="1007"/>
      <c r="CK173" s="1007">
        <f t="shared" si="168"/>
        <v>0</v>
      </c>
      <c r="CL173" s="1007">
        <f t="shared" si="168"/>
        <v>0</v>
      </c>
      <c r="CM173" s="1010">
        <f t="shared" si="113"/>
        <v>0</v>
      </c>
      <c r="CN173" s="1007">
        <f t="shared" si="176"/>
        <v>0</v>
      </c>
      <c r="CO173" s="1007"/>
      <c r="CP173" s="1007"/>
      <c r="CQ173" s="1007"/>
      <c r="CR173" s="1007"/>
      <c r="CS173" s="1007"/>
      <c r="CT173" s="1007"/>
      <c r="CU173" s="1007"/>
      <c r="CV173" s="1007"/>
      <c r="CW173" s="1007"/>
      <c r="CX173" s="1007"/>
      <c r="CY173" s="1007"/>
      <c r="CZ173" s="1007"/>
      <c r="DA173" s="1007"/>
      <c r="DB173" s="1007"/>
      <c r="DC173" s="1007"/>
      <c r="DD173" s="1007"/>
      <c r="DE173" s="1007"/>
      <c r="DF173" s="1007"/>
      <c r="DG173" s="1007"/>
      <c r="DH173" s="1007"/>
      <c r="DI173" s="1010">
        <f t="shared" si="115"/>
        <v>1</v>
      </c>
      <c r="DJ173" s="1007">
        <f t="shared" si="177"/>
        <v>92524043</v>
      </c>
      <c r="DK173" s="1007"/>
      <c r="DL173" s="1007"/>
      <c r="DM173" s="1007"/>
      <c r="DN173" s="1007">
        <f t="shared" si="163"/>
        <v>0</v>
      </c>
      <c r="DO173" s="1007">
        <f t="shared" si="163"/>
        <v>0</v>
      </c>
      <c r="DP173" s="1007">
        <f t="shared" si="163"/>
        <v>0</v>
      </c>
      <c r="DQ173" s="1007">
        <f t="shared" si="163"/>
        <v>0</v>
      </c>
      <c r="DR173" s="1007"/>
      <c r="DS173" s="1007">
        <f t="shared" si="169"/>
        <v>0</v>
      </c>
      <c r="DT173" s="1007">
        <f t="shared" si="169"/>
        <v>0</v>
      </c>
      <c r="DU173" s="1007"/>
      <c r="DV173" s="1007">
        <f t="shared" si="170"/>
        <v>0</v>
      </c>
      <c r="DW173" s="1007">
        <f t="shared" si="170"/>
        <v>0</v>
      </c>
      <c r="DX173" s="1007">
        <f t="shared" si="170"/>
        <v>0</v>
      </c>
      <c r="DY173" s="1007">
        <f t="shared" si="171"/>
        <v>0</v>
      </c>
      <c r="DZ173" s="1007">
        <f t="shared" si="171"/>
        <v>0</v>
      </c>
      <c r="EA173" s="1007">
        <f t="shared" si="171"/>
        <v>0</v>
      </c>
      <c r="EB173" s="1007">
        <f t="shared" si="171"/>
        <v>0</v>
      </c>
      <c r="EC173" s="1007">
        <f t="shared" si="171"/>
        <v>92524043</v>
      </c>
      <c r="ED173" s="1007">
        <f t="shared" si="172"/>
        <v>0</v>
      </c>
    </row>
    <row r="174" spans="1:134" s="203" customFormat="1" ht="36" customHeight="1" x14ac:dyDescent="0.25">
      <c r="A174" s="1590"/>
      <c r="B174" s="989"/>
      <c r="C174" s="1080" t="s">
        <v>4708</v>
      </c>
      <c r="D174" s="1018" t="s">
        <v>4709</v>
      </c>
      <c r="E174" s="996">
        <v>211</v>
      </c>
      <c r="F174" s="1117" t="s">
        <v>4482</v>
      </c>
      <c r="G174" s="1429"/>
      <c r="H174" s="1060">
        <f t="shared" si="143"/>
        <v>0</v>
      </c>
      <c r="I174" s="1060">
        <f t="shared" si="144"/>
        <v>0</v>
      </c>
      <c r="J174" s="1429"/>
      <c r="K174" s="1607"/>
      <c r="L174" s="1562"/>
      <c r="M174" s="1074">
        <v>0</v>
      </c>
      <c r="N174" s="1074">
        <v>0</v>
      </c>
      <c r="O174" s="1074">
        <v>0</v>
      </c>
      <c r="P174" s="1074"/>
      <c r="Q174" s="1074"/>
      <c r="R174" s="1074"/>
      <c r="S174" s="1117"/>
      <c r="T174" s="1117"/>
      <c r="U174" s="1117"/>
      <c r="V174" s="1117"/>
      <c r="W174" s="1117"/>
      <c r="X174" s="1117"/>
      <c r="Y174" s="1066">
        <f t="shared" si="173"/>
        <v>0</v>
      </c>
      <c r="Z174" s="149"/>
      <c r="AA174" s="1066"/>
      <c r="AB174" s="1066"/>
      <c r="AC174" s="1066">
        <f>31000000-31000000</f>
        <v>0</v>
      </c>
      <c r="AD174" s="1066"/>
      <c r="AE174" s="1066"/>
      <c r="AF174" s="1066"/>
      <c r="AG174" s="1066"/>
      <c r="AH174" s="1066"/>
      <c r="AI174" s="1066"/>
      <c r="AJ174" s="1066"/>
      <c r="AK174" s="1066"/>
      <c r="AL174" s="1066"/>
      <c r="AM174" s="1066"/>
      <c r="AN174" s="1066"/>
      <c r="AO174" s="1066"/>
      <c r="AP174" s="1066"/>
      <c r="AQ174" s="1066"/>
      <c r="AR174" s="1066"/>
      <c r="AS174" s="1066"/>
      <c r="AT174" s="1066"/>
      <c r="AU174" s="1081" t="e">
        <f t="shared" si="103"/>
        <v>#DIV/0!</v>
      </c>
      <c r="AV174" s="1066">
        <f t="shared" si="174"/>
        <v>0</v>
      </c>
      <c r="AW174" s="1066"/>
      <c r="AX174" s="1066"/>
      <c r="AY174" s="1066"/>
      <c r="AZ174" s="1066"/>
      <c r="BA174" s="1066"/>
      <c r="BB174" s="1066"/>
      <c r="BC174" s="1066"/>
      <c r="BD174" s="1066"/>
      <c r="BE174" s="1066"/>
      <c r="BF174" s="1066"/>
      <c r="BG174" s="1066"/>
      <c r="BH174" s="1066"/>
      <c r="BI174" s="1066"/>
      <c r="BJ174" s="1066"/>
      <c r="BK174" s="1066"/>
      <c r="BL174" s="1066"/>
      <c r="BM174" s="1066"/>
      <c r="BN174" s="1066"/>
      <c r="BO174" s="1066"/>
      <c r="BP174" s="1066"/>
      <c r="BQ174" s="1081" t="e">
        <f t="shared" si="105"/>
        <v>#DIV/0!</v>
      </c>
      <c r="BR174" s="1066">
        <f t="shared" si="175"/>
        <v>0</v>
      </c>
      <c r="BS174" s="1066"/>
      <c r="BT174" s="1066"/>
      <c r="BU174" s="1066"/>
      <c r="BV174" s="1066">
        <f t="shared" si="162"/>
        <v>0</v>
      </c>
      <c r="BW174" s="1066"/>
      <c r="BX174" s="1066"/>
      <c r="BY174" s="1066"/>
      <c r="BZ174" s="1066"/>
      <c r="CA174" s="1066"/>
      <c r="CB174" s="1066"/>
      <c r="CC174" s="1066"/>
      <c r="CD174" s="1066"/>
      <c r="CE174" s="1066"/>
      <c r="CF174" s="1066"/>
      <c r="CG174" s="1066"/>
      <c r="CH174" s="1066"/>
      <c r="CI174" s="1066"/>
      <c r="CJ174" s="1066"/>
      <c r="CK174" s="1066"/>
      <c r="CL174" s="1066"/>
      <c r="CM174" s="1081" t="e">
        <f t="shared" si="113"/>
        <v>#DIV/0!</v>
      </c>
      <c r="CN174" s="1066">
        <f t="shared" si="176"/>
        <v>0</v>
      </c>
      <c r="CO174" s="1066"/>
      <c r="CP174" s="1066"/>
      <c r="CQ174" s="1066"/>
      <c r="CR174" s="1066"/>
      <c r="CS174" s="1066"/>
      <c r="CT174" s="1066"/>
      <c r="CU174" s="1066"/>
      <c r="CV174" s="1066"/>
      <c r="CW174" s="1066"/>
      <c r="CX174" s="1066"/>
      <c r="CY174" s="1066"/>
      <c r="CZ174" s="1066"/>
      <c r="DA174" s="1066"/>
      <c r="DB174" s="1066"/>
      <c r="DC174" s="1066"/>
      <c r="DD174" s="1066"/>
      <c r="DE174" s="1066"/>
      <c r="DF174" s="1066"/>
      <c r="DG174" s="1066"/>
      <c r="DH174" s="1066"/>
      <c r="DI174" s="1081" t="e">
        <f t="shared" si="115"/>
        <v>#DIV/0!</v>
      </c>
      <c r="DJ174" s="1066">
        <f t="shared" si="177"/>
        <v>0</v>
      </c>
      <c r="DK174" s="1066"/>
      <c r="DL174" s="1066"/>
      <c r="DM174" s="1066"/>
      <c r="DN174" s="1066">
        <f t="shared" si="163"/>
        <v>0</v>
      </c>
      <c r="DO174" s="1066"/>
      <c r="DP174" s="1066"/>
      <c r="DQ174" s="1066"/>
      <c r="DR174" s="1066"/>
      <c r="DS174" s="1066"/>
      <c r="DT174" s="1066"/>
      <c r="DU174" s="1066"/>
      <c r="DV174" s="1066"/>
      <c r="DW174" s="1066"/>
      <c r="DX174" s="1066"/>
      <c r="DY174" s="1066"/>
      <c r="DZ174" s="1066"/>
      <c r="EA174" s="1066"/>
      <c r="EB174" s="1066"/>
      <c r="EC174" s="1066"/>
      <c r="ED174" s="1066"/>
    </row>
    <row r="175" spans="1:134" s="203" customFormat="1" ht="31.5" customHeight="1" x14ac:dyDescent="0.25">
      <c r="A175" s="1590"/>
      <c r="B175" s="989"/>
      <c r="C175" s="1080" t="s">
        <v>4712</v>
      </c>
      <c r="D175" s="1018" t="s">
        <v>4713</v>
      </c>
      <c r="E175" s="996">
        <v>211</v>
      </c>
      <c r="F175" s="1117" t="s">
        <v>4482</v>
      </c>
      <c r="G175" s="1429"/>
      <c r="H175" s="1060">
        <f t="shared" si="143"/>
        <v>0</v>
      </c>
      <c r="I175" s="1060">
        <f t="shared" si="144"/>
        <v>0</v>
      </c>
      <c r="J175" s="1429"/>
      <c r="K175" s="1607"/>
      <c r="L175" s="1562"/>
      <c r="M175" s="1074">
        <v>0</v>
      </c>
      <c r="N175" s="1074">
        <v>0</v>
      </c>
      <c r="O175" s="1074">
        <v>0</v>
      </c>
      <c r="P175" s="1074"/>
      <c r="Q175" s="1074"/>
      <c r="R175" s="1074"/>
      <c r="S175" s="1117"/>
      <c r="T175" s="1117"/>
      <c r="U175" s="1117"/>
      <c r="V175" s="1117"/>
      <c r="W175" s="1117"/>
      <c r="X175" s="1117"/>
      <c r="Y175" s="1066">
        <f t="shared" si="173"/>
        <v>0</v>
      </c>
      <c r="Z175" s="149"/>
      <c r="AA175" s="1066"/>
      <c r="AB175" s="1066"/>
      <c r="AC175" s="1066">
        <f>100000000-100000000</f>
        <v>0</v>
      </c>
      <c r="AD175" s="1066"/>
      <c r="AE175" s="1066"/>
      <c r="AF175" s="1066"/>
      <c r="AG175" s="1066"/>
      <c r="AH175" s="1066"/>
      <c r="AI175" s="1066"/>
      <c r="AJ175" s="1066"/>
      <c r="AK175" s="1066"/>
      <c r="AL175" s="1066"/>
      <c r="AM175" s="1066"/>
      <c r="AN175" s="1066"/>
      <c r="AO175" s="1066"/>
      <c r="AP175" s="1066"/>
      <c r="AQ175" s="1066"/>
      <c r="AR175" s="1066"/>
      <c r="AS175" s="1066"/>
      <c r="AT175" s="1066"/>
      <c r="AU175" s="1081" t="e">
        <f t="shared" si="103"/>
        <v>#DIV/0!</v>
      </c>
      <c r="AV175" s="1066">
        <f t="shared" si="174"/>
        <v>0</v>
      </c>
      <c r="AW175" s="1066"/>
      <c r="AX175" s="1066"/>
      <c r="AY175" s="1066"/>
      <c r="AZ175" s="1066"/>
      <c r="BA175" s="1066"/>
      <c r="BB175" s="1066"/>
      <c r="BC175" s="1066"/>
      <c r="BD175" s="1066"/>
      <c r="BE175" s="1066"/>
      <c r="BF175" s="1066"/>
      <c r="BG175" s="1066"/>
      <c r="BH175" s="1066"/>
      <c r="BI175" s="1066"/>
      <c r="BJ175" s="1066"/>
      <c r="BK175" s="1066"/>
      <c r="BL175" s="1066"/>
      <c r="BM175" s="1066"/>
      <c r="BN175" s="1066"/>
      <c r="BO175" s="1066"/>
      <c r="BP175" s="1066"/>
      <c r="BQ175" s="1081" t="e">
        <f t="shared" si="105"/>
        <v>#DIV/0!</v>
      </c>
      <c r="BR175" s="1066">
        <f t="shared" si="175"/>
        <v>0</v>
      </c>
      <c r="BS175" s="1066"/>
      <c r="BT175" s="1066"/>
      <c r="BU175" s="1066"/>
      <c r="BV175" s="1066">
        <f t="shared" si="162"/>
        <v>0</v>
      </c>
      <c r="BW175" s="1066"/>
      <c r="BX175" s="1066"/>
      <c r="BY175" s="1066"/>
      <c r="BZ175" s="1066"/>
      <c r="CA175" s="1066"/>
      <c r="CB175" s="1066"/>
      <c r="CC175" s="1066"/>
      <c r="CD175" s="1066"/>
      <c r="CE175" s="1066"/>
      <c r="CF175" s="1066"/>
      <c r="CG175" s="1066"/>
      <c r="CH175" s="1066"/>
      <c r="CI175" s="1066"/>
      <c r="CJ175" s="1066"/>
      <c r="CK175" s="1066"/>
      <c r="CL175" s="1066"/>
      <c r="CM175" s="1081" t="e">
        <f t="shared" si="113"/>
        <v>#DIV/0!</v>
      </c>
      <c r="CN175" s="1066">
        <f t="shared" si="176"/>
        <v>0</v>
      </c>
      <c r="CO175" s="1066"/>
      <c r="CP175" s="1066"/>
      <c r="CQ175" s="1066"/>
      <c r="CR175" s="1066"/>
      <c r="CS175" s="1066"/>
      <c r="CT175" s="1066"/>
      <c r="CU175" s="1066"/>
      <c r="CV175" s="1066"/>
      <c r="CW175" s="1066"/>
      <c r="CX175" s="1066"/>
      <c r="CY175" s="1066"/>
      <c r="CZ175" s="1066"/>
      <c r="DA175" s="1066"/>
      <c r="DB175" s="1066"/>
      <c r="DC175" s="1066"/>
      <c r="DD175" s="1066"/>
      <c r="DE175" s="1066"/>
      <c r="DF175" s="1066"/>
      <c r="DG175" s="1066"/>
      <c r="DH175" s="1066"/>
      <c r="DI175" s="1081" t="e">
        <f t="shared" si="115"/>
        <v>#DIV/0!</v>
      </c>
      <c r="DJ175" s="1066">
        <f t="shared" si="177"/>
        <v>0</v>
      </c>
      <c r="DK175" s="1066"/>
      <c r="DL175" s="1066"/>
      <c r="DM175" s="1066"/>
      <c r="DN175" s="1066">
        <f t="shared" si="163"/>
        <v>0</v>
      </c>
      <c r="DO175" s="1066"/>
      <c r="DP175" s="1066"/>
      <c r="DQ175" s="1066"/>
      <c r="DR175" s="1066"/>
      <c r="DS175" s="1066"/>
      <c r="DT175" s="1066"/>
      <c r="DU175" s="1066"/>
      <c r="DV175" s="1066"/>
      <c r="DW175" s="1066"/>
      <c r="DX175" s="1066"/>
      <c r="DY175" s="1066"/>
      <c r="DZ175" s="1066"/>
      <c r="EA175" s="1066"/>
      <c r="EB175" s="1066"/>
      <c r="EC175" s="1066"/>
      <c r="ED175" s="1066"/>
    </row>
    <row r="176" spans="1:134" s="203" customFormat="1" ht="24" customHeight="1" x14ac:dyDescent="0.25">
      <c r="A176" s="1590"/>
      <c r="B176" s="989"/>
      <c r="C176" s="1080" t="s">
        <v>4717</v>
      </c>
      <c r="D176" s="1018" t="s">
        <v>4722</v>
      </c>
      <c r="E176" s="996">
        <v>211</v>
      </c>
      <c r="F176" s="1117" t="s">
        <v>4482</v>
      </c>
      <c r="G176" s="1430"/>
      <c r="H176" s="1060">
        <f t="shared" si="143"/>
        <v>0</v>
      </c>
      <c r="I176" s="1060">
        <f t="shared" si="144"/>
        <v>0</v>
      </c>
      <c r="J176" s="1430"/>
      <c r="K176" s="1608"/>
      <c r="L176" s="1258"/>
      <c r="M176" s="1074"/>
      <c r="N176" s="1074"/>
      <c r="O176" s="1074"/>
      <c r="P176" s="1074">
        <v>0</v>
      </c>
      <c r="Q176" s="1074">
        <v>0</v>
      </c>
      <c r="R176" s="1074">
        <v>0</v>
      </c>
      <c r="S176" s="1117"/>
      <c r="T176" s="1117"/>
      <c r="U176" s="1117"/>
      <c r="V176" s="1117"/>
      <c r="W176" s="1117"/>
      <c r="X176" s="1117"/>
      <c r="Y176" s="1066">
        <f t="shared" si="173"/>
        <v>0</v>
      </c>
      <c r="Z176" s="149"/>
      <c r="AA176" s="1066"/>
      <c r="AB176" s="1066"/>
      <c r="AC176" s="1066">
        <f>1000000000-710000000-290000000</f>
        <v>0</v>
      </c>
      <c r="AD176" s="1066"/>
      <c r="AE176" s="1066"/>
      <c r="AF176" s="1066"/>
      <c r="AG176" s="1066"/>
      <c r="AH176" s="1066"/>
      <c r="AI176" s="1066"/>
      <c r="AJ176" s="1066"/>
      <c r="AK176" s="1066"/>
      <c r="AL176" s="1066"/>
      <c r="AM176" s="1066"/>
      <c r="AN176" s="1066"/>
      <c r="AO176" s="1066"/>
      <c r="AP176" s="1066"/>
      <c r="AQ176" s="1066"/>
      <c r="AR176" s="1066"/>
      <c r="AS176" s="1066"/>
      <c r="AT176" s="1066"/>
      <c r="AU176" s="1081"/>
      <c r="AV176" s="1066">
        <f t="shared" si="174"/>
        <v>0</v>
      </c>
      <c r="AW176" s="1066"/>
      <c r="AX176" s="1066"/>
      <c r="AY176" s="1066"/>
      <c r="AZ176" s="1066"/>
      <c r="BA176" s="1066"/>
      <c r="BB176" s="1066"/>
      <c r="BC176" s="1066"/>
      <c r="BD176" s="1066"/>
      <c r="BE176" s="1066"/>
      <c r="BF176" s="1066"/>
      <c r="BG176" s="1066"/>
      <c r="BH176" s="1066"/>
      <c r="BI176" s="1066"/>
      <c r="BJ176" s="1066"/>
      <c r="BK176" s="1066"/>
      <c r="BL176" s="1066"/>
      <c r="BM176" s="1066"/>
      <c r="BN176" s="1066"/>
      <c r="BO176" s="1066"/>
      <c r="BP176" s="1066"/>
      <c r="BQ176" s="1081"/>
      <c r="BR176" s="1066">
        <f t="shared" si="175"/>
        <v>0</v>
      </c>
      <c r="BS176" s="1066"/>
      <c r="BT176" s="1066"/>
      <c r="BU176" s="1066"/>
      <c r="BV176" s="1066">
        <f t="shared" si="162"/>
        <v>0</v>
      </c>
      <c r="BW176" s="1066"/>
      <c r="BX176" s="1066"/>
      <c r="BY176" s="1066"/>
      <c r="BZ176" s="1066"/>
      <c r="CA176" s="1066"/>
      <c r="CB176" s="1066"/>
      <c r="CC176" s="1066"/>
      <c r="CD176" s="1066"/>
      <c r="CE176" s="1066"/>
      <c r="CF176" s="1066"/>
      <c r="CG176" s="1066"/>
      <c r="CH176" s="1066"/>
      <c r="CI176" s="1066"/>
      <c r="CJ176" s="1066"/>
      <c r="CK176" s="1066"/>
      <c r="CL176" s="1066"/>
      <c r="CM176" s="1081" t="e">
        <f t="shared" si="113"/>
        <v>#DIV/0!</v>
      </c>
      <c r="CN176" s="1066">
        <f t="shared" si="176"/>
        <v>0</v>
      </c>
      <c r="CO176" s="1066"/>
      <c r="CP176" s="1066"/>
      <c r="CQ176" s="1066"/>
      <c r="CR176" s="1066"/>
      <c r="CS176" s="1066"/>
      <c r="CT176" s="1066"/>
      <c r="CU176" s="1066"/>
      <c r="CV176" s="1066"/>
      <c r="CW176" s="1066"/>
      <c r="CX176" s="1066"/>
      <c r="CY176" s="1066"/>
      <c r="CZ176" s="1066"/>
      <c r="DA176" s="1066"/>
      <c r="DB176" s="1066"/>
      <c r="DC176" s="1066"/>
      <c r="DD176" s="1066"/>
      <c r="DE176" s="1066"/>
      <c r="DF176" s="1066"/>
      <c r="DG176" s="1066"/>
      <c r="DH176" s="1066"/>
      <c r="DI176" s="1081"/>
      <c r="DJ176" s="1066">
        <f t="shared" si="177"/>
        <v>0</v>
      </c>
      <c r="DK176" s="1066"/>
      <c r="DL176" s="1066"/>
      <c r="DM176" s="1066"/>
      <c r="DN176" s="1066">
        <f t="shared" si="163"/>
        <v>0</v>
      </c>
      <c r="DO176" s="1066"/>
      <c r="DP176" s="1066"/>
      <c r="DQ176" s="1066"/>
      <c r="DR176" s="1066"/>
      <c r="DS176" s="1066"/>
      <c r="DT176" s="1066"/>
      <c r="DU176" s="1066"/>
      <c r="DV176" s="1066"/>
      <c r="DW176" s="1066"/>
      <c r="DX176" s="1066"/>
      <c r="DY176" s="1066"/>
      <c r="DZ176" s="1066"/>
      <c r="EA176" s="1066"/>
      <c r="EB176" s="1066"/>
      <c r="EC176" s="1066"/>
      <c r="ED176" s="1066"/>
    </row>
    <row r="177" spans="1:134" ht="47.25" customHeight="1" x14ac:dyDescent="0.25">
      <c r="A177" s="1590"/>
      <c r="B177" s="989" t="s">
        <v>4451</v>
      </c>
      <c r="C177" s="852" t="s">
        <v>4534</v>
      </c>
      <c r="D177" s="1018" t="s">
        <v>4538</v>
      </c>
      <c r="E177" s="994">
        <v>510</v>
      </c>
      <c r="F177" s="1117" t="s">
        <v>4536</v>
      </c>
      <c r="G177" s="1428">
        <v>260000000</v>
      </c>
      <c r="H177" s="1060">
        <f t="shared" si="143"/>
        <v>83465123</v>
      </c>
      <c r="I177" s="1060">
        <f t="shared" si="144"/>
        <v>3034877</v>
      </c>
      <c r="J177" s="1609">
        <v>1</v>
      </c>
      <c r="K177" s="1606">
        <v>1</v>
      </c>
      <c r="L177" s="1257">
        <v>100</v>
      </c>
      <c r="M177" s="1113">
        <v>63</v>
      </c>
      <c r="N177" s="1113">
        <v>30</v>
      </c>
      <c r="O177" s="1113">
        <v>19</v>
      </c>
      <c r="P177" s="1113">
        <v>58</v>
      </c>
      <c r="Q177" s="1113">
        <v>50</v>
      </c>
      <c r="R177" s="1113">
        <v>29</v>
      </c>
      <c r="S177" s="1117"/>
      <c r="T177" s="1117"/>
      <c r="U177" s="1117"/>
      <c r="V177" s="1117"/>
      <c r="W177" s="1117"/>
      <c r="X177" s="1117"/>
      <c r="Y177" s="1007">
        <f t="shared" si="173"/>
        <v>86500000</v>
      </c>
      <c r="Z177" s="944"/>
      <c r="AA177" s="1007"/>
      <c r="AB177" s="1007"/>
      <c r="AC177" s="1007"/>
      <c r="AD177" s="1007"/>
      <c r="AE177" s="1007">
        <f>85000000-16000000+16000000</f>
        <v>85000000</v>
      </c>
      <c r="AF177" s="1007"/>
      <c r="AG177" s="1007"/>
      <c r="AH177" s="1007"/>
      <c r="AI177" s="1007"/>
      <c r="AJ177" s="1007"/>
      <c r="AK177" s="1007"/>
      <c r="AL177" s="1007"/>
      <c r="AM177" s="1007"/>
      <c r="AN177" s="1007"/>
      <c r="AO177" s="1007">
        <v>1500000</v>
      </c>
      <c r="AP177" s="1007"/>
      <c r="AQ177" s="1007"/>
      <c r="AR177" s="1007"/>
      <c r="AS177" s="1007"/>
      <c r="AT177" s="1007"/>
      <c r="AU177" s="1010">
        <f t="shared" ref="AU177:AU195" si="178">+AV177/Y177</f>
        <v>1</v>
      </c>
      <c r="AV177" s="1007">
        <f t="shared" si="174"/>
        <v>86500000</v>
      </c>
      <c r="AW177" s="1007"/>
      <c r="AX177" s="1007"/>
      <c r="AY177" s="1007"/>
      <c r="AZ177" s="1007"/>
      <c r="BA177" s="1007"/>
      <c r="BB177" s="1007">
        <f>+'[13]JUNIO 2015'!$O$1705</f>
        <v>85000000</v>
      </c>
      <c r="BC177" s="1007"/>
      <c r="BD177" s="1007"/>
      <c r="BE177" s="1007"/>
      <c r="BF177" s="1007"/>
      <c r="BG177" s="1007"/>
      <c r="BH177" s="1007"/>
      <c r="BI177" s="1007"/>
      <c r="BJ177" s="1007"/>
      <c r="BK177" s="1007"/>
      <c r="BL177" s="1007">
        <f>+'[13]JUNIO 2015'!$Y$1705</f>
        <v>1500000</v>
      </c>
      <c r="BM177" s="1007"/>
      <c r="BN177" s="1007"/>
      <c r="BO177" s="1007"/>
      <c r="BP177" s="1007"/>
      <c r="BQ177" s="1010">
        <f t="shared" ref="BQ177:BQ195" si="179">1-AU177</f>
        <v>0</v>
      </c>
      <c r="BR177" s="1007">
        <f t="shared" si="175"/>
        <v>0</v>
      </c>
      <c r="BS177" s="1007">
        <f t="shared" ref="BS177:BS194" si="180">+Z177-AW177</f>
        <v>0</v>
      </c>
      <c r="BT177" s="1007">
        <f t="shared" ref="BT177:BT194" si="181">AA177-AX177</f>
        <v>0</v>
      </c>
      <c r="BU177" s="1007"/>
      <c r="BV177" s="1007">
        <f t="shared" si="162"/>
        <v>0</v>
      </c>
      <c r="BW177" s="1007">
        <f t="shared" si="162"/>
        <v>0</v>
      </c>
      <c r="BX177" s="1007">
        <f t="shared" ref="BX177:BY194" si="182">+AE177-BB177</f>
        <v>0</v>
      </c>
      <c r="BY177" s="1007">
        <f t="shared" si="182"/>
        <v>0</v>
      </c>
      <c r="BZ177" s="1007"/>
      <c r="CA177" s="1007">
        <f t="shared" ref="CA177:CI194" si="183">+AH177-BE177</f>
        <v>0</v>
      </c>
      <c r="CB177" s="1007">
        <f t="shared" si="183"/>
        <v>0</v>
      </c>
      <c r="CC177" s="1007">
        <f t="shared" si="183"/>
        <v>0</v>
      </c>
      <c r="CD177" s="1007">
        <f t="shared" si="183"/>
        <v>0</v>
      </c>
      <c r="CE177" s="1007">
        <f t="shared" si="183"/>
        <v>0</v>
      </c>
      <c r="CF177" s="1007">
        <f t="shared" si="183"/>
        <v>0</v>
      </c>
      <c r="CG177" s="1007">
        <f t="shared" si="183"/>
        <v>0</v>
      </c>
      <c r="CH177" s="1007">
        <f t="shared" si="183"/>
        <v>0</v>
      </c>
      <c r="CI177" s="1007">
        <f t="shared" si="183"/>
        <v>0</v>
      </c>
      <c r="CJ177" s="1007"/>
      <c r="CK177" s="1007">
        <f t="shared" ref="CK177:CL192" si="184">+AR177-BO177</f>
        <v>0</v>
      </c>
      <c r="CL177" s="1007">
        <f t="shared" si="184"/>
        <v>0</v>
      </c>
      <c r="CM177" s="1010">
        <f t="shared" ref="CM177:CM195" si="185">+CN177/Y177</f>
        <v>0.96491471676300578</v>
      </c>
      <c r="CN177" s="1007">
        <f t="shared" si="176"/>
        <v>83465123</v>
      </c>
      <c r="CO177" s="1007"/>
      <c r="CP177" s="1007"/>
      <c r="CQ177" s="1007"/>
      <c r="CR177" s="1007"/>
      <c r="CS177" s="1007"/>
      <c r="CT177" s="1007">
        <f>+'[10]JULIO 2015'!$H$1989+'[10]JULIO 2015'!$H$1995+'[10]JULIO 2015'!$H$1997</f>
        <v>83465123</v>
      </c>
      <c r="CU177" s="1007"/>
      <c r="CV177" s="1007"/>
      <c r="CW177" s="1007"/>
      <c r="CX177" s="1007"/>
      <c r="CY177" s="1007"/>
      <c r="CZ177" s="1007"/>
      <c r="DA177" s="1007"/>
      <c r="DB177" s="1007"/>
      <c r="DC177" s="1007"/>
      <c r="DD177" s="1007"/>
      <c r="DE177" s="1007"/>
      <c r="DF177" s="1007"/>
      <c r="DG177" s="1007"/>
      <c r="DH177" s="1007"/>
      <c r="DI177" s="1010">
        <f t="shared" ref="DI177:DI195" si="186">1-CM177</f>
        <v>3.5085283236994225E-2</v>
      </c>
      <c r="DJ177" s="1007">
        <f t="shared" si="177"/>
        <v>3034877</v>
      </c>
      <c r="DK177" s="1007"/>
      <c r="DL177" s="1007">
        <f>AA177-CP177</f>
        <v>0</v>
      </c>
      <c r="DM177" s="1007"/>
      <c r="DN177" s="1007">
        <f t="shared" si="163"/>
        <v>0</v>
      </c>
      <c r="DO177" s="1007">
        <f t="shared" si="163"/>
        <v>0</v>
      </c>
      <c r="DP177" s="1007">
        <f t="shared" si="163"/>
        <v>1534877</v>
      </c>
      <c r="DQ177" s="1007">
        <f t="shared" si="163"/>
        <v>0</v>
      </c>
      <c r="DR177" s="1007"/>
      <c r="DS177" s="1007">
        <f t="shared" ref="DS177:DT194" si="187">+AH177-CW177</f>
        <v>0</v>
      </c>
      <c r="DT177" s="1007">
        <f t="shared" si="187"/>
        <v>0</v>
      </c>
      <c r="DU177" s="1007"/>
      <c r="DV177" s="1007">
        <f t="shared" ref="DV177:DX194" si="188">AK177-CZ177</f>
        <v>0</v>
      </c>
      <c r="DW177" s="1007">
        <f t="shared" si="188"/>
        <v>0</v>
      </c>
      <c r="DX177" s="1007">
        <f t="shared" si="188"/>
        <v>0</v>
      </c>
      <c r="DY177" s="1007">
        <f t="shared" ref="DY177:ED194" si="189">+AN177-DC177</f>
        <v>0</v>
      </c>
      <c r="DZ177" s="1007">
        <f t="shared" si="189"/>
        <v>1500000</v>
      </c>
      <c r="EA177" s="1007">
        <f t="shared" si="189"/>
        <v>0</v>
      </c>
      <c r="EB177" s="1007">
        <f t="shared" si="189"/>
        <v>0</v>
      </c>
      <c r="EC177" s="1007">
        <f t="shared" si="189"/>
        <v>0</v>
      </c>
      <c r="ED177" s="1007">
        <f t="shared" si="189"/>
        <v>0</v>
      </c>
    </row>
    <row r="178" spans="1:134" ht="50.25" customHeight="1" x14ac:dyDescent="0.25">
      <c r="A178" s="1590"/>
      <c r="B178" s="989"/>
      <c r="C178" s="852" t="s">
        <v>4540</v>
      </c>
      <c r="D178" s="1018" t="s">
        <v>4539</v>
      </c>
      <c r="E178" s="994">
        <v>510</v>
      </c>
      <c r="F178" s="1117" t="s">
        <v>4536</v>
      </c>
      <c r="G178" s="1429"/>
      <c r="H178" s="1060">
        <f t="shared" si="143"/>
        <v>5703720</v>
      </c>
      <c r="I178" s="1060">
        <f t="shared" si="144"/>
        <v>4296280</v>
      </c>
      <c r="J178" s="1610"/>
      <c r="K178" s="1607"/>
      <c r="L178" s="1562"/>
      <c r="M178" s="1113">
        <v>0</v>
      </c>
      <c r="N178" s="1113">
        <v>14</v>
      </c>
      <c r="O178" s="1113">
        <v>0</v>
      </c>
      <c r="P178" s="1113">
        <v>0</v>
      </c>
      <c r="Q178" s="1113">
        <v>35</v>
      </c>
      <c r="R178" s="1113">
        <v>0</v>
      </c>
      <c r="S178" s="1117"/>
      <c r="T178" s="1117"/>
      <c r="U178" s="1117"/>
      <c r="V178" s="1117"/>
      <c r="W178" s="1117"/>
      <c r="X178" s="1117"/>
      <c r="Y178" s="1007">
        <f t="shared" si="173"/>
        <v>10000000</v>
      </c>
      <c r="Z178" s="944"/>
      <c r="AA178" s="1007"/>
      <c r="AB178" s="1007"/>
      <c r="AC178" s="1007">
        <f>16000000-16000000</f>
        <v>0</v>
      </c>
      <c r="AD178" s="1007"/>
      <c r="AE178" s="1007">
        <f>16000000-16000000</f>
        <v>0</v>
      </c>
      <c r="AF178" s="1007"/>
      <c r="AG178" s="1007"/>
      <c r="AH178" s="1007"/>
      <c r="AI178" s="1007"/>
      <c r="AJ178" s="1007"/>
      <c r="AK178" s="1007"/>
      <c r="AL178" s="1007"/>
      <c r="AM178" s="1007"/>
      <c r="AN178" s="1007"/>
      <c r="AO178" s="1007">
        <v>10000000</v>
      </c>
      <c r="AP178" s="1007"/>
      <c r="AQ178" s="1007"/>
      <c r="AR178" s="1007"/>
      <c r="AS178" s="1007"/>
      <c r="AU178" s="1010">
        <f t="shared" si="178"/>
        <v>0.57037199999999999</v>
      </c>
      <c r="AV178" s="1007">
        <f t="shared" si="174"/>
        <v>5703720</v>
      </c>
      <c r="AW178" s="1007"/>
      <c r="AX178" s="1007"/>
      <c r="AY178" s="1007"/>
      <c r="AZ178" s="1007"/>
      <c r="BA178" s="1007"/>
      <c r="BB178" s="1007"/>
      <c r="BC178" s="1007"/>
      <c r="BD178" s="1007"/>
      <c r="BE178" s="1007"/>
      <c r="BF178" s="1007"/>
      <c r="BG178" s="1007"/>
      <c r="BH178" s="1007"/>
      <c r="BI178" s="1007"/>
      <c r="BJ178" s="1007"/>
      <c r="BK178" s="1007"/>
      <c r="BL178" s="1007">
        <f>+'[7]AGOSTO 2015'!$Y$2243</f>
        <v>5703720</v>
      </c>
      <c r="BM178" s="1007"/>
      <c r="BN178" s="1007"/>
      <c r="BO178" s="1007"/>
      <c r="BP178" s="1007"/>
      <c r="BQ178" s="1010">
        <f t="shared" si="179"/>
        <v>0.42962800000000001</v>
      </c>
      <c r="BR178" s="1007">
        <f t="shared" si="175"/>
        <v>4296280</v>
      </c>
      <c r="BS178" s="1007">
        <f t="shared" si="180"/>
        <v>0</v>
      </c>
      <c r="BT178" s="1007">
        <f t="shared" si="181"/>
        <v>0</v>
      </c>
      <c r="BU178" s="1007"/>
      <c r="BV178" s="1007">
        <f t="shared" si="162"/>
        <v>0</v>
      </c>
      <c r="BW178" s="1007">
        <f t="shared" si="162"/>
        <v>0</v>
      </c>
      <c r="BX178" s="1007">
        <f t="shared" si="182"/>
        <v>0</v>
      </c>
      <c r="BY178" s="1007">
        <f t="shared" si="182"/>
        <v>0</v>
      </c>
      <c r="BZ178" s="1007"/>
      <c r="CA178" s="1007">
        <f t="shared" si="183"/>
        <v>0</v>
      </c>
      <c r="CB178" s="1007">
        <f t="shared" si="183"/>
        <v>0</v>
      </c>
      <c r="CC178" s="1007">
        <f t="shared" si="183"/>
        <v>0</v>
      </c>
      <c r="CD178" s="1007">
        <f t="shared" si="183"/>
        <v>0</v>
      </c>
      <c r="CE178" s="1007">
        <f t="shared" si="183"/>
        <v>0</v>
      </c>
      <c r="CF178" s="1007">
        <f t="shared" si="183"/>
        <v>0</v>
      </c>
      <c r="CG178" s="1007">
        <f t="shared" si="183"/>
        <v>0</v>
      </c>
      <c r="CH178" s="1007">
        <f t="shared" si="183"/>
        <v>4296280</v>
      </c>
      <c r="CI178" s="1007">
        <f t="shared" si="183"/>
        <v>0</v>
      </c>
      <c r="CJ178" s="1007"/>
      <c r="CK178" s="1007">
        <f t="shared" si="184"/>
        <v>0</v>
      </c>
      <c r="CL178" s="1007">
        <f t="shared" si="184"/>
        <v>0</v>
      </c>
      <c r="CM178" s="1010">
        <f t="shared" si="185"/>
        <v>0.57037199999999999</v>
      </c>
      <c r="CN178" s="1007">
        <f t="shared" si="176"/>
        <v>5703720</v>
      </c>
      <c r="CO178" s="1007"/>
      <c r="CP178" s="1007"/>
      <c r="CQ178" s="1007"/>
      <c r="CR178" s="1007"/>
      <c r="CS178" s="1007"/>
      <c r="CT178" s="1007"/>
      <c r="CU178" s="1007"/>
      <c r="CV178" s="1007"/>
      <c r="CW178" s="1007"/>
      <c r="CX178" s="1007"/>
      <c r="CY178" s="1007"/>
      <c r="CZ178" s="1007"/>
      <c r="DA178" s="1007"/>
      <c r="DB178" s="1007"/>
      <c r="DC178" s="1007"/>
      <c r="DD178" s="1007">
        <f>+'[8]SEPTIEMBRE 2015'!$H$2748</f>
        <v>5703720</v>
      </c>
      <c r="DE178" s="1007"/>
      <c r="DF178" s="1007"/>
      <c r="DG178" s="1007"/>
      <c r="DH178" s="1007"/>
      <c r="DI178" s="1010">
        <f t="shared" si="186"/>
        <v>0.42962800000000001</v>
      </c>
      <c r="DJ178" s="1007">
        <f t="shared" si="177"/>
        <v>4296280</v>
      </c>
      <c r="DK178" s="1007"/>
      <c r="DL178" s="1007"/>
      <c r="DM178" s="1007"/>
      <c r="DN178" s="1007">
        <f t="shared" si="163"/>
        <v>0</v>
      </c>
      <c r="DO178" s="1007">
        <f t="shared" si="163"/>
        <v>0</v>
      </c>
      <c r="DP178" s="1007">
        <f t="shared" si="163"/>
        <v>0</v>
      </c>
      <c r="DQ178" s="1007">
        <f t="shared" si="163"/>
        <v>0</v>
      </c>
      <c r="DR178" s="1007"/>
      <c r="DS178" s="1007">
        <f t="shared" si="187"/>
        <v>0</v>
      </c>
      <c r="DT178" s="1007">
        <f t="shared" si="187"/>
        <v>0</v>
      </c>
      <c r="DU178" s="1007"/>
      <c r="DV178" s="1007">
        <f t="shared" si="188"/>
        <v>0</v>
      </c>
      <c r="DW178" s="1007">
        <f t="shared" si="188"/>
        <v>0</v>
      </c>
      <c r="DX178" s="1007">
        <f t="shared" si="188"/>
        <v>0</v>
      </c>
      <c r="DY178" s="1007">
        <f t="shared" si="189"/>
        <v>0</v>
      </c>
      <c r="DZ178" s="1007">
        <f t="shared" si="189"/>
        <v>4296280</v>
      </c>
      <c r="EA178" s="1007">
        <f t="shared" si="189"/>
        <v>0</v>
      </c>
      <c r="EB178" s="1007">
        <f t="shared" si="189"/>
        <v>0</v>
      </c>
      <c r="EC178" s="1007">
        <f t="shared" si="189"/>
        <v>0</v>
      </c>
      <c r="ED178" s="1007">
        <f t="shared" si="189"/>
        <v>0</v>
      </c>
    </row>
    <row r="179" spans="1:134" ht="41.25" customHeight="1" x14ac:dyDescent="0.25">
      <c r="A179" s="1590"/>
      <c r="B179" s="989"/>
      <c r="C179" s="852" t="s">
        <v>4541</v>
      </c>
      <c r="D179" s="1018" t="s">
        <v>4696</v>
      </c>
      <c r="E179" s="994">
        <v>510</v>
      </c>
      <c r="F179" s="1117" t="s">
        <v>4669</v>
      </c>
      <c r="G179" s="1429"/>
      <c r="H179" s="1060">
        <f t="shared" si="143"/>
        <v>0</v>
      </c>
      <c r="I179" s="1060">
        <f t="shared" si="144"/>
        <v>8000000</v>
      </c>
      <c r="J179" s="1610"/>
      <c r="K179" s="1607"/>
      <c r="L179" s="1562"/>
      <c r="M179" s="1113">
        <v>0</v>
      </c>
      <c r="N179" s="1113">
        <v>0</v>
      </c>
      <c r="O179" s="1113">
        <v>0</v>
      </c>
      <c r="P179" s="1113">
        <v>0</v>
      </c>
      <c r="Q179" s="1113">
        <v>55</v>
      </c>
      <c r="R179" s="1113">
        <v>0</v>
      </c>
      <c r="S179" s="1117"/>
      <c r="T179" s="1117"/>
      <c r="U179" s="1117"/>
      <c r="V179" s="1117"/>
      <c r="W179" s="1117"/>
      <c r="X179" s="1117"/>
      <c r="Y179" s="1007">
        <f t="shared" si="173"/>
        <v>8000000</v>
      </c>
      <c r="Z179" s="944"/>
      <c r="AA179" s="1007"/>
      <c r="AB179" s="1007"/>
      <c r="AC179" s="1007"/>
      <c r="AD179" s="1007"/>
      <c r="AE179" s="1007">
        <v>8000000</v>
      </c>
      <c r="AF179" s="1007"/>
      <c r="AG179" s="1007"/>
      <c r="AH179" s="1007"/>
      <c r="AI179" s="1007"/>
      <c r="AJ179" s="1007"/>
      <c r="AK179" s="1007"/>
      <c r="AL179" s="1007"/>
      <c r="AM179" s="1007"/>
      <c r="AN179" s="1007"/>
      <c r="AO179" s="1007"/>
      <c r="AP179" s="1007"/>
      <c r="AQ179" s="1007"/>
      <c r="AR179" s="1007"/>
      <c r="AS179" s="1007"/>
      <c r="AU179" s="1010">
        <f t="shared" si="178"/>
        <v>0</v>
      </c>
      <c r="AV179" s="1007">
        <f t="shared" si="174"/>
        <v>0</v>
      </c>
      <c r="AW179" s="1007"/>
      <c r="AX179" s="1007"/>
      <c r="AY179" s="1007"/>
      <c r="AZ179" s="1007"/>
      <c r="BA179" s="1007"/>
      <c r="BB179" s="1007"/>
      <c r="BC179" s="1007"/>
      <c r="BD179" s="1007"/>
      <c r="BE179" s="1007"/>
      <c r="BF179" s="1007"/>
      <c r="BG179" s="1007"/>
      <c r="BH179" s="1007"/>
      <c r="BI179" s="1007"/>
      <c r="BJ179" s="1007"/>
      <c r="BK179" s="1007"/>
      <c r="BL179" s="1007"/>
      <c r="BM179" s="1007"/>
      <c r="BN179" s="1007"/>
      <c r="BO179" s="1007"/>
      <c r="BP179" s="1007"/>
      <c r="BQ179" s="1010">
        <f t="shared" si="179"/>
        <v>1</v>
      </c>
      <c r="BR179" s="1007">
        <f t="shared" si="175"/>
        <v>8000000</v>
      </c>
      <c r="BS179" s="1007">
        <f t="shared" si="180"/>
        <v>0</v>
      </c>
      <c r="BT179" s="1007">
        <f t="shared" si="181"/>
        <v>0</v>
      </c>
      <c r="BU179" s="1007"/>
      <c r="BV179" s="1007">
        <f t="shared" si="162"/>
        <v>0</v>
      </c>
      <c r="BW179" s="1007">
        <f t="shared" si="162"/>
        <v>0</v>
      </c>
      <c r="BX179" s="1007">
        <f t="shared" si="182"/>
        <v>8000000</v>
      </c>
      <c r="BY179" s="1007">
        <f t="shared" si="182"/>
        <v>0</v>
      </c>
      <c r="BZ179" s="1007"/>
      <c r="CA179" s="1007">
        <f t="shared" si="183"/>
        <v>0</v>
      </c>
      <c r="CB179" s="1007">
        <f t="shared" si="183"/>
        <v>0</v>
      </c>
      <c r="CC179" s="1007">
        <f t="shared" si="183"/>
        <v>0</v>
      </c>
      <c r="CD179" s="1007">
        <f t="shared" si="183"/>
        <v>0</v>
      </c>
      <c r="CE179" s="1007">
        <f t="shared" si="183"/>
        <v>0</v>
      </c>
      <c r="CF179" s="1007">
        <f t="shared" si="183"/>
        <v>0</v>
      </c>
      <c r="CG179" s="1007">
        <f t="shared" si="183"/>
        <v>0</v>
      </c>
      <c r="CH179" s="1007">
        <f t="shared" si="183"/>
        <v>0</v>
      </c>
      <c r="CI179" s="1007">
        <f t="shared" si="183"/>
        <v>0</v>
      </c>
      <c r="CJ179" s="1007"/>
      <c r="CK179" s="1007">
        <f t="shared" si="184"/>
        <v>0</v>
      </c>
      <c r="CL179" s="1007">
        <f t="shared" si="184"/>
        <v>0</v>
      </c>
      <c r="CM179" s="1010">
        <f t="shared" si="185"/>
        <v>0</v>
      </c>
      <c r="CN179" s="1007">
        <f t="shared" si="176"/>
        <v>0</v>
      </c>
      <c r="CO179" s="1007"/>
      <c r="CP179" s="1007"/>
      <c r="CQ179" s="1007"/>
      <c r="CR179" s="1007"/>
      <c r="CS179" s="1007"/>
      <c r="CT179" s="1007"/>
      <c r="CU179" s="1007"/>
      <c r="CV179" s="1007"/>
      <c r="CW179" s="1007"/>
      <c r="CX179" s="1007"/>
      <c r="CY179" s="1007"/>
      <c r="CZ179" s="1007"/>
      <c r="DA179" s="1007"/>
      <c r="DB179" s="1007"/>
      <c r="DC179" s="1007"/>
      <c r="DD179" s="1007"/>
      <c r="DE179" s="1007"/>
      <c r="DF179" s="1007"/>
      <c r="DG179" s="1007"/>
      <c r="DH179" s="1007"/>
      <c r="DI179" s="1010">
        <f t="shared" si="186"/>
        <v>1</v>
      </c>
      <c r="DJ179" s="1007">
        <f t="shared" si="177"/>
        <v>8000000</v>
      </c>
      <c r="DK179" s="1007"/>
      <c r="DL179" s="1007"/>
      <c r="DM179" s="1007"/>
      <c r="DN179" s="1007">
        <f t="shared" si="163"/>
        <v>0</v>
      </c>
      <c r="DO179" s="1007">
        <f t="shared" si="163"/>
        <v>0</v>
      </c>
      <c r="DP179" s="1007">
        <f t="shared" si="163"/>
        <v>8000000</v>
      </c>
      <c r="DQ179" s="1007">
        <f t="shared" si="163"/>
        <v>0</v>
      </c>
      <c r="DR179" s="1007"/>
      <c r="DS179" s="1007">
        <f t="shared" si="187"/>
        <v>0</v>
      </c>
      <c r="DT179" s="1007">
        <f t="shared" si="187"/>
        <v>0</v>
      </c>
      <c r="DU179" s="1007"/>
      <c r="DV179" s="1007">
        <f t="shared" si="188"/>
        <v>0</v>
      </c>
      <c r="DW179" s="1007">
        <f t="shared" si="188"/>
        <v>0</v>
      </c>
      <c r="DX179" s="1007">
        <f t="shared" si="188"/>
        <v>0</v>
      </c>
      <c r="DY179" s="1007">
        <f t="shared" si="189"/>
        <v>0</v>
      </c>
      <c r="DZ179" s="1007">
        <f t="shared" si="189"/>
        <v>0</v>
      </c>
      <c r="EA179" s="1007">
        <f t="shared" si="189"/>
        <v>0</v>
      </c>
      <c r="EB179" s="1007">
        <f t="shared" si="189"/>
        <v>0</v>
      </c>
      <c r="EC179" s="1007">
        <f t="shared" si="189"/>
        <v>0</v>
      </c>
      <c r="ED179" s="1007">
        <f t="shared" si="189"/>
        <v>0</v>
      </c>
    </row>
    <row r="180" spans="1:134" s="203" customFormat="1" ht="51" customHeight="1" x14ac:dyDescent="0.25">
      <c r="A180" s="1590"/>
      <c r="B180" s="989"/>
      <c r="C180" s="1080" t="s">
        <v>4542</v>
      </c>
      <c r="D180" s="1018" t="s">
        <v>4535</v>
      </c>
      <c r="E180" s="996">
        <v>510</v>
      </c>
      <c r="F180" s="1117" t="s">
        <v>4536</v>
      </c>
      <c r="G180" s="1429"/>
      <c r="H180" s="1060">
        <f t="shared" si="143"/>
        <v>0</v>
      </c>
      <c r="I180" s="1060">
        <f t="shared" si="144"/>
        <v>0</v>
      </c>
      <c r="J180" s="1610"/>
      <c r="K180" s="1607"/>
      <c r="L180" s="1562"/>
      <c r="M180" s="1074">
        <v>0</v>
      </c>
      <c r="N180" s="1074">
        <v>20</v>
      </c>
      <c r="O180" s="1074">
        <v>0</v>
      </c>
      <c r="P180" s="1074"/>
      <c r="Q180" s="1074"/>
      <c r="R180" s="1074"/>
      <c r="S180" s="1117"/>
      <c r="T180" s="1117"/>
      <c r="U180" s="1117"/>
      <c r="V180" s="1117"/>
      <c r="W180" s="1117"/>
      <c r="X180" s="1117"/>
      <c r="Y180" s="1066">
        <f t="shared" si="173"/>
        <v>0</v>
      </c>
      <c r="Z180" s="149"/>
      <c r="AA180" s="1066"/>
      <c r="AB180" s="1066"/>
      <c r="AC180" s="1066">
        <f>16000000-16000000</f>
        <v>0</v>
      </c>
      <c r="AD180" s="1066"/>
      <c r="AE180" s="1066"/>
      <c r="AF180" s="1066"/>
      <c r="AG180" s="1066"/>
      <c r="AH180" s="1066"/>
      <c r="AI180" s="1066"/>
      <c r="AJ180" s="1066"/>
      <c r="AK180" s="1066"/>
      <c r="AL180" s="1066"/>
      <c r="AM180" s="1066"/>
      <c r="AN180" s="1066"/>
      <c r="AO180" s="1066"/>
      <c r="AP180" s="1066"/>
      <c r="AQ180" s="1066"/>
      <c r="AR180" s="1066"/>
      <c r="AS180" s="1066"/>
      <c r="AU180" s="1081" t="e">
        <f t="shared" si="178"/>
        <v>#DIV/0!</v>
      </c>
      <c r="AV180" s="1066">
        <f t="shared" si="174"/>
        <v>0</v>
      </c>
      <c r="AW180" s="1066"/>
      <c r="AX180" s="1066"/>
      <c r="AY180" s="1066"/>
      <c r="AZ180" s="1066"/>
      <c r="BA180" s="1066"/>
      <c r="BB180" s="1066"/>
      <c r="BC180" s="1066"/>
      <c r="BD180" s="1066"/>
      <c r="BE180" s="1066"/>
      <c r="BF180" s="1066"/>
      <c r="BG180" s="1066"/>
      <c r="BH180" s="1066"/>
      <c r="BI180" s="1066"/>
      <c r="BJ180" s="1066"/>
      <c r="BK180" s="1066"/>
      <c r="BL180" s="1066"/>
      <c r="BM180" s="1066"/>
      <c r="BN180" s="1066"/>
      <c r="BO180" s="1066"/>
      <c r="BP180" s="1066"/>
      <c r="BQ180" s="1081" t="e">
        <f t="shared" si="179"/>
        <v>#DIV/0!</v>
      </c>
      <c r="BR180" s="1066">
        <f t="shared" si="175"/>
        <v>0</v>
      </c>
      <c r="BS180" s="1066">
        <f t="shared" si="180"/>
        <v>0</v>
      </c>
      <c r="BT180" s="1066">
        <f t="shared" si="181"/>
        <v>0</v>
      </c>
      <c r="BU180" s="1066"/>
      <c r="BV180" s="1066">
        <f t="shared" si="162"/>
        <v>0</v>
      </c>
      <c r="BW180" s="1066">
        <f t="shared" si="162"/>
        <v>0</v>
      </c>
      <c r="BX180" s="1066">
        <f t="shared" si="182"/>
        <v>0</v>
      </c>
      <c r="BY180" s="1066">
        <f t="shared" si="182"/>
        <v>0</v>
      </c>
      <c r="BZ180" s="1066"/>
      <c r="CA180" s="1066">
        <f t="shared" si="183"/>
        <v>0</v>
      </c>
      <c r="CB180" s="1066">
        <f t="shared" si="183"/>
        <v>0</v>
      </c>
      <c r="CC180" s="1066">
        <f t="shared" si="183"/>
        <v>0</v>
      </c>
      <c r="CD180" s="1066">
        <f t="shared" si="183"/>
        <v>0</v>
      </c>
      <c r="CE180" s="1066">
        <f t="shared" si="183"/>
        <v>0</v>
      </c>
      <c r="CF180" s="1066">
        <f t="shared" si="183"/>
        <v>0</v>
      </c>
      <c r="CG180" s="1066">
        <f t="shared" si="183"/>
        <v>0</v>
      </c>
      <c r="CH180" s="1066">
        <f t="shared" si="183"/>
        <v>0</v>
      </c>
      <c r="CI180" s="1066">
        <f t="shared" si="183"/>
        <v>0</v>
      </c>
      <c r="CJ180" s="1066"/>
      <c r="CK180" s="1066">
        <f t="shared" si="184"/>
        <v>0</v>
      </c>
      <c r="CL180" s="1066">
        <f t="shared" si="184"/>
        <v>0</v>
      </c>
      <c r="CM180" s="1081" t="e">
        <f t="shared" si="185"/>
        <v>#DIV/0!</v>
      </c>
      <c r="CN180" s="1066">
        <f t="shared" si="176"/>
        <v>0</v>
      </c>
      <c r="CO180" s="1066"/>
      <c r="CP180" s="1066"/>
      <c r="CQ180" s="1066"/>
      <c r="CR180" s="1066"/>
      <c r="CS180" s="1066"/>
      <c r="CT180" s="1066"/>
      <c r="CU180" s="1066"/>
      <c r="CV180" s="1066"/>
      <c r="CW180" s="1066"/>
      <c r="CX180" s="1066"/>
      <c r="CY180" s="1066"/>
      <c r="CZ180" s="1066"/>
      <c r="DA180" s="1066"/>
      <c r="DB180" s="1066"/>
      <c r="DC180" s="1066"/>
      <c r="DD180" s="1066"/>
      <c r="DE180" s="1066"/>
      <c r="DF180" s="1066"/>
      <c r="DG180" s="1066"/>
      <c r="DH180" s="1066"/>
      <c r="DI180" s="1081" t="e">
        <f t="shared" si="186"/>
        <v>#DIV/0!</v>
      </c>
      <c r="DJ180" s="1066">
        <f t="shared" si="177"/>
        <v>0</v>
      </c>
      <c r="DK180" s="1066"/>
      <c r="DL180" s="1066"/>
      <c r="DM180" s="1066"/>
      <c r="DN180" s="1066">
        <f t="shared" si="163"/>
        <v>0</v>
      </c>
      <c r="DO180" s="1066">
        <f t="shared" si="163"/>
        <v>0</v>
      </c>
      <c r="DP180" s="1066">
        <f t="shared" si="163"/>
        <v>0</v>
      </c>
      <c r="DQ180" s="1066">
        <f t="shared" si="163"/>
        <v>0</v>
      </c>
      <c r="DR180" s="1066"/>
      <c r="DS180" s="1066">
        <f t="shared" si="187"/>
        <v>0</v>
      </c>
      <c r="DT180" s="1066">
        <f t="shared" si="187"/>
        <v>0</v>
      </c>
      <c r="DU180" s="1066"/>
      <c r="DV180" s="1066">
        <f t="shared" si="188"/>
        <v>0</v>
      </c>
      <c r="DW180" s="1066">
        <f t="shared" si="188"/>
        <v>0</v>
      </c>
      <c r="DX180" s="1066">
        <f t="shared" si="188"/>
        <v>0</v>
      </c>
      <c r="DY180" s="1066">
        <f t="shared" si="189"/>
        <v>0</v>
      </c>
      <c r="DZ180" s="1066">
        <f t="shared" si="189"/>
        <v>0</v>
      </c>
      <c r="EA180" s="1066">
        <f t="shared" si="189"/>
        <v>0</v>
      </c>
      <c r="EB180" s="1066">
        <f t="shared" si="189"/>
        <v>0</v>
      </c>
      <c r="EC180" s="1066">
        <f t="shared" si="189"/>
        <v>0</v>
      </c>
      <c r="ED180" s="1066">
        <f t="shared" si="189"/>
        <v>0</v>
      </c>
    </row>
    <row r="181" spans="1:134" s="203" customFormat="1" ht="48.75" customHeight="1" x14ac:dyDescent="0.25">
      <c r="A181" s="1590"/>
      <c r="B181" s="989"/>
      <c r="C181" s="1080" t="s">
        <v>4543</v>
      </c>
      <c r="D181" s="1018" t="s">
        <v>4691</v>
      </c>
      <c r="E181" s="996">
        <v>510</v>
      </c>
      <c r="F181" s="1117" t="s">
        <v>4536</v>
      </c>
      <c r="G181" s="1429"/>
      <c r="H181" s="1060">
        <f t="shared" si="143"/>
        <v>0</v>
      </c>
      <c r="I181" s="1060">
        <f t="shared" si="144"/>
        <v>0</v>
      </c>
      <c r="J181" s="1610"/>
      <c r="K181" s="1607"/>
      <c r="L181" s="1562"/>
      <c r="M181" s="1074">
        <v>0</v>
      </c>
      <c r="N181" s="1074">
        <v>0</v>
      </c>
      <c r="O181" s="1074">
        <v>0</v>
      </c>
      <c r="P181" s="1074"/>
      <c r="Q181" s="1074"/>
      <c r="R181" s="1074"/>
      <c r="S181" s="1117"/>
      <c r="T181" s="1117"/>
      <c r="U181" s="1117"/>
      <c r="V181" s="1117"/>
      <c r="W181" s="1117"/>
      <c r="X181" s="1117"/>
      <c r="Y181" s="1066">
        <f t="shared" si="173"/>
        <v>0</v>
      </c>
      <c r="Z181" s="149"/>
      <c r="AA181" s="1066"/>
      <c r="AB181" s="1066"/>
      <c r="AC181" s="1066">
        <f>5000000-5000000</f>
        <v>0</v>
      </c>
      <c r="AD181" s="1066"/>
      <c r="AE181" s="1066"/>
      <c r="AF181" s="1066"/>
      <c r="AG181" s="1066"/>
      <c r="AH181" s="1066"/>
      <c r="AI181" s="1066"/>
      <c r="AJ181" s="1066"/>
      <c r="AK181" s="1066"/>
      <c r="AL181" s="1066"/>
      <c r="AM181" s="1066"/>
      <c r="AN181" s="1066"/>
      <c r="AO181" s="1066"/>
      <c r="AP181" s="1066"/>
      <c r="AQ181" s="1066"/>
      <c r="AR181" s="1066"/>
      <c r="AS181" s="1066"/>
      <c r="AU181" s="1081" t="e">
        <f t="shared" si="178"/>
        <v>#DIV/0!</v>
      </c>
      <c r="AV181" s="1066">
        <f t="shared" si="174"/>
        <v>0</v>
      </c>
      <c r="AW181" s="1066"/>
      <c r="AX181" s="1066"/>
      <c r="AY181" s="1066"/>
      <c r="AZ181" s="1066"/>
      <c r="BA181" s="1066"/>
      <c r="BB181" s="1066"/>
      <c r="BC181" s="1066"/>
      <c r="BD181" s="1066"/>
      <c r="BE181" s="1066"/>
      <c r="BF181" s="1066"/>
      <c r="BG181" s="1066"/>
      <c r="BH181" s="1066"/>
      <c r="BI181" s="1066"/>
      <c r="BJ181" s="1066"/>
      <c r="BK181" s="1066"/>
      <c r="BL181" s="1066"/>
      <c r="BM181" s="1066"/>
      <c r="BN181" s="1066"/>
      <c r="BO181" s="1066"/>
      <c r="BP181" s="1066"/>
      <c r="BQ181" s="1081" t="e">
        <f t="shared" si="179"/>
        <v>#DIV/0!</v>
      </c>
      <c r="BR181" s="1066">
        <f t="shared" si="175"/>
        <v>0</v>
      </c>
      <c r="BS181" s="1066">
        <f t="shared" si="180"/>
        <v>0</v>
      </c>
      <c r="BT181" s="1066">
        <f t="shared" si="181"/>
        <v>0</v>
      </c>
      <c r="BU181" s="1066"/>
      <c r="BV181" s="1066">
        <f t="shared" si="162"/>
        <v>0</v>
      </c>
      <c r="BW181" s="1066">
        <f t="shared" si="162"/>
        <v>0</v>
      </c>
      <c r="BX181" s="1066">
        <f t="shared" si="182"/>
        <v>0</v>
      </c>
      <c r="BY181" s="1066">
        <f t="shared" si="182"/>
        <v>0</v>
      </c>
      <c r="BZ181" s="1066"/>
      <c r="CA181" s="1066">
        <f t="shared" si="183"/>
        <v>0</v>
      </c>
      <c r="CB181" s="1066">
        <f t="shared" si="183"/>
        <v>0</v>
      </c>
      <c r="CC181" s="1066">
        <f t="shared" si="183"/>
        <v>0</v>
      </c>
      <c r="CD181" s="1066">
        <f t="shared" si="183"/>
        <v>0</v>
      </c>
      <c r="CE181" s="1066">
        <f t="shared" si="183"/>
        <v>0</v>
      </c>
      <c r="CF181" s="1066">
        <f t="shared" si="183"/>
        <v>0</v>
      </c>
      <c r="CG181" s="1066">
        <f t="shared" si="183"/>
        <v>0</v>
      </c>
      <c r="CH181" s="1066">
        <f t="shared" si="183"/>
        <v>0</v>
      </c>
      <c r="CI181" s="1066">
        <f t="shared" si="183"/>
        <v>0</v>
      </c>
      <c r="CJ181" s="1066"/>
      <c r="CK181" s="1066">
        <f t="shared" si="184"/>
        <v>0</v>
      </c>
      <c r="CL181" s="1066">
        <f t="shared" si="184"/>
        <v>0</v>
      </c>
      <c r="CM181" s="1081" t="e">
        <f t="shared" si="185"/>
        <v>#DIV/0!</v>
      </c>
      <c r="CN181" s="1066">
        <f t="shared" si="176"/>
        <v>0</v>
      </c>
      <c r="CO181" s="1066"/>
      <c r="CP181" s="1066"/>
      <c r="CQ181" s="1066"/>
      <c r="CR181" s="1066"/>
      <c r="CS181" s="1066"/>
      <c r="CT181" s="1066"/>
      <c r="CU181" s="1066"/>
      <c r="CV181" s="1066"/>
      <c r="CW181" s="1066"/>
      <c r="CX181" s="1066"/>
      <c r="CY181" s="1066"/>
      <c r="CZ181" s="1066"/>
      <c r="DA181" s="1066"/>
      <c r="DB181" s="1066"/>
      <c r="DC181" s="1066"/>
      <c r="DD181" s="1066"/>
      <c r="DE181" s="1066"/>
      <c r="DF181" s="1066"/>
      <c r="DG181" s="1066"/>
      <c r="DH181" s="1066"/>
      <c r="DI181" s="1081" t="e">
        <f t="shared" si="186"/>
        <v>#DIV/0!</v>
      </c>
      <c r="DJ181" s="1066">
        <f t="shared" si="177"/>
        <v>0</v>
      </c>
      <c r="DK181" s="1066"/>
      <c r="DL181" s="1066"/>
      <c r="DM181" s="1066"/>
      <c r="DN181" s="1066">
        <f t="shared" si="163"/>
        <v>0</v>
      </c>
      <c r="DO181" s="1066">
        <f t="shared" si="163"/>
        <v>0</v>
      </c>
      <c r="DP181" s="1066">
        <f t="shared" si="163"/>
        <v>0</v>
      </c>
      <c r="DQ181" s="1066">
        <f t="shared" si="163"/>
        <v>0</v>
      </c>
      <c r="DR181" s="1066"/>
      <c r="DS181" s="1066">
        <f t="shared" si="187"/>
        <v>0</v>
      </c>
      <c r="DT181" s="1066">
        <f t="shared" si="187"/>
        <v>0</v>
      </c>
      <c r="DU181" s="1066"/>
      <c r="DV181" s="1066">
        <f t="shared" si="188"/>
        <v>0</v>
      </c>
      <c r="DW181" s="1066">
        <f t="shared" si="188"/>
        <v>0</v>
      </c>
      <c r="DX181" s="1066">
        <f t="shared" si="188"/>
        <v>0</v>
      </c>
      <c r="DY181" s="1066">
        <f t="shared" si="189"/>
        <v>0</v>
      </c>
      <c r="DZ181" s="1066">
        <f t="shared" si="189"/>
        <v>0</v>
      </c>
      <c r="EA181" s="1066">
        <f t="shared" si="189"/>
        <v>0</v>
      </c>
      <c r="EB181" s="1066">
        <f t="shared" si="189"/>
        <v>0</v>
      </c>
      <c r="EC181" s="1066">
        <f t="shared" si="189"/>
        <v>0</v>
      </c>
      <c r="ED181" s="1066">
        <f t="shared" si="189"/>
        <v>0</v>
      </c>
    </row>
    <row r="182" spans="1:134" ht="49.5" customHeight="1" x14ac:dyDescent="0.25">
      <c r="A182" s="1590"/>
      <c r="B182" s="989"/>
      <c r="C182" s="852" t="s">
        <v>4544</v>
      </c>
      <c r="D182" s="1018" t="s">
        <v>4692</v>
      </c>
      <c r="E182" s="994">
        <v>510</v>
      </c>
      <c r="F182" s="1117" t="s">
        <v>4536</v>
      </c>
      <c r="G182" s="1429"/>
      <c r="H182" s="1060">
        <f t="shared" si="143"/>
        <v>0</v>
      </c>
      <c r="I182" s="1060">
        <f t="shared" si="144"/>
        <v>8000000</v>
      </c>
      <c r="J182" s="1610"/>
      <c r="K182" s="1607"/>
      <c r="L182" s="1562"/>
      <c r="M182" s="1113">
        <v>0</v>
      </c>
      <c r="N182" s="1113">
        <v>0</v>
      </c>
      <c r="O182" s="1113">
        <v>0</v>
      </c>
      <c r="P182" s="1113">
        <v>0</v>
      </c>
      <c r="Q182" s="1113">
        <v>0</v>
      </c>
      <c r="R182" s="1113">
        <v>0</v>
      </c>
      <c r="S182" s="1117"/>
      <c r="T182" s="1117"/>
      <c r="U182" s="1117"/>
      <c r="V182" s="1117"/>
      <c r="W182" s="1117"/>
      <c r="X182" s="1117"/>
      <c r="Y182" s="1007">
        <f t="shared" si="173"/>
        <v>8000000</v>
      </c>
      <c r="Z182" s="944"/>
      <c r="AA182" s="1007"/>
      <c r="AB182" s="1007"/>
      <c r="AC182" s="1007">
        <f>8000000-8000000</f>
        <v>0</v>
      </c>
      <c r="AD182" s="1007"/>
      <c r="AE182" s="1007"/>
      <c r="AF182" s="1007"/>
      <c r="AG182" s="1007"/>
      <c r="AH182" s="1007"/>
      <c r="AI182" s="1007"/>
      <c r="AJ182" s="1007"/>
      <c r="AK182" s="1007"/>
      <c r="AL182" s="1007"/>
      <c r="AM182" s="1007"/>
      <c r="AN182" s="1007"/>
      <c r="AO182" s="1007">
        <v>8000000</v>
      </c>
      <c r="AP182" s="1007"/>
      <c r="AQ182" s="1007"/>
      <c r="AR182" s="1007"/>
      <c r="AS182" s="1007"/>
      <c r="AU182" s="1010">
        <f t="shared" si="178"/>
        <v>0</v>
      </c>
      <c r="AV182" s="1007">
        <f t="shared" si="174"/>
        <v>0</v>
      </c>
      <c r="AW182" s="1007"/>
      <c r="AX182" s="1007"/>
      <c r="AY182" s="1007"/>
      <c r="AZ182" s="1007"/>
      <c r="BA182" s="1007"/>
      <c r="BB182" s="1007"/>
      <c r="BC182" s="1007"/>
      <c r="BD182" s="1007"/>
      <c r="BE182" s="1007"/>
      <c r="BF182" s="1007"/>
      <c r="BG182" s="1007"/>
      <c r="BH182" s="1007"/>
      <c r="BI182" s="1007"/>
      <c r="BJ182" s="1007"/>
      <c r="BK182" s="1007"/>
      <c r="BL182" s="1007"/>
      <c r="BM182" s="1007"/>
      <c r="BN182" s="1007"/>
      <c r="BO182" s="1007"/>
      <c r="BP182" s="1007"/>
      <c r="BQ182" s="1010">
        <f t="shared" si="179"/>
        <v>1</v>
      </c>
      <c r="BR182" s="1007">
        <f t="shared" si="175"/>
        <v>8000000</v>
      </c>
      <c r="BS182" s="1007">
        <f t="shared" si="180"/>
        <v>0</v>
      </c>
      <c r="BT182" s="1007">
        <f t="shared" si="181"/>
        <v>0</v>
      </c>
      <c r="BU182" s="1007"/>
      <c r="BV182" s="1007">
        <f t="shared" si="162"/>
        <v>0</v>
      </c>
      <c r="BW182" s="1007">
        <f t="shared" si="162"/>
        <v>0</v>
      </c>
      <c r="BX182" s="1007">
        <f t="shared" si="182"/>
        <v>0</v>
      </c>
      <c r="BY182" s="1007">
        <f t="shared" si="182"/>
        <v>0</v>
      </c>
      <c r="BZ182" s="1007"/>
      <c r="CA182" s="1007">
        <f t="shared" si="183"/>
        <v>0</v>
      </c>
      <c r="CB182" s="1007">
        <f t="shared" si="183"/>
        <v>0</v>
      </c>
      <c r="CC182" s="1007">
        <f t="shared" si="183"/>
        <v>0</v>
      </c>
      <c r="CD182" s="1007">
        <f t="shared" si="183"/>
        <v>0</v>
      </c>
      <c r="CE182" s="1007">
        <f t="shared" si="183"/>
        <v>0</v>
      </c>
      <c r="CF182" s="1007">
        <f t="shared" si="183"/>
        <v>0</v>
      </c>
      <c r="CG182" s="1007">
        <f t="shared" si="183"/>
        <v>0</v>
      </c>
      <c r="CH182" s="1007">
        <f t="shared" si="183"/>
        <v>8000000</v>
      </c>
      <c r="CI182" s="1007">
        <f t="shared" si="183"/>
        <v>0</v>
      </c>
      <c r="CJ182" s="1007"/>
      <c r="CK182" s="1007">
        <f t="shared" si="184"/>
        <v>0</v>
      </c>
      <c r="CL182" s="1007">
        <f t="shared" si="184"/>
        <v>0</v>
      </c>
      <c r="CM182" s="1010">
        <f t="shared" si="185"/>
        <v>0</v>
      </c>
      <c r="CN182" s="1007">
        <f t="shared" si="176"/>
        <v>0</v>
      </c>
      <c r="CO182" s="1007"/>
      <c r="CP182" s="1007"/>
      <c r="CQ182" s="1007"/>
      <c r="CR182" s="1007"/>
      <c r="CS182" s="1007"/>
      <c r="CT182" s="1007"/>
      <c r="CU182" s="1007"/>
      <c r="CV182" s="1007"/>
      <c r="CW182" s="1007"/>
      <c r="CX182" s="1007"/>
      <c r="CY182" s="1007"/>
      <c r="CZ182" s="1007"/>
      <c r="DA182" s="1007"/>
      <c r="DB182" s="1007"/>
      <c r="DC182" s="1007"/>
      <c r="DD182" s="1007"/>
      <c r="DE182" s="1007"/>
      <c r="DF182" s="1007"/>
      <c r="DG182" s="1007"/>
      <c r="DH182" s="1007"/>
      <c r="DI182" s="1010">
        <f t="shared" si="186"/>
        <v>1</v>
      </c>
      <c r="DJ182" s="1007">
        <f t="shared" si="177"/>
        <v>8000000</v>
      </c>
      <c r="DK182" s="1007"/>
      <c r="DL182" s="1007"/>
      <c r="DM182" s="1007"/>
      <c r="DN182" s="1007">
        <f t="shared" si="163"/>
        <v>0</v>
      </c>
      <c r="DO182" s="1007">
        <f t="shared" si="163"/>
        <v>0</v>
      </c>
      <c r="DP182" s="1007">
        <f t="shared" si="163"/>
        <v>0</v>
      </c>
      <c r="DQ182" s="1007">
        <f t="shared" si="163"/>
        <v>0</v>
      </c>
      <c r="DR182" s="1007"/>
      <c r="DS182" s="1007">
        <f t="shared" si="187"/>
        <v>0</v>
      </c>
      <c r="DT182" s="1007">
        <f t="shared" si="187"/>
        <v>0</v>
      </c>
      <c r="DU182" s="1007"/>
      <c r="DV182" s="1007">
        <f t="shared" si="188"/>
        <v>0</v>
      </c>
      <c r="DW182" s="1007">
        <f t="shared" si="188"/>
        <v>0</v>
      </c>
      <c r="DX182" s="1007">
        <f t="shared" si="188"/>
        <v>0</v>
      </c>
      <c r="DY182" s="1007">
        <f t="shared" si="189"/>
        <v>0</v>
      </c>
      <c r="DZ182" s="1007">
        <f t="shared" si="189"/>
        <v>8000000</v>
      </c>
      <c r="EA182" s="1007">
        <f t="shared" si="189"/>
        <v>0</v>
      </c>
      <c r="EB182" s="1007">
        <f t="shared" si="189"/>
        <v>0</v>
      </c>
      <c r="EC182" s="1007">
        <f t="shared" si="189"/>
        <v>0</v>
      </c>
      <c r="ED182" s="1007">
        <f t="shared" si="189"/>
        <v>0</v>
      </c>
    </row>
    <row r="183" spans="1:134" ht="36" customHeight="1" x14ac:dyDescent="0.25">
      <c r="A183" s="1590"/>
      <c r="B183" s="989"/>
      <c r="C183" s="852" t="s">
        <v>4545</v>
      </c>
      <c r="D183" s="1018" t="s">
        <v>4693</v>
      </c>
      <c r="E183" s="994">
        <v>510</v>
      </c>
      <c r="F183" s="1117" t="s">
        <v>4536</v>
      </c>
      <c r="G183" s="1429"/>
      <c r="H183" s="1060">
        <f t="shared" si="143"/>
        <v>74061157</v>
      </c>
      <c r="I183" s="1060">
        <f t="shared" si="144"/>
        <v>32938843</v>
      </c>
      <c r="J183" s="1610"/>
      <c r="K183" s="1607"/>
      <c r="L183" s="1562"/>
      <c r="M183" s="1113">
        <v>30</v>
      </c>
      <c r="N183" s="1113">
        <v>30</v>
      </c>
      <c r="O183" s="1113">
        <v>9</v>
      </c>
      <c r="P183" s="1113">
        <v>30</v>
      </c>
      <c r="Q183" s="1113">
        <v>60</v>
      </c>
      <c r="R183" s="1113">
        <v>18</v>
      </c>
      <c r="S183" s="1117"/>
      <c r="T183" s="1117"/>
      <c r="U183" s="1117"/>
      <c r="V183" s="1117"/>
      <c r="W183" s="1117"/>
      <c r="X183" s="1117"/>
      <c r="Y183" s="1007">
        <f t="shared" si="173"/>
        <v>107000000</v>
      </c>
      <c r="Z183" s="944"/>
      <c r="AA183" s="1007"/>
      <c r="AB183" s="1007"/>
      <c r="AC183" s="1007"/>
      <c r="AD183" s="1007"/>
      <c r="AE183" s="1007">
        <v>107000000</v>
      </c>
      <c r="AF183" s="1007"/>
      <c r="AG183" s="1007"/>
      <c r="AH183" s="1007"/>
      <c r="AI183" s="1007"/>
      <c r="AJ183" s="1007"/>
      <c r="AK183" s="1007"/>
      <c r="AL183" s="1007"/>
      <c r="AM183" s="1007"/>
      <c r="AN183" s="1007"/>
      <c r="AO183" s="1007"/>
      <c r="AP183" s="1007"/>
      <c r="AQ183" s="1007"/>
      <c r="AR183" s="1007"/>
      <c r="AS183" s="1007"/>
      <c r="AU183" s="1010">
        <f t="shared" si="178"/>
        <v>0.69216034579439256</v>
      </c>
      <c r="AV183" s="1007">
        <f t="shared" si="174"/>
        <v>74061157</v>
      </c>
      <c r="AW183" s="1007"/>
      <c r="AX183" s="1007"/>
      <c r="AY183" s="1007"/>
      <c r="AZ183" s="1007"/>
      <c r="BA183" s="1007"/>
      <c r="BB183" s="1007">
        <f>+'[7]AGOSTO 2015'!$O$2267</f>
        <v>74061157</v>
      </c>
      <c r="BC183" s="1007"/>
      <c r="BD183" s="1007"/>
      <c r="BE183" s="1007"/>
      <c r="BF183" s="1007"/>
      <c r="BG183" s="1007"/>
      <c r="BH183" s="1007"/>
      <c r="BI183" s="1007"/>
      <c r="BJ183" s="1007"/>
      <c r="BK183" s="1007"/>
      <c r="BL183" s="1007"/>
      <c r="BM183" s="1007"/>
      <c r="BN183" s="1007"/>
      <c r="BO183" s="1007"/>
      <c r="BP183" s="1007"/>
      <c r="BQ183" s="1010">
        <f t="shared" si="179"/>
        <v>0.30783965420560744</v>
      </c>
      <c r="BR183" s="1007">
        <f t="shared" si="175"/>
        <v>32938843</v>
      </c>
      <c r="BS183" s="1007">
        <f t="shared" si="180"/>
        <v>0</v>
      </c>
      <c r="BT183" s="1007">
        <f t="shared" si="181"/>
        <v>0</v>
      </c>
      <c r="BU183" s="1007"/>
      <c r="BV183" s="1007">
        <f t="shared" si="162"/>
        <v>0</v>
      </c>
      <c r="BW183" s="1007">
        <f t="shared" si="162"/>
        <v>0</v>
      </c>
      <c r="BX183" s="1007">
        <f t="shared" si="182"/>
        <v>32938843</v>
      </c>
      <c r="BY183" s="1007">
        <f t="shared" si="182"/>
        <v>0</v>
      </c>
      <c r="BZ183" s="1007"/>
      <c r="CA183" s="1007">
        <f t="shared" si="183"/>
        <v>0</v>
      </c>
      <c r="CB183" s="1007">
        <f t="shared" si="183"/>
        <v>0</v>
      </c>
      <c r="CC183" s="1007">
        <f t="shared" si="183"/>
        <v>0</v>
      </c>
      <c r="CD183" s="1007">
        <f t="shared" si="183"/>
        <v>0</v>
      </c>
      <c r="CE183" s="1007">
        <f t="shared" si="183"/>
        <v>0</v>
      </c>
      <c r="CF183" s="1007">
        <f t="shared" si="183"/>
        <v>0</v>
      </c>
      <c r="CG183" s="1007">
        <f t="shared" si="183"/>
        <v>0</v>
      </c>
      <c r="CH183" s="1007">
        <f t="shared" si="183"/>
        <v>0</v>
      </c>
      <c r="CI183" s="1007">
        <f t="shared" si="183"/>
        <v>0</v>
      </c>
      <c r="CJ183" s="1007"/>
      <c r="CK183" s="1007"/>
      <c r="CL183" s="1007">
        <f t="shared" si="184"/>
        <v>0</v>
      </c>
      <c r="CM183" s="1010">
        <f t="shared" si="185"/>
        <v>0.69216034579439256</v>
      </c>
      <c r="CN183" s="1007">
        <f t="shared" si="176"/>
        <v>74061157</v>
      </c>
      <c r="CO183" s="1007"/>
      <c r="CP183" s="1007"/>
      <c r="CQ183" s="1007"/>
      <c r="CR183" s="1007"/>
      <c r="CS183" s="1007"/>
      <c r="CT183" s="1007">
        <f>+'[7]AGOSTO 2015'!$H$2265</f>
        <v>74061157</v>
      </c>
      <c r="CU183" s="1007"/>
      <c r="CV183" s="1007"/>
      <c r="CW183" s="1007"/>
      <c r="CX183" s="1007"/>
      <c r="CY183" s="1007"/>
      <c r="CZ183" s="1007"/>
      <c r="DA183" s="1007"/>
      <c r="DB183" s="1007"/>
      <c r="DC183" s="1007"/>
      <c r="DD183" s="1007"/>
      <c r="DE183" s="1007"/>
      <c r="DF183" s="1007"/>
      <c r="DG183" s="1007"/>
      <c r="DH183" s="1007"/>
      <c r="DI183" s="1010">
        <f t="shared" si="186"/>
        <v>0.30783965420560744</v>
      </c>
      <c r="DJ183" s="1007">
        <f t="shared" si="177"/>
        <v>32938843</v>
      </c>
      <c r="DK183" s="1007"/>
      <c r="DL183" s="1007"/>
      <c r="DM183" s="1007"/>
      <c r="DN183" s="1007">
        <f t="shared" si="163"/>
        <v>0</v>
      </c>
      <c r="DO183" s="1007">
        <f t="shared" si="163"/>
        <v>0</v>
      </c>
      <c r="DP183" s="1007">
        <f t="shared" si="163"/>
        <v>32938843</v>
      </c>
      <c r="DQ183" s="1007">
        <f t="shared" si="163"/>
        <v>0</v>
      </c>
      <c r="DR183" s="1007"/>
      <c r="DS183" s="1007">
        <f t="shared" si="187"/>
        <v>0</v>
      </c>
      <c r="DT183" s="1007">
        <f t="shared" si="187"/>
        <v>0</v>
      </c>
      <c r="DU183" s="1007"/>
      <c r="DV183" s="1007">
        <f t="shared" si="188"/>
        <v>0</v>
      </c>
      <c r="DW183" s="1007">
        <f t="shared" si="188"/>
        <v>0</v>
      </c>
      <c r="DX183" s="1007">
        <f t="shared" si="188"/>
        <v>0</v>
      </c>
      <c r="DY183" s="1007">
        <f t="shared" si="189"/>
        <v>0</v>
      </c>
      <c r="DZ183" s="1007">
        <f t="shared" si="189"/>
        <v>0</v>
      </c>
      <c r="EA183" s="1007">
        <f t="shared" si="189"/>
        <v>0</v>
      </c>
      <c r="EB183" s="1007">
        <f t="shared" si="189"/>
        <v>0</v>
      </c>
      <c r="EC183" s="1007">
        <f t="shared" si="189"/>
        <v>0</v>
      </c>
      <c r="ED183" s="1007">
        <f t="shared" si="189"/>
        <v>0</v>
      </c>
    </row>
    <row r="184" spans="1:134" s="203" customFormat="1" ht="33" customHeight="1" x14ac:dyDescent="0.25">
      <c r="A184" s="1590"/>
      <c r="B184" s="989"/>
      <c r="C184" s="1080" t="s">
        <v>4668</v>
      </c>
      <c r="D184" s="1018" t="s">
        <v>4655</v>
      </c>
      <c r="E184" s="996">
        <v>510</v>
      </c>
      <c r="F184" s="1117" t="s">
        <v>4536</v>
      </c>
      <c r="G184" s="1430"/>
      <c r="H184" s="1060">
        <f t="shared" si="143"/>
        <v>0</v>
      </c>
      <c r="I184" s="1060">
        <f t="shared" si="144"/>
        <v>0</v>
      </c>
      <c r="J184" s="1611"/>
      <c r="K184" s="1608"/>
      <c r="L184" s="1258"/>
      <c r="M184" s="1074">
        <v>0</v>
      </c>
      <c r="N184" s="1074">
        <v>0</v>
      </c>
      <c r="O184" s="1074">
        <v>0</v>
      </c>
      <c r="P184" s="1074"/>
      <c r="Q184" s="1074"/>
      <c r="R184" s="1074"/>
      <c r="S184" s="1117"/>
      <c r="T184" s="1117"/>
      <c r="U184" s="1117"/>
      <c r="V184" s="1117"/>
      <c r="W184" s="1117"/>
      <c r="X184" s="1117"/>
      <c r="Y184" s="1066">
        <f t="shared" si="173"/>
        <v>0</v>
      </c>
      <c r="Z184" s="149"/>
      <c r="AA184" s="1066"/>
      <c r="AB184" s="1066"/>
      <c r="AC184" s="1066">
        <f>15000000-15000000</f>
        <v>0</v>
      </c>
      <c r="AD184" s="1066"/>
      <c r="AE184" s="1066"/>
      <c r="AF184" s="1066"/>
      <c r="AG184" s="1066"/>
      <c r="AH184" s="1066"/>
      <c r="AI184" s="1066"/>
      <c r="AJ184" s="1066"/>
      <c r="AK184" s="1066"/>
      <c r="AL184" s="1066"/>
      <c r="AM184" s="1066"/>
      <c r="AN184" s="1066"/>
      <c r="AO184" s="1066"/>
      <c r="AP184" s="1066"/>
      <c r="AQ184" s="1066"/>
      <c r="AR184" s="1066"/>
      <c r="AS184" s="1066"/>
      <c r="AU184" s="1081" t="e">
        <f t="shared" si="178"/>
        <v>#DIV/0!</v>
      </c>
      <c r="AV184" s="1066">
        <f t="shared" si="174"/>
        <v>0</v>
      </c>
      <c r="AW184" s="1066"/>
      <c r="AX184" s="1066"/>
      <c r="AY184" s="1066"/>
      <c r="AZ184" s="1066"/>
      <c r="BA184" s="1066"/>
      <c r="BB184" s="1066"/>
      <c r="BC184" s="1066"/>
      <c r="BD184" s="1066"/>
      <c r="BE184" s="1066"/>
      <c r="BF184" s="1066"/>
      <c r="BG184" s="1066"/>
      <c r="BH184" s="1066"/>
      <c r="BI184" s="1066"/>
      <c r="BJ184" s="1066"/>
      <c r="BK184" s="1066"/>
      <c r="BL184" s="1066"/>
      <c r="BM184" s="1066"/>
      <c r="BN184" s="1066"/>
      <c r="BO184" s="1066"/>
      <c r="BP184" s="1066"/>
      <c r="BQ184" s="1081" t="e">
        <f t="shared" si="179"/>
        <v>#DIV/0!</v>
      </c>
      <c r="BR184" s="1066">
        <f t="shared" si="175"/>
        <v>0</v>
      </c>
      <c r="BS184" s="1066">
        <f t="shared" si="180"/>
        <v>0</v>
      </c>
      <c r="BT184" s="1066">
        <f t="shared" si="181"/>
        <v>0</v>
      </c>
      <c r="BU184" s="1066"/>
      <c r="BV184" s="1066">
        <f t="shared" si="162"/>
        <v>0</v>
      </c>
      <c r="BW184" s="1066">
        <f t="shared" si="162"/>
        <v>0</v>
      </c>
      <c r="BX184" s="1066">
        <f t="shared" si="182"/>
        <v>0</v>
      </c>
      <c r="BY184" s="1066">
        <f t="shared" si="182"/>
        <v>0</v>
      </c>
      <c r="BZ184" s="1066"/>
      <c r="CA184" s="1066">
        <f t="shared" si="183"/>
        <v>0</v>
      </c>
      <c r="CB184" s="1066">
        <f t="shared" si="183"/>
        <v>0</v>
      </c>
      <c r="CC184" s="1066">
        <f t="shared" si="183"/>
        <v>0</v>
      </c>
      <c r="CD184" s="1066">
        <f t="shared" si="183"/>
        <v>0</v>
      </c>
      <c r="CE184" s="1066">
        <f t="shared" si="183"/>
        <v>0</v>
      </c>
      <c r="CF184" s="1066">
        <f t="shared" si="183"/>
        <v>0</v>
      </c>
      <c r="CG184" s="1066">
        <f t="shared" si="183"/>
        <v>0</v>
      </c>
      <c r="CH184" s="1066">
        <f t="shared" si="183"/>
        <v>0</v>
      </c>
      <c r="CI184" s="1066">
        <f t="shared" si="183"/>
        <v>0</v>
      </c>
      <c r="CJ184" s="1066"/>
      <c r="CK184" s="1066"/>
      <c r="CL184" s="1066">
        <f t="shared" si="184"/>
        <v>0</v>
      </c>
      <c r="CM184" s="1081" t="e">
        <f t="shared" si="185"/>
        <v>#DIV/0!</v>
      </c>
      <c r="CN184" s="1066">
        <f t="shared" si="176"/>
        <v>0</v>
      </c>
      <c r="CO184" s="1066"/>
      <c r="CP184" s="1066"/>
      <c r="CQ184" s="1066"/>
      <c r="CR184" s="1066"/>
      <c r="CS184" s="1066"/>
      <c r="CT184" s="1066"/>
      <c r="CU184" s="1066"/>
      <c r="CV184" s="1066"/>
      <c r="CW184" s="1066"/>
      <c r="CX184" s="1066"/>
      <c r="CY184" s="1066"/>
      <c r="CZ184" s="1066"/>
      <c r="DA184" s="1066"/>
      <c r="DB184" s="1066"/>
      <c r="DC184" s="1066"/>
      <c r="DD184" s="1066"/>
      <c r="DE184" s="1066"/>
      <c r="DF184" s="1066"/>
      <c r="DG184" s="1066"/>
      <c r="DH184" s="1066"/>
      <c r="DI184" s="1081" t="e">
        <f t="shared" si="186"/>
        <v>#DIV/0!</v>
      </c>
      <c r="DJ184" s="1066">
        <f t="shared" si="177"/>
        <v>0</v>
      </c>
      <c r="DK184" s="1066"/>
      <c r="DL184" s="1066"/>
      <c r="DM184" s="1066"/>
      <c r="DN184" s="1066">
        <f t="shared" si="163"/>
        <v>0</v>
      </c>
      <c r="DO184" s="1066">
        <f t="shared" si="163"/>
        <v>0</v>
      </c>
      <c r="DP184" s="1066">
        <f t="shared" si="163"/>
        <v>0</v>
      </c>
      <c r="DQ184" s="1066">
        <f t="shared" si="163"/>
        <v>0</v>
      </c>
      <c r="DR184" s="1066"/>
      <c r="DS184" s="1066">
        <f t="shared" si="187"/>
        <v>0</v>
      </c>
      <c r="DT184" s="1066">
        <f t="shared" si="187"/>
        <v>0</v>
      </c>
      <c r="DU184" s="1066"/>
      <c r="DV184" s="1066">
        <f t="shared" si="188"/>
        <v>0</v>
      </c>
      <c r="DW184" s="1066">
        <f t="shared" si="188"/>
        <v>0</v>
      </c>
      <c r="DX184" s="1066">
        <f t="shared" si="188"/>
        <v>0</v>
      </c>
      <c r="DY184" s="1066">
        <f t="shared" si="189"/>
        <v>0</v>
      </c>
      <c r="DZ184" s="1066">
        <f t="shared" si="189"/>
        <v>0</v>
      </c>
      <c r="EA184" s="1066">
        <f t="shared" si="189"/>
        <v>0</v>
      </c>
      <c r="EB184" s="1066">
        <f t="shared" si="189"/>
        <v>0</v>
      </c>
      <c r="EC184" s="1066">
        <f t="shared" si="189"/>
        <v>0</v>
      </c>
      <c r="ED184" s="1066">
        <f t="shared" si="189"/>
        <v>0</v>
      </c>
    </row>
    <row r="185" spans="1:134" ht="39" customHeight="1" x14ac:dyDescent="0.25">
      <c r="A185" s="1590"/>
      <c r="B185" s="989" t="s">
        <v>4452</v>
      </c>
      <c r="C185" s="852" t="s">
        <v>4643</v>
      </c>
      <c r="D185" s="1018" t="s">
        <v>4705</v>
      </c>
      <c r="E185" s="994">
        <v>510</v>
      </c>
      <c r="F185" s="1117" t="s">
        <v>4591</v>
      </c>
      <c r="G185" s="1117">
        <v>80000000</v>
      </c>
      <c r="H185" s="1060">
        <f t="shared" si="143"/>
        <v>61291800</v>
      </c>
      <c r="I185" s="1060">
        <f t="shared" si="144"/>
        <v>18708200</v>
      </c>
      <c r="J185" s="1068">
        <v>0</v>
      </c>
      <c r="K185" s="1131">
        <v>1</v>
      </c>
      <c r="L185" s="1113">
        <v>30</v>
      </c>
      <c r="M185" s="1113">
        <v>7</v>
      </c>
      <c r="N185" s="1113">
        <v>100</v>
      </c>
      <c r="O185" s="1113">
        <v>7</v>
      </c>
      <c r="P185" s="1113">
        <v>64</v>
      </c>
      <c r="Q185" s="1113">
        <v>100</v>
      </c>
      <c r="R185" s="1113">
        <v>64</v>
      </c>
      <c r="S185" s="1117"/>
      <c r="T185" s="1117"/>
      <c r="U185" s="1117"/>
      <c r="V185" s="1117"/>
      <c r="W185" s="1117"/>
      <c r="X185" s="1117"/>
      <c r="Y185" s="1007">
        <f t="shared" si="173"/>
        <v>80000000</v>
      </c>
      <c r="Z185" s="944"/>
      <c r="AA185" s="1007"/>
      <c r="AB185" s="1007"/>
      <c r="AC185" s="1007"/>
      <c r="AD185" s="1007"/>
      <c r="AE185" s="1007">
        <v>80000000</v>
      </c>
      <c r="AF185" s="1007"/>
      <c r="AG185" s="1007"/>
      <c r="AH185" s="1007"/>
      <c r="AI185" s="1007"/>
      <c r="AJ185" s="1007"/>
      <c r="AK185" s="1007"/>
      <c r="AL185" s="1007"/>
      <c r="AM185" s="1007"/>
      <c r="AN185" s="1007"/>
      <c r="AO185" s="1007"/>
      <c r="AP185" s="1007"/>
      <c r="AQ185" s="1007"/>
      <c r="AR185" s="1007"/>
      <c r="AS185" s="1007"/>
      <c r="AU185" s="1010">
        <f t="shared" si="178"/>
        <v>0.88364750000000003</v>
      </c>
      <c r="AV185" s="1007">
        <f t="shared" si="174"/>
        <v>70691800</v>
      </c>
      <c r="AW185" s="1007"/>
      <c r="AX185" s="1007"/>
      <c r="AY185" s="1007"/>
      <c r="AZ185" s="1007"/>
      <c r="BA185" s="1007"/>
      <c r="BB185" s="1007">
        <f>+'[8]SEPTIEMBRE 2015'!$O$2797</f>
        <v>70691800</v>
      </c>
      <c r="BC185" s="1007"/>
      <c r="BD185" s="1007"/>
      <c r="BE185" s="1007"/>
      <c r="BF185" s="1007"/>
      <c r="BG185" s="1007"/>
      <c r="BH185" s="1007"/>
      <c r="BI185" s="1007"/>
      <c r="BJ185" s="1007"/>
      <c r="BK185" s="1007"/>
      <c r="BL185" s="1007"/>
      <c r="BM185" s="1007"/>
      <c r="BN185" s="1007"/>
      <c r="BO185" s="1007"/>
      <c r="BP185" s="1007"/>
      <c r="BQ185" s="1010">
        <f t="shared" si="179"/>
        <v>0.11635249999999997</v>
      </c>
      <c r="BR185" s="1007">
        <f t="shared" si="175"/>
        <v>9308200</v>
      </c>
      <c r="BS185" s="1007">
        <f t="shared" si="180"/>
        <v>0</v>
      </c>
      <c r="BT185" s="1007">
        <f t="shared" si="181"/>
        <v>0</v>
      </c>
      <c r="BU185" s="1007"/>
      <c r="BV185" s="1007">
        <f t="shared" si="162"/>
        <v>0</v>
      </c>
      <c r="BW185" s="1007">
        <f t="shared" si="162"/>
        <v>0</v>
      </c>
      <c r="BX185" s="1007">
        <f t="shared" si="182"/>
        <v>9308200</v>
      </c>
      <c r="BY185" s="1007">
        <f t="shared" si="182"/>
        <v>0</v>
      </c>
      <c r="BZ185" s="1007"/>
      <c r="CA185" s="1007">
        <f t="shared" si="183"/>
        <v>0</v>
      </c>
      <c r="CB185" s="1007">
        <f t="shared" si="183"/>
        <v>0</v>
      </c>
      <c r="CC185" s="1007">
        <f t="shared" si="183"/>
        <v>0</v>
      </c>
      <c r="CD185" s="1007">
        <f t="shared" si="183"/>
        <v>0</v>
      </c>
      <c r="CE185" s="1007">
        <f t="shared" si="183"/>
        <v>0</v>
      </c>
      <c r="CF185" s="1007">
        <f t="shared" si="183"/>
        <v>0</v>
      </c>
      <c r="CG185" s="1007">
        <f t="shared" si="183"/>
        <v>0</v>
      </c>
      <c r="CH185" s="1007">
        <f t="shared" si="183"/>
        <v>0</v>
      </c>
      <c r="CI185" s="1007">
        <f t="shared" si="183"/>
        <v>0</v>
      </c>
      <c r="CJ185" s="1007"/>
      <c r="CK185" s="1007"/>
      <c r="CL185" s="1007">
        <f t="shared" si="184"/>
        <v>0</v>
      </c>
      <c r="CM185" s="1010">
        <f t="shared" si="185"/>
        <v>0.76614749999999998</v>
      </c>
      <c r="CN185" s="1007">
        <f t="shared" si="176"/>
        <v>61291800</v>
      </c>
      <c r="CO185" s="1007"/>
      <c r="CP185" s="1007"/>
      <c r="CQ185" s="1007"/>
      <c r="CR185" s="1007"/>
      <c r="CS185" s="1007"/>
      <c r="CT185" s="1007">
        <f>+'[8]SEPTIEMBRE 2015'!$H$2795</f>
        <v>61291800</v>
      </c>
      <c r="CU185" s="1007"/>
      <c r="CV185" s="1007"/>
      <c r="CW185" s="1007"/>
      <c r="CX185" s="1007"/>
      <c r="CY185" s="1007"/>
      <c r="CZ185" s="1007"/>
      <c r="DA185" s="1007"/>
      <c r="DB185" s="1007"/>
      <c r="DC185" s="1007"/>
      <c r="DD185" s="1007"/>
      <c r="DE185" s="1007"/>
      <c r="DF185" s="1007"/>
      <c r="DG185" s="1007"/>
      <c r="DH185" s="1007"/>
      <c r="DI185" s="1010">
        <f t="shared" si="186"/>
        <v>0.23385250000000002</v>
      </c>
      <c r="DJ185" s="1007">
        <f t="shared" si="177"/>
        <v>18708200</v>
      </c>
      <c r="DK185" s="1007"/>
      <c r="DL185" s="1007"/>
      <c r="DM185" s="1007"/>
      <c r="DN185" s="1007">
        <f t="shared" si="163"/>
        <v>0</v>
      </c>
      <c r="DO185" s="1007">
        <f t="shared" si="163"/>
        <v>0</v>
      </c>
      <c r="DP185" s="1007">
        <f t="shared" si="163"/>
        <v>18708200</v>
      </c>
      <c r="DQ185" s="1007">
        <f t="shared" si="163"/>
        <v>0</v>
      </c>
      <c r="DR185" s="1007"/>
      <c r="DS185" s="1007">
        <f t="shared" si="187"/>
        <v>0</v>
      </c>
      <c r="DT185" s="1007">
        <f t="shared" si="187"/>
        <v>0</v>
      </c>
      <c r="DU185" s="1007"/>
      <c r="DV185" s="1007">
        <f t="shared" si="188"/>
        <v>0</v>
      </c>
      <c r="DW185" s="1007">
        <f t="shared" si="188"/>
        <v>0</v>
      </c>
      <c r="DX185" s="1007">
        <f t="shared" si="188"/>
        <v>0</v>
      </c>
      <c r="DY185" s="1007">
        <f t="shared" si="189"/>
        <v>0</v>
      </c>
      <c r="DZ185" s="1007">
        <f t="shared" si="189"/>
        <v>0</v>
      </c>
      <c r="EA185" s="1007">
        <f t="shared" si="189"/>
        <v>0</v>
      </c>
      <c r="EB185" s="1007">
        <f t="shared" si="189"/>
        <v>0</v>
      </c>
      <c r="EC185" s="1007">
        <f t="shared" si="189"/>
        <v>0</v>
      </c>
      <c r="ED185" s="1007">
        <f t="shared" si="189"/>
        <v>0</v>
      </c>
    </row>
    <row r="186" spans="1:134" ht="45" customHeight="1" x14ac:dyDescent="0.25">
      <c r="A186" s="1590"/>
      <c r="B186" s="989" t="s">
        <v>4453</v>
      </c>
      <c r="C186" s="852" t="s">
        <v>4647</v>
      </c>
      <c r="D186" s="1018" t="s">
        <v>4694</v>
      </c>
      <c r="E186" s="994">
        <v>510</v>
      </c>
      <c r="F186" s="1117" t="s">
        <v>4482</v>
      </c>
      <c r="G186" s="1428">
        <v>120000000</v>
      </c>
      <c r="H186" s="1060">
        <f t="shared" si="143"/>
        <v>0</v>
      </c>
      <c r="I186" s="1060">
        <f t="shared" si="144"/>
        <v>1000000</v>
      </c>
      <c r="J186" s="1117">
        <v>0</v>
      </c>
      <c r="K186" s="1131">
        <v>1</v>
      </c>
      <c r="L186" s="1113">
        <v>100</v>
      </c>
      <c r="M186" s="1113">
        <v>0</v>
      </c>
      <c r="N186" s="1113">
        <v>0</v>
      </c>
      <c r="O186" s="1113">
        <v>0</v>
      </c>
      <c r="P186" s="1113">
        <v>0</v>
      </c>
      <c r="Q186" s="1113">
        <v>0</v>
      </c>
      <c r="R186" s="1113">
        <v>0</v>
      </c>
      <c r="S186" s="1117"/>
      <c r="T186" s="1117"/>
      <c r="U186" s="1117"/>
      <c r="V186" s="1117"/>
      <c r="W186" s="1117"/>
      <c r="X186" s="1117"/>
      <c r="Y186" s="1007">
        <f t="shared" si="173"/>
        <v>1000000</v>
      </c>
      <c r="Z186" s="944"/>
      <c r="AA186" s="1007"/>
      <c r="AB186" s="1007"/>
      <c r="AC186" s="1007"/>
      <c r="AD186" s="1007"/>
      <c r="AE186" s="1007">
        <v>1000000</v>
      </c>
      <c r="AF186" s="1007"/>
      <c r="AG186" s="1007"/>
      <c r="AH186" s="1007"/>
      <c r="AI186" s="1007"/>
      <c r="AJ186" s="1007"/>
      <c r="AK186" s="1007"/>
      <c r="AL186" s="1007"/>
      <c r="AM186" s="1007"/>
      <c r="AN186" s="1007"/>
      <c r="AO186" s="1007"/>
      <c r="AP186" s="1007"/>
      <c r="AQ186" s="1007"/>
      <c r="AR186" s="1007"/>
      <c r="AS186" s="1007"/>
      <c r="AU186" s="1010">
        <f t="shared" si="178"/>
        <v>0</v>
      </c>
      <c r="AV186" s="1007">
        <f t="shared" si="174"/>
        <v>0</v>
      </c>
      <c r="AW186" s="1007"/>
      <c r="AX186" s="1007"/>
      <c r="AY186" s="1007"/>
      <c r="AZ186" s="1007"/>
      <c r="BA186" s="1007"/>
      <c r="BB186" s="1007"/>
      <c r="BC186" s="1007"/>
      <c r="BD186" s="1007"/>
      <c r="BE186" s="1007"/>
      <c r="BF186" s="1007"/>
      <c r="BG186" s="1007"/>
      <c r="BH186" s="1007"/>
      <c r="BI186" s="1007"/>
      <c r="BJ186" s="1007"/>
      <c r="BK186" s="1007"/>
      <c r="BL186" s="1007"/>
      <c r="BM186" s="1007"/>
      <c r="BN186" s="1007"/>
      <c r="BO186" s="1007"/>
      <c r="BP186" s="1007"/>
      <c r="BQ186" s="1010">
        <f t="shared" si="179"/>
        <v>1</v>
      </c>
      <c r="BR186" s="1007">
        <f t="shared" si="175"/>
        <v>1000000</v>
      </c>
      <c r="BS186" s="1007">
        <f t="shared" si="180"/>
        <v>0</v>
      </c>
      <c r="BT186" s="1007">
        <f t="shared" si="181"/>
        <v>0</v>
      </c>
      <c r="BU186" s="1007"/>
      <c r="BV186" s="1007">
        <f t="shared" si="162"/>
        <v>0</v>
      </c>
      <c r="BW186" s="1007">
        <f t="shared" si="162"/>
        <v>0</v>
      </c>
      <c r="BX186" s="1007">
        <f t="shared" si="182"/>
        <v>1000000</v>
      </c>
      <c r="BY186" s="1007">
        <f t="shared" si="182"/>
        <v>0</v>
      </c>
      <c r="BZ186" s="1007"/>
      <c r="CA186" s="1007">
        <f t="shared" si="183"/>
        <v>0</v>
      </c>
      <c r="CB186" s="1007">
        <f t="shared" si="183"/>
        <v>0</v>
      </c>
      <c r="CC186" s="1007">
        <f t="shared" si="183"/>
        <v>0</v>
      </c>
      <c r="CD186" s="1007">
        <f t="shared" si="183"/>
        <v>0</v>
      </c>
      <c r="CE186" s="1007">
        <f t="shared" si="183"/>
        <v>0</v>
      </c>
      <c r="CF186" s="1007">
        <f t="shared" si="183"/>
        <v>0</v>
      </c>
      <c r="CG186" s="1007">
        <f t="shared" si="183"/>
        <v>0</v>
      </c>
      <c r="CH186" s="1007">
        <f t="shared" si="183"/>
        <v>0</v>
      </c>
      <c r="CI186" s="1007">
        <f t="shared" si="183"/>
        <v>0</v>
      </c>
      <c r="CJ186" s="1007"/>
      <c r="CK186" s="1007"/>
      <c r="CL186" s="1007">
        <f t="shared" si="184"/>
        <v>0</v>
      </c>
      <c r="CM186" s="1010">
        <f t="shared" si="185"/>
        <v>0</v>
      </c>
      <c r="CN186" s="1007">
        <f t="shared" si="176"/>
        <v>0</v>
      </c>
      <c r="CO186" s="1007"/>
      <c r="CP186" s="1007"/>
      <c r="CQ186" s="1007"/>
      <c r="CR186" s="1007"/>
      <c r="CS186" s="1007"/>
      <c r="CT186" s="1007"/>
      <c r="CU186" s="1007"/>
      <c r="CV186" s="1007"/>
      <c r="CW186" s="1007"/>
      <c r="CX186" s="1007"/>
      <c r="CY186" s="1007"/>
      <c r="CZ186" s="1007"/>
      <c r="DA186" s="1007"/>
      <c r="DB186" s="1007"/>
      <c r="DC186" s="1007"/>
      <c r="DD186" s="1007"/>
      <c r="DE186" s="1007"/>
      <c r="DF186" s="1007"/>
      <c r="DG186" s="1007"/>
      <c r="DH186" s="1007"/>
      <c r="DI186" s="1010">
        <f t="shared" si="186"/>
        <v>1</v>
      </c>
      <c r="DJ186" s="1007">
        <f t="shared" si="177"/>
        <v>1000000</v>
      </c>
      <c r="DK186" s="1007"/>
      <c r="DL186" s="1007"/>
      <c r="DM186" s="1007"/>
      <c r="DN186" s="1007">
        <f t="shared" si="163"/>
        <v>0</v>
      </c>
      <c r="DO186" s="1007">
        <f t="shared" si="163"/>
        <v>0</v>
      </c>
      <c r="DP186" s="1007">
        <f t="shared" si="163"/>
        <v>1000000</v>
      </c>
      <c r="DQ186" s="1007">
        <f t="shared" si="163"/>
        <v>0</v>
      </c>
      <c r="DR186" s="1007"/>
      <c r="DS186" s="1007">
        <f t="shared" si="187"/>
        <v>0</v>
      </c>
      <c r="DT186" s="1007">
        <f t="shared" si="187"/>
        <v>0</v>
      </c>
      <c r="DU186" s="1007"/>
      <c r="DV186" s="1007">
        <f t="shared" si="188"/>
        <v>0</v>
      </c>
      <c r="DW186" s="1007">
        <f t="shared" si="188"/>
        <v>0</v>
      </c>
      <c r="DX186" s="1007">
        <f t="shared" si="188"/>
        <v>0</v>
      </c>
      <c r="DY186" s="1007">
        <f t="shared" si="189"/>
        <v>0</v>
      </c>
      <c r="DZ186" s="1007">
        <f t="shared" si="189"/>
        <v>0</v>
      </c>
      <c r="EA186" s="1007">
        <f t="shared" si="189"/>
        <v>0</v>
      </c>
      <c r="EB186" s="1007">
        <f t="shared" si="189"/>
        <v>0</v>
      </c>
      <c r="EC186" s="1007">
        <f t="shared" si="189"/>
        <v>0</v>
      </c>
      <c r="ED186" s="1007">
        <f t="shared" si="189"/>
        <v>0</v>
      </c>
    </row>
    <row r="187" spans="1:134" ht="24" customHeight="1" x14ac:dyDescent="0.25">
      <c r="A187" s="1590"/>
      <c r="B187" s="989"/>
      <c r="C187" s="852" t="s">
        <v>4648</v>
      </c>
      <c r="D187" s="1018" t="s">
        <v>4695</v>
      </c>
      <c r="E187" s="994">
        <v>510</v>
      </c>
      <c r="F187" s="1117" t="s">
        <v>4482</v>
      </c>
      <c r="G187" s="1429"/>
      <c r="H187" s="1060">
        <f t="shared" si="143"/>
        <v>0</v>
      </c>
      <c r="I187" s="1060">
        <f t="shared" si="144"/>
        <v>5000000</v>
      </c>
      <c r="J187" s="1283">
        <v>0</v>
      </c>
      <c r="K187" s="1605">
        <v>1</v>
      </c>
      <c r="L187" s="1198">
        <v>100</v>
      </c>
      <c r="M187" s="1113">
        <v>0</v>
      </c>
      <c r="N187" s="1113">
        <v>0</v>
      </c>
      <c r="O187" s="1113">
        <v>0</v>
      </c>
      <c r="P187" s="1113">
        <v>0</v>
      </c>
      <c r="Q187" s="1113">
        <v>0</v>
      </c>
      <c r="R187" s="1113">
        <v>0</v>
      </c>
      <c r="S187" s="1117"/>
      <c r="T187" s="1117"/>
      <c r="U187" s="1117"/>
      <c r="V187" s="1117"/>
      <c r="W187" s="1117"/>
      <c r="X187" s="1117"/>
      <c r="Y187" s="1007">
        <f t="shared" si="173"/>
        <v>5000000</v>
      </c>
      <c r="Z187" s="944"/>
      <c r="AA187" s="1007"/>
      <c r="AB187" s="1007"/>
      <c r="AC187" s="1007"/>
      <c r="AD187" s="1007"/>
      <c r="AE187" s="1007">
        <v>5000000</v>
      </c>
      <c r="AF187" s="1007"/>
      <c r="AG187" s="1007"/>
      <c r="AH187" s="1007"/>
      <c r="AI187" s="1007"/>
      <c r="AJ187" s="1007"/>
      <c r="AK187" s="1007"/>
      <c r="AL187" s="1007"/>
      <c r="AM187" s="1007"/>
      <c r="AN187" s="1007"/>
      <c r="AO187" s="1007"/>
      <c r="AP187" s="1007"/>
      <c r="AQ187" s="1007"/>
      <c r="AR187" s="1007"/>
      <c r="AS187" s="1007"/>
      <c r="AU187" s="1010">
        <f t="shared" si="178"/>
        <v>0</v>
      </c>
      <c r="AV187" s="1007">
        <f t="shared" si="174"/>
        <v>0</v>
      </c>
      <c r="AW187" s="1007"/>
      <c r="AX187" s="1007"/>
      <c r="AY187" s="1007"/>
      <c r="AZ187" s="1007"/>
      <c r="BA187" s="1007"/>
      <c r="BB187" s="1007"/>
      <c r="BC187" s="1007"/>
      <c r="BD187" s="1007"/>
      <c r="BE187" s="1007"/>
      <c r="BF187" s="1007"/>
      <c r="BG187" s="1007"/>
      <c r="BH187" s="1007"/>
      <c r="BI187" s="1007"/>
      <c r="BJ187" s="1007"/>
      <c r="BK187" s="1007"/>
      <c r="BL187" s="1007"/>
      <c r="BM187" s="1007"/>
      <c r="BN187" s="1007"/>
      <c r="BO187" s="1007"/>
      <c r="BP187" s="1007"/>
      <c r="BQ187" s="1010">
        <f t="shared" si="179"/>
        <v>1</v>
      </c>
      <c r="BR187" s="1007">
        <f t="shared" si="175"/>
        <v>5000000</v>
      </c>
      <c r="BS187" s="1007">
        <f t="shared" si="180"/>
        <v>0</v>
      </c>
      <c r="BT187" s="1007">
        <f t="shared" si="181"/>
        <v>0</v>
      </c>
      <c r="BU187" s="1007"/>
      <c r="BV187" s="1007">
        <f t="shared" si="162"/>
        <v>0</v>
      </c>
      <c r="BW187" s="1007">
        <f t="shared" si="162"/>
        <v>0</v>
      </c>
      <c r="BX187" s="1007">
        <f t="shared" si="182"/>
        <v>5000000</v>
      </c>
      <c r="BY187" s="1007">
        <f t="shared" si="182"/>
        <v>0</v>
      </c>
      <c r="BZ187" s="1007"/>
      <c r="CA187" s="1007">
        <f t="shared" si="183"/>
        <v>0</v>
      </c>
      <c r="CB187" s="1007">
        <f t="shared" si="183"/>
        <v>0</v>
      </c>
      <c r="CC187" s="1007">
        <f t="shared" si="183"/>
        <v>0</v>
      </c>
      <c r="CD187" s="1007">
        <f t="shared" si="183"/>
        <v>0</v>
      </c>
      <c r="CE187" s="1007">
        <f t="shared" si="183"/>
        <v>0</v>
      </c>
      <c r="CF187" s="1007">
        <f t="shared" si="183"/>
        <v>0</v>
      </c>
      <c r="CG187" s="1007">
        <f t="shared" si="183"/>
        <v>0</v>
      </c>
      <c r="CH187" s="1007">
        <f t="shared" si="183"/>
        <v>0</v>
      </c>
      <c r="CI187" s="1007">
        <f t="shared" si="183"/>
        <v>0</v>
      </c>
      <c r="CJ187" s="1007"/>
      <c r="CK187" s="1007"/>
      <c r="CL187" s="1007">
        <f t="shared" si="184"/>
        <v>0</v>
      </c>
      <c r="CM187" s="1010">
        <f t="shared" si="185"/>
        <v>0</v>
      </c>
      <c r="CN187" s="1007">
        <f t="shared" si="176"/>
        <v>0</v>
      </c>
      <c r="CO187" s="1007"/>
      <c r="CP187" s="1007"/>
      <c r="CQ187" s="1007"/>
      <c r="CR187" s="1007"/>
      <c r="CS187" s="1007"/>
      <c r="CT187" s="1007"/>
      <c r="CU187" s="1007"/>
      <c r="CV187" s="1007"/>
      <c r="CW187" s="1007"/>
      <c r="CX187" s="1007"/>
      <c r="CY187" s="1007"/>
      <c r="CZ187" s="1007"/>
      <c r="DA187" s="1007"/>
      <c r="DB187" s="1007"/>
      <c r="DC187" s="1007"/>
      <c r="DD187" s="1007"/>
      <c r="DE187" s="1007"/>
      <c r="DF187" s="1007"/>
      <c r="DG187" s="1007"/>
      <c r="DH187" s="1007"/>
      <c r="DI187" s="1010">
        <f t="shared" si="186"/>
        <v>1</v>
      </c>
      <c r="DJ187" s="1007">
        <f t="shared" si="177"/>
        <v>5000000</v>
      </c>
      <c r="DK187" s="1007"/>
      <c r="DL187" s="1007"/>
      <c r="DM187" s="1007"/>
      <c r="DN187" s="1007">
        <f t="shared" si="163"/>
        <v>0</v>
      </c>
      <c r="DO187" s="1007">
        <f t="shared" si="163"/>
        <v>0</v>
      </c>
      <c r="DP187" s="1007">
        <f t="shared" si="163"/>
        <v>5000000</v>
      </c>
      <c r="DQ187" s="1007">
        <f t="shared" si="163"/>
        <v>0</v>
      </c>
      <c r="DR187" s="1007"/>
      <c r="DS187" s="1007">
        <f t="shared" si="187"/>
        <v>0</v>
      </c>
      <c r="DT187" s="1007">
        <f t="shared" si="187"/>
        <v>0</v>
      </c>
      <c r="DU187" s="1007"/>
      <c r="DV187" s="1007">
        <f t="shared" si="188"/>
        <v>0</v>
      </c>
      <c r="DW187" s="1007">
        <f t="shared" si="188"/>
        <v>0</v>
      </c>
      <c r="DX187" s="1007">
        <f t="shared" si="188"/>
        <v>0</v>
      </c>
      <c r="DY187" s="1007">
        <f t="shared" si="189"/>
        <v>0</v>
      </c>
      <c r="DZ187" s="1007">
        <f t="shared" si="189"/>
        <v>0</v>
      </c>
      <c r="EA187" s="1007">
        <f t="shared" si="189"/>
        <v>0</v>
      </c>
      <c r="EB187" s="1007">
        <f t="shared" si="189"/>
        <v>0</v>
      </c>
      <c r="EC187" s="1007">
        <f t="shared" si="189"/>
        <v>0</v>
      </c>
      <c r="ED187" s="1007">
        <f t="shared" si="189"/>
        <v>0</v>
      </c>
    </row>
    <row r="188" spans="1:134" ht="51" customHeight="1" x14ac:dyDescent="0.25">
      <c r="A188" s="1590"/>
      <c r="B188" s="989"/>
      <c r="C188" s="852" t="s">
        <v>4649</v>
      </c>
      <c r="D188" s="1018" t="s">
        <v>4645</v>
      </c>
      <c r="E188" s="994">
        <v>510</v>
      </c>
      <c r="F188" s="1117" t="s">
        <v>4482</v>
      </c>
      <c r="G188" s="1429"/>
      <c r="H188" s="1060">
        <f t="shared" si="143"/>
        <v>23930000</v>
      </c>
      <c r="I188" s="1060">
        <f t="shared" si="144"/>
        <v>87070000</v>
      </c>
      <c r="J188" s="1283"/>
      <c r="K188" s="1605"/>
      <c r="L188" s="1198"/>
      <c r="M188" s="1113">
        <v>0</v>
      </c>
      <c r="N188" s="1113">
        <v>0</v>
      </c>
      <c r="O188" s="1113">
        <v>0</v>
      </c>
      <c r="P188" s="1113">
        <v>0</v>
      </c>
      <c r="Q188" s="1113">
        <v>0</v>
      </c>
      <c r="R188" s="1113">
        <v>0</v>
      </c>
      <c r="S188" s="1117"/>
      <c r="T188" s="1117"/>
      <c r="U188" s="1117"/>
      <c r="V188" s="1117"/>
      <c r="W188" s="1117"/>
      <c r="X188" s="1117"/>
      <c r="Y188" s="1007">
        <f t="shared" si="173"/>
        <v>111000000</v>
      </c>
      <c r="Z188" s="944"/>
      <c r="AA188" s="1007"/>
      <c r="AB188" s="1007"/>
      <c r="AC188" s="1007"/>
      <c r="AD188" s="1007"/>
      <c r="AE188" s="1007">
        <v>111000000</v>
      </c>
      <c r="AF188" s="1007"/>
      <c r="AG188" s="1007"/>
      <c r="AH188" s="1007"/>
      <c r="AI188" s="1007"/>
      <c r="AJ188" s="1007"/>
      <c r="AK188" s="1007"/>
      <c r="AL188" s="1007"/>
      <c r="AM188" s="1007"/>
      <c r="AN188" s="1007"/>
      <c r="AO188" s="1007"/>
      <c r="AP188" s="1007"/>
      <c r="AQ188" s="1007"/>
      <c r="AR188" s="1007"/>
      <c r="AS188" s="1007"/>
      <c r="AU188" s="1010">
        <f t="shared" si="178"/>
        <v>0.27027027027027029</v>
      </c>
      <c r="AV188" s="1007">
        <f t="shared" si="174"/>
        <v>30000000</v>
      </c>
      <c r="AW188" s="1007"/>
      <c r="AX188" s="1007"/>
      <c r="AY188" s="1007"/>
      <c r="AZ188" s="1007"/>
      <c r="BA188" s="1007"/>
      <c r="BB188" s="1007">
        <f>+'[7]AGOSTO 2015'!$O$2319</f>
        <v>30000000</v>
      </c>
      <c r="BC188" s="1007"/>
      <c r="BD188" s="1007"/>
      <c r="BE188" s="1007"/>
      <c r="BF188" s="1007"/>
      <c r="BG188" s="1007"/>
      <c r="BH188" s="1007"/>
      <c r="BI188" s="1007"/>
      <c r="BJ188" s="1007"/>
      <c r="BK188" s="1007"/>
      <c r="BL188" s="1007"/>
      <c r="BM188" s="1007"/>
      <c r="BN188" s="1007"/>
      <c r="BO188" s="1007"/>
      <c r="BP188" s="1007"/>
      <c r="BQ188" s="1010">
        <f t="shared" si="179"/>
        <v>0.72972972972972971</v>
      </c>
      <c r="BR188" s="1007">
        <f t="shared" si="175"/>
        <v>81000000</v>
      </c>
      <c r="BS188" s="1007">
        <f t="shared" si="180"/>
        <v>0</v>
      </c>
      <c r="BT188" s="1007">
        <f t="shared" si="181"/>
        <v>0</v>
      </c>
      <c r="BU188" s="1007"/>
      <c r="BV188" s="1007">
        <f t="shared" si="162"/>
        <v>0</v>
      </c>
      <c r="BW188" s="1007">
        <f t="shared" si="162"/>
        <v>0</v>
      </c>
      <c r="BX188" s="1007">
        <f t="shared" si="182"/>
        <v>81000000</v>
      </c>
      <c r="BY188" s="1007">
        <f t="shared" si="182"/>
        <v>0</v>
      </c>
      <c r="BZ188" s="1007"/>
      <c r="CA188" s="1007">
        <f t="shared" si="183"/>
        <v>0</v>
      </c>
      <c r="CB188" s="1007">
        <f t="shared" si="183"/>
        <v>0</v>
      </c>
      <c r="CC188" s="1007">
        <f t="shared" si="183"/>
        <v>0</v>
      </c>
      <c r="CD188" s="1007">
        <f t="shared" si="183"/>
        <v>0</v>
      </c>
      <c r="CE188" s="1007">
        <f t="shared" si="183"/>
        <v>0</v>
      </c>
      <c r="CF188" s="1007">
        <f t="shared" si="183"/>
        <v>0</v>
      </c>
      <c r="CG188" s="1007">
        <f t="shared" si="183"/>
        <v>0</v>
      </c>
      <c r="CH188" s="1007">
        <f t="shared" si="183"/>
        <v>0</v>
      </c>
      <c r="CI188" s="1007">
        <f t="shared" si="183"/>
        <v>0</v>
      </c>
      <c r="CJ188" s="1007"/>
      <c r="CK188" s="1007"/>
      <c r="CL188" s="1007">
        <f t="shared" si="184"/>
        <v>0</v>
      </c>
      <c r="CM188" s="1010">
        <f t="shared" si="185"/>
        <v>0.21558558558558558</v>
      </c>
      <c r="CN188" s="1007">
        <f t="shared" si="176"/>
        <v>23930000</v>
      </c>
      <c r="CO188" s="1007"/>
      <c r="CP188" s="1007"/>
      <c r="CQ188" s="1007"/>
      <c r="CR188" s="1007"/>
      <c r="CS188" s="1007"/>
      <c r="CT188" s="1007">
        <f>+'[7]AGOSTO 2015'!$H$2317</f>
        <v>23930000</v>
      </c>
      <c r="CU188" s="1007"/>
      <c r="CV188" s="1007"/>
      <c r="CW188" s="1007"/>
      <c r="CX188" s="1007"/>
      <c r="CY188" s="1007"/>
      <c r="CZ188" s="1007"/>
      <c r="DA188" s="1007"/>
      <c r="DB188" s="1007"/>
      <c r="DC188" s="1007"/>
      <c r="DD188" s="1007"/>
      <c r="DE188" s="1007"/>
      <c r="DF188" s="1007"/>
      <c r="DG188" s="1007"/>
      <c r="DH188" s="1007"/>
      <c r="DI188" s="1010">
        <f t="shared" si="186"/>
        <v>0.7844144144144144</v>
      </c>
      <c r="DJ188" s="1007">
        <f t="shared" si="177"/>
        <v>87070000</v>
      </c>
      <c r="DK188" s="1007"/>
      <c r="DL188" s="1007"/>
      <c r="DM188" s="1007"/>
      <c r="DN188" s="1007">
        <f t="shared" si="163"/>
        <v>0</v>
      </c>
      <c r="DO188" s="1007">
        <f t="shared" si="163"/>
        <v>0</v>
      </c>
      <c r="DP188" s="1007">
        <f t="shared" si="163"/>
        <v>87070000</v>
      </c>
      <c r="DQ188" s="1007">
        <f t="shared" si="163"/>
        <v>0</v>
      </c>
      <c r="DR188" s="1007"/>
      <c r="DS188" s="1007">
        <f t="shared" si="187"/>
        <v>0</v>
      </c>
      <c r="DT188" s="1007">
        <f t="shared" si="187"/>
        <v>0</v>
      </c>
      <c r="DU188" s="1007"/>
      <c r="DV188" s="1007">
        <f t="shared" si="188"/>
        <v>0</v>
      </c>
      <c r="DW188" s="1007">
        <f t="shared" si="188"/>
        <v>0</v>
      </c>
      <c r="DX188" s="1007">
        <f t="shared" si="188"/>
        <v>0</v>
      </c>
      <c r="DY188" s="1007">
        <f t="shared" si="189"/>
        <v>0</v>
      </c>
      <c r="DZ188" s="1007">
        <f t="shared" si="189"/>
        <v>0</v>
      </c>
      <c r="EA188" s="1007">
        <f t="shared" si="189"/>
        <v>0</v>
      </c>
      <c r="EB188" s="1007">
        <f t="shared" si="189"/>
        <v>0</v>
      </c>
      <c r="EC188" s="1007">
        <f t="shared" si="189"/>
        <v>0</v>
      </c>
      <c r="ED188" s="1007">
        <f t="shared" si="189"/>
        <v>0</v>
      </c>
    </row>
    <row r="189" spans="1:134" ht="34.5" customHeight="1" x14ac:dyDescent="0.25">
      <c r="A189" s="1590"/>
      <c r="B189" s="989"/>
      <c r="C189" s="852" t="s">
        <v>4650</v>
      </c>
      <c r="D189" s="1018" t="s">
        <v>4646</v>
      </c>
      <c r="E189" s="994">
        <v>510</v>
      </c>
      <c r="F189" s="1117" t="s">
        <v>4482</v>
      </c>
      <c r="G189" s="1429"/>
      <c r="H189" s="1060">
        <f t="shared" si="143"/>
        <v>0</v>
      </c>
      <c r="I189" s="1060">
        <f t="shared" si="144"/>
        <v>3000000</v>
      </c>
      <c r="J189" s="1283">
        <v>0</v>
      </c>
      <c r="K189" s="1605">
        <v>1</v>
      </c>
      <c r="L189" s="1198">
        <v>50</v>
      </c>
      <c r="M189" s="1113">
        <v>0</v>
      </c>
      <c r="N189" s="1113">
        <v>0</v>
      </c>
      <c r="O189" s="1113">
        <v>0</v>
      </c>
      <c r="P189" s="1113">
        <v>0</v>
      </c>
      <c r="Q189" s="1113">
        <v>0</v>
      </c>
      <c r="R189" s="1113">
        <v>0</v>
      </c>
      <c r="S189" s="1117"/>
      <c r="T189" s="1117"/>
      <c r="U189" s="1117"/>
      <c r="V189" s="1117"/>
      <c r="W189" s="1117"/>
      <c r="X189" s="1117"/>
      <c r="Y189" s="1007">
        <f t="shared" si="173"/>
        <v>3000000</v>
      </c>
      <c r="Z189" s="944"/>
      <c r="AA189" s="1007"/>
      <c r="AB189" s="1007"/>
      <c r="AC189" s="1007"/>
      <c r="AD189" s="1007"/>
      <c r="AE189" s="1007">
        <v>3000000</v>
      </c>
      <c r="AF189" s="1007"/>
      <c r="AG189" s="1007"/>
      <c r="AH189" s="1007"/>
      <c r="AI189" s="1007"/>
      <c r="AJ189" s="1007"/>
      <c r="AK189" s="1007"/>
      <c r="AL189" s="1007"/>
      <c r="AM189" s="1007"/>
      <c r="AN189" s="1007"/>
      <c r="AO189" s="1007"/>
      <c r="AP189" s="1007"/>
      <c r="AQ189" s="1007"/>
      <c r="AR189" s="1007"/>
      <c r="AS189" s="1007"/>
      <c r="AU189" s="1010">
        <f t="shared" si="178"/>
        <v>0</v>
      </c>
      <c r="AV189" s="1007">
        <f t="shared" si="174"/>
        <v>0</v>
      </c>
      <c r="AW189" s="1007"/>
      <c r="AX189" s="1007"/>
      <c r="AY189" s="1007"/>
      <c r="AZ189" s="1007"/>
      <c r="BA189" s="1007"/>
      <c r="BB189" s="1007"/>
      <c r="BC189" s="1007"/>
      <c r="BD189" s="1007"/>
      <c r="BE189" s="1007"/>
      <c r="BF189" s="1007"/>
      <c r="BG189" s="1007"/>
      <c r="BH189" s="1007"/>
      <c r="BI189" s="1007"/>
      <c r="BJ189" s="1007"/>
      <c r="BK189" s="1007"/>
      <c r="BL189" s="1007"/>
      <c r="BM189" s="1007"/>
      <c r="BN189" s="1007"/>
      <c r="BO189" s="1007"/>
      <c r="BP189" s="1007"/>
      <c r="BQ189" s="1010">
        <f t="shared" si="179"/>
        <v>1</v>
      </c>
      <c r="BR189" s="1007">
        <f t="shared" si="175"/>
        <v>3000000</v>
      </c>
      <c r="BS189" s="1007">
        <f t="shared" si="180"/>
        <v>0</v>
      </c>
      <c r="BT189" s="1007">
        <f t="shared" si="181"/>
        <v>0</v>
      </c>
      <c r="BU189" s="1007"/>
      <c r="BV189" s="1007">
        <f t="shared" si="162"/>
        <v>0</v>
      </c>
      <c r="BW189" s="1007">
        <f t="shared" si="162"/>
        <v>0</v>
      </c>
      <c r="BX189" s="1007">
        <f t="shared" si="182"/>
        <v>3000000</v>
      </c>
      <c r="BY189" s="1007">
        <f t="shared" si="182"/>
        <v>0</v>
      </c>
      <c r="BZ189" s="1007"/>
      <c r="CA189" s="1007">
        <f t="shared" si="183"/>
        <v>0</v>
      </c>
      <c r="CB189" s="1007">
        <f t="shared" si="183"/>
        <v>0</v>
      </c>
      <c r="CC189" s="1007">
        <f t="shared" si="183"/>
        <v>0</v>
      </c>
      <c r="CD189" s="1007">
        <f t="shared" si="183"/>
        <v>0</v>
      </c>
      <c r="CE189" s="1007">
        <f t="shared" si="183"/>
        <v>0</v>
      </c>
      <c r="CF189" s="1007">
        <f t="shared" si="183"/>
        <v>0</v>
      </c>
      <c r="CG189" s="1007">
        <f t="shared" si="183"/>
        <v>0</v>
      </c>
      <c r="CH189" s="1007">
        <f t="shared" si="183"/>
        <v>0</v>
      </c>
      <c r="CI189" s="1007">
        <f t="shared" si="183"/>
        <v>0</v>
      </c>
      <c r="CJ189" s="1007"/>
      <c r="CK189" s="1007"/>
      <c r="CL189" s="1007">
        <f t="shared" si="184"/>
        <v>0</v>
      </c>
      <c r="CM189" s="1010">
        <f t="shared" si="185"/>
        <v>0</v>
      </c>
      <c r="CN189" s="1007">
        <f t="shared" si="176"/>
        <v>0</v>
      </c>
      <c r="CO189" s="1007"/>
      <c r="CP189" s="1007"/>
      <c r="CQ189" s="1007"/>
      <c r="CR189" s="1007"/>
      <c r="CS189" s="1007"/>
      <c r="CT189" s="1007"/>
      <c r="CU189" s="1007"/>
      <c r="CV189" s="1007"/>
      <c r="CW189" s="1007"/>
      <c r="CX189" s="1007"/>
      <c r="CY189" s="1007"/>
      <c r="CZ189" s="1007"/>
      <c r="DA189" s="1007"/>
      <c r="DB189" s="1007"/>
      <c r="DC189" s="1007"/>
      <c r="DD189" s="1007"/>
      <c r="DE189" s="1007"/>
      <c r="DF189" s="1007"/>
      <c r="DG189" s="1007"/>
      <c r="DH189" s="1007"/>
      <c r="DI189" s="1010">
        <f t="shared" si="186"/>
        <v>1</v>
      </c>
      <c r="DJ189" s="1007">
        <f t="shared" si="177"/>
        <v>3000000</v>
      </c>
      <c r="DK189" s="1007"/>
      <c r="DL189" s="1007"/>
      <c r="DM189" s="1007"/>
      <c r="DN189" s="1007">
        <f t="shared" si="163"/>
        <v>0</v>
      </c>
      <c r="DO189" s="1007">
        <f t="shared" si="163"/>
        <v>0</v>
      </c>
      <c r="DP189" s="1007">
        <f t="shared" si="163"/>
        <v>3000000</v>
      </c>
      <c r="DQ189" s="1007">
        <f t="shared" si="163"/>
        <v>0</v>
      </c>
      <c r="DR189" s="1007"/>
      <c r="DS189" s="1007">
        <f t="shared" si="187"/>
        <v>0</v>
      </c>
      <c r="DT189" s="1007">
        <f t="shared" si="187"/>
        <v>0</v>
      </c>
      <c r="DU189" s="1007"/>
      <c r="DV189" s="1007">
        <f t="shared" si="188"/>
        <v>0</v>
      </c>
      <c r="DW189" s="1007">
        <f t="shared" si="188"/>
        <v>0</v>
      </c>
      <c r="DX189" s="1007">
        <f t="shared" si="188"/>
        <v>0</v>
      </c>
      <c r="DY189" s="1007">
        <f t="shared" si="189"/>
        <v>0</v>
      </c>
      <c r="DZ189" s="1007">
        <f t="shared" si="189"/>
        <v>0</v>
      </c>
      <c r="EA189" s="1007">
        <f t="shared" si="189"/>
        <v>0</v>
      </c>
      <c r="EB189" s="1007">
        <f t="shared" si="189"/>
        <v>0</v>
      </c>
      <c r="EC189" s="1007">
        <f t="shared" si="189"/>
        <v>0</v>
      </c>
      <c r="ED189" s="1007">
        <f t="shared" si="189"/>
        <v>0</v>
      </c>
    </row>
    <row r="190" spans="1:134" ht="23.25" customHeight="1" x14ac:dyDescent="0.25">
      <c r="A190" s="1590"/>
      <c r="B190" s="989"/>
      <c r="C190" s="852" t="s">
        <v>4678</v>
      </c>
      <c r="D190" s="1018" t="s">
        <v>4677</v>
      </c>
      <c r="E190" s="994">
        <v>510</v>
      </c>
      <c r="F190" s="1117" t="s">
        <v>4482</v>
      </c>
      <c r="G190" s="1430"/>
      <c r="H190" s="1060">
        <f t="shared" si="143"/>
        <v>80640865</v>
      </c>
      <c r="I190" s="1060">
        <f t="shared" si="144"/>
        <v>19359135</v>
      </c>
      <c r="J190" s="1283"/>
      <c r="K190" s="1605"/>
      <c r="L190" s="1198"/>
      <c r="M190" s="1113">
        <v>9</v>
      </c>
      <c r="N190" s="1113"/>
      <c r="O190" s="1113">
        <v>0</v>
      </c>
      <c r="P190" s="1113">
        <v>56</v>
      </c>
      <c r="Q190" s="1113">
        <v>60</v>
      </c>
      <c r="R190" s="1113">
        <v>33</v>
      </c>
      <c r="S190" s="1117"/>
      <c r="T190" s="1117"/>
      <c r="U190" s="1117"/>
      <c r="V190" s="1117"/>
      <c r="W190" s="1117"/>
      <c r="X190" s="1117"/>
      <c r="Y190" s="1007">
        <f t="shared" si="173"/>
        <v>100000000</v>
      </c>
      <c r="Z190" s="944"/>
      <c r="AA190" s="1007"/>
      <c r="AB190" s="1007"/>
      <c r="AC190" s="1007"/>
      <c r="AD190" s="1007"/>
      <c r="AE190" s="1007"/>
      <c r="AF190" s="1007"/>
      <c r="AG190" s="1007"/>
      <c r="AH190" s="1007"/>
      <c r="AI190" s="1007"/>
      <c r="AJ190" s="1007"/>
      <c r="AK190" s="1007"/>
      <c r="AL190" s="1007"/>
      <c r="AM190" s="1007"/>
      <c r="AN190" s="1007">
        <v>100000000</v>
      </c>
      <c r="AO190" s="1007"/>
      <c r="AP190" s="1007"/>
      <c r="AQ190" s="1007"/>
      <c r="AR190" s="1007"/>
      <c r="AS190" s="1007"/>
      <c r="AU190" s="1010">
        <f t="shared" si="178"/>
        <v>0.99939999999999996</v>
      </c>
      <c r="AV190" s="1007">
        <f t="shared" si="174"/>
        <v>99940000</v>
      </c>
      <c r="AW190" s="1007"/>
      <c r="AX190" s="1007"/>
      <c r="AY190" s="1007"/>
      <c r="AZ190" s="1007"/>
      <c r="BA190" s="1007"/>
      <c r="BB190" s="1007"/>
      <c r="BC190" s="1007"/>
      <c r="BD190" s="1007"/>
      <c r="BE190" s="1007"/>
      <c r="BF190" s="1007"/>
      <c r="BG190" s="1007"/>
      <c r="BH190" s="1007"/>
      <c r="BI190" s="1007"/>
      <c r="BJ190" s="1007"/>
      <c r="BK190" s="1007">
        <f>+'[7]AGOSTO 2015'!$G$2329</f>
        <v>99940000</v>
      </c>
      <c r="BL190" s="1007"/>
      <c r="BM190" s="1007"/>
      <c r="BN190" s="1007"/>
      <c r="BO190" s="1007"/>
      <c r="BP190" s="1007"/>
      <c r="BQ190" s="1010">
        <f t="shared" si="179"/>
        <v>6.0000000000004494E-4</v>
      </c>
      <c r="BR190" s="1007">
        <f t="shared" si="175"/>
        <v>60000</v>
      </c>
      <c r="BS190" s="1007">
        <f t="shared" si="180"/>
        <v>0</v>
      </c>
      <c r="BT190" s="1007">
        <f t="shared" si="181"/>
        <v>0</v>
      </c>
      <c r="BU190" s="1007"/>
      <c r="BV190" s="1007">
        <f t="shared" si="162"/>
        <v>0</v>
      </c>
      <c r="BW190" s="1007">
        <f t="shared" si="162"/>
        <v>0</v>
      </c>
      <c r="BX190" s="1007">
        <f t="shared" si="182"/>
        <v>0</v>
      </c>
      <c r="BY190" s="1007">
        <f t="shared" si="182"/>
        <v>0</v>
      </c>
      <c r="BZ190" s="1007"/>
      <c r="CA190" s="1007">
        <f t="shared" si="183"/>
        <v>0</v>
      </c>
      <c r="CB190" s="1007">
        <f t="shared" si="183"/>
        <v>0</v>
      </c>
      <c r="CC190" s="1007">
        <f t="shared" si="183"/>
        <v>0</v>
      </c>
      <c r="CD190" s="1007">
        <f t="shared" si="183"/>
        <v>0</v>
      </c>
      <c r="CE190" s="1007">
        <f t="shared" si="183"/>
        <v>0</v>
      </c>
      <c r="CF190" s="1007">
        <f t="shared" si="183"/>
        <v>0</v>
      </c>
      <c r="CG190" s="1007">
        <f t="shared" si="183"/>
        <v>60000</v>
      </c>
      <c r="CH190" s="1007">
        <f t="shared" si="183"/>
        <v>0</v>
      </c>
      <c r="CI190" s="1007">
        <f t="shared" si="183"/>
        <v>0</v>
      </c>
      <c r="CJ190" s="1007"/>
      <c r="CK190" s="1007"/>
      <c r="CL190" s="1007">
        <f t="shared" si="184"/>
        <v>0</v>
      </c>
      <c r="CM190" s="1010">
        <f t="shared" si="185"/>
        <v>0.80640864999999995</v>
      </c>
      <c r="CN190" s="1007">
        <f t="shared" si="176"/>
        <v>80640865</v>
      </c>
      <c r="CO190" s="1007"/>
      <c r="CP190" s="1007"/>
      <c r="CQ190" s="1007"/>
      <c r="CR190" s="1007"/>
      <c r="CS190" s="1007"/>
      <c r="CT190" s="1007"/>
      <c r="CU190" s="1007"/>
      <c r="CV190" s="1007"/>
      <c r="CW190" s="1007"/>
      <c r="CX190" s="1007"/>
      <c r="CY190" s="1007"/>
      <c r="CZ190" s="1007"/>
      <c r="DA190" s="1007"/>
      <c r="DB190" s="1007"/>
      <c r="DC190" s="1007">
        <f>+'[8]SEPTIEMBRE 2015'!$H$2839</f>
        <v>80640865</v>
      </c>
      <c r="DD190" s="1007"/>
      <c r="DE190" s="1007"/>
      <c r="DF190" s="1007"/>
      <c r="DG190" s="1007"/>
      <c r="DH190" s="1007"/>
      <c r="DI190" s="1010">
        <f t="shared" si="186"/>
        <v>0.19359135000000005</v>
      </c>
      <c r="DJ190" s="1007">
        <f t="shared" si="177"/>
        <v>19359135</v>
      </c>
      <c r="DK190" s="1007"/>
      <c r="DL190" s="1007"/>
      <c r="DM190" s="1007"/>
      <c r="DN190" s="1007">
        <f t="shared" si="163"/>
        <v>0</v>
      </c>
      <c r="DO190" s="1007">
        <f t="shared" si="163"/>
        <v>0</v>
      </c>
      <c r="DP190" s="1007">
        <f t="shared" si="163"/>
        <v>0</v>
      </c>
      <c r="DQ190" s="1007">
        <f t="shared" si="163"/>
        <v>0</v>
      </c>
      <c r="DR190" s="1007"/>
      <c r="DS190" s="1007">
        <f t="shared" si="187"/>
        <v>0</v>
      </c>
      <c r="DT190" s="1007">
        <f t="shared" si="187"/>
        <v>0</v>
      </c>
      <c r="DU190" s="1007"/>
      <c r="DV190" s="1007">
        <f t="shared" si="188"/>
        <v>0</v>
      </c>
      <c r="DW190" s="1007">
        <f t="shared" si="188"/>
        <v>0</v>
      </c>
      <c r="DX190" s="1007">
        <f t="shared" si="188"/>
        <v>0</v>
      </c>
      <c r="DY190" s="1007">
        <f t="shared" si="189"/>
        <v>19359135</v>
      </c>
      <c r="DZ190" s="1007">
        <f t="shared" si="189"/>
        <v>0</v>
      </c>
      <c r="EA190" s="1007">
        <f t="shared" si="189"/>
        <v>0</v>
      </c>
      <c r="EB190" s="1007">
        <f t="shared" si="189"/>
        <v>0</v>
      </c>
      <c r="EC190" s="1007">
        <f t="shared" si="189"/>
        <v>0</v>
      </c>
      <c r="ED190" s="1007">
        <f t="shared" si="189"/>
        <v>0</v>
      </c>
    </row>
    <row r="191" spans="1:134" s="203" customFormat="1" ht="54" customHeight="1" x14ac:dyDescent="0.25">
      <c r="A191" s="1590"/>
      <c r="B191" s="989" t="s">
        <v>4454</v>
      </c>
      <c r="C191" s="1080" t="s">
        <v>4667</v>
      </c>
      <c r="D191" s="1018" t="s">
        <v>4666</v>
      </c>
      <c r="E191" s="996">
        <v>510</v>
      </c>
      <c r="F191" s="1117" t="s">
        <v>4482</v>
      </c>
      <c r="G191" s="1117">
        <v>5000000</v>
      </c>
      <c r="H191" s="1060">
        <f t="shared" si="143"/>
        <v>0</v>
      </c>
      <c r="I191" s="1060">
        <f t="shared" si="144"/>
        <v>0</v>
      </c>
      <c r="J191" s="1117">
        <v>0</v>
      </c>
      <c r="K191" s="1131">
        <v>1</v>
      </c>
      <c r="L191" s="1113">
        <v>50</v>
      </c>
      <c r="M191" s="1074">
        <v>0</v>
      </c>
      <c r="N191" s="1074">
        <v>0</v>
      </c>
      <c r="O191" s="1074">
        <v>0</v>
      </c>
      <c r="P191" s="1074"/>
      <c r="Q191" s="1074"/>
      <c r="R191" s="1074"/>
      <c r="S191" s="1117"/>
      <c r="T191" s="1117"/>
      <c r="U191" s="1117"/>
      <c r="V191" s="1117"/>
      <c r="W191" s="1117"/>
      <c r="X191" s="1117"/>
      <c r="Y191" s="1066">
        <f t="shared" si="173"/>
        <v>0</v>
      </c>
      <c r="Z191" s="149"/>
      <c r="AA191" s="1066"/>
      <c r="AB191" s="1066"/>
      <c r="AC191" s="1066"/>
      <c r="AD191" s="1066"/>
      <c r="AE191" s="1066">
        <f>5000000-5000000</f>
        <v>0</v>
      </c>
      <c r="AF191" s="1066"/>
      <c r="AG191" s="1066"/>
      <c r="AH191" s="1066"/>
      <c r="AI191" s="1066"/>
      <c r="AJ191" s="1066"/>
      <c r="AK191" s="1066"/>
      <c r="AL191" s="1066"/>
      <c r="AM191" s="1066"/>
      <c r="AN191" s="1066"/>
      <c r="AO191" s="1066"/>
      <c r="AP191" s="1066"/>
      <c r="AQ191" s="1066"/>
      <c r="AR191" s="1066"/>
      <c r="AS191" s="1066"/>
      <c r="AU191" s="1081" t="e">
        <f t="shared" si="178"/>
        <v>#DIV/0!</v>
      </c>
      <c r="AV191" s="1066">
        <f t="shared" si="174"/>
        <v>0</v>
      </c>
      <c r="AW191" s="1066"/>
      <c r="AX191" s="1066"/>
      <c r="AY191" s="1066"/>
      <c r="AZ191" s="1066"/>
      <c r="BA191" s="1066"/>
      <c r="BB191" s="1066"/>
      <c r="BC191" s="1066"/>
      <c r="BD191" s="1066"/>
      <c r="BE191" s="1066"/>
      <c r="BF191" s="1066"/>
      <c r="BG191" s="1066"/>
      <c r="BH191" s="1066"/>
      <c r="BI191" s="1066"/>
      <c r="BJ191" s="1066"/>
      <c r="BK191" s="1066"/>
      <c r="BL191" s="1066"/>
      <c r="BM191" s="1066"/>
      <c r="BN191" s="1066"/>
      <c r="BO191" s="1066"/>
      <c r="BP191" s="1066"/>
      <c r="BQ191" s="1081" t="e">
        <f t="shared" si="179"/>
        <v>#DIV/0!</v>
      </c>
      <c r="BR191" s="1066">
        <f t="shared" si="175"/>
        <v>0</v>
      </c>
      <c r="BS191" s="1066">
        <f t="shared" si="180"/>
        <v>0</v>
      </c>
      <c r="BT191" s="1066">
        <f t="shared" si="181"/>
        <v>0</v>
      </c>
      <c r="BU191" s="1066"/>
      <c r="BV191" s="1066">
        <f t="shared" si="162"/>
        <v>0</v>
      </c>
      <c r="BW191" s="1066">
        <f t="shared" si="162"/>
        <v>0</v>
      </c>
      <c r="BX191" s="1066">
        <f t="shared" si="182"/>
        <v>0</v>
      </c>
      <c r="BY191" s="1066">
        <f t="shared" si="182"/>
        <v>0</v>
      </c>
      <c r="BZ191" s="1066"/>
      <c r="CA191" s="1066">
        <f t="shared" si="183"/>
        <v>0</v>
      </c>
      <c r="CB191" s="1066">
        <f t="shared" si="183"/>
        <v>0</v>
      </c>
      <c r="CC191" s="1066">
        <f t="shared" si="183"/>
        <v>0</v>
      </c>
      <c r="CD191" s="1066">
        <f t="shared" si="183"/>
        <v>0</v>
      </c>
      <c r="CE191" s="1066">
        <f t="shared" si="183"/>
        <v>0</v>
      </c>
      <c r="CF191" s="1066">
        <f t="shared" si="183"/>
        <v>0</v>
      </c>
      <c r="CG191" s="1066">
        <f t="shared" si="183"/>
        <v>0</v>
      </c>
      <c r="CH191" s="1066">
        <f t="shared" si="183"/>
        <v>0</v>
      </c>
      <c r="CI191" s="1066">
        <f t="shared" si="183"/>
        <v>0</v>
      </c>
      <c r="CJ191" s="1066"/>
      <c r="CK191" s="1066"/>
      <c r="CL191" s="1066">
        <f t="shared" si="184"/>
        <v>0</v>
      </c>
      <c r="CM191" s="1081" t="e">
        <f t="shared" si="185"/>
        <v>#DIV/0!</v>
      </c>
      <c r="CN191" s="1066">
        <f t="shared" si="176"/>
        <v>0</v>
      </c>
      <c r="CO191" s="1066"/>
      <c r="CP191" s="1066"/>
      <c r="CQ191" s="1066"/>
      <c r="CR191" s="1066"/>
      <c r="CS191" s="1066"/>
      <c r="CT191" s="1066"/>
      <c r="CU191" s="1066"/>
      <c r="CV191" s="1066"/>
      <c r="CW191" s="1066"/>
      <c r="CX191" s="1066"/>
      <c r="CY191" s="1066"/>
      <c r="CZ191" s="1066"/>
      <c r="DA191" s="1066"/>
      <c r="DB191" s="1066"/>
      <c r="DC191" s="1066"/>
      <c r="DD191" s="1066"/>
      <c r="DE191" s="1066"/>
      <c r="DF191" s="1066"/>
      <c r="DG191" s="1066"/>
      <c r="DH191" s="1066"/>
      <c r="DI191" s="1081" t="e">
        <f t="shared" si="186"/>
        <v>#DIV/0!</v>
      </c>
      <c r="DJ191" s="1066">
        <f t="shared" si="177"/>
        <v>0</v>
      </c>
      <c r="DK191" s="1066"/>
      <c r="DL191" s="1066"/>
      <c r="DM191" s="1066"/>
      <c r="DN191" s="1066">
        <f t="shared" si="163"/>
        <v>0</v>
      </c>
      <c r="DO191" s="1066">
        <f t="shared" si="163"/>
        <v>0</v>
      </c>
      <c r="DP191" s="1066">
        <f t="shared" si="163"/>
        <v>0</v>
      </c>
      <c r="DQ191" s="1066">
        <f t="shared" si="163"/>
        <v>0</v>
      </c>
      <c r="DR191" s="1066"/>
      <c r="DS191" s="1066">
        <f t="shared" si="187"/>
        <v>0</v>
      </c>
      <c r="DT191" s="1066">
        <f t="shared" si="187"/>
        <v>0</v>
      </c>
      <c r="DU191" s="1066"/>
      <c r="DV191" s="1066">
        <f t="shared" si="188"/>
        <v>0</v>
      </c>
      <c r="DW191" s="1066">
        <f t="shared" si="188"/>
        <v>0</v>
      </c>
      <c r="DX191" s="1066">
        <f t="shared" si="188"/>
        <v>0</v>
      </c>
      <c r="DY191" s="1066">
        <f t="shared" si="189"/>
        <v>0</v>
      </c>
      <c r="DZ191" s="1066">
        <f t="shared" si="189"/>
        <v>0</v>
      </c>
      <c r="EA191" s="1066">
        <f t="shared" si="189"/>
        <v>0</v>
      </c>
      <c r="EB191" s="1066">
        <f t="shared" si="189"/>
        <v>0</v>
      </c>
      <c r="EC191" s="1066">
        <f t="shared" si="189"/>
        <v>0</v>
      </c>
      <c r="ED191" s="1066">
        <f t="shared" si="189"/>
        <v>0</v>
      </c>
    </row>
    <row r="192" spans="1:134" ht="48.75" customHeight="1" x14ac:dyDescent="0.25">
      <c r="A192" s="1590"/>
      <c r="B192" s="989" t="s">
        <v>4455</v>
      </c>
      <c r="C192" s="1114" t="s">
        <v>4664</v>
      </c>
      <c r="D192" s="1018" t="s">
        <v>4663</v>
      </c>
      <c r="E192" s="994">
        <v>310</v>
      </c>
      <c r="F192" s="1117" t="s">
        <v>4482</v>
      </c>
      <c r="G192" s="1428">
        <v>287000000</v>
      </c>
      <c r="H192" s="1060">
        <f t="shared" si="143"/>
        <v>180676074</v>
      </c>
      <c r="I192" s="1060">
        <f t="shared" si="144"/>
        <v>92668347</v>
      </c>
      <c r="J192" s="1283">
        <v>180</v>
      </c>
      <c r="K192" s="1198">
        <v>206</v>
      </c>
      <c r="L192" s="1198">
        <v>206</v>
      </c>
      <c r="M192" s="1113">
        <v>18</v>
      </c>
      <c r="N192" s="1113">
        <v>32</v>
      </c>
      <c r="O192" s="1113">
        <v>6</v>
      </c>
      <c r="P192" s="1113">
        <v>53</v>
      </c>
      <c r="Q192" s="1113">
        <v>32</v>
      </c>
      <c r="R192" s="1113">
        <v>17</v>
      </c>
      <c r="S192" s="1117"/>
      <c r="T192" s="1117"/>
      <c r="U192" s="1117"/>
      <c r="V192" s="1117"/>
      <c r="W192" s="1117"/>
      <c r="X192" s="1117"/>
      <c r="Y192" s="1007">
        <f t="shared" si="173"/>
        <v>273344421</v>
      </c>
      <c r="Z192" s="944"/>
      <c r="AA192" s="1007"/>
      <c r="AB192" s="1007"/>
      <c r="AC192" s="1007"/>
      <c r="AD192" s="1007"/>
      <c r="AE192" s="1007"/>
      <c r="AF192" s="1007"/>
      <c r="AG192" s="1007"/>
      <c r="AH192" s="1007"/>
      <c r="AI192" s="1007"/>
      <c r="AJ192" s="1007"/>
      <c r="AK192" s="1007"/>
      <c r="AL192" s="1007"/>
      <c r="AM192" s="1007"/>
      <c r="AN192" s="1007"/>
      <c r="AO192" s="1007">
        <f>273344421</f>
        <v>273344421</v>
      </c>
      <c r="AP192" s="1007"/>
      <c r="AQ192" s="1007"/>
      <c r="AR192" s="1007"/>
      <c r="AS192" s="1007"/>
      <c r="AU192" s="1010">
        <f t="shared" si="178"/>
        <v>1</v>
      </c>
      <c r="AV192" s="1007">
        <f t="shared" si="174"/>
        <v>273344421</v>
      </c>
      <c r="AW192" s="1007"/>
      <c r="AX192" s="1007"/>
      <c r="AY192" s="1007"/>
      <c r="AZ192" s="1007"/>
      <c r="BA192" s="1007"/>
      <c r="BB192" s="1007"/>
      <c r="BC192" s="1007"/>
      <c r="BD192" s="1007"/>
      <c r="BE192" s="1007"/>
      <c r="BF192" s="1007"/>
      <c r="BG192" s="1007"/>
      <c r="BH192" s="1007"/>
      <c r="BI192" s="1007"/>
      <c r="BJ192" s="1007"/>
      <c r="BK192" s="1007"/>
      <c r="BL192" s="1007">
        <f>+'[12]FEBRERO 2015'!$X$334</f>
        <v>273344421</v>
      </c>
      <c r="BM192" s="1007"/>
      <c r="BN192" s="1007"/>
      <c r="BO192" s="1007"/>
      <c r="BP192" s="1007"/>
      <c r="BQ192" s="1010">
        <f t="shared" si="179"/>
        <v>0</v>
      </c>
      <c r="BR192" s="1007">
        <f t="shared" si="175"/>
        <v>0</v>
      </c>
      <c r="BS192" s="1007">
        <f t="shared" si="180"/>
        <v>0</v>
      </c>
      <c r="BT192" s="1007">
        <f t="shared" si="181"/>
        <v>0</v>
      </c>
      <c r="BU192" s="1007"/>
      <c r="BV192" s="1007">
        <f t="shared" si="162"/>
        <v>0</v>
      </c>
      <c r="BW192" s="1007">
        <f t="shared" si="162"/>
        <v>0</v>
      </c>
      <c r="BX192" s="1007">
        <f t="shared" si="182"/>
        <v>0</v>
      </c>
      <c r="BY192" s="1007">
        <f t="shared" si="182"/>
        <v>0</v>
      </c>
      <c r="BZ192" s="1007"/>
      <c r="CA192" s="1007">
        <f t="shared" si="183"/>
        <v>0</v>
      </c>
      <c r="CB192" s="1007">
        <f t="shared" si="183"/>
        <v>0</v>
      </c>
      <c r="CC192" s="1007">
        <f t="shared" si="183"/>
        <v>0</v>
      </c>
      <c r="CD192" s="1007">
        <f t="shared" si="183"/>
        <v>0</v>
      </c>
      <c r="CE192" s="1007">
        <f t="shared" si="183"/>
        <v>0</v>
      </c>
      <c r="CF192" s="1007">
        <f t="shared" si="183"/>
        <v>0</v>
      </c>
      <c r="CG192" s="1007">
        <f t="shared" si="183"/>
        <v>0</v>
      </c>
      <c r="CH192" s="1007">
        <f t="shared" si="183"/>
        <v>0</v>
      </c>
      <c r="CI192" s="1007">
        <f t="shared" si="183"/>
        <v>0</v>
      </c>
      <c r="CJ192" s="1007"/>
      <c r="CK192" s="1007"/>
      <c r="CL192" s="1007">
        <f t="shared" si="184"/>
        <v>0</v>
      </c>
      <c r="CM192" s="1010">
        <f t="shared" si="185"/>
        <v>0.66098321428700391</v>
      </c>
      <c r="CN192" s="1007">
        <f t="shared" si="176"/>
        <v>180676074</v>
      </c>
      <c r="CO192" s="1007"/>
      <c r="CP192" s="1007"/>
      <c r="CQ192" s="1007"/>
      <c r="CR192" s="1007"/>
      <c r="CS192" s="1007"/>
      <c r="CT192" s="1007"/>
      <c r="CU192" s="1007"/>
      <c r="CV192" s="1007"/>
      <c r="CW192" s="1007"/>
      <c r="CX192" s="1007"/>
      <c r="CY192" s="1007"/>
      <c r="CZ192" s="1007"/>
      <c r="DA192" s="1007"/>
      <c r="DB192" s="1007"/>
      <c r="DC192" s="1007"/>
      <c r="DD192" s="1007">
        <f>+'[8]SEPTIEMBRE 2015'!$H$807</f>
        <v>180676074</v>
      </c>
      <c r="DE192" s="1007"/>
      <c r="DF192" s="1007"/>
      <c r="DG192" s="1007"/>
      <c r="DH192" s="1007"/>
      <c r="DI192" s="1010">
        <f t="shared" si="186"/>
        <v>0.33901678571299609</v>
      </c>
      <c r="DJ192" s="1007">
        <f t="shared" si="177"/>
        <v>92668347</v>
      </c>
      <c r="DK192" s="1007"/>
      <c r="DL192" s="1007"/>
      <c r="DM192" s="1007"/>
      <c r="DN192" s="1007">
        <f t="shared" si="163"/>
        <v>0</v>
      </c>
      <c r="DO192" s="1007">
        <f t="shared" si="163"/>
        <v>0</v>
      </c>
      <c r="DP192" s="1007">
        <f t="shared" si="163"/>
        <v>0</v>
      </c>
      <c r="DQ192" s="1007">
        <f t="shared" si="163"/>
        <v>0</v>
      </c>
      <c r="DR192" s="1007"/>
      <c r="DS192" s="1007">
        <f t="shared" si="187"/>
        <v>0</v>
      </c>
      <c r="DT192" s="1007">
        <f t="shared" si="187"/>
        <v>0</v>
      </c>
      <c r="DU192" s="1007"/>
      <c r="DV192" s="1007">
        <f t="shared" si="188"/>
        <v>0</v>
      </c>
      <c r="DW192" s="1007">
        <f t="shared" si="188"/>
        <v>0</v>
      </c>
      <c r="DX192" s="1007">
        <f t="shared" si="188"/>
        <v>0</v>
      </c>
      <c r="DY192" s="1007">
        <f t="shared" si="189"/>
        <v>0</v>
      </c>
      <c r="DZ192" s="1007">
        <f t="shared" si="189"/>
        <v>92668347</v>
      </c>
      <c r="EA192" s="1007">
        <f t="shared" si="189"/>
        <v>0</v>
      </c>
      <c r="EB192" s="1007">
        <f t="shared" si="189"/>
        <v>0</v>
      </c>
      <c r="EC192" s="1007">
        <f t="shared" si="189"/>
        <v>0</v>
      </c>
      <c r="ED192" s="1007">
        <f t="shared" si="189"/>
        <v>0</v>
      </c>
    </row>
    <row r="193" spans="1:134" ht="45" customHeight="1" x14ac:dyDescent="0.25">
      <c r="A193" s="1590"/>
      <c r="B193" s="1006"/>
      <c r="C193" s="1114" t="s">
        <v>4665</v>
      </c>
      <c r="D193" s="1018" t="s">
        <v>4546</v>
      </c>
      <c r="E193" s="1049">
        <v>310</v>
      </c>
      <c r="F193" s="1117" t="s">
        <v>4547</v>
      </c>
      <c r="G193" s="1430"/>
      <c r="H193" s="1060">
        <f t="shared" si="143"/>
        <v>11972498</v>
      </c>
      <c r="I193" s="1060">
        <f t="shared" si="144"/>
        <v>18027502</v>
      </c>
      <c r="J193" s="1283"/>
      <c r="K193" s="1198"/>
      <c r="L193" s="1198"/>
      <c r="M193" s="1113">
        <v>13</v>
      </c>
      <c r="N193" s="1113">
        <v>0</v>
      </c>
      <c r="O193" s="1113">
        <v>0</v>
      </c>
      <c r="P193" s="1113">
        <v>16</v>
      </c>
      <c r="Q193" s="1113">
        <v>0</v>
      </c>
      <c r="R193" s="1113">
        <v>0</v>
      </c>
      <c r="S193" s="1117"/>
      <c r="T193" s="1117"/>
      <c r="U193" s="1117"/>
      <c r="V193" s="1117"/>
      <c r="W193" s="1117"/>
      <c r="X193" s="1117"/>
      <c r="Y193" s="1007">
        <f t="shared" si="173"/>
        <v>30000000</v>
      </c>
      <c r="Z193" s="995"/>
      <c r="AA193" s="995"/>
      <c r="AB193" s="995"/>
      <c r="AC193" s="995"/>
      <c r="AD193" s="995"/>
      <c r="AE193" s="995"/>
      <c r="AF193" s="995"/>
      <c r="AG193" s="995"/>
      <c r="AH193" s="995"/>
      <c r="AI193" s="241"/>
      <c r="AJ193" s="241"/>
      <c r="AK193" s="241"/>
      <c r="AL193" s="241"/>
      <c r="AM193" s="241"/>
      <c r="AN193" s="995"/>
      <c r="AO193" s="995"/>
      <c r="AP193" s="995"/>
      <c r="AQ193" s="995"/>
      <c r="AR193" s="995"/>
      <c r="AS193" s="1007">
        <f>10000000+4000000+16000000</f>
        <v>30000000</v>
      </c>
      <c r="AU193" s="1010">
        <f t="shared" si="178"/>
        <v>0.66666666666666663</v>
      </c>
      <c r="AV193" s="1007">
        <f t="shared" si="174"/>
        <v>20000000</v>
      </c>
      <c r="AW193" s="1007"/>
      <c r="AX193" s="1007"/>
      <c r="AY193" s="1007"/>
      <c r="AZ193" s="1007"/>
      <c r="BA193" s="1007"/>
      <c r="BB193" s="1007"/>
      <c r="BC193" s="1007"/>
      <c r="BD193" s="1007"/>
      <c r="BE193" s="1007"/>
      <c r="BF193" s="1007"/>
      <c r="BG193" s="1007"/>
      <c r="BH193" s="1007"/>
      <c r="BI193" s="1007"/>
      <c r="BJ193" s="1007"/>
      <c r="BK193" s="1007"/>
      <c r="BL193" s="1007"/>
      <c r="BM193" s="1007"/>
      <c r="BN193" s="1007"/>
      <c r="BO193" s="1007"/>
      <c r="BP193" s="1007">
        <f>+'[10]JULIO 2015'!$G$716</f>
        <v>20000000</v>
      </c>
      <c r="BQ193" s="1010">
        <f t="shared" si="179"/>
        <v>0.33333333333333337</v>
      </c>
      <c r="BR193" s="1007">
        <f t="shared" si="175"/>
        <v>10000000</v>
      </c>
      <c r="BS193" s="1007">
        <f t="shared" si="180"/>
        <v>0</v>
      </c>
      <c r="BT193" s="1007">
        <f t="shared" si="181"/>
        <v>0</v>
      </c>
      <c r="BU193" s="1007"/>
      <c r="BV193" s="1007">
        <f t="shared" si="162"/>
        <v>0</v>
      </c>
      <c r="BW193" s="1007">
        <f t="shared" si="162"/>
        <v>0</v>
      </c>
      <c r="BX193" s="1007">
        <f t="shared" si="182"/>
        <v>0</v>
      </c>
      <c r="BY193" s="1007">
        <f t="shared" si="182"/>
        <v>0</v>
      </c>
      <c r="BZ193" s="1007"/>
      <c r="CA193" s="1007">
        <f t="shared" si="183"/>
        <v>0</v>
      </c>
      <c r="CB193" s="1007">
        <f t="shared" si="183"/>
        <v>0</v>
      </c>
      <c r="CC193" s="1007">
        <f t="shared" si="183"/>
        <v>0</v>
      </c>
      <c r="CD193" s="1007">
        <f t="shared" si="183"/>
        <v>0</v>
      </c>
      <c r="CE193" s="1007">
        <f t="shared" si="183"/>
        <v>0</v>
      </c>
      <c r="CF193" s="1007">
        <f t="shared" si="183"/>
        <v>0</v>
      </c>
      <c r="CG193" s="1007">
        <f t="shared" si="183"/>
        <v>0</v>
      </c>
      <c r="CH193" s="1007">
        <f t="shared" si="183"/>
        <v>0</v>
      </c>
      <c r="CI193" s="1007">
        <f t="shared" si="183"/>
        <v>0</v>
      </c>
      <c r="CJ193" s="1007"/>
      <c r="CK193" s="1007"/>
      <c r="CL193" s="1007">
        <f t="shared" ref="CL193:CL194" si="190">+AS193-BP193</f>
        <v>10000000</v>
      </c>
      <c r="CM193" s="1010">
        <f t="shared" si="185"/>
        <v>0.39908326666666666</v>
      </c>
      <c r="CN193" s="1007">
        <f t="shared" si="176"/>
        <v>11972498</v>
      </c>
      <c r="CO193" s="1007"/>
      <c r="CP193" s="1007"/>
      <c r="CQ193" s="1007"/>
      <c r="CR193" s="1007"/>
      <c r="CS193" s="1007"/>
      <c r="CT193" s="1007"/>
      <c r="CU193" s="1007"/>
      <c r="CV193" s="1007"/>
      <c r="CW193" s="1007"/>
      <c r="CX193" s="1007"/>
      <c r="CY193" s="1007"/>
      <c r="CZ193" s="1007"/>
      <c r="DA193" s="1007"/>
      <c r="DB193" s="1007"/>
      <c r="DC193" s="1007"/>
      <c r="DD193" s="1007"/>
      <c r="DE193" s="1007"/>
      <c r="DF193" s="1007"/>
      <c r="DG193" s="1007"/>
      <c r="DH193" s="1007">
        <f>+'[8]SEPTIEMBRE 2015'!$H$938</f>
        <v>11972498</v>
      </c>
      <c r="DI193" s="1010">
        <f t="shared" si="186"/>
        <v>0.6009167333333334</v>
      </c>
      <c r="DJ193" s="1007">
        <f t="shared" si="177"/>
        <v>18027502</v>
      </c>
      <c r="DK193" s="1007"/>
      <c r="DL193" s="1007"/>
      <c r="DM193" s="1007"/>
      <c r="DN193" s="1007">
        <f t="shared" si="163"/>
        <v>0</v>
      </c>
      <c r="DO193" s="1007">
        <f t="shared" si="163"/>
        <v>0</v>
      </c>
      <c r="DP193" s="1007">
        <f t="shared" si="163"/>
        <v>0</v>
      </c>
      <c r="DQ193" s="1007">
        <f t="shared" si="163"/>
        <v>0</v>
      </c>
      <c r="DR193" s="1007"/>
      <c r="DS193" s="1007">
        <f t="shared" si="187"/>
        <v>0</v>
      </c>
      <c r="DT193" s="1007">
        <f t="shared" si="187"/>
        <v>0</v>
      </c>
      <c r="DU193" s="1007"/>
      <c r="DV193" s="1007">
        <f t="shared" si="188"/>
        <v>0</v>
      </c>
      <c r="DW193" s="1007">
        <f t="shared" si="188"/>
        <v>0</v>
      </c>
      <c r="DX193" s="1007">
        <f t="shared" si="188"/>
        <v>0</v>
      </c>
      <c r="DY193" s="1007">
        <f t="shared" si="189"/>
        <v>0</v>
      </c>
      <c r="DZ193" s="1007">
        <f t="shared" si="189"/>
        <v>0</v>
      </c>
      <c r="EA193" s="1007">
        <f t="shared" si="189"/>
        <v>0</v>
      </c>
      <c r="EB193" s="1007">
        <f t="shared" si="189"/>
        <v>0</v>
      </c>
      <c r="EC193" s="1007">
        <f t="shared" si="189"/>
        <v>0</v>
      </c>
      <c r="ED193" s="1007">
        <f t="shared" si="189"/>
        <v>18027502</v>
      </c>
    </row>
    <row r="194" spans="1:134" s="203" customFormat="1" ht="24" customHeight="1" x14ac:dyDescent="0.25">
      <c r="A194" s="1590"/>
      <c r="B194" s="1006"/>
      <c r="C194" s="1080" t="s">
        <v>4680</v>
      </c>
      <c r="D194" s="1018" t="s">
        <v>4681</v>
      </c>
      <c r="E194" s="996">
        <v>111</v>
      </c>
      <c r="F194" s="1117" t="s">
        <v>4482</v>
      </c>
      <c r="G194" s="1117"/>
      <c r="H194" s="1060">
        <f t="shared" ref="H194" si="191">+CN194</f>
        <v>0</v>
      </c>
      <c r="I194" s="1060">
        <f t="shared" ref="I194" si="192">Y194-H194</f>
        <v>0</v>
      </c>
      <c r="J194" s="771"/>
      <c r="K194" s="1117"/>
      <c r="L194" s="1117"/>
      <c r="M194" s="1070"/>
      <c r="N194" s="1070"/>
      <c r="O194" s="1070"/>
      <c r="P194" s="1070"/>
      <c r="Q194" s="1070"/>
      <c r="R194" s="1070"/>
      <c r="S194" s="1117"/>
      <c r="T194" s="1117"/>
      <c r="U194" s="1117"/>
      <c r="V194" s="1117"/>
      <c r="W194" s="1117"/>
      <c r="X194" s="1117"/>
      <c r="Y194" s="1066">
        <f>SUM(AA194:AS194)</f>
        <v>0</v>
      </c>
      <c r="Z194" s="241"/>
      <c r="AA194" s="241"/>
      <c r="AB194" s="241"/>
      <c r="AC194" s="241">
        <f>417803755-417803755</f>
        <v>0</v>
      </c>
      <c r="AD194" s="241"/>
      <c r="AE194" s="241"/>
      <c r="AF194" s="241"/>
      <c r="AG194" s="241"/>
      <c r="AH194" s="241"/>
      <c r="AI194" s="241"/>
      <c r="AJ194" s="241"/>
      <c r="AK194" s="241"/>
      <c r="AL194" s="241"/>
      <c r="AM194" s="241"/>
      <c r="AN194" s="241"/>
      <c r="AO194" s="241"/>
      <c r="AP194" s="241"/>
      <c r="AQ194" s="241"/>
      <c r="AR194" s="241"/>
      <c r="AS194" s="1066"/>
      <c r="AU194" s="1081" t="e">
        <f t="shared" si="178"/>
        <v>#DIV/0!</v>
      </c>
      <c r="AV194" s="1066">
        <f t="shared" ref="AV194" si="193">SUM(AW194:BP194)</f>
        <v>0</v>
      </c>
      <c r="AW194" s="1066"/>
      <c r="AX194" s="1066"/>
      <c r="AY194" s="1066"/>
      <c r="AZ194" s="1066"/>
      <c r="BA194" s="1066"/>
      <c r="BB194" s="1066"/>
      <c r="BC194" s="1066"/>
      <c r="BD194" s="1066"/>
      <c r="BE194" s="1066"/>
      <c r="BF194" s="1066"/>
      <c r="BG194" s="1066"/>
      <c r="BH194" s="1066"/>
      <c r="BI194" s="1066"/>
      <c r="BJ194" s="1066"/>
      <c r="BK194" s="1066"/>
      <c r="BL194" s="1066"/>
      <c r="BM194" s="1066"/>
      <c r="BN194" s="1066"/>
      <c r="BO194" s="1066"/>
      <c r="BP194" s="1066"/>
      <c r="BQ194" s="1081" t="e">
        <f t="shared" si="179"/>
        <v>#DIV/0!</v>
      </c>
      <c r="BR194" s="1066">
        <f t="shared" si="175"/>
        <v>0</v>
      </c>
      <c r="BS194" s="1066">
        <f t="shared" si="180"/>
        <v>0</v>
      </c>
      <c r="BT194" s="1066">
        <f t="shared" si="181"/>
        <v>0</v>
      </c>
      <c r="BU194" s="1066"/>
      <c r="BV194" s="1066">
        <f t="shared" si="162"/>
        <v>0</v>
      </c>
      <c r="BW194" s="1066">
        <f t="shared" si="162"/>
        <v>0</v>
      </c>
      <c r="BX194" s="1066">
        <f t="shared" si="182"/>
        <v>0</v>
      </c>
      <c r="BY194" s="1066">
        <f t="shared" si="182"/>
        <v>0</v>
      </c>
      <c r="BZ194" s="1066"/>
      <c r="CA194" s="1066">
        <f t="shared" si="183"/>
        <v>0</v>
      </c>
      <c r="CB194" s="1066">
        <f t="shared" si="183"/>
        <v>0</v>
      </c>
      <c r="CC194" s="1066">
        <f t="shared" si="183"/>
        <v>0</v>
      </c>
      <c r="CD194" s="1066">
        <f t="shared" si="183"/>
        <v>0</v>
      </c>
      <c r="CE194" s="1066">
        <f t="shared" si="183"/>
        <v>0</v>
      </c>
      <c r="CF194" s="1066">
        <f t="shared" si="183"/>
        <v>0</v>
      </c>
      <c r="CG194" s="1066">
        <f t="shared" si="183"/>
        <v>0</v>
      </c>
      <c r="CH194" s="1066">
        <f t="shared" si="183"/>
        <v>0</v>
      </c>
      <c r="CI194" s="1066">
        <f t="shared" si="183"/>
        <v>0</v>
      </c>
      <c r="CJ194" s="1066"/>
      <c r="CK194" s="1066"/>
      <c r="CL194" s="1066">
        <f t="shared" si="190"/>
        <v>0</v>
      </c>
      <c r="CM194" s="1081" t="e">
        <f t="shared" si="185"/>
        <v>#DIV/0!</v>
      </c>
      <c r="CN194" s="1066">
        <f t="shared" si="176"/>
        <v>0</v>
      </c>
      <c r="CO194" s="1066"/>
      <c r="CP194" s="1066"/>
      <c r="CQ194" s="1066"/>
      <c r="CR194" s="1066"/>
      <c r="CS194" s="1066"/>
      <c r="CT194" s="1066"/>
      <c r="CU194" s="1066"/>
      <c r="CV194" s="1066"/>
      <c r="CW194" s="1066"/>
      <c r="CX194" s="1066"/>
      <c r="CY194" s="1066"/>
      <c r="CZ194" s="1066"/>
      <c r="DA194" s="1066"/>
      <c r="DB194" s="1066"/>
      <c r="DC194" s="1066"/>
      <c r="DD194" s="1066"/>
      <c r="DE194" s="1066"/>
      <c r="DF194" s="1066"/>
      <c r="DG194" s="1066"/>
      <c r="DH194" s="1066"/>
      <c r="DI194" s="1081" t="e">
        <f t="shared" si="186"/>
        <v>#DIV/0!</v>
      </c>
      <c r="DJ194" s="1066">
        <f t="shared" si="177"/>
        <v>0</v>
      </c>
      <c r="DK194" s="1066"/>
      <c r="DL194" s="1066"/>
      <c r="DM194" s="1066"/>
      <c r="DN194" s="1066">
        <f t="shared" si="163"/>
        <v>0</v>
      </c>
      <c r="DO194" s="1066">
        <f t="shared" si="163"/>
        <v>0</v>
      </c>
      <c r="DP194" s="1066">
        <f t="shared" si="163"/>
        <v>0</v>
      </c>
      <c r="DQ194" s="1066">
        <f t="shared" si="163"/>
        <v>0</v>
      </c>
      <c r="DR194" s="1066"/>
      <c r="DS194" s="1066">
        <f t="shared" si="187"/>
        <v>0</v>
      </c>
      <c r="DT194" s="1066">
        <f t="shared" si="187"/>
        <v>0</v>
      </c>
      <c r="DU194" s="1066"/>
      <c r="DV194" s="1066">
        <f t="shared" si="188"/>
        <v>0</v>
      </c>
      <c r="DW194" s="1066">
        <f t="shared" si="188"/>
        <v>0</v>
      </c>
      <c r="DX194" s="1066">
        <f t="shared" si="188"/>
        <v>0</v>
      </c>
      <c r="DY194" s="1066">
        <f t="shared" si="189"/>
        <v>0</v>
      </c>
      <c r="DZ194" s="1066">
        <f t="shared" si="189"/>
        <v>0</v>
      </c>
      <c r="EA194" s="1066">
        <f t="shared" si="189"/>
        <v>0</v>
      </c>
      <c r="EB194" s="1066">
        <f t="shared" si="189"/>
        <v>0</v>
      </c>
      <c r="EC194" s="1066">
        <f t="shared" si="189"/>
        <v>0</v>
      </c>
      <c r="ED194" s="1066">
        <f t="shared" si="189"/>
        <v>0</v>
      </c>
    </row>
    <row r="195" spans="1:134" s="948" customFormat="1" ht="25.5" customHeight="1" thickBot="1" x14ac:dyDescent="0.3">
      <c r="A195" s="1058"/>
      <c r="B195" s="1602" t="s">
        <v>4456</v>
      </c>
      <c r="C195" s="1603"/>
      <c r="D195" s="1604"/>
      <c r="E195" s="1002"/>
      <c r="F195" s="1003"/>
      <c r="G195" s="1063">
        <f>SUM(G130:G194)</f>
        <v>20835000000</v>
      </c>
      <c r="H195" s="1063">
        <f>SUM(H130:H194)</f>
        <v>4709181432</v>
      </c>
      <c r="I195" s="1063">
        <f>SUM(I130:I194)</f>
        <v>6422532308</v>
      </c>
      <c r="J195" s="1003"/>
      <c r="K195" s="1003"/>
      <c r="L195" s="1003"/>
      <c r="M195" s="1003"/>
      <c r="N195" s="1003"/>
      <c r="O195" s="1003"/>
      <c r="P195" s="1003"/>
      <c r="Q195" s="1003"/>
      <c r="R195" s="1003"/>
      <c r="S195" s="1003"/>
      <c r="T195" s="1003"/>
      <c r="U195" s="1003"/>
      <c r="V195" s="1003"/>
      <c r="W195" s="1003"/>
      <c r="X195" s="1003"/>
      <c r="Y195" s="1008">
        <f t="shared" ref="Y195:AS195" si="194">SUM(Y130:Y194)</f>
        <v>11131713740</v>
      </c>
      <c r="Z195" s="1008">
        <f t="shared" si="194"/>
        <v>0</v>
      </c>
      <c r="AA195" s="1008">
        <f t="shared" si="194"/>
        <v>0</v>
      </c>
      <c r="AB195" s="1008">
        <f t="shared" si="194"/>
        <v>0</v>
      </c>
      <c r="AC195" s="1008">
        <f t="shared" si="194"/>
        <v>9036421581</v>
      </c>
      <c r="AD195" s="1008">
        <f t="shared" si="194"/>
        <v>20011334</v>
      </c>
      <c r="AE195" s="1008">
        <f t="shared" si="194"/>
        <v>625000000</v>
      </c>
      <c r="AF195" s="1008">
        <f t="shared" si="194"/>
        <v>0</v>
      </c>
      <c r="AG195" s="1008">
        <f t="shared" si="194"/>
        <v>0</v>
      </c>
      <c r="AH195" s="1008">
        <f t="shared" si="194"/>
        <v>0</v>
      </c>
      <c r="AI195" s="1008">
        <f t="shared" si="194"/>
        <v>1940856</v>
      </c>
      <c r="AJ195" s="1008">
        <f t="shared" si="194"/>
        <v>3438802</v>
      </c>
      <c r="AK195" s="1008">
        <f t="shared" si="194"/>
        <v>318664514</v>
      </c>
      <c r="AL195" s="1008">
        <f t="shared" si="194"/>
        <v>0</v>
      </c>
      <c r="AM195" s="1008">
        <f t="shared" si="194"/>
        <v>0</v>
      </c>
      <c r="AN195" s="1008">
        <f t="shared" si="194"/>
        <v>214719551</v>
      </c>
      <c r="AO195" s="1008">
        <f t="shared" si="194"/>
        <v>347080402</v>
      </c>
      <c r="AP195" s="1008">
        <f t="shared" si="194"/>
        <v>0</v>
      </c>
      <c r="AQ195" s="1008">
        <f t="shared" si="194"/>
        <v>0</v>
      </c>
      <c r="AR195" s="1008">
        <f t="shared" si="194"/>
        <v>92524043</v>
      </c>
      <c r="AS195" s="1008">
        <f t="shared" si="194"/>
        <v>471912657</v>
      </c>
      <c r="AU195" s="1133">
        <f t="shared" si="178"/>
        <v>0.54607256815786565</v>
      </c>
      <c r="AV195" s="1008">
        <f>SUM(AV130:AV194)</f>
        <v>6078723510</v>
      </c>
      <c r="AW195" s="1008">
        <f>SUM(AW130:AW194)</f>
        <v>0</v>
      </c>
      <c r="AX195" s="1008">
        <f>SUM(AX130:AX194)</f>
        <v>0</v>
      </c>
      <c r="AY195" s="1008"/>
      <c r="AZ195" s="1008">
        <f t="shared" ref="AZ195:BP195" si="195">SUM(AZ130:AZ194)</f>
        <v>4720183661</v>
      </c>
      <c r="BA195" s="1008">
        <f t="shared" si="195"/>
        <v>17503290</v>
      </c>
      <c r="BB195" s="1008">
        <f t="shared" si="195"/>
        <v>479581957</v>
      </c>
      <c r="BC195" s="1008">
        <f t="shared" si="195"/>
        <v>0</v>
      </c>
      <c r="BD195" s="1008">
        <f t="shared" si="195"/>
        <v>0</v>
      </c>
      <c r="BE195" s="1008">
        <f t="shared" si="195"/>
        <v>0</v>
      </c>
      <c r="BF195" s="1008">
        <f t="shared" si="195"/>
        <v>0</v>
      </c>
      <c r="BG195" s="1008">
        <f t="shared" si="195"/>
        <v>0</v>
      </c>
      <c r="BH195" s="1008">
        <f t="shared" si="195"/>
        <v>50855038</v>
      </c>
      <c r="BI195" s="1008">
        <f t="shared" si="195"/>
        <v>0</v>
      </c>
      <c r="BJ195" s="1008">
        <f t="shared" si="195"/>
        <v>0</v>
      </c>
      <c r="BK195" s="1008">
        <f t="shared" si="195"/>
        <v>99940000</v>
      </c>
      <c r="BL195" s="1008">
        <f t="shared" si="195"/>
        <v>328740287</v>
      </c>
      <c r="BM195" s="1008">
        <f t="shared" si="195"/>
        <v>0</v>
      </c>
      <c r="BN195" s="1008">
        <f t="shared" si="195"/>
        <v>0</v>
      </c>
      <c r="BO195" s="1008">
        <f t="shared" si="195"/>
        <v>92524043</v>
      </c>
      <c r="BP195" s="1008">
        <f t="shared" si="195"/>
        <v>289395234</v>
      </c>
      <c r="BQ195" s="1133">
        <f t="shared" si="179"/>
        <v>0.45392743184213435</v>
      </c>
      <c r="BR195" s="1008">
        <f>SUM(BR130:BR194)</f>
        <v>5052990230</v>
      </c>
      <c r="BS195" s="1008">
        <f>SUM(BS130:BS194)</f>
        <v>0</v>
      </c>
      <c r="BT195" s="1008">
        <f>SUM(BT130:BT194)</f>
        <v>0</v>
      </c>
      <c r="BU195" s="1008"/>
      <c r="BV195" s="1008">
        <f t="shared" ref="BV195:CL195" si="196">SUM(BV130:BV194)</f>
        <v>4316237920</v>
      </c>
      <c r="BW195" s="1008">
        <f t="shared" si="196"/>
        <v>2508044</v>
      </c>
      <c r="BX195" s="1008">
        <f t="shared" si="196"/>
        <v>145418043</v>
      </c>
      <c r="BY195" s="1008">
        <f t="shared" si="196"/>
        <v>0</v>
      </c>
      <c r="BZ195" s="1008">
        <f t="shared" si="196"/>
        <v>0</v>
      </c>
      <c r="CA195" s="1008">
        <f t="shared" si="196"/>
        <v>0</v>
      </c>
      <c r="CB195" s="1008">
        <f t="shared" si="196"/>
        <v>1940856</v>
      </c>
      <c r="CC195" s="1008">
        <f t="shared" si="196"/>
        <v>3438802</v>
      </c>
      <c r="CD195" s="1008">
        <f t="shared" si="196"/>
        <v>267809476</v>
      </c>
      <c r="CE195" s="1008">
        <f t="shared" si="196"/>
        <v>0</v>
      </c>
      <c r="CF195" s="1008">
        <f t="shared" si="196"/>
        <v>0</v>
      </c>
      <c r="CG195" s="1008">
        <f t="shared" si="196"/>
        <v>114779551</v>
      </c>
      <c r="CH195" s="1008">
        <f t="shared" si="196"/>
        <v>18340115</v>
      </c>
      <c r="CI195" s="1008">
        <f t="shared" si="196"/>
        <v>0</v>
      </c>
      <c r="CJ195" s="1008">
        <f t="shared" si="196"/>
        <v>0</v>
      </c>
      <c r="CK195" s="1008">
        <f t="shared" si="196"/>
        <v>0</v>
      </c>
      <c r="CL195" s="1008">
        <f t="shared" si="196"/>
        <v>182517423</v>
      </c>
      <c r="CM195" s="1133">
        <f t="shared" si="185"/>
        <v>0.4230419090888336</v>
      </c>
      <c r="CN195" s="1008">
        <f>SUM(CN130:CN194)</f>
        <v>4709181432</v>
      </c>
      <c r="CO195" s="1008">
        <f>SUM(CO130:CO194)</f>
        <v>0</v>
      </c>
      <c r="CP195" s="1008">
        <f>SUM(CP130:CP194)</f>
        <v>0</v>
      </c>
      <c r="CQ195" s="1008"/>
      <c r="CR195" s="1008">
        <f t="shared" ref="CR195:DH195" si="197">SUM(CR130:CR194)</f>
        <v>3736197573</v>
      </c>
      <c r="CS195" s="1008">
        <f t="shared" si="197"/>
        <v>12550540</v>
      </c>
      <c r="CT195" s="1008">
        <f t="shared" si="197"/>
        <v>461313282</v>
      </c>
      <c r="CU195" s="1008">
        <f t="shared" si="197"/>
        <v>0</v>
      </c>
      <c r="CV195" s="1008">
        <f t="shared" si="197"/>
        <v>0</v>
      </c>
      <c r="CW195" s="1008">
        <f t="shared" si="197"/>
        <v>0</v>
      </c>
      <c r="CX195" s="1008">
        <f t="shared" si="197"/>
        <v>0</v>
      </c>
      <c r="CY195" s="1008">
        <f t="shared" si="197"/>
        <v>0</v>
      </c>
      <c r="CZ195" s="1008">
        <f t="shared" si="197"/>
        <v>40655038</v>
      </c>
      <c r="DA195" s="1008">
        <f t="shared" si="197"/>
        <v>0</v>
      </c>
      <c r="DB195" s="1008">
        <f t="shared" si="197"/>
        <v>0</v>
      </c>
      <c r="DC195" s="1008">
        <f t="shared" si="197"/>
        <v>80640865</v>
      </c>
      <c r="DD195" s="1008">
        <f t="shared" si="197"/>
        <v>217017957</v>
      </c>
      <c r="DE195" s="1008">
        <f t="shared" si="197"/>
        <v>0</v>
      </c>
      <c r="DF195" s="1008">
        <f t="shared" si="197"/>
        <v>0</v>
      </c>
      <c r="DG195" s="1008">
        <f t="shared" si="197"/>
        <v>0</v>
      </c>
      <c r="DH195" s="1008">
        <f t="shared" si="197"/>
        <v>160806177</v>
      </c>
      <c r="DI195" s="1133">
        <f t="shared" si="186"/>
        <v>0.57695809091116645</v>
      </c>
      <c r="DJ195" s="1008">
        <f t="shared" ref="DJ195:ED195" si="198">SUM(DJ130:DJ194)</f>
        <v>6422532308</v>
      </c>
      <c r="DK195" s="1008">
        <f t="shared" si="198"/>
        <v>0</v>
      </c>
      <c r="DL195" s="1008">
        <f t="shared" si="198"/>
        <v>0</v>
      </c>
      <c r="DM195" s="1008">
        <f t="shared" si="198"/>
        <v>0</v>
      </c>
      <c r="DN195" s="1008">
        <f t="shared" si="198"/>
        <v>5300224008</v>
      </c>
      <c r="DO195" s="1008">
        <f t="shared" si="198"/>
        <v>7460794</v>
      </c>
      <c r="DP195" s="1008">
        <f t="shared" si="198"/>
        <v>163686718</v>
      </c>
      <c r="DQ195" s="1008">
        <f t="shared" si="198"/>
        <v>0</v>
      </c>
      <c r="DR195" s="1008">
        <f t="shared" si="198"/>
        <v>0</v>
      </c>
      <c r="DS195" s="1008">
        <f t="shared" si="198"/>
        <v>0</v>
      </c>
      <c r="DT195" s="1008">
        <f t="shared" si="198"/>
        <v>1940856</v>
      </c>
      <c r="DU195" s="1008">
        <f t="shared" si="198"/>
        <v>3438802</v>
      </c>
      <c r="DV195" s="1008">
        <f t="shared" si="198"/>
        <v>278009476</v>
      </c>
      <c r="DW195" s="1008">
        <f t="shared" si="198"/>
        <v>0</v>
      </c>
      <c r="DX195" s="1008">
        <f t="shared" si="198"/>
        <v>0</v>
      </c>
      <c r="DY195" s="1008">
        <f t="shared" si="198"/>
        <v>134078686</v>
      </c>
      <c r="DZ195" s="1008">
        <f t="shared" si="198"/>
        <v>130062445</v>
      </c>
      <c r="EA195" s="1008">
        <f t="shared" si="198"/>
        <v>0</v>
      </c>
      <c r="EB195" s="1008">
        <f t="shared" si="198"/>
        <v>0</v>
      </c>
      <c r="EC195" s="1008">
        <f t="shared" si="198"/>
        <v>92524043</v>
      </c>
      <c r="ED195" s="1008">
        <f t="shared" si="198"/>
        <v>311106480</v>
      </c>
    </row>
    <row r="196" spans="1:134" ht="12" customHeight="1" thickTop="1" x14ac:dyDescent="0.25">
      <c r="C196" s="963"/>
      <c r="D196" s="963"/>
      <c r="E196" s="963"/>
      <c r="F196" s="963"/>
      <c r="G196" s="963"/>
      <c r="H196" s="963"/>
      <c r="I196" s="963"/>
      <c r="J196" s="963"/>
      <c r="K196" s="963"/>
      <c r="L196" s="963"/>
      <c r="M196" s="963"/>
      <c r="N196" s="963"/>
      <c r="O196" s="963"/>
      <c r="P196" s="963"/>
      <c r="Q196" s="963"/>
      <c r="R196" s="963"/>
      <c r="S196" s="963"/>
      <c r="T196" s="963"/>
      <c r="U196" s="963"/>
      <c r="V196" s="963"/>
      <c r="W196" s="963"/>
      <c r="X196" s="963"/>
      <c r="Y196" s="992"/>
      <c r="Z196" s="992"/>
      <c r="AA196" s="992"/>
      <c r="AB196" s="992"/>
      <c r="AC196" s="993"/>
      <c r="AD196" s="992"/>
      <c r="AE196" s="686"/>
      <c r="AF196" s="686"/>
      <c r="AG196" s="686"/>
      <c r="AH196" s="686"/>
      <c r="AI196" s="686"/>
      <c r="AJ196" s="686"/>
      <c r="AK196" s="686"/>
      <c r="AL196" s="686"/>
      <c r="AM196" s="686"/>
      <c r="AN196" s="686"/>
      <c r="AO196" s="686"/>
      <c r="AP196" s="686"/>
      <c r="AQ196" s="686"/>
      <c r="AR196" s="686"/>
      <c r="AS196" s="686"/>
      <c r="AU196" s="1004"/>
      <c r="AV196" s="875"/>
      <c r="AW196" s="875"/>
      <c r="AX196" s="875"/>
      <c r="AY196" s="875"/>
      <c r="AZ196" s="875"/>
      <c r="BA196" s="875"/>
      <c r="BB196" s="875"/>
      <c r="BC196" s="875"/>
      <c r="BD196" s="875"/>
      <c r="BE196" s="875"/>
      <c r="BF196" s="875"/>
      <c r="BG196" s="875"/>
      <c r="BH196" s="875"/>
      <c r="BI196" s="875"/>
      <c r="BJ196" s="875"/>
      <c r="BK196" s="875"/>
      <c r="BL196" s="875"/>
      <c r="BM196" s="875"/>
      <c r="BN196" s="875"/>
      <c r="BO196" s="875"/>
      <c r="BP196" s="875"/>
      <c r="BQ196" s="1004"/>
      <c r="BR196" s="875"/>
      <c r="BS196" s="875"/>
      <c r="BT196" s="875"/>
      <c r="BU196" s="875"/>
      <c r="BV196" s="875"/>
      <c r="BW196" s="875"/>
      <c r="BX196" s="875"/>
      <c r="BY196" s="875"/>
      <c r="BZ196" s="875"/>
      <c r="CA196" s="875"/>
      <c r="CB196" s="875"/>
      <c r="CC196" s="875"/>
      <c r="CD196" s="875"/>
      <c r="CE196" s="875"/>
      <c r="CF196" s="875"/>
      <c r="CG196" s="875"/>
      <c r="CH196" s="875"/>
      <c r="CI196" s="875"/>
      <c r="CJ196" s="875"/>
      <c r="CK196" s="875"/>
      <c r="CL196" s="875"/>
      <c r="CM196" s="1004"/>
      <c r="CN196" s="1044"/>
      <c r="CO196" s="875"/>
      <c r="CP196" s="875"/>
      <c r="CQ196" s="875"/>
      <c r="CR196" s="875"/>
      <c r="CS196" s="875"/>
      <c r="CT196" s="875"/>
      <c r="CU196" s="875"/>
      <c r="CV196" s="875"/>
      <c r="CW196" s="875"/>
      <c r="CX196" s="875"/>
      <c r="CY196" s="875"/>
      <c r="CZ196" s="875"/>
      <c r="DA196" s="875"/>
      <c r="DB196" s="875"/>
      <c r="DC196" s="875"/>
      <c r="DD196" s="875"/>
      <c r="DE196" s="875"/>
      <c r="DF196" s="875"/>
      <c r="DG196" s="875"/>
      <c r="DH196" s="875"/>
      <c r="DI196" s="1004"/>
      <c r="DJ196" s="875"/>
      <c r="DK196" s="875"/>
      <c r="DL196" s="875"/>
      <c r="DM196" s="875"/>
      <c r="DN196" s="875"/>
      <c r="DO196" s="875"/>
      <c r="DP196" s="875"/>
      <c r="DQ196" s="875"/>
      <c r="DR196" s="875"/>
      <c r="DS196" s="875"/>
      <c r="DT196" s="875"/>
      <c r="DU196" s="875"/>
      <c r="DV196" s="875"/>
      <c r="DW196" s="875"/>
      <c r="DX196" s="875"/>
      <c r="DY196" s="875"/>
      <c r="DZ196" s="875"/>
      <c r="EA196" s="875"/>
      <c r="EB196" s="875"/>
      <c r="EC196" s="875"/>
      <c r="ED196" s="875"/>
    </row>
    <row r="197" spans="1:134" ht="19.5" customHeight="1" x14ac:dyDescent="0.25">
      <c r="C197" s="1207" t="s">
        <v>622</v>
      </c>
      <c r="D197" s="1208"/>
      <c r="E197" s="1217"/>
      <c r="F197" s="242"/>
      <c r="G197" s="875">
        <f>G34+G67+G104+G129+G195</f>
        <v>31953000000</v>
      </c>
      <c r="H197" s="1059">
        <f>H34+H67+H104+H129+H195</f>
        <v>13002235707</v>
      </c>
      <c r="I197" s="1059">
        <f>I34+I67+I104+I129+I195</f>
        <v>12086857596</v>
      </c>
      <c r="J197" s="242"/>
      <c r="K197" s="242"/>
      <c r="L197" s="242"/>
      <c r="M197" s="242"/>
      <c r="N197" s="242"/>
      <c r="O197" s="242"/>
      <c r="P197" s="242"/>
      <c r="Q197" s="242"/>
      <c r="R197" s="242"/>
      <c r="S197" s="242"/>
      <c r="T197" s="242"/>
      <c r="U197" s="242"/>
      <c r="V197" s="242"/>
      <c r="W197" s="242"/>
      <c r="X197" s="242"/>
      <c r="Y197" s="875">
        <f t="shared" ref="Y197:AS197" si="199">Y34+Y67+Y104+Y129+Y195</f>
        <v>25089093303</v>
      </c>
      <c r="Z197" s="875">
        <f t="shared" si="199"/>
        <v>104079469</v>
      </c>
      <c r="AA197" s="875">
        <f t="shared" si="199"/>
        <v>134533656</v>
      </c>
      <c r="AB197" s="875">
        <f t="shared" si="199"/>
        <v>396726534</v>
      </c>
      <c r="AC197" s="875">
        <f t="shared" si="199"/>
        <v>9862143612</v>
      </c>
      <c r="AD197" s="875">
        <f t="shared" si="199"/>
        <v>92895874</v>
      </c>
      <c r="AE197" s="875">
        <f t="shared" si="199"/>
        <v>2509180877</v>
      </c>
      <c r="AF197" s="875">
        <f t="shared" si="199"/>
        <v>1300000000</v>
      </c>
      <c r="AG197" s="875">
        <f t="shared" si="199"/>
        <v>102810569</v>
      </c>
      <c r="AH197" s="875">
        <f t="shared" si="199"/>
        <v>219471348</v>
      </c>
      <c r="AI197" s="875">
        <f t="shared" si="199"/>
        <v>1940856</v>
      </c>
      <c r="AJ197" s="875">
        <f t="shared" si="199"/>
        <v>3438802</v>
      </c>
      <c r="AK197" s="875">
        <f t="shared" si="199"/>
        <v>318664514</v>
      </c>
      <c r="AL197" s="875">
        <f t="shared" si="199"/>
        <v>4114878115</v>
      </c>
      <c r="AM197" s="875">
        <f t="shared" si="199"/>
        <v>1077016006</v>
      </c>
      <c r="AN197" s="875">
        <f t="shared" si="199"/>
        <v>1074256830</v>
      </c>
      <c r="AO197" s="875">
        <f t="shared" si="199"/>
        <v>999377331</v>
      </c>
      <c r="AP197" s="875">
        <f t="shared" si="199"/>
        <v>1181607989</v>
      </c>
      <c r="AQ197" s="875">
        <f t="shared" si="199"/>
        <v>80844085</v>
      </c>
      <c r="AR197" s="875">
        <f t="shared" si="199"/>
        <v>92524043</v>
      </c>
      <c r="AS197" s="875">
        <f t="shared" si="199"/>
        <v>1422702793</v>
      </c>
      <c r="AU197" s="238">
        <f>+AV197/Y197</f>
        <v>0.69682194361760907</v>
      </c>
      <c r="AV197" s="875">
        <f t="shared" ref="AV197:BP197" si="200">AV34+AV67+AV104+AV129+AV195</f>
        <v>17482630759</v>
      </c>
      <c r="AW197" s="875">
        <f t="shared" si="200"/>
        <v>103245422</v>
      </c>
      <c r="AX197" s="875">
        <f t="shared" si="200"/>
        <v>133268976</v>
      </c>
      <c r="AY197" s="875">
        <f t="shared" si="200"/>
        <v>396726534</v>
      </c>
      <c r="AZ197" s="875">
        <f t="shared" si="200"/>
        <v>5545905692</v>
      </c>
      <c r="BA197" s="875">
        <f t="shared" si="200"/>
        <v>17503290</v>
      </c>
      <c r="BB197" s="875">
        <f t="shared" si="200"/>
        <v>2038364580</v>
      </c>
      <c r="BC197" s="875">
        <f t="shared" si="200"/>
        <v>1199755531</v>
      </c>
      <c r="BD197" s="875">
        <f t="shared" si="200"/>
        <v>102810569</v>
      </c>
      <c r="BE197" s="875">
        <f t="shared" si="200"/>
        <v>219471348</v>
      </c>
      <c r="BF197" s="875">
        <f t="shared" si="200"/>
        <v>0</v>
      </c>
      <c r="BG197" s="875">
        <f t="shared" si="200"/>
        <v>0</v>
      </c>
      <c r="BH197" s="875">
        <f t="shared" si="200"/>
        <v>50855038</v>
      </c>
      <c r="BI197" s="875">
        <f t="shared" si="200"/>
        <v>2645702520</v>
      </c>
      <c r="BJ197" s="875">
        <f t="shared" si="200"/>
        <v>911709578</v>
      </c>
      <c r="BK197" s="875">
        <f t="shared" si="200"/>
        <v>749094856</v>
      </c>
      <c r="BL197" s="875">
        <f t="shared" si="200"/>
        <v>915082987</v>
      </c>
      <c r="BM197" s="875">
        <f t="shared" si="200"/>
        <v>1157607989</v>
      </c>
      <c r="BN197" s="875">
        <f t="shared" si="200"/>
        <v>80844085</v>
      </c>
      <c r="BO197" s="875">
        <f t="shared" si="200"/>
        <v>92524043</v>
      </c>
      <c r="BP197" s="875">
        <f t="shared" si="200"/>
        <v>1122157721</v>
      </c>
      <c r="BQ197" s="950">
        <f>1-AU197</f>
        <v>0.30317805638239093</v>
      </c>
      <c r="BR197" s="875">
        <f t="shared" ref="BR197:CL197" si="201">BR34+BR67+BR104+BR129+BR195</f>
        <v>7606462544</v>
      </c>
      <c r="BS197" s="875">
        <f t="shared" si="201"/>
        <v>834047</v>
      </c>
      <c r="BT197" s="875">
        <f t="shared" si="201"/>
        <v>1264680</v>
      </c>
      <c r="BU197" s="875">
        <f t="shared" si="201"/>
        <v>0</v>
      </c>
      <c r="BV197" s="875">
        <f t="shared" si="201"/>
        <v>4316237920</v>
      </c>
      <c r="BW197" s="875">
        <f t="shared" si="201"/>
        <v>75392584</v>
      </c>
      <c r="BX197" s="875">
        <f t="shared" si="201"/>
        <v>470816297</v>
      </c>
      <c r="BY197" s="875">
        <f t="shared" si="201"/>
        <v>100244469</v>
      </c>
      <c r="BZ197" s="875">
        <f t="shared" si="201"/>
        <v>0</v>
      </c>
      <c r="CA197" s="875">
        <f t="shared" si="201"/>
        <v>0</v>
      </c>
      <c r="CB197" s="875">
        <f t="shared" si="201"/>
        <v>1940856</v>
      </c>
      <c r="CC197" s="875">
        <f t="shared" si="201"/>
        <v>3438802</v>
      </c>
      <c r="CD197" s="875">
        <f t="shared" si="201"/>
        <v>267809476</v>
      </c>
      <c r="CE197" s="875">
        <f t="shared" si="201"/>
        <v>1469175595</v>
      </c>
      <c r="CF197" s="875">
        <f t="shared" si="201"/>
        <v>165306428</v>
      </c>
      <c r="CG197" s="875">
        <f t="shared" si="201"/>
        <v>325161974</v>
      </c>
      <c r="CH197" s="875">
        <f t="shared" si="201"/>
        <v>84294344</v>
      </c>
      <c r="CI197" s="875">
        <f t="shared" si="201"/>
        <v>24000000</v>
      </c>
      <c r="CJ197" s="875">
        <f t="shared" si="201"/>
        <v>0</v>
      </c>
      <c r="CK197" s="875">
        <f t="shared" si="201"/>
        <v>0</v>
      </c>
      <c r="CL197" s="875">
        <f t="shared" si="201"/>
        <v>300545072</v>
      </c>
      <c r="CM197" s="950">
        <f>+CN197/Y197</f>
        <v>0.51824255065627556</v>
      </c>
      <c r="CN197" s="875">
        <f t="shared" ref="CN197:ED197" si="202">CN34+CN67+CN104+CN129+CN195</f>
        <v>13002235707</v>
      </c>
      <c r="CO197" s="875">
        <f t="shared" si="202"/>
        <v>57672466</v>
      </c>
      <c r="CP197" s="875">
        <f t="shared" si="202"/>
        <v>133268976</v>
      </c>
      <c r="CQ197" s="875">
        <f t="shared" si="202"/>
        <v>396726534</v>
      </c>
      <c r="CR197" s="875">
        <f t="shared" si="202"/>
        <v>4337667454</v>
      </c>
      <c r="CS197" s="875">
        <f t="shared" si="202"/>
        <v>12550540</v>
      </c>
      <c r="CT197" s="875">
        <f t="shared" si="202"/>
        <v>1755841308</v>
      </c>
      <c r="CU197" s="875">
        <f t="shared" si="202"/>
        <v>942943109</v>
      </c>
      <c r="CV197" s="875">
        <f t="shared" si="202"/>
        <v>102810569</v>
      </c>
      <c r="CW197" s="875">
        <f t="shared" si="202"/>
        <v>129471348</v>
      </c>
      <c r="CX197" s="875">
        <f t="shared" si="202"/>
        <v>0</v>
      </c>
      <c r="CY197" s="875">
        <f t="shared" si="202"/>
        <v>0</v>
      </c>
      <c r="CZ197" s="875">
        <f t="shared" si="202"/>
        <v>40655038</v>
      </c>
      <c r="DA197" s="875">
        <f t="shared" si="202"/>
        <v>1399823494</v>
      </c>
      <c r="DB197" s="875">
        <f t="shared" si="202"/>
        <v>605846601</v>
      </c>
      <c r="DC197" s="875">
        <f t="shared" si="202"/>
        <v>632155275</v>
      </c>
      <c r="DD197" s="875">
        <f t="shared" si="202"/>
        <v>570906811</v>
      </c>
      <c r="DE197" s="875">
        <f t="shared" si="202"/>
        <v>1046363025</v>
      </c>
      <c r="DF197" s="875">
        <f t="shared" si="202"/>
        <v>30228561</v>
      </c>
      <c r="DG197" s="875">
        <f t="shared" si="202"/>
        <v>0</v>
      </c>
      <c r="DH197" s="875">
        <f t="shared" si="202"/>
        <v>807304598</v>
      </c>
      <c r="DI197" s="875">
        <f t="shared" si="202"/>
        <v>15.014959124690225</v>
      </c>
      <c r="DJ197" s="875">
        <f t="shared" si="202"/>
        <v>12086857596</v>
      </c>
      <c r="DK197" s="875">
        <f t="shared" si="202"/>
        <v>46407003</v>
      </c>
      <c r="DL197" s="875">
        <f t="shared" si="202"/>
        <v>1264680</v>
      </c>
      <c r="DM197" s="875">
        <f t="shared" si="202"/>
        <v>0</v>
      </c>
      <c r="DN197" s="875">
        <f t="shared" si="202"/>
        <v>5524476158</v>
      </c>
      <c r="DO197" s="875">
        <f t="shared" si="202"/>
        <v>80345334</v>
      </c>
      <c r="DP197" s="875">
        <f t="shared" si="202"/>
        <v>753339569</v>
      </c>
      <c r="DQ197" s="875">
        <f t="shared" si="202"/>
        <v>357056891</v>
      </c>
      <c r="DR197" s="875">
        <f t="shared" si="202"/>
        <v>0</v>
      </c>
      <c r="DS197" s="875">
        <f t="shared" si="202"/>
        <v>90000000</v>
      </c>
      <c r="DT197" s="875">
        <f t="shared" si="202"/>
        <v>1940856</v>
      </c>
      <c r="DU197" s="875">
        <f t="shared" si="202"/>
        <v>3438802</v>
      </c>
      <c r="DV197" s="875">
        <f t="shared" si="202"/>
        <v>278009476</v>
      </c>
      <c r="DW197" s="875">
        <f t="shared" si="202"/>
        <v>2715054621</v>
      </c>
      <c r="DX197" s="875">
        <f t="shared" si="202"/>
        <v>471169405</v>
      </c>
      <c r="DY197" s="875">
        <f t="shared" si="202"/>
        <v>442101555</v>
      </c>
      <c r="DZ197" s="875">
        <f t="shared" si="202"/>
        <v>428470520</v>
      </c>
      <c r="EA197" s="875">
        <f t="shared" si="202"/>
        <v>135244964</v>
      </c>
      <c r="EB197" s="875">
        <f t="shared" si="202"/>
        <v>50615524</v>
      </c>
      <c r="EC197" s="875">
        <f t="shared" si="202"/>
        <v>92524043</v>
      </c>
      <c r="ED197" s="875">
        <f t="shared" si="202"/>
        <v>615398195</v>
      </c>
    </row>
    <row r="198" spans="1:134" ht="10.5" customHeight="1" x14ac:dyDescent="0.25">
      <c r="C198" s="118"/>
      <c r="D198" s="118"/>
      <c r="E198" s="123"/>
      <c r="F198" s="123"/>
      <c r="G198" s="1091"/>
      <c r="H198" s="123"/>
      <c r="I198" s="123"/>
      <c r="J198" s="123"/>
      <c r="K198" s="123"/>
      <c r="L198" s="123"/>
      <c r="M198" s="123"/>
      <c r="N198" s="123"/>
      <c r="O198" s="123"/>
      <c r="P198" s="123"/>
      <c r="Q198" s="123"/>
      <c r="R198" s="123"/>
      <c r="S198" s="123"/>
      <c r="T198" s="123"/>
      <c r="U198" s="123"/>
      <c r="V198" s="123"/>
      <c r="W198" s="123"/>
      <c r="X198" s="123"/>
      <c r="Y198" s="961"/>
      <c r="Z198" s="961"/>
      <c r="AA198" s="961"/>
      <c r="AB198" s="961"/>
      <c r="AC198" s="979"/>
      <c r="AD198" s="961"/>
      <c r="AE198" s="122"/>
      <c r="AF198" s="122"/>
      <c r="AG198" s="122"/>
      <c r="AH198" s="122"/>
      <c r="AI198" s="122"/>
      <c r="AJ198" s="122"/>
      <c r="AK198" s="122"/>
      <c r="AL198" s="122"/>
      <c r="AM198" s="122"/>
      <c r="AN198" s="122"/>
      <c r="AO198" s="122"/>
      <c r="AP198" s="122"/>
      <c r="AQ198" s="122"/>
      <c r="AR198" s="122"/>
      <c r="AS198" s="122"/>
      <c r="AU198" s="239"/>
      <c r="AV198" s="148"/>
      <c r="AW198" s="148"/>
      <c r="AX198" s="148"/>
      <c r="AY198" s="148"/>
      <c r="AZ198" s="148"/>
      <c r="BA198" s="148"/>
      <c r="BB198" s="122"/>
      <c r="BC198" s="122"/>
      <c r="BD198" s="122"/>
      <c r="BE198" s="122"/>
      <c r="BF198" s="122"/>
      <c r="BG198" s="122"/>
      <c r="BH198" s="122"/>
      <c r="BI198" s="122"/>
      <c r="BJ198" s="122"/>
      <c r="BK198" s="122"/>
      <c r="BL198" s="122"/>
      <c r="BM198" s="122"/>
      <c r="BN198" s="122"/>
      <c r="BO198" s="122"/>
      <c r="BP198" s="122"/>
      <c r="BQ198" s="239"/>
      <c r="BR198" s="148"/>
      <c r="BS198" s="148"/>
      <c r="BT198" s="148"/>
      <c r="BU198" s="148"/>
      <c r="BV198" s="148"/>
      <c r="BW198" s="148"/>
      <c r="BX198" s="207"/>
      <c r="BY198" s="207"/>
      <c r="BZ198" s="207"/>
      <c r="CA198" s="207"/>
      <c r="CB198" s="207"/>
      <c r="CC198" s="207"/>
      <c r="CD198" s="207"/>
      <c r="CE198" s="207"/>
      <c r="CF198" s="207"/>
      <c r="CG198" s="207"/>
      <c r="CH198" s="207"/>
      <c r="CI198" s="207"/>
      <c r="CJ198" s="207"/>
      <c r="CK198" s="207"/>
      <c r="CL198" s="207"/>
      <c r="CM198" s="239"/>
      <c r="CN198" s="1045"/>
      <c r="CO198" s="169"/>
      <c r="CP198" s="169"/>
      <c r="CQ198" s="169"/>
      <c r="CR198" s="169"/>
      <c r="CS198" s="169"/>
      <c r="CT198" s="122"/>
      <c r="CU198" s="122"/>
      <c r="CV198" s="122"/>
      <c r="CW198" s="122"/>
      <c r="CX198" s="122"/>
      <c r="CY198" s="122"/>
      <c r="CZ198" s="122"/>
      <c r="DA198" s="122"/>
      <c r="DB198" s="122"/>
      <c r="DC198" s="122"/>
      <c r="DD198" s="122"/>
      <c r="DE198" s="122"/>
      <c r="DF198" s="122"/>
      <c r="DG198" s="122"/>
      <c r="DH198" s="122"/>
      <c r="DI198" s="1010"/>
      <c r="DJ198" s="1038"/>
      <c r="DK198" s="148"/>
      <c r="DL198" s="148"/>
      <c r="DM198" s="148"/>
      <c r="DN198" s="148"/>
      <c r="DO198" s="148"/>
      <c r="DP198" s="207"/>
      <c r="DQ198" s="207"/>
      <c r="DR198" s="207"/>
      <c r="DS198" s="207"/>
      <c r="DT198" s="207"/>
      <c r="DU198" s="207"/>
      <c r="DV198" s="207"/>
      <c r="DW198" s="207"/>
      <c r="DX198" s="207"/>
      <c r="DY198" s="207"/>
      <c r="DZ198" s="207"/>
      <c r="EA198" s="207"/>
      <c r="EB198" s="207"/>
      <c r="EC198" s="207"/>
      <c r="ED198" s="207"/>
    </row>
    <row r="199" spans="1:134" ht="16.5" customHeight="1" x14ac:dyDescent="0.25">
      <c r="C199" s="1047"/>
      <c r="D199" s="1118" t="s">
        <v>3753</v>
      </c>
      <c r="E199" s="239">
        <v>111</v>
      </c>
      <c r="F199" s="133"/>
      <c r="G199" s="875">
        <f>SUMIF($E$4:$E$194,"111",$G$4:$G$194)</f>
        <v>20073000000</v>
      </c>
      <c r="H199" s="1059">
        <f>SUMIF($E$4:$E$194,"111",$H$4:$H$194)</f>
        <v>2279061974</v>
      </c>
      <c r="I199" s="1059">
        <f>SUMIF($E$4:$E$194,"111",$I$4:$I$194)</f>
        <v>4378535555</v>
      </c>
      <c r="J199" s="133"/>
      <c r="K199" s="133"/>
      <c r="L199" s="133"/>
      <c r="M199" s="133"/>
      <c r="N199" s="133"/>
      <c r="O199" s="133"/>
      <c r="P199" s="133"/>
      <c r="Q199" s="133"/>
      <c r="R199" s="133"/>
      <c r="S199" s="133"/>
      <c r="T199" s="133"/>
      <c r="U199" s="133"/>
      <c r="V199" s="133"/>
      <c r="W199" s="133"/>
      <c r="X199" s="133"/>
      <c r="Y199" s="951">
        <f>SUMIF($E$4:$E$194,"111",$Y$4:$Y$194)</f>
        <v>6657597529</v>
      </c>
      <c r="Z199" s="951">
        <f>SUMIF($E$4:$E$194,"111",$Z$4:$Z$194)</f>
        <v>0</v>
      </c>
      <c r="AA199" s="216">
        <f>SUMIF($E$4:$E$195,"111",$AA$4:$AA$195)</f>
        <v>0</v>
      </c>
      <c r="AB199" s="216">
        <f>SUMIF($E$4:$E$195,"111",$AB$4:$AB$195)</f>
        <v>0</v>
      </c>
      <c r="AC199" s="216">
        <f>SUMIF($E$4:$E$195,"111",$AC$4:$AC$195)</f>
        <v>6143356148</v>
      </c>
      <c r="AD199" s="951">
        <f>SUMIF($E$4:$E$194,"111",$AD$4:$AD$194)</f>
        <v>20011334</v>
      </c>
      <c r="AE199" s="133">
        <f>SUMIF($E$4:$E$195,"111",$AE$4:$AE$195)</f>
        <v>5000000</v>
      </c>
      <c r="AF199" s="133">
        <f>SUMIF($E$4:$E$192,"111",$AF$4:$AF$192)</f>
        <v>0</v>
      </c>
      <c r="AG199" s="133">
        <f>SUMIF($E$4:$E$192,"111",$AG$4:$AG$192)</f>
        <v>0</v>
      </c>
      <c r="AH199" s="133">
        <f>SUMIF($E$4:$E$192,"111",$AH$4:$AH$192)</f>
        <v>0</v>
      </c>
      <c r="AI199" s="133">
        <f>SUMIF($E$4:$E$192,"111",$AI$4:$AI$192)</f>
        <v>1940856</v>
      </c>
      <c r="AJ199" s="133">
        <f>SUMIF($E$4:$E$192,"111",$AJ$4:$AJ$192)</f>
        <v>3438802</v>
      </c>
      <c r="AK199" s="133">
        <f>SUMIF($E$4:$E$192,"111",$AK$4:$AK$192)</f>
        <v>186380309</v>
      </c>
      <c r="AL199" s="133">
        <f>SUMIF($E$4:$E$192,"111",$AL$4:$AL$192)</f>
        <v>0</v>
      </c>
      <c r="AM199" s="133">
        <f>SUMIF($E$4:$E$192,"111",$AM$4:$AM$192)</f>
        <v>0</v>
      </c>
      <c r="AN199" s="133">
        <f>SUMIF($E$4:$E$192,"111",$AN$4:$AN$192)</f>
        <v>75649551</v>
      </c>
      <c r="AO199" s="133">
        <f>SUMIF($E$4:$E$192,"111",$AO$4:$AO$192)</f>
        <v>28705529</v>
      </c>
      <c r="AP199" s="133">
        <f>SUMIF($E$4:$E$192,"111",$AP$4:$AP$192)</f>
        <v>0</v>
      </c>
      <c r="AQ199" s="133">
        <f>SUMIF($E$4:$E$192,"111",$AQ$4:$AQ$192)</f>
        <v>0</v>
      </c>
      <c r="AR199" s="133">
        <f>SUMIF($E$4:$E$192,"111",$AR$4:$AR$192)</f>
        <v>0</v>
      </c>
      <c r="AS199" s="133">
        <f>SUMIF($E$4:$E$194,"111",$AS$4:$AS$194)</f>
        <v>193115000</v>
      </c>
      <c r="AU199" s="946">
        <f t="shared" ref="AU199:AU207" si="203">+AV199/Y199</f>
        <v>0.34670527843498306</v>
      </c>
      <c r="AV199" s="218">
        <f t="shared" ref="AV199:AV204" si="204">SUM(AW199:BP199)</f>
        <v>2308224205</v>
      </c>
      <c r="AW199" s="951">
        <f>SUMIF($E$4:$E$194,"111",$AW$4:$AW$194)</f>
        <v>0</v>
      </c>
      <c r="AX199" s="951">
        <f>SUMIF($E$4:$E$194,"111",$AX$4:$AX$194)</f>
        <v>0</v>
      </c>
      <c r="AY199" s="951">
        <f>SUMIF($E$4:$E$194,"111",$AY$4:$AY$194)</f>
        <v>0</v>
      </c>
      <c r="AZ199" s="951">
        <f>SUMIF($E$4:$E$194,"111",$AZ$4:$AZ$194)</f>
        <v>2195944221</v>
      </c>
      <c r="BA199" s="951">
        <f>SUMIF($E$4:$E$194,"111",$BA$4:$BA$194)</f>
        <v>17503290</v>
      </c>
      <c r="BB199" s="951">
        <f>SUMIF($E$4:$E$194,"111",$BB$4:$BB$194)</f>
        <v>0</v>
      </c>
      <c r="BC199" s="951">
        <f>SUMIF($E$4:$E$194,"111",$BC$4:$BC$194)</f>
        <v>0</v>
      </c>
      <c r="BD199" s="951">
        <f>SUMIF($E$4:$E$194,"111",$BD$4:$BD$194)</f>
        <v>0</v>
      </c>
      <c r="BE199" s="951">
        <f>SUMIF($E$4:$E$194,"111",$BE$4:$BE$194)</f>
        <v>0</v>
      </c>
      <c r="BF199" s="951">
        <f>SUMIF($E$4:$E$194,"111",$BF$4:$BF$194)</f>
        <v>0</v>
      </c>
      <c r="BG199" s="951">
        <f>SUMIF($E$4:$E$192,"111",$BG$4:$BG$192)</f>
        <v>0</v>
      </c>
      <c r="BH199" s="951">
        <f>SUMIF($E$4:$E$192,"111",$BH$4:$BH$192)</f>
        <v>0</v>
      </c>
      <c r="BI199" s="951">
        <f>SUMIF($E$4:$E$192,"111",$BI$4:$BI$192)</f>
        <v>0</v>
      </c>
      <c r="BJ199" s="951">
        <f>SUMIF($E$4:$E$192,"111",$BJ$4:$BJ$192)</f>
        <v>0</v>
      </c>
      <c r="BK199" s="951">
        <f>SUMIF($E$4:$E$194,"111",$BK$4:$BK$194)</f>
        <v>0</v>
      </c>
      <c r="BL199" s="951">
        <f>SUMIF($E$4:$E$192,"111",$BL$4:$BL$192)</f>
        <v>22661694</v>
      </c>
      <c r="BM199" s="951">
        <f>SUMIF($E$4:$E$194,"111",$AY$4:$AY$194)</f>
        <v>0</v>
      </c>
      <c r="BN199" s="951">
        <f>SUMIF($E$4:$E$192,"111",$BN$4:$BN$192)</f>
        <v>0</v>
      </c>
      <c r="BO199" s="951">
        <f>SUMIF($E$4:$E$192,"111",$BO$4:$BO$192)</f>
        <v>0</v>
      </c>
      <c r="BP199" s="951">
        <f>SUMIF($E$4:$E$194,"111",$BP$4:$BP$194)</f>
        <v>72115000</v>
      </c>
      <c r="BQ199" s="950">
        <f t="shared" ref="BQ199:BQ207" si="205">1-AU199</f>
        <v>0.65329472156501689</v>
      </c>
      <c r="BR199" s="149">
        <f t="shared" ref="BR199:BR204" si="206">SUM(BS199:CL199)</f>
        <v>4349373324</v>
      </c>
      <c r="BS199" s="951">
        <f>SUMIF($E$4:$E$194,"111",$AY$4:$AY$194)</f>
        <v>0</v>
      </c>
      <c r="BT199" s="953">
        <f>SUMIF($E$4:$E$192,"111",$BT$4:$BT$192)</f>
        <v>0</v>
      </c>
      <c r="BU199" s="953">
        <f>SUMIF($E$4:$E$192,"111",$BU$4:$BU$192)</f>
        <v>0</v>
      </c>
      <c r="BV199" s="953">
        <f>SUMIF($E$4:$E$194,"111",$BV$4:$BV$194)</f>
        <v>3947411927</v>
      </c>
      <c r="BW199" s="953">
        <f>SUMIF($E$4:$E$194,"111",$BW$4:$BW$194)</f>
        <v>2508044</v>
      </c>
      <c r="BX199" s="953">
        <f>SUMIF($E$4:$E$194,"111",$BX$4:$BX$194)</f>
        <v>5000000</v>
      </c>
      <c r="BY199" s="953">
        <f>SUMIF($E$4:$E$194,"111",$BY$4:$BY$194)</f>
        <v>0</v>
      </c>
      <c r="BZ199" s="953">
        <f>SUMIF($E$4:$E$192,"111",$BZ$4:$BZ$192)</f>
        <v>0</v>
      </c>
      <c r="CA199" s="953">
        <f>SUMIF($E$4:$E$195,"111",$CA$4:$CA$195)</f>
        <v>0</v>
      </c>
      <c r="CB199" s="953">
        <f>SUMIF($E$4:$E$192,"111",$CB$4:$CB$192)</f>
        <v>1940856</v>
      </c>
      <c r="CC199" s="953">
        <f>SUMIF($E$4:$E$192,"111",$CC$4:$CC$192)</f>
        <v>3438802</v>
      </c>
      <c r="CD199" s="953">
        <f>SUMIF($E$4:$E$192,"111",$CD$4:$CD$192)</f>
        <v>186380309</v>
      </c>
      <c r="CE199" s="953">
        <f>SUMIF($E$4:$E$192,"111",$CE$4:$CE$192)</f>
        <v>0</v>
      </c>
      <c r="CF199" s="953">
        <f>SUMIF($E$4:$E$192,"111",$CF$4:$CF$192)</f>
        <v>0</v>
      </c>
      <c r="CG199" s="953">
        <f>SUMIF($E$4:$E$192,"111",$CG$4:$CG$192)</f>
        <v>75649551</v>
      </c>
      <c r="CH199" s="953">
        <f>SUMIF($E$4:$E$192,"111",$CH$4:$CH$192)</f>
        <v>6043835</v>
      </c>
      <c r="CI199" s="953">
        <f>SUMIF($E$4:$E$192,"111",$CI$4:$CI$192)</f>
        <v>0</v>
      </c>
      <c r="CJ199" s="953">
        <f>SUMIF($E$4:$E$192,"111",$CJ$4:$CJ$192)</f>
        <v>0</v>
      </c>
      <c r="CK199" s="953">
        <f>SUMIF($E$4:$E$192,"111",$CK$4:$CK$192)</f>
        <v>0</v>
      </c>
      <c r="CL199" s="956">
        <f>SUMIF($E$4:$E$194,"111",$CL$4:$CL$194)</f>
        <v>121000000</v>
      </c>
      <c r="CM199" s="959">
        <f t="shared" ref="CM199:CM207" si="207">+CN199/Y199</f>
        <v>0.3423249849623044</v>
      </c>
      <c r="CN199" s="944">
        <f t="shared" ref="CN199:CN204" si="208">SUM(CO199:DH199)</f>
        <v>2279061974</v>
      </c>
      <c r="CO199" s="951">
        <f>SUMIF($E$4:$E$194,"111",$CO$4:$CO$194)</f>
        <v>0</v>
      </c>
      <c r="CP199" s="951">
        <f>SUMIF($E$4:$E$192,"111",$CP$4:$CP$192)</f>
        <v>0</v>
      </c>
      <c r="CQ199" s="951">
        <f>SUMIF($E$4:$E$192,"111",$CQ$4:$CQ$192)</f>
        <v>0</v>
      </c>
      <c r="CR199" s="951">
        <f>SUMIF($E$4:$E$192,"111",$CR$4:$CR$192)</f>
        <v>2190694555</v>
      </c>
      <c r="CS199" s="951">
        <f>SUMIF($E$4:$E$194,"111",$CS$4:$CS$194)</f>
        <v>12550540</v>
      </c>
      <c r="CT199" s="951">
        <f>SUMIF($E$4:$E$192,"111",$CT$4:$CT$192)</f>
        <v>0</v>
      </c>
      <c r="CU199" s="951">
        <f>SUMIF($E$4:$E$192,"111",$CU$4:$CU$192)</f>
        <v>0</v>
      </c>
      <c r="CV199" s="951">
        <f>SUMIF($E$4:$E$194,"111",$CV$4:$CV$194)</f>
        <v>0</v>
      </c>
      <c r="CW199" s="951">
        <f>SUMIF($E$4:$E$192,"111",$CW$4:$CW$192)</f>
        <v>0</v>
      </c>
      <c r="CX199" s="951">
        <f>SUMIF($E$4:$E$192,"111",$CX$4:$CX$192)</f>
        <v>0</v>
      </c>
      <c r="CY199" s="951">
        <f>SUMIF($E$4:$E$192,"111",$CY$4:$CY$192)</f>
        <v>0</v>
      </c>
      <c r="CZ199" s="951">
        <f>SUMIF($E$4:$E$192,"111",$CZ$4:$CZ$192)</f>
        <v>0</v>
      </c>
      <c r="DA199" s="951">
        <f>SUMIF($E$4:$E$192,"111",$DA$4:$DA$192)</f>
        <v>0</v>
      </c>
      <c r="DB199" s="951">
        <f>SUMIF($E$4:$E$192,"111",$DB$4:$DB$192)</f>
        <v>0</v>
      </c>
      <c r="DC199" s="951">
        <f>SUMIF($E$4:$E$192,"111",$DC$4:$DC$192)</f>
        <v>0</v>
      </c>
      <c r="DD199" s="951">
        <f>SUMIF($E$4:$E$192,"111",$DD$4:$DD$192)</f>
        <v>22661694</v>
      </c>
      <c r="DE199" s="951">
        <f>SUMIF($E$4:$E$192,"111",$DE$4:$DE$192)</f>
        <v>0</v>
      </c>
      <c r="DF199" s="951">
        <f>SUMIF($E$4:$E$192,"111",$DF$4:$DF$192)</f>
        <v>0</v>
      </c>
      <c r="DG199" s="951">
        <f>SUMIF($E$4:$E$192,"111",$DG$4:$DG$192)</f>
        <v>0</v>
      </c>
      <c r="DH199" s="952">
        <f>SUMIF($E$4:$E$192,"111",$DH$4:$DH$192)</f>
        <v>53155185</v>
      </c>
      <c r="DI199" s="1010">
        <f t="shared" ref="DI199:DI207" si="209">1-CM199</f>
        <v>0.65767501503769554</v>
      </c>
      <c r="DJ199" s="149">
        <f t="shared" ref="DJ199:DJ204" si="210">SUM(DK199:ED199)</f>
        <v>4378535555</v>
      </c>
      <c r="DK199" s="1039">
        <f>SUMIF($E$4:$E$194,"111",$DK$4:$DK$194)</f>
        <v>0</v>
      </c>
      <c r="DL199" s="953">
        <f>SUMIF($E$4:$E$194,"111",$DL$4:$DL$194)</f>
        <v>0</v>
      </c>
      <c r="DM199" s="953">
        <f>SUMIF($E$4:$E$194,"111",$DM$4:$DM$194)</f>
        <v>0</v>
      </c>
      <c r="DN199" s="953">
        <f>SUMIF($E$4:$E$194,"111",$DN$4:$DN$194)</f>
        <v>3952661593</v>
      </c>
      <c r="DO199" s="953">
        <f>SUMIF($E$4:$E$194,"111",$DO$4:$DO$194)</f>
        <v>7460794</v>
      </c>
      <c r="DP199" s="953">
        <f>SUMIF($E$4:$E$194,"111",$DP$4:$DP$194)</f>
        <v>5000000</v>
      </c>
      <c r="DQ199" s="953">
        <f>SUMIF($E$4:$E$194,"111",$DQ$4:$DQ$194)</f>
        <v>0</v>
      </c>
      <c r="DR199" s="953">
        <f>SUMIF($E$4:$E$194,"111",$DR$4:$DR$194)</f>
        <v>0</v>
      </c>
      <c r="DS199" s="208">
        <f>SUMIF($E$4:$E$192,"111",$DS$4:$DS$192)</f>
        <v>0</v>
      </c>
      <c r="DT199" s="208">
        <f>SUMIF($E$4:$E$192,"111",$DT$4:$DT$192)</f>
        <v>1940856</v>
      </c>
      <c r="DU199" s="208">
        <f>SUMIF($E$4:$E$194,"111",$DU$4:$DU$194)</f>
        <v>3438802</v>
      </c>
      <c r="DV199" s="208">
        <f>SUMIF($E$4:$E$192,"111",$DV$4:$DV$192)</f>
        <v>186380309</v>
      </c>
      <c r="DW199" s="208">
        <f>SUMIF($E$4:$E$192,"111",$DW$4:$DW$192)</f>
        <v>0</v>
      </c>
      <c r="DX199" s="208">
        <f>SUMIF($E$4:$E$194,"111",$DX$4:$DX$194)</f>
        <v>0</v>
      </c>
      <c r="DY199" s="208">
        <f>SUMIF($E$4:$E$194,"111",$DY$4:$DY$194)</f>
        <v>75649551</v>
      </c>
      <c r="DZ199" s="208">
        <f>SUMIF($E$4:$E$192,"111",$DZ$4:$DZ$192)</f>
        <v>6043835</v>
      </c>
      <c r="EA199" s="208">
        <f>SUMIF($E$4:$E$192,"111",$EA$4:$EA$192)</f>
        <v>0</v>
      </c>
      <c r="EB199" s="208">
        <f>SUMIF($E$4:$E$192,"111",$EB$4:$EB$192)</f>
        <v>0</v>
      </c>
      <c r="EC199" s="208">
        <f>SUMIF($E$4:$E$192,"111",$EC$4:$EC$192)</f>
        <v>0</v>
      </c>
      <c r="ED199" s="208">
        <f>SUMIF($E$4:$E$194,"111",$ED$4:$ED$194)</f>
        <v>139959815</v>
      </c>
    </row>
    <row r="200" spans="1:134" ht="18" customHeight="1" x14ac:dyDescent="0.25">
      <c r="C200" s="987"/>
      <c r="D200" s="1118" t="s">
        <v>4589</v>
      </c>
      <c r="E200" s="239">
        <v>211</v>
      </c>
      <c r="F200" s="133"/>
      <c r="G200" s="875">
        <f>SUMIF($E$4:$E$194,"211",$G$4:$G$194)</f>
        <v>0</v>
      </c>
      <c r="H200" s="1059">
        <f>SUMIF($E$4:$E$194,"211",$H$4:$H$194)</f>
        <v>1898549257</v>
      </c>
      <c r="I200" s="1059">
        <f>SUMIF($E$4:$E$194,"211",$I$4:$I$194)</f>
        <v>1742722533</v>
      </c>
      <c r="J200" s="133"/>
      <c r="K200" s="133"/>
      <c r="L200" s="133"/>
      <c r="M200" s="133"/>
      <c r="N200" s="133"/>
      <c r="O200" s="133"/>
      <c r="P200" s="133"/>
      <c r="Q200" s="133"/>
      <c r="R200" s="133"/>
      <c r="S200" s="133"/>
      <c r="T200" s="133"/>
      <c r="U200" s="133"/>
      <c r="V200" s="133"/>
      <c r="W200" s="133"/>
      <c r="X200" s="133"/>
      <c r="Y200" s="951">
        <f>SUMIF($E$4:$E$194,"211",$Y$4:$Y$194)</f>
        <v>3641271790</v>
      </c>
      <c r="Z200" s="951">
        <f>SUMIF($E$4:$E$194,"211",$Z$4:$Z$194)</f>
        <v>0</v>
      </c>
      <c r="AA200" s="216">
        <f>SUMIF($E$4:$E$195,"211",$AA$4:$AA$195)</f>
        <v>0</v>
      </c>
      <c r="AB200" s="216">
        <f>SUMIF($E$4:$E$195,"211",$AB$4:$AB$195)</f>
        <v>0</v>
      </c>
      <c r="AC200" s="216">
        <f>SUMIF($E$4:$E$195,"211",$AC$4:$AC$195)</f>
        <v>2893065433</v>
      </c>
      <c r="AD200" s="951">
        <f>SUMIF($E$4:$E$194,"211",$AD$4:$AD$194)</f>
        <v>0</v>
      </c>
      <c r="AE200" s="133">
        <f>SUMIF($E$4:$E$192,"211",$AE$4:$AE$192)</f>
        <v>210000000</v>
      </c>
      <c r="AF200" s="133">
        <f>SUMIF($E$4:$E$192,"211",$AF$4:$AF$192)</f>
        <v>0</v>
      </c>
      <c r="AG200" s="133">
        <f>SUMIF($E$4:$E$192,"211",$AG$4:$AG$192)</f>
        <v>0</v>
      </c>
      <c r="AH200" s="133">
        <f>SUMIF($E$4:$E$192,"211",$AH$4:$AH$192)</f>
        <v>0</v>
      </c>
      <c r="AI200" s="133">
        <f>SUMIF($E$4:$E$192,"211",$AI$4:$AI$192)</f>
        <v>0</v>
      </c>
      <c r="AJ200" s="133">
        <f>SUMIF($E$4:$E$192,"211",$AJ$4:$AJ$192)</f>
        <v>0</v>
      </c>
      <c r="AK200" s="133">
        <f>SUMIF($E$4:$E$192,"211",$AK$4:$AK$192)</f>
        <v>132284205</v>
      </c>
      <c r="AL200" s="133">
        <f>SUMIF($E$4:$E$192,"211",$AL$4:$AL$192)</f>
        <v>0</v>
      </c>
      <c r="AM200" s="133">
        <f>SUMIF($E$4:$E$192,"211",$AM$4:$AM$192)</f>
        <v>0</v>
      </c>
      <c r="AN200" s="133">
        <f>SUMIF($E$4:$E$192,"211",$AN$4:$AN$192)</f>
        <v>39070000</v>
      </c>
      <c r="AO200" s="133">
        <f>SUMIF($E$4:$E$192,"211",$AO$4:$AO$192)</f>
        <v>25530452</v>
      </c>
      <c r="AP200" s="133">
        <f>SUMIF($E$4:$E$192,"211",$AP$4:$AP$192)</f>
        <v>0</v>
      </c>
      <c r="AQ200" s="133">
        <f>SUMIF($E$4:$E$192,"211",$AQ$4:$AQ$192)</f>
        <v>0</v>
      </c>
      <c r="AR200" s="133">
        <f>SUMIF($E$4:$E$192,"211",$AR$4:$AR$192)</f>
        <v>92524043</v>
      </c>
      <c r="AS200" s="133">
        <f>SUMIF($E$4:$E$194,"211",$AS$4:$AS$194)</f>
        <v>248797657</v>
      </c>
      <c r="AU200" s="946">
        <f t="shared" si="203"/>
        <v>0.85146876855352782</v>
      </c>
      <c r="AV200" s="218">
        <f t="shared" si="204"/>
        <v>3100429207</v>
      </c>
      <c r="AW200" s="951">
        <f>SUMIF($E$4:$E$192,"211",$AW$4:$AW$192)</f>
        <v>0</v>
      </c>
      <c r="AX200" s="951">
        <f>SUMIF($E$4:$E$194,"211",$AX$4:$AX$194)</f>
        <v>0</v>
      </c>
      <c r="AY200" s="951">
        <f>SUMIF($E$4:$E$194,"211",$AY$4:$AY$194)</f>
        <v>0</v>
      </c>
      <c r="AZ200" s="951">
        <f>SUMIF($E$4:$E$194,"211",$AZ$4:$AZ$194)</f>
        <v>2524239440</v>
      </c>
      <c r="BA200" s="951">
        <f>SUMIF($E$4:$E$192,"211",$BA$4:$BA$192)</f>
        <v>0</v>
      </c>
      <c r="BB200" s="951">
        <f>SUMIF($E$4:$E$192,"211",$BB$4:$BB$192)</f>
        <v>210000000</v>
      </c>
      <c r="BC200" s="951">
        <f>SUMIF($E$4:$E$194,"211",$BC$4:$BC$194)</f>
        <v>0</v>
      </c>
      <c r="BD200" s="951">
        <f>SUMIF($E$4:$E$194,"211",$BD$4:$BD$194)</f>
        <v>0</v>
      </c>
      <c r="BE200" s="951">
        <f>SUMIF($E$4:$E$192,"211",$BE$4:$BE$192)</f>
        <v>0</v>
      </c>
      <c r="BF200" s="951">
        <f>SUMIF($E$4:$E$192,"211",$BF$4:$BF$192)</f>
        <v>0</v>
      </c>
      <c r="BG200" s="951">
        <f>SUMIF($E$4:$E$192,"211",$BG$4:$BG$192)</f>
        <v>0</v>
      </c>
      <c r="BH200" s="951">
        <f>SUMIF($E$4:$E$192,"211",$BH$4:$BH$192)</f>
        <v>50855038</v>
      </c>
      <c r="BI200" s="951">
        <f>SUMIF($E$4:$E$192,"211",$BI$4:$BI$192)</f>
        <v>0</v>
      </c>
      <c r="BJ200" s="951">
        <f>SUMIF($E$4:$E$192,"211",$BJ$4:$BJ$192)</f>
        <v>0</v>
      </c>
      <c r="BK200" s="951">
        <f>SUMIF($E$4:$E$194,"211",$BK$4:$BK$194)</f>
        <v>0</v>
      </c>
      <c r="BL200" s="951">
        <f>SUMIF($E$4:$E$192,"211",$BL$4:$BL$192)</f>
        <v>25530452</v>
      </c>
      <c r="BM200" s="951">
        <f>SUMIF($E$4:$E$192,"211",$BM$4:$BM$192)</f>
        <v>0</v>
      </c>
      <c r="BN200" s="951">
        <f>SUMIF($E$4:$E$192,"211",$BN$4:$BN$192)</f>
        <v>0</v>
      </c>
      <c r="BO200" s="951">
        <f>SUMIF($E$4:$E$192,"211",$BO$4:$BO$192)</f>
        <v>92524043</v>
      </c>
      <c r="BP200" s="951">
        <f>SUMIF($E$4:$E$194,"211",$BP$4:$BP$194)</f>
        <v>197280234</v>
      </c>
      <c r="BQ200" s="950">
        <f t="shared" si="205"/>
        <v>0.14853123144647218</v>
      </c>
      <c r="BR200" s="149">
        <f t="shared" si="206"/>
        <v>540842583</v>
      </c>
      <c r="BS200" s="953">
        <f>SUMIF($E$4:$E$192,"211",$BS$4:$BS$192)</f>
        <v>0</v>
      </c>
      <c r="BT200" s="953">
        <f>SUMIF($E$4:$E$192,"211",$BT$4:$BT$192)</f>
        <v>0</v>
      </c>
      <c r="BU200" s="953">
        <f>SUMIF($E$4:$E$192,"211",$BU$4:$BU$192)</f>
        <v>0</v>
      </c>
      <c r="BV200" s="953">
        <f>SUMIF($E$4:$E$194,"211",$BV$4:$BV$194)</f>
        <v>368825993</v>
      </c>
      <c r="BW200" s="953">
        <f>SUMIF($E$4:$E$194,"211",$BW$4:$BW$194)</f>
        <v>0</v>
      </c>
      <c r="BX200" s="953">
        <f>SUMIF($E$4:$E$194,"211",$BX$4:$BX$194)</f>
        <v>0</v>
      </c>
      <c r="BY200" s="953">
        <f>SUMIF($E$4:$E$194,"211",$BY$4:$BY$194)</f>
        <v>0</v>
      </c>
      <c r="BZ200" s="953">
        <f>SUMIF($E$4:$E$192,"211",$BZ$4:$BZ$192)</f>
        <v>0</v>
      </c>
      <c r="CA200" s="953">
        <f>SUMIF($E$4:$E$192,"211",$CA$4:$CA$192)</f>
        <v>0</v>
      </c>
      <c r="CB200" s="953">
        <f>SUMIF($E$4:$E$192,"211",$CB$4:$CB$192)</f>
        <v>0</v>
      </c>
      <c r="CC200" s="953">
        <f>SUMIF($E$4:$E$192,"211",$CC$4:$CC$192)</f>
        <v>0</v>
      </c>
      <c r="CD200" s="953">
        <f>SUMIF($E$4:$E$192,"211",$CD$4:$CD$192)</f>
        <v>81429167</v>
      </c>
      <c r="CE200" s="953">
        <f>SUMIF($E$4:$E$192,"211",$CE$4:$CE$192)</f>
        <v>0</v>
      </c>
      <c r="CF200" s="953">
        <f>SUMIF($E$4:$E$192,"211",$CF$4:$CF$192)</f>
        <v>0</v>
      </c>
      <c r="CG200" s="953">
        <f>SUMIF($E$4:$E$192,"211",$CG$4:$CG$192)</f>
        <v>39070000</v>
      </c>
      <c r="CH200" s="953">
        <f>SUMIF($E$4:$E$192,"211",$CH$4:$CH$192)</f>
        <v>0</v>
      </c>
      <c r="CI200" s="953">
        <f>SUMIF($E$4:$E$192,"211",$CI$4:$CI$192)</f>
        <v>0</v>
      </c>
      <c r="CJ200" s="953">
        <f>SUMIF($E$4:$E$192,"211",$CJ$4:$CJ$192)</f>
        <v>0</v>
      </c>
      <c r="CK200" s="953">
        <f>SUMIF($E$4:$E$192,"211",$CK$4:$CK$192)</f>
        <v>0</v>
      </c>
      <c r="CL200" s="956">
        <f>SUMIF($E$4:$E$194,"211",$CL$4:$CL$194)</f>
        <v>51517423</v>
      </c>
      <c r="CM200" s="959">
        <f t="shared" si="207"/>
        <v>0.5213972937186323</v>
      </c>
      <c r="CN200" s="944">
        <f t="shared" si="208"/>
        <v>1898549257</v>
      </c>
      <c r="CO200" s="951">
        <f>SUMIF($E$4:$E$194,"211",$CO$4:$CO$194)</f>
        <v>0</v>
      </c>
      <c r="CP200" s="951">
        <f>SUMIF($E$4:$E$192,"211",$CP$4:$CP$192)</f>
        <v>0</v>
      </c>
      <c r="CQ200" s="951">
        <f>SUMIF($E$4:$E$192,"211",$CQ$4:$CQ$192)</f>
        <v>0</v>
      </c>
      <c r="CR200" s="951">
        <f>SUMIF($E$4:$E$192,"211",$CR$4:$CR$192)</f>
        <v>1545503018</v>
      </c>
      <c r="CS200" s="951">
        <f>SUMIF($E$4:$E$194,"211",$CS$4:$CS$194)</f>
        <v>0</v>
      </c>
      <c r="CT200" s="951">
        <f>SUMIF($E$4:$E$192,"211",$CT$4:$CT$192)</f>
        <v>208736238</v>
      </c>
      <c r="CU200" s="951">
        <f>SUMIF($E$4:$E$192,"211",$CU$4:$CU$192)</f>
        <v>0</v>
      </c>
      <c r="CV200" s="951">
        <f>SUMIF($E$4:$E$194,"211",$CV$4:$CV$194)</f>
        <v>0</v>
      </c>
      <c r="CW200" s="951">
        <f>SUMIF($E$4:$E$192,"211",$CW$4:$CW$192)</f>
        <v>0</v>
      </c>
      <c r="CX200" s="951">
        <f>SUMIF($E$4:$E$192,"211",$CX$4:$CX$192)</f>
        <v>0</v>
      </c>
      <c r="CY200" s="951">
        <f>SUMIF($E$4:$E$192,"211",$CY$4:$CY$192)</f>
        <v>0</v>
      </c>
      <c r="CZ200" s="951">
        <f>SUMIF($E$4:$E$192,"211",$CZ$4:$CZ$192)</f>
        <v>40655038</v>
      </c>
      <c r="DA200" s="951">
        <f>SUMIF($E$4:$E$192,"211",$DA$4:$DA$192)</f>
        <v>0</v>
      </c>
      <c r="DB200" s="951">
        <f>SUMIF($E$4:$E$192,"211",$DB$4:$DB$192)</f>
        <v>0</v>
      </c>
      <c r="DC200" s="951">
        <f>SUMIF($E$4:$E$192,"211",$DC$4:$DC$192)</f>
        <v>0</v>
      </c>
      <c r="DD200" s="951">
        <f>SUMIF($E$4:$E$192,"211",$DD$4:$DD$192)</f>
        <v>7976469</v>
      </c>
      <c r="DE200" s="951">
        <f>SUMIF($E$4:$E$192,"211",$DE$4:$DE$192)</f>
        <v>0</v>
      </c>
      <c r="DF200" s="951">
        <f>SUMIF($E$4:$E$192,"211",$DF$4:$DF$192)</f>
        <v>0</v>
      </c>
      <c r="DG200" s="951">
        <f>SUMIF($E$4:$E$192,"211",$DG$4:$DG$192)</f>
        <v>0</v>
      </c>
      <c r="DH200" s="952">
        <f>SUMIF($E$4:$E$192,"211",$DH$4:$DH$192)</f>
        <v>95678494</v>
      </c>
      <c r="DI200" s="1010">
        <f t="shared" si="209"/>
        <v>0.4786027062813677</v>
      </c>
      <c r="DJ200" s="149">
        <f t="shared" ca="1" si="210"/>
        <v>1742722533</v>
      </c>
      <c r="DK200" s="1039">
        <f>SUMIF($E$4:$E$194,"211",$DK$4:$DK$194)</f>
        <v>0</v>
      </c>
      <c r="DL200" s="953">
        <f ca="1">SUMIF($E$4:$E$195,"211",$DL$4:$DL$194)</f>
        <v>0</v>
      </c>
      <c r="DM200" s="953">
        <f>SUMIF($E$4:$E$194,"211",$DM$4:$DM$194)</f>
        <v>0</v>
      </c>
      <c r="DN200" s="953">
        <f>SUMIF($E$4:$E$194,"211",$DN$4:$DN$194)</f>
        <v>1347562415</v>
      </c>
      <c r="DO200" s="953">
        <f>SUMIF($E$4:$E$194,"211",$DO$4:$DO$194)</f>
        <v>0</v>
      </c>
      <c r="DP200" s="953">
        <f>SUMIF($E$4:$E$194,"211",$DP$4:$DP$194)</f>
        <v>1263762</v>
      </c>
      <c r="DQ200" s="953">
        <f>SUMIF($E$4:$E$194,"211",$DQ$4:$DQ$194)</f>
        <v>0</v>
      </c>
      <c r="DR200" s="953">
        <f>SUMIF($E$4:$E$194,"211",$DR$4:$DR$194)</f>
        <v>0</v>
      </c>
      <c r="DS200" s="208">
        <f>SUMIF($E$4:$E$192,"211",$DS$4:$DS$192)</f>
        <v>0</v>
      </c>
      <c r="DT200" s="208">
        <f>SUMIF($E$4:$E$192,"211",$DT$4:$DT$192)</f>
        <v>0</v>
      </c>
      <c r="DU200" s="208">
        <f>SUMIF($E$4:$E$194,"211",$DU$4:$DU$194)</f>
        <v>0</v>
      </c>
      <c r="DV200" s="208">
        <f>SUMIF($E$4:$E$192,"211",$DV$4:$DV$192)</f>
        <v>91629167</v>
      </c>
      <c r="DW200" s="208">
        <f>SUMIF($E$4:$E$192,"211",$DW$4:$DW$192)</f>
        <v>0</v>
      </c>
      <c r="DX200" s="208">
        <f>SUMIF($E$4:$E$194,"211",$DX$4:$DX$194)</f>
        <v>0</v>
      </c>
      <c r="DY200" s="208">
        <f>SUMIF($E$4:$E$194,"211",$DY$4:$DY$194)</f>
        <v>39070000</v>
      </c>
      <c r="DZ200" s="208">
        <f>SUMIF($E$4:$E$192,"211",$DZ$4:$DZ$192)</f>
        <v>17553983</v>
      </c>
      <c r="EA200" s="208">
        <f>SUMIF($E$4:$E$192,"211",$EA$4:$EA$192)</f>
        <v>0</v>
      </c>
      <c r="EB200" s="208">
        <f>SUMIF($E$4:$E$192,"211",$EB$4:$EB$192)</f>
        <v>0</v>
      </c>
      <c r="EC200" s="208">
        <f>SUMIF($E$4:$E$192,"211",$EC$4:$EC$192)</f>
        <v>92524043</v>
      </c>
      <c r="ED200" s="208">
        <f>SUMIF($E$4:$E$194,"211",$ED$4:$ED$194)</f>
        <v>153119163</v>
      </c>
    </row>
    <row r="201" spans="1:134" ht="16.5" customHeight="1" x14ac:dyDescent="0.25">
      <c r="C201" s="987"/>
      <c r="D201" s="1118" t="s">
        <v>674</v>
      </c>
      <c r="E201" s="239">
        <v>310</v>
      </c>
      <c r="F201" s="133"/>
      <c r="G201" s="875">
        <f>SUMIF($E$4:$E$194,"310",$G$4:$G$194)</f>
        <v>1203000000</v>
      </c>
      <c r="H201" s="1059">
        <f>SUMIF($E$4:$E$194,"310",$H$4:$H$194)</f>
        <v>734185185</v>
      </c>
      <c r="I201" s="1059">
        <f>SUMIF($E$4:$E$194,"310",$I$4:$I$194)</f>
        <v>442067999</v>
      </c>
      <c r="J201" s="133"/>
      <c r="K201" s="133"/>
      <c r="L201" s="133"/>
      <c r="M201" s="133"/>
      <c r="N201" s="133"/>
      <c r="O201" s="133"/>
      <c r="P201" s="133"/>
      <c r="Q201" s="133"/>
      <c r="R201" s="133"/>
      <c r="S201" s="133"/>
      <c r="T201" s="133"/>
      <c r="U201" s="133"/>
      <c r="V201" s="133"/>
      <c r="W201" s="133"/>
      <c r="X201" s="133"/>
      <c r="Y201" s="951">
        <f>SUMIF($E$4:$E$194,"310",$Y$4:$Y$195)</f>
        <v>1176253184</v>
      </c>
      <c r="Z201" s="951">
        <f>SUMIF($E$4:$E$194,"310",$Z$4:$Z$194)</f>
        <v>0</v>
      </c>
      <c r="AA201" s="216">
        <f>SUMIF($E$4:$E$192,"310",$AA$4:$AA$192)</f>
        <v>0</v>
      </c>
      <c r="AB201" s="216">
        <f>SUMIF($E$4:$E$195,"310",$AB$4:$AB$195)</f>
        <v>0</v>
      </c>
      <c r="AC201" s="216">
        <f>SUMIF($E$4:$E$192,"310",$AC$4:$AC$192)</f>
        <v>0</v>
      </c>
      <c r="AD201" s="951">
        <f>SUMIF($E$4:$E$194,"310",$AD$4:$AD$194)</f>
        <v>0</v>
      </c>
      <c r="AE201" s="133">
        <f>SUMIF($E$4:$E$192,"310",$AE$4:$AE$192)</f>
        <v>420000000</v>
      </c>
      <c r="AF201" s="133">
        <f>SUMIF($E$4:$E$192,"310",$AF$4:$AF$192)</f>
        <v>321985144</v>
      </c>
      <c r="AG201" s="133">
        <f>SUMIF($E$4:$E$192,"310",$AG$4:$AG$192)</f>
        <v>0</v>
      </c>
      <c r="AH201" s="133">
        <f>SUMIF($E$4:$E$192,"310",$AH$4:$AH$192)</f>
        <v>0</v>
      </c>
      <c r="AI201" s="133">
        <f>SUMIF($E$4:$E$192,"310",$AI$4:$AI$192)</f>
        <v>0</v>
      </c>
      <c r="AJ201" s="133">
        <f>SUMIF($E$4:$E$192,"310",$AJ$4:$AJ$192)</f>
        <v>0</v>
      </c>
      <c r="AK201" s="133">
        <f>SUMIF($E$4:$E$192,"310",$AK$4:$AK$192)</f>
        <v>0</v>
      </c>
      <c r="AL201" s="133">
        <f>SUMIF($E$4:$E$192,"310",$AL$4:$AL$192)</f>
        <v>0</v>
      </c>
      <c r="AM201" s="133">
        <f>SUMIF($E$4:$E$192,"310",$AM$4:$AM$192)</f>
        <v>0</v>
      </c>
      <c r="AN201" s="133">
        <f>SUMIF($E$4:$E$192,"310",$AN$4:$AN$192)</f>
        <v>36000000</v>
      </c>
      <c r="AO201" s="133">
        <f>SUMIF($E$4:$E$192,"310",$AO$4:$AO$192)</f>
        <v>273344421</v>
      </c>
      <c r="AP201" s="133">
        <f>SUMIF($E$4:$E$163,"310",$AP$4:$AP$163)</f>
        <v>0</v>
      </c>
      <c r="AQ201" s="133">
        <f>SUMIF($E$4:$E$192,"310",$AQ$4:$AQ$192)</f>
        <v>0</v>
      </c>
      <c r="AR201" s="133">
        <f>SUMIF($E$4:$E$192,"310",$AR$4:$AR$192)</f>
        <v>0</v>
      </c>
      <c r="AS201" s="133">
        <f>SUMIF($E$4:$E$194,"310",$AS$4:$AS$194)</f>
        <v>124923619</v>
      </c>
      <c r="AU201" s="946">
        <f t="shared" si="203"/>
        <v>0.74741284015941933</v>
      </c>
      <c r="AV201" s="943">
        <f t="shared" si="204"/>
        <v>879146733</v>
      </c>
      <c r="AW201" s="951">
        <f>SUMIF($E$4:$E$192,"310",$AW$4:$AW$192)</f>
        <v>0</v>
      </c>
      <c r="AX201" s="951">
        <f>SUMIF($E$4:$E$194,"310",$AX$4:$AX$194)</f>
        <v>0</v>
      </c>
      <c r="AY201" s="951">
        <f>SUMIF($E$4:$E$194,"310",$AY$4:$AY$194)</f>
        <v>0</v>
      </c>
      <c r="AZ201" s="951">
        <f>SUMIF($E$4:$E$194,"310",$AZ$4:$AZ$194)</f>
        <v>0</v>
      </c>
      <c r="BA201" s="951">
        <f>SUMIF($E$4:$E$192,"310",$BA$4:$BA$192)</f>
        <v>0</v>
      </c>
      <c r="BB201" s="951">
        <f>SUMIF($E$4:$E$192,"310",$BB$4:$BB$192)</f>
        <v>247044496</v>
      </c>
      <c r="BC201" s="951">
        <f>SUMIF($E$4:$E$194,"310",$BC$4:$BC$194)</f>
        <v>246740675</v>
      </c>
      <c r="BD201" s="951">
        <f>SUMIF($E$4:$E$194,"310",$BD$4:$BD$194)</f>
        <v>0</v>
      </c>
      <c r="BE201" s="951">
        <f>SUMIF($E$4:$E$192,"310",$BE$4:$BE$192)</f>
        <v>0</v>
      </c>
      <c r="BF201" s="951">
        <f>SUMIF($E$4:$E$192,"310",$BF$4:$BF$192)</f>
        <v>0</v>
      </c>
      <c r="BG201" s="951">
        <f>SUMIF($E$4:$E$163,"310",$BG$4:$BG$163)</f>
        <v>0</v>
      </c>
      <c r="BH201" s="951">
        <f>SUMIF($E$4:$E$192,"310",$BH$4:$BH$192)</f>
        <v>0</v>
      </c>
      <c r="BI201" s="951">
        <f>SUMIF($E$4:$E$192,"310",$BI$4:$BI$192)</f>
        <v>0</v>
      </c>
      <c r="BJ201" s="951">
        <f>SUMIF($E$4:$E$192,"310",$BJ$4:$BJ$192)</f>
        <v>0</v>
      </c>
      <c r="BK201" s="951">
        <f>SUMIF($E$4:$E$194,"310",$BK$4:$BK$194)</f>
        <v>0</v>
      </c>
      <c r="BL201" s="951">
        <f>SUMIF($E$4:$E$192,"310",$BL$4:$BL$192)</f>
        <v>273344421</v>
      </c>
      <c r="BM201" s="951">
        <f>SUMIF($E$4:$E$192,"310",$BM$4:$BM$192)</f>
        <v>0</v>
      </c>
      <c r="BN201" s="951">
        <f>SUMIF($E$4:$E$192,"310",$BN$4:$BN$192)</f>
        <v>0</v>
      </c>
      <c r="BO201" s="951">
        <f>SUMIF($E$4:$E$192,"310",$BO$4:$BO$192)</f>
        <v>0</v>
      </c>
      <c r="BP201" s="951">
        <f>SUMIF($E$4:$E$194,"310",$BP$4:$BP$194)</f>
        <v>112017141</v>
      </c>
      <c r="BQ201" s="950">
        <f t="shared" si="205"/>
        <v>0.25258715984058067</v>
      </c>
      <c r="BR201" s="149">
        <f t="shared" si="206"/>
        <v>297106451</v>
      </c>
      <c r="BS201" s="953">
        <f>SUMIF($E$4:$E$192,"310",$BS$4:$BS$192)</f>
        <v>0</v>
      </c>
      <c r="BT201" s="953">
        <f>SUMIF($E$4:$E$192,"310",$BT$4:$BT$192)</f>
        <v>0</v>
      </c>
      <c r="BU201" s="953">
        <f>SUMIF($E$4:$E$192,"310",$BU$4:$BU$192)</f>
        <v>0</v>
      </c>
      <c r="BV201" s="953">
        <f>SUMIF($E$4:$E$194,"310",$BV$4:$BV$194)</f>
        <v>0</v>
      </c>
      <c r="BW201" s="953">
        <f>SUMIF($E$4:$E$194,"310",$BW$4:$BW$194)</f>
        <v>0</v>
      </c>
      <c r="BX201" s="953">
        <f>SUMIF($E$4:$E$194,"310",$BX$4:$BX$194)</f>
        <v>172955504</v>
      </c>
      <c r="BY201" s="953">
        <f>SUMIF($E$4:$E$194,"310",$BY$4:$BY$194)</f>
        <v>75244469</v>
      </c>
      <c r="BZ201" s="953">
        <f>SUMIF($E$4:$E$192,"310",$BZ$4:$BZ$192)</f>
        <v>0</v>
      </c>
      <c r="CA201" s="953">
        <f>SUMIF($E$4:$E$192,"310",$CA$4:$CA$192)</f>
        <v>0</v>
      </c>
      <c r="CB201" s="953">
        <f>SUMIF($E$4:$E$192,"310",$CB$4:$CB$192)</f>
        <v>0</v>
      </c>
      <c r="CC201" s="953">
        <f>SUMIF($E$4:$E$192,"310",$CC$4:$CC$192)</f>
        <v>0</v>
      </c>
      <c r="CD201" s="953">
        <f>SUMIF($E$4:$E$192,"310",$CD$4:$CD$192)</f>
        <v>0</v>
      </c>
      <c r="CE201" s="953">
        <f>SUMIF($E$4:$E$192,"310",$CE$4:$CE$192)</f>
        <v>0</v>
      </c>
      <c r="CF201" s="953">
        <f>SUMIF($E$4:$E$192,"310",$CF$4:$CF$192)</f>
        <v>0</v>
      </c>
      <c r="CG201" s="953">
        <f>SUMIF($E$4:$E$192,"310",$CG$4:$CG$192)</f>
        <v>36000000</v>
      </c>
      <c r="CH201" s="953">
        <f>SUMIF($E$4:$E$192,"310",$CH$4:$CH$192)</f>
        <v>0</v>
      </c>
      <c r="CI201" s="953">
        <f>SUMIF($E$4:$E$192,"310",$CI$4:$CI$192)</f>
        <v>0</v>
      </c>
      <c r="CJ201" s="953">
        <f>SUMIF($E$4:$E$192,"310",$CJ$4:$CJ$192)</f>
        <v>0</v>
      </c>
      <c r="CK201" s="953">
        <f>SUMIF($E$4:$E$192,"310",$CK$4:$CK$192)</f>
        <v>0</v>
      </c>
      <c r="CL201" s="956">
        <f>SUMIF($E$4:$E$194,"310",$CL$4:$CL$194)</f>
        <v>12906478</v>
      </c>
      <c r="CM201" s="959">
        <f t="shared" si="207"/>
        <v>0.62417275037956454</v>
      </c>
      <c r="CN201" s="944">
        <f t="shared" si="208"/>
        <v>734185185</v>
      </c>
      <c r="CO201" s="951">
        <f>SUMIF($E$4:$E$194,"310",$CO$4:$CO$194)</f>
        <v>0</v>
      </c>
      <c r="CP201" s="951">
        <f>SUMIF($E$4:$E$192,"310",$CP$4:$CP$192)</f>
        <v>0</v>
      </c>
      <c r="CQ201" s="951">
        <f>SUMIF($E$4:$E$192,"310",$CQ$4:$CQ$192)</f>
        <v>0</v>
      </c>
      <c r="CR201" s="951">
        <f>SUMIF($E$4:$E$192,"310",$CR$4:$CR$192)</f>
        <v>0</v>
      </c>
      <c r="CS201" s="951">
        <f>SUMIF($E$4:$E$194,"310",$CS$4:$CS$194)</f>
        <v>0</v>
      </c>
      <c r="CT201" s="951">
        <f>SUMIF($E$4:$E$194,"310",$CT$4:$CT$194)</f>
        <v>243222246</v>
      </c>
      <c r="CU201" s="951">
        <f>SUMIF($E$4:$E$194,"310",$CU$4:$CU$194)</f>
        <v>233991109</v>
      </c>
      <c r="CV201" s="951">
        <f>SUMIF($E$4:$E$194,"310",$CV$4:$CV$194)</f>
        <v>0</v>
      </c>
      <c r="CW201" s="951">
        <f>SUMIF($E$4:$E$192,"310",$CW$4:$CW$192)</f>
        <v>0</v>
      </c>
      <c r="CX201" s="951">
        <f>SUMIF($E$4:$E$192,"310",$CX$4:$CX$192)</f>
        <v>0</v>
      </c>
      <c r="CY201" s="951">
        <f>SUMIF($E$4:$E$192,"310",$CY$4:$CY$192)</f>
        <v>0</v>
      </c>
      <c r="CZ201" s="951">
        <f>SUMIF($E$4:$E$192,"310",$CZ$4:$CZ$192)</f>
        <v>0</v>
      </c>
      <c r="DA201" s="951">
        <f>SUMIF($E$4:$E$192,"310",$DA$4:$DA$192)</f>
        <v>0</v>
      </c>
      <c r="DB201" s="951">
        <f>SUMIF($E$4:$E$192,"310",$DB$4:$DB$192)</f>
        <v>0</v>
      </c>
      <c r="DC201" s="951">
        <f>SUMIF($E$4:$E$192,"310",$DC$4:$DC$192)</f>
        <v>0</v>
      </c>
      <c r="DD201" s="951">
        <f>SUMIF($E$4:$E$194,"310",$DD$4:$DD$194)</f>
        <v>180676074</v>
      </c>
      <c r="DE201" s="951">
        <f>SUMIF($E$4:$E$192,"310",$DE$4:$DE$192)</f>
        <v>0</v>
      </c>
      <c r="DF201" s="951">
        <f>SUMIF($E$4:$E$192,"310",$DF$4:$DF$192)</f>
        <v>0</v>
      </c>
      <c r="DG201" s="951">
        <f>SUMIF($E$4:$E$192,"310",$DG$4:$DG$192)</f>
        <v>0</v>
      </c>
      <c r="DH201" s="952">
        <f>SUMIF($E$4:$E$194,"310",$DH$4:$DH$194)</f>
        <v>76295756</v>
      </c>
      <c r="DI201" s="1010">
        <f t="shared" si="209"/>
        <v>0.37582724962043546</v>
      </c>
      <c r="DJ201" s="149">
        <f t="shared" si="210"/>
        <v>442067999</v>
      </c>
      <c r="DK201" s="1039">
        <f>SUMIF($E$4:$E$194,"310",$DK$4:$DK$194)</f>
        <v>0</v>
      </c>
      <c r="DL201" s="953">
        <f>SUMIF($E$4:$E$192,"310",$DL$4:$DL$192)</f>
        <v>0</v>
      </c>
      <c r="DM201" s="953">
        <f>SUMIF($E$4:$E$194,"310",$DM$4:$DM$194)</f>
        <v>0</v>
      </c>
      <c r="DN201" s="953">
        <f>SUMIF($E$4:$E$194,"310",$DN$4:$DN$194)</f>
        <v>0</v>
      </c>
      <c r="DO201" s="953">
        <f>SUMIF($E$4:$E$194,"310",$DO$4:$DO$194)</f>
        <v>0</v>
      </c>
      <c r="DP201" s="953">
        <f>SUMIF($E$4:$E$194,"310",$DP$4:$DP$194)</f>
        <v>176777754</v>
      </c>
      <c r="DQ201" s="953">
        <f>SUMIF($E$4:$E$194,"310",$DQ$4:$DQ$194)</f>
        <v>87994035</v>
      </c>
      <c r="DR201" s="953">
        <f>SUMIF($E$4:$E$194,"310",$DR$4:$DR$194)</f>
        <v>0</v>
      </c>
      <c r="DS201" s="208">
        <f>SUMIF($E$4:$E$192,"310",$DS$4:$DS$192)</f>
        <v>0</v>
      </c>
      <c r="DT201" s="208">
        <f>SUMIF($E$4:$E$192,"310",$DT$4:$DT$192)</f>
        <v>0</v>
      </c>
      <c r="DU201" s="208">
        <f>SUMIF($E$4:$E$194,"310",$DU$4:$DU$194)</f>
        <v>0</v>
      </c>
      <c r="DV201" s="208">
        <f>SUMIF($E$4:$E$192,"310",$DV$4:$DV$192)</f>
        <v>0</v>
      </c>
      <c r="DW201" s="208">
        <f>SUMIF($E$4:$E$192,"310",$DW$4:$DW$192)</f>
        <v>0</v>
      </c>
      <c r="DX201" s="208">
        <f>SUMIF($E$4:$E$194,"310",$DX$4:$DX$194)</f>
        <v>0</v>
      </c>
      <c r="DY201" s="208">
        <f>SUMIF($E$4:$E$194,"310",$DY$4:$DY$194)</f>
        <v>36000000</v>
      </c>
      <c r="DZ201" s="208">
        <f>SUMIF($E$4:$E$194,"310",$DZ$4:$DZ$194)</f>
        <v>92668347</v>
      </c>
      <c r="EA201" s="208">
        <f>SUMIF($E$4:$E$192,"310",$EA$4:$EA$192)</f>
        <v>0</v>
      </c>
      <c r="EB201" s="208">
        <f>SUMIF($E$4:$E$192,"310",$EB$4:$EB$192)</f>
        <v>0</v>
      </c>
      <c r="EC201" s="208">
        <f>SUMIF($E$4:$E$192,"310",$EC$4:$EC$192)</f>
        <v>0</v>
      </c>
      <c r="ED201" s="208">
        <f>SUMIF($E$4:$E$194,"310",$ED$4:$ED$194)</f>
        <v>48627863</v>
      </c>
    </row>
    <row r="202" spans="1:134" x14ac:dyDescent="0.25">
      <c r="C202" s="988"/>
      <c r="D202" s="1118" t="s">
        <v>443</v>
      </c>
      <c r="E202" s="239">
        <v>410</v>
      </c>
      <c r="F202" s="133"/>
      <c r="G202" s="875">
        <f>SUMIF($E$4:$E$194,"410",$G$4:$G$194)</f>
        <v>4593000000</v>
      </c>
      <c r="H202" s="1059">
        <f>SUMIF($E$4:$E$194,"410",$H$4:$H$194)</f>
        <v>3498022563</v>
      </c>
      <c r="I202" s="1059">
        <f>SUMIF($E$4:$E$194,"410",$I$4:$I$194)</f>
        <v>3037770166</v>
      </c>
      <c r="J202" s="133"/>
      <c r="K202" s="133"/>
      <c r="L202" s="133"/>
      <c r="M202" s="133"/>
      <c r="N202" s="133"/>
      <c r="O202" s="133"/>
      <c r="P202" s="133"/>
      <c r="Q202" s="133"/>
      <c r="R202" s="133"/>
      <c r="S202" s="133"/>
      <c r="T202" s="133"/>
      <c r="U202" s="133"/>
      <c r="V202" s="133"/>
      <c r="W202" s="133"/>
      <c r="X202" s="133"/>
      <c r="Y202" s="951">
        <f>SUMIF($E$4:$E$194,"410",$Y$4:$Y$194)</f>
        <v>6535792729</v>
      </c>
      <c r="Z202" s="951">
        <f>SUMIF($E$4:$E$194,"410",$Z$4:$Z$194)</f>
        <v>0</v>
      </c>
      <c r="AA202" s="216">
        <f>SUMIF($E$4:$E$192,"410",$AA$4:$AA$192)</f>
        <v>134533656</v>
      </c>
      <c r="AB202" s="216">
        <f>SUMIF($E$4:$E$195,"410",$AB$4:$AB$195)</f>
        <v>396726534</v>
      </c>
      <c r="AC202" s="216">
        <f>SUMIF($E$4:$E$195,"410",$AC$4:$AC$195)</f>
        <v>775722031</v>
      </c>
      <c r="AD202" s="951">
        <f>SUMIF($E$4:$E$194,"410",$AD$4:$AD$194)</f>
        <v>0</v>
      </c>
      <c r="AE202" s="133">
        <f>SUMIF($E$4:$E$192,"410",$AE$4:$AE$192)</f>
        <v>544180877</v>
      </c>
      <c r="AF202" s="133">
        <f>SUMIF($E$4:$E$192,"410",$AF$4:$AF$192)</f>
        <v>55000000</v>
      </c>
      <c r="AG202" s="133">
        <f>SUMIF($E$4:$E$192,"410",$AG$4:$AG$192)</f>
        <v>102810569</v>
      </c>
      <c r="AH202" s="133">
        <f>SUMIF($E$4:$E$192,"410",$AH$4:$AH$192)</f>
        <v>219471348</v>
      </c>
      <c r="AI202" s="133">
        <f>SUMIF($E$4:$E$192,"410",$AI$4:$AI$192)</f>
        <v>0</v>
      </c>
      <c r="AJ202" s="133">
        <f>SUMIF($E$4:$E$192,"410",$AJ$4:$AJ$192)</f>
        <v>0</v>
      </c>
      <c r="AK202" s="133">
        <f>SUMIF($E$4:$E$192,"410",$AK$4:$AK$192)</f>
        <v>0</v>
      </c>
      <c r="AL202" s="133">
        <f>SUMIF($E$4:$E$192,"410",$AL$4:$AL$192)</f>
        <v>3504013680</v>
      </c>
      <c r="AM202" s="133">
        <f>SUMIF($E$4:$E$192,"410",$AM$4:$AM$192)</f>
        <v>78609139</v>
      </c>
      <c r="AN202" s="133">
        <f>SUMIF($E$4:$E$192,"410",$AN$4:$AN$192)</f>
        <v>251718083</v>
      </c>
      <c r="AO202" s="133">
        <f>SUMIF($E$4:$E$163,"410",$AO$4:$AO$163)</f>
        <v>311973650</v>
      </c>
      <c r="AP202" s="133">
        <f>SUMIF($E$4:$E$163,"410",$AP$4:$AP$163)</f>
        <v>0</v>
      </c>
      <c r="AQ202" s="133">
        <f>SUMIF($E$4:$E$192,"410",$AQ$4:$AQ$192)</f>
        <v>80844085</v>
      </c>
      <c r="AR202" s="133">
        <f>SUMIF($E$4:$E$192,"410",$AR$4:$AR$192)</f>
        <v>0</v>
      </c>
      <c r="AS202" s="133">
        <f>SUMIF($E$4:$E$194,"410",$AS$4:$AS$194)</f>
        <v>80189077</v>
      </c>
      <c r="AU202" s="946">
        <f t="shared" si="203"/>
        <v>0.82290423426920767</v>
      </c>
      <c r="AV202" s="218">
        <f t="shared" si="204"/>
        <v>5378331511</v>
      </c>
      <c r="AW202" s="951">
        <f>SUMIF($E$4:$E$192,"410",$AW$4:$AW$192)</f>
        <v>0</v>
      </c>
      <c r="AX202" s="951">
        <f>SUMIF($E$4:$E$194,"410",$AX$4:$AX$194)</f>
        <v>133268976</v>
      </c>
      <c r="AY202" s="951">
        <f>SUMIF($E$4:$E$194,"410",$AY$4:$AY$194)</f>
        <v>396726534</v>
      </c>
      <c r="AZ202" s="951">
        <f>SUMIF($E$4:$E$194,"410",$AZ$4:$AZ$194)</f>
        <v>775722031</v>
      </c>
      <c r="BA202" s="951">
        <f>SUMIF($E$4:$E$192,"410",$BA$4:$BA$192)</f>
        <v>0</v>
      </c>
      <c r="BB202" s="951">
        <f>SUMIF($E$4:$E$192,"410",$BB$4:$BB$192)</f>
        <v>544180877</v>
      </c>
      <c r="BC202" s="951">
        <f>SUMIF($E$4:$E$194,"410",$BC$4:$BC$194)</f>
        <v>55000000</v>
      </c>
      <c r="BD202" s="951">
        <f>SUMIF($E$4:$E$194,"410",$BD$4:$BD$194)</f>
        <v>102810569</v>
      </c>
      <c r="BE202" s="951">
        <f>SUMIF($E$4:$E$192,"410",$BE$4:$BE$192)</f>
        <v>219471348</v>
      </c>
      <c r="BF202" s="951">
        <f>SUMIF($E$4:$E$192,"410",$BF$4:$BF$192)</f>
        <v>0</v>
      </c>
      <c r="BG202" s="951">
        <f>SUMIF($E$4:$E$163,"410",$BG$4:$BG$163)</f>
        <v>0</v>
      </c>
      <c r="BH202" s="951">
        <f>SUMIF($E$4:$E$192,"410",$BH$4:$BH$192)</f>
        <v>0</v>
      </c>
      <c r="BI202" s="951">
        <f>SUMIF($E$4:$E$192,"410",$BI$4:$BI$192)</f>
        <v>2406031294</v>
      </c>
      <c r="BJ202" s="951">
        <f>SUMIF($E$4:$E$192,"410",$BJ$4:$BJ$192)</f>
        <v>68609139</v>
      </c>
      <c r="BK202" s="951">
        <f>SUMIF($E$4:$E$194,"410",$BK$4:$BK$194)</f>
        <v>235765054</v>
      </c>
      <c r="BL202" s="951">
        <f>SUMIF($E$4:$E$192,"410",$BL$4:$BL$192)</f>
        <v>305692590</v>
      </c>
      <c r="BM202" s="951">
        <f>SUMIF($E$4:$E$192,"410",$BM$4:$BM$192)</f>
        <v>0</v>
      </c>
      <c r="BN202" s="951">
        <f>SUMIF($E$4:$E$192,"410",$BN$4:$BN$192)</f>
        <v>80844085</v>
      </c>
      <c r="BO202" s="951">
        <f>SUMIF($E$4:$E$192,"410",$BO$4:$BO$192)</f>
        <v>0</v>
      </c>
      <c r="BP202" s="951">
        <f>SUMIF($E$4:$E$194,"410",$BP$4:$BP$194)</f>
        <v>54209014</v>
      </c>
      <c r="BQ202" s="950">
        <f t="shared" si="205"/>
        <v>0.17709576573079233</v>
      </c>
      <c r="BR202" s="149">
        <f t="shared" si="206"/>
        <v>1157461218</v>
      </c>
      <c r="BS202" s="953">
        <f>SUMIF($E$4:$E$192,"410",$BS$4:$BS$192)</f>
        <v>0</v>
      </c>
      <c r="BT202" s="953">
        <f>SUMIF($E$4:$E$192,"410",$BT$4:$BT$192)</f>
        <v>1264680</v>
      </c>
      <c r="BU202" s="953">
        <f>SUMIF($E$4:$E$192,"410",$BU$4:$BU$192)</f>
        <v>0</v>
      </c>
      <c r="BV202" s="953">
        <f>SUMIF($E$4:$E$194,"410",$BV$4:$BV$194)</f>
        <v>0</v>
      </c>
      <c r="BW202" s="953">
        <f>SUMIF($E$4:$E$194,"410",$BW$4:$BW$194)</f>
        <v>0</v>
      </c>
      <c r="BX202" s="953">
        <f>SUMIF($E$4:$E$194,"410",$BX$4:$BX$194)</f>
        <v>0</v>
      </c>
      <c r="BY202" s="953">
        <f>SUMIF($E$4:$E$192,"410",$BY$4:$BY$192)</f>
        <v>0</v>
      </c>
      <c r="BZ202" s="953">
        <f>SUMIF($E$4:$E$192,"410",$BZ$4:$BZ$192)</f>
        <v>0</v>
      </c>
      <c r="CA202" s="953">
        <f>SUMIF($E$4:$E$192,"410",$CA$4:$CA$192)</f>
        <v>0</v>
      </c>
      <c r="CB202" s="953">
        <f>SUMIF($E$4:$E$192,"410",$CB$4:$CB$192)</f>
        <v>0</v>
      </c>
      <c r="CC202" s="953">
        <f>SUMIF($E$4:$E$192,"410",$CC$4:$CC$192)</f>
        <v>0</v>
      </c>
      <c r="CD202" s="953">
        <f>SUMIF($E$4:$E$192,"410",$CD$4:$CD$192)</f>
        <v>0</v>
      </c>
      <c r="CE202" s="953">
        <f>SUMIF($E$4:$E$192,"410",$CE$4:$CE$192)</f>
        <v>1097982386</v>
      </c>
      <c r="CF202" s="953">
        <f>SUMIF($E$4:$E$192,"410",$CF$4:$CF$192)</f>
        <v>10000000</v>
      </c>
      <c r="CG202" s="953">
        <f>SUMIF($E$4:$E$192,"410",$CG$4:$CG$192)</f>
        <v>15953029</v>
      </c>
      <c r="CH202" s="953">
        <f>SUMIF($E$4:$E$192,"410",$CH$4:$CH$192)</f>
        <v>6281060</v>
      </c>
      <c r="CI202" s="953">
        <f>SUMIF($E$4:$E$192,"510",$CI$4:$CI$192)</f>
        <v>0</v>
      </c>
      <c r="CJ202" s="953">
        <f>SUMIF($E$4:$E$192,"410",$CJ$4:$CJ$192)</f>
        <v>0</v>
      </c>
      <c r="CK202" s="953">
        <f>SUMIF($E$4:$E$192,"410",$CK$4:$CK$192)</f>
        <v>0</v>
      </c>
      <c r="CL202" s="956">
        <f>SUMIF($E$4:$E$194,"410",$CL$4:$CL$194)</f>
        <v>25980063</v>
      </c>
      <c r="CM202" s="959">
        <f t="shared" si="207"/>
        <v>0.53521014328971994</v>
      </c>
      <c r="CN202" s="149">
        <f t="shared" si="208"/>
        <v>3498022563</v>
      </c>
      <c r="CO202" s="951">
        <f>SUMIF($E$4:$E$194,"410",$CO$4:$CO$194)</f>
        <v>0</v>
      </c>
      <c r="CP202" s="951">
        <f>SUMIF($E$4:$E$192,"410",$CP$4:$CP$192)</f>
        <v>133268976</v>
      </c>
      <c r="CQ202" s="951">
        <f>SUMIF($E$4:$E$192,"410",$CQ$4:$CQ$192)</f>
        <v>396726534</v>
      </c>
      <c r="CR202" s="951">
        <f>SUMIF($E$4:$E$192,"410",$CR$4:$CR$192)</f>
        <v>561469881</v>
      </c>
      <c r="CS202" s="951">
        <f>SUMIF($E$4:$E$194,"410",$CS$4:$CS$194)</f>
        <v>0</v>
      </c>
      <c r="CT202" s="951">
        <f>SUMIF($E$4:$E$192,"410",$CT$4:$CT$192)</f>
        <v>457458840</v>
      </c>
      <c r="CU202" s="951">
        <f>SUMIF($E$4:$E$192,"410",$CU$4:$CU$192)</f>
        <v>54911458</v>
      </c>
      <c r="CV202" s="951">
        <f>SUMIF($E$4:$E$194,"410",$CV$4:$CV$194)</f>
        <v>102810569</v>
      </c>
      <c r="CW202" s="951">
        <f>SUMIF($E$4:$E$192,"410",$CW$4:$CW$192)</f>
        <v>129471348</v>
      </c>
      <c r="CX202" s="951">
        <f>SUMIF($E$4:$E$192,"410",$CX$4:$CX$192)</f>
        <v>0</v>
      </c>
      <c r="CY202" s="951">
        <f>SUMIF($E$4:$E$192,"410",$CY$4:$CY$192)</f>
        <v>0</v>
      </c>
      <c r="CZ202" s="951">
        <f>SUMIF($E$4:$E$192,"410",$CZ$4:$CZ$192)</f>
        <v>0</v>
      </c>
      <c r="DA202" s="951">
        <f>SUMIF($E$4:$E$192,"410",$DA$4:$DA$192)</f>
        <v>1255105656</v>
      </c>
      <c r="DB202" s="951">
        <f>SUMIF($E$4:$E$192,"410",$DB$4:$DB$192)</f>
        <v>53706082</v>
      </c>
      <c r="DC202" s="951">
        <f>SUMIF($E$4:$E$192,"410",$DC$4:$DC$192)</f>
        <v>173596038</v>
      </c>
      <c r="DD202" s="951">
        <f>SUMIF($E$4:$E$192,"410",$DD$4:$DD$192)</f>
        <v>123389828</v>
      </c>
      <c r="DE202" s="951">
        <f>SUMIF($E$4:$E$192,"410",$DE$4:$DE$192)</f>
        <v>0</v>
      </c>
      <c r="DF202" s="951">
        <f>SUMIF($E$4:$E$192,"410",$DF$4:$DF$192)</f>
        <v>30228561</v>
      </c>
      <c r="DG202" s="951">
        <f>SUMIF($E$4:$E$192,"410",$DG$4:$DG$192)</f>
        <v>0</v>
      </c>
      <c r="DH202" s="952">
        <f>SUMIF($E$4:$E$192,"410",$DH$4:$DH$192)</f>
        <v>25878792</v>
      </c>
      <c r="DI202" s="1010">
        <f t="shared" si="209"/>
        <v>0.46478985671028006</v>
      </c>
      <c r="DJ202" s="149">
        <f t="shared" si="210"/>
        <v>3037770166</v>
      </c>
      <c r="DK202" s="1039">
        <f>SUMIF($E$4:$E$194,"410",$DK$4:$DK$194)</f>
        <v>0</v>
      </c>
      <c r="DL202" s="953">
        <f>SUMIF($E$4:$E$192,"410",$DL$4:$DL$192)</f>
        <v>1264680</v>
      </c>
      <c r="DM202" s="953">
        <f>SUMIF($E$4:$E$194,"410",$DM$4:$DM$194)</f>
        <v>0</v>
      </c>
      <c r="DN202" s="953">
        <f>SUMIF($E$4:$E$194,"410",$DN$4:$DN$194)</f>
        <v>214252150</v>
      </c>
      <c r="DO202" s="953">
        <f>SUMIF($E$4:$E$194,"410",$DO$4:$DO$194)</f>
        <v>0</v>
      </c>
      <c r="DP202" s="953">
        <f>SUMIF($E$4:$E$194,"410",$DP$4:$DP$194)</f>
        <v>86722037</v>
      </c>
      <c r="DQ202" s="953">
        <f>SUMIF($E$4:$E$194,"410",$DQ$4:$DQ$194)</f>
        <v>88542</v>
      </c>
      <c r="DR202" s="953">
        <f>SUMIF($E$4:$E$194,"410",$DR$4:$DR$194)</f>
        <v>0</v>
      </c>
      <c r="DS202" s="208">
        <f>SUMIF($E$4:$E$192,"410",$DS$4:$DS$192)</f>
        <v>90000000</v>
      </c>
      <c r="DT202" s="208">
        <f>SUMIF($E$4:$E$192,"410",$DT$4:$DT$192)</f>
        <v>0</v>
      </c>
      <c r="DU202" s="208">
        <f>SUMIF($E$4:$E$194,"410",$DU$4:$DU$194)</f>
        <v>0</v>
      </c>
      <c r="DV202" s="208">
        <f>SUMIF($E$4:$E$192,"410",$DV$4:$DV$192)</f>
        <v>0</v>
      </c>
      <c r="DW202" s="208">
        <f>SUMIF($E$4:$E$192,"410",$DW$4:$DW$192)</f>
        <v>2248908024</v>
      </c>
      <c r="DX202" s="208">
        <f>SUMIF($E$4:$E$194,"410",$DX$4:$DX$194)</f>
        <v>24903057</v>
      </c>
      <c r="DY202" s="208">
        <f>SUMIF($E$4:$E$194,"410",$DY$4:$DY$194)</f>
        <v>78122045</v>
      </c>
      <c r="DZ202" s="208">
        <f>SUMIF($E$4:$E$192,"410",$DZ$4:$DZ$192)</f>
        <v>188583822</v>
      </c>
      <c r="EA202" s="208">
        <f>SUMIF($E$4:$E$192,"410",$EA$4:$EA$192)</f>
        <v>0</v>
      </c>
      <c r="EB202" s="208">
        <f>SUMIF($E$4:$E$192,"410",$EB$4:$EB$192)</f>
        <v>50615524</v>
      </c>
      <c r="EC202" s="208">
        <f>SUMIF($E$4:$E$192,"410",$EC$4:$EC$192)</f>
        <v>0</v>
      </c>
      <c r="ED202" s="208">
        <f>SUMIF($E$4:$E$194,"410",$ED$4:$ED$194)</f>
        <v>54310285</v>
      </c>
    </row>
    <row r="203" spans="1:134" ht="14.25" customHeight="1" x14ac:dyDescent="0.25">
      <c r="C203" s="988"/>
      <c r="D203" s="1118" t="s">
        <v>3755</v>
      </c>
      <c r="E203" s="239">
        <v>510</v>
      </c>
      <c r="F203" s="133"/>
      <c r="G203" s="875">
        <f>SUMIF($E$4:$E$194,"510",$G$4:$G$194)</f>
        <v>1300000000</v>
      </c>
      <c r="H203" s="1059">
        <f>SUMIF($E$4:$E$194,"510",$H$4:$H$194)</f>
        <v>752743047</v>
      </c>
      <c r="I203" s="1059">
        <f>SUMIF($E$4:$E$194,"510",$I$4:$I$194)</f>
        <v>780956953</v>
      </c>
      <c r="J203" s="133"/>
      <c r="K203" s="133"/>
      <c r="L203" s="133"/>
      <c r="M203" s="133"/>
      <c r="N203" s="133"/>
      <c r="O203" s="133"/>
      <c r="P203" s="133"/>
      <c r="Q203" s="133"/>
      <c r="R203" s="133"/>
      <c r="S203" s="133"/>
      <c r="T203" s="133"/>
      <c r="U203" s="133"/>
      <c r="V203" s="133"/>
      <c r="W203" s="133"/>
      <c r="X203" s="133"/>
      <c r="Y203" s="951">
        <f>SUMIF($E$4:$E$194,"510",$Y$4:$Y$194)</f>
        <v>1533700000</v>
      </c>
      <c r="Z203" s="951">
        <f>SUMIF($E$4:$E$194,"510",$Z$4:$Z$194)</f>
        <v>0</v>
      </c>
      <c r="AA203" s="216">
        <f>SUMIF($E$4:$E$192,"510",$AA$4:$AA$192)</f>
        <v>0</v>
      </c>
      <c r="AB203" s="216">
        <f>SUMIF($E$4:$E$195,"510",$AB$4:$AB$195)</f>
        <v>0</v>
      </c>
      <c r="AC203" s="216">
        <f>SUMIF($E$4:$E$195,"510",$AC$4:$AC$195)</f>
        <v>0</v>
      </c>
      <c r="AD203" s="951">
        <f>SUMIF($E$4:$E$194,"510",$AD$4:$AD$194)</f>
        <v>0</v>
      </c>
      <c r="AE203" s="133">
        <f>SUMIF($E$4:$E$192,"510",$AE$4:$AE$192)</f>
        <v>670000000</v>
      </c>
      <c r="AF203" s="133">
        <f>SUMIF($E$4:$E$192,"510",$AF$4:$AF$192)</f>
        <v>0</v>
      </c>
      <c r="AG203" s="133">
        <f>SUMIF($E$4:$E$192,"510",$AG$4:$AG$192)</f>
        <v>0</v>
      </c>
      <c r="AH203" s="133">
        <f>SUMIF($E$4:$E$192,"510",$AH$4:$AH$192)</f>
        <v>0</v>
      </c>
      <c r="AI203" s="133">
        <f>SUMIF($E$4:$E$192,"510",$AI$4:$AI$192)</f>
        <v>0</v>
      </c>
      <c r="AJ203" s="133">
        <f>SUMIF($E$4:$E$192,"510",$AJ$4:$AJ$192)</f>
        <v>0</v>
      </c>
      <c r="AK203" s="133">
        <f>SUMIF($E$4:$E$192,"510",$AK$4:$AK$192)</f>
        <v>0</v>
      </c>
      <c r="AL203" s="133">
        <f>SUMIF($E$4:$E$192,"510",$AL$4:$AL$192)</f>
        <v>0</v>
      </c>
      <c r="AM203" s="133">
        <f>SUMIF($E$4:$E$192,"510",$AM$4:$AM$192)</f>
        <v>270000000</v>
      </c>
      <c r="AN203" s="133">
        <f>SUMIF($E$4:$E$192,"510",$AN$4:$AN$192)</f>
        <v>250000000</v>
      </c>
      <c r="AO203" s="133">
        <f>SUMIF($E$4:$E$192,"510",$AO$4:$AO$192)</f>
        <v>239500000</v>
      </c>
      <c r="AP203" s="133">
        <f>SUMIF($E$4:$E$163,"510",$AP$4:$AP$163)</f>
        <v>0</v>
      </c>
      <c r="AQ203" s="133">
        <f>SUMIF($E$4:$E$192,"510",$AQ$4:$AQ$192)</f>
        <v>0</v>
      </c>
      <c r="AR203" s="133">
        <f>SUMIF($E$4:$E$192,"510",$AR$4:$AR$192)</f>
        <v>0</v>
      </c>
      <c r="AS203" s="133">
        <f>SUMIF($E$4:$E$194,"510",$AS$4:$AS$194)</f>
        <v>104200000</v>
      </c>
      <c r="AU203" s="946">
        <f t="shared" si="203"/>
        <v>0.61094694855578013</v>
      </c>
      <c r="AV203" s="218">
        <f t="shared" si="204"/>
        <v>937009335</v>
      </c>
      <c r="AW203" s="951">
        <f>SUMIF($E$4:$E$192,"510",$AW$4:$AW$192)</f>
        <v>0</v>
      </c>
      <c r="AX203" s="951">
        <f>SUMIF($E$4:$E$194,"510",$AX$4:$AX$194)</f>
        <v>0</v>
      </c>
      <c r="AY203" s="951">
        <f>SUMIF($E$4:$E$194,"510",$AY$4:$AY$194)</f>
        <v>0</v>
      </c>
      <c r="AZ203" s="951">
        <f>SUMIF($E$4:$E$194,"510",$AZ$4:$AZ$194)</f>
        <v>0</v>
      </c>
      <c r="BA203" s="951">
        <f>SUMIF($E$4:$E$192,"510",$BA$4:$BA$192)</f>
        <v>0</v>
      </c>
      <c r="BB203" s="951">
        <f>SUMIF($E$4:$E$192,"510",$BB$4:$BB$192)</f>
        <v>387958330</v>
      </c>
      <c r="BC203" s="951">
        <f>SUMIF($E$4:$E$194,"510",$BC$4:$BC$194)</f>
        <v>0</v>
      </c>
      <c r="BD203" s="951">
        <f>SUMIF($E$4:$E$194,"510",$BD$4:$BD$194)</f>
        <v>0</v>
      </c>
      <c r="BE203" s="951">
        <f>SUMIF($E$4:$E$192,"510",$BE$4:$BE$192)</f>
        <v>0</v>
      </c>
      <c r="BF203" s="951">
        <f>SUMIF($E$4:$E$192,"510",$BF$4:$BF$192)</f>
        <v>0</v>
      </c>
      <c r="BG203" s="951">
        <f>SUMIF($E$4:$E$163,"510",$BG$4:$BG$163)</f>
        <v>0</v>
      </c>
      <c r="BH203" s="951">
        <f>SUMIF($E$4:$E$192,"510",$BH$4:$BH$192)</f>
        <v>0</v>
      </c>
      <c r="BI203" s="951">
        <f>SUMIF($E$4:$E$192,"510",$BI$4:$BI$192)</f>
        <v>0</v>
      </c>
      <c r="BJ203" s="951">
        <f>SUMIF($E$4:$E$192,"510",$BJ$4:$BJ$192)</f>
        <v>133901272</v>
      </c>
      <c r="BK203" s="951">
        <f>SUMIF($E$4:$E$194,"510",$BK$4:$BK$194)</f>
        <v>109649906</v>
      </c>
      <c r="BL203" s="951">
        <f>SUMIF($E$4:$E$192,"510",$BL$4:$BL$192)</f>
        <v>227203720</v>
      </c>
      <c r="BM203" s="951">
        <f>SUMIF($E$4:$E$192,"510",$BM$4:$BM$192)</f>
        <v>0</v>
      </c>
      <c r="BN203" s="951">
        <f>SUMIF($E$4:$E$192,"510",$BN$4:$BN$192)</f>
        <v>0</v>
      </c>
      <c r="BO203" s="951">
        <f>SUMIF($E$4:$E$192," 510",$BO$4:$BO$192)</f>
        <v>0</v>
      </c>
      <c r="BP203" s="951">
        <f>SUMIF($E$4:$E$194,"510",$BP$4:$BP$194)</f>
        <v>78296107</v>
      </c>
      <c r="BQ203" s="950">
        <f t="shared" si="205"/>
        <v>0.38905305144421987</v>
      </c>
      <c r="BR203" s="149">
        <f t="shared" si="206"/>
        <v>596690665</v>
      </c>
      <c r="BS203" s="953">
        <f>SUMIF($E$4:$E$192,"510",$BS$4:$BS$192)</f>
        <v>0</v>
      </c>
      <c r="BT203" s="953">
        <f>SUMIF($E$4:$E$192,"510",$BT$4:$BT$192)</f>
        <v>0</v>
      </c>
      <c r="BU203" s="953">
        <f>SUMIF($E$4:$E$192,"510",$BU$4:$BU$192)</f>
        <v>0</v>
      </c>
      <c r="BV203" s="953">
        <f>SUMIF($E$4:$E$194,"510",$BV$4:$BV$194)</f>
        <v>0</v>
      </c>
      <c r="BW203" s="953">
        <f>SUMIF($E$4:$E$194,"510",$BW$4:$BW$194)</f>
        <v>0</v>
      </c>
      <c r="BX203" s="953">
        <f>SUMIF($E$4:$E$194,"510",$BX$4:$BX$194)</f>
        <v>282041670</v>
      </c>
      <c r="BY203" s="953">
        <f>SUMIF($E$4:$E$192,"510",$BY$4:$BY$192)</f>
        <v>0</v>
      </c>
      <c r="BZ203" s="953">
        <f>SUMIF($E$4:$E$192,"510",$BZ$4:$BZ$192)</f>
        <v>0</v>
      </c>
      <c r="CA203" s="953">
        <f>SUMIF($E$4:$E$192,"510",$CA$4:$CA$192)</f>
        <v>0</v>
      </c>
      <c r="CB203" s="953">
        <f>SUMIF($E$4:$E$192,"510",$CB$4:$CB$192)</f>
        <v>0</v>
      </c>
      <c r="CC203" s="953">
        <f>SUMIF($E$4:$E$192,"510",$CC$4:$CC$192)</f>
        <v>0</v>
      </c>
      <c r="CD203" s="953">
        <f>SUMIF($E$4:$E$192,"510",$CD$4:$CD$192)</f>
        <v>0</v>
      </c>
      <c r="CE203" s="953">
        <f>SUMIF($E$4:$E$192,"510",$CE$4:$CE$192)</f>
        <v>0</v>
      </c>
      <c r="CF203" s="953">
        <f>SUMIF($E$4:$E$192,"510",$CF$4:$CF$192)</f>
        <v>136098728</v>
      </c>
      <c r="CG203" s="953">
        <f>SUMIF($E$4:$E$192,"510",$CG$4:$CG$192)</f>
        <v>140350094</v>
      </c>
      <c r="CH203" s="953">
        <f>SUMIF($E$4:$E$192,"510",$CH$4:$CH$192)</f>
        <v>12296280</v>
      </c>
      <c r="CI203" s="953">
        <f>SUMIF($E$4:$E$192,"520",$CI$4:$CI$192)</f>
        <v>0</v>
      </c>
      <c r="CJ203" s="953">
        <f>SUMIF($E$4:$E$192,"510",$CJ$4:$CJ$192)</f>
        <v>0</v>
      </c>
      <c r="CK203" s="953">
        <f>SUMIF($E$4:$E$192,"510",$CK$4:$CK$192)</f>
        <v>0</v>
      </c>
      <c r="CL203" s="956">
        <f>SUMIF($E$4:$E$194,"510",$CL$4:$CL$194)</f>
        <v>25903893</v>
      </c>
      <c r="CM203" s="959">
        <f t="shared" si="207"/>
        <v>0.49080201277955271</v>
      </c>
      <c r="CN203" s="149">
        <f t="shared" si="208"/>
        <v>752743047</v>
      </c>
      <c r="CO203" s="951">
        <f>SUMIF($E$4:$E$194,"510",$CO$4:$CO$194)</f>
        <v>0</v>
      </c>
      <c r="CP203" s="951">
        <f>SUMIF($E$4:$E$192,"510",$CP$4:$CP$192)</f>
        <v>0</v>
      </c>
      <c r="CQ203" s="951">
        <f>SUMIF($E$4:$E$192,"510",$CQ$4:$CQ$192)</f>
        <v>0</v>
      </c>
      <c r="CR203" s="951">
        <f>SUMIF($E$4:$E$192,"510",$CR$4:$CR$192)</f>
        <v>0</v>
      </c>
      <c r="CS203" s="951">
        <f>SUMIF($E$4:$E$194,"510",$CS$4:$CS$194)</f>
        <v>0</v>
      </c>
      <c r="CT203" s="951">
        <f>SUMIF($E$4:$E$192,"510",$CT$4:$CT$192)</f>
        <v>354153796</v>
      </c>
      <c r="CU203" s="951">
        <f>SUMIF($E$4:$E$192,"510",$CU$4:$CU$192)</f>
        <v>0</v>
      </c>
      <c r="CV203" s="951">
        <f>SUMIF($E$4:$E$194,"510",$CV$4:$CV$194)</f>
        <v>0</v>
      </c>
      <c r="CW203" s="951">
        <f>SUMIF($E$4:$E$192,"510",$CW$4:$CW$192)</f>
        <v>0</v>
      </c>
      <c r="CX203" s="951">
        <f>SUMIF($E$4:$E$192,"510",$CX$4:$CX$192)</f>
        <v>0</v>
      </c>
      <c r="CY203" s="951">
        <f>SUMIF($E$4:$E$192,"510",$CY$4:$CY$192)</f>
        <v>0</v>
      </c>
      <c r="CZ203" s="951">
        <f>SUMIF($E$4:$E$192,"510",$CZ$4:$CZ$192)</f>
        <v>0</v>
      </c>
      <c r="DA203" s="951">
        <f>SUMIF($E$4:$E$192,"510",$DA$4:$DA$192)</f>
        <v>0</v>
      </c>
      <c r="DB203" s="951">
        <f>SUMIF($E$4:$E$192,"510",$DB$4:$DB$192)</f>
        <v>81094725</v>
      </c>
      <c r="DC203" s="951">
        <f>SUMIF($E$4:$E$192,"510",$DC$4:$DC$192)</f>
        <v>90349777</v>
      </c>
      <c r="DD203" s="951">
        <f>SUMIF($E$4:$E$192,"510",$DD$4:$DD$192)</f>
        <v>180115636</v>
      </c>
      <c r="DE203" s="951">
        <f>SUMIF($E$4:$E$192,"510",$DE$4:$DE$192)</f>
        <v>0</v>
      </c>
      <c r="DF203" s="951">
        <f>SUMIF($E$4:$E$192,"510",$DF$4:$DF$192)</f>
        <v>0</v>
      </c>
      <c r="DG203" s="951">
        <f>SUMIF($E$4:$E$192,"510",$DG$4:$DG$192)</f>
        <v>0</v>
      </c>
      <c r="DH203" s="952">
        <f>SUMIF($E$4:$E$192,"510",$DH$4:$DH$192)</f>
        <v>47029113</v>
      </c>
      <c r="DI203" s="1010">
        <f t="shared" si="209"/>
        <v>0.50919798722044729</v>
      </c>
      <c r="DJ203" s="149">
        <f t="shared" si="210"/>
        <v>780956953</v>
      </c>
      <c r="DK203" s="1039">
        <f>SUMIF($E$4:$E$194,"510",$DK$4:$DK$194)</f>
        <v>0</v>
      </c>
      <c r="DL203" s="953">
        <f>SUMIF($E$4:$E$192,"510",$DL$4:$DL$192)</f>
        <v>0</v>
      </c>
      <c r="DM203" s="953">
        <f>SUMIF($E$4:$E$194,"510",$DM$4:$DM$194)</f>
        <v>0</v>
      </c>
      <c r="DN203" s="953">
        <f>SUMIF($E$4:$E$194,"510",$DN$4:$DN$194)</f>
        <v>0</v>
      </c>
      <c r="DO203" s="953">
        <f>SUMIF($E$4:$E$194,"510",$DO$4:$DO$194)</f>
        <v>0</v>
      </c>
      <c r="DP203" s="953">
        <f>SUMIF($E$4:$E$194,"510",$DP$4:$DP$194)</f>
        <v>315846204</v>
      </c>
      <c r="DQ203" s="953">
        <f>SUMIF($E$4:$E$194,"510",$DQ$4:$DQ$194)</f>
        <v>0</v>
      </c>
      <c r="DR203" s="953">
        <f>SUMIF($E$4:$E$194,"510",$DR$4:$DR$194)</f>
        <v>0</v>
      </c>
      <c r="DS203" s="208">
        <f>SUMIF($E$4:$E$192,"510",$DS$4:$DS$192)</f>
        <v>0</v>
      </c>
      <c r="DT203" s="208">
        <f>SUMIF($E$4:$E$192,"510",$DT$4:$DT$192)</f>
        <v>0</v>
      </c>
      <c r="DU203" s="208">
        <f>SUMIF($E$4:$E$194,"510",$DU$4:$DU$194)</f>
        <v>0</v>
      </c>
      <c r="DV203" s="208">
        <f>SUMIF($E$4:$E$192,"510",$DV$4:$DV$192)</f>
        <v>0</v>
      </c>
      <c r="DW203" s="208">
        <f>SUMIF($E$4:$E$192,"510",$DW$4:$DW$192)</f>
        <v>0</v>
      </c>
      <c r="DX203" s="208">
        <f>SUMIF($E$4:$E$194,"510",$DX$4:$DX$194)</f>
        <v>188905275</v>
      </c>
      <c r="DY203" s="208">
        <f>SUMIF($E$4:$E$194,"510",$DY$4:$DY$194)</f>
        <v>159650223</v>
      </c>
      <c r="DZ203" s="208">
        <f>SUMIF($E$4:$E$192,"510",$DZ$4:$DZ$192)</f>
        <v>59384364</v>
      </c>
      <c r="EA203" s="208">
        <f>SUMIF($E$4:$E$192,"510",$EA$4:$EA$192)</f>
        <v>0</v>
      </c>
      <c r="EB203" s="208">
        <f>SUMIF($E$4:$E$192,"510",$EB$4:$EB$192)</f>
        <v>0</v>
      </c>
      <c r="EC203" s="208">
        <f>SUMIF($E$4:$E$192,"510",$EC$4:$EC$192)</f>
        <v>0</v>
      </c>
      <c r="ED203" s="208">
        <f>SUMIF($E$4:$E$194,"510",$ED$4:$ED$194)</f>
        <v>57170887</v>
      </c>
    </row>
    <row r="204" spans="1:134" x14ac:dyDescent="0.25">
      <c r="C204" s="988"/>
      <c r="D204" s="1118" t="s">
        <v>1517</v>
      </c>
      <c r="E204" s="239">
        <v>520</v>
      </c>
      <c r="F204" s="133"/>
      <c r="G204" s="875">
        <f>SUMIF($E$4:$E$194,"520",$G$4:$G$194)</f>
        <v>2832000000</v>
      </c>
      <c r="H204" s="1059">
        <f>SUMIF($E$4:$E$194,"520",$H$4:$H$194)</f>
        <v>1853898673</v>
      </c>
      <c r="I204" s="1059">
        <f>SUMIF($E$4:$E$194,"520",$I$4:$I$194)</f>
        <v>1135342598</v>
      </c>
      <c r="J204" s="133"/>
      <c r="K204" s="133"/>
      <c r="L204" s="133"/>
      <c r="M204" s="133"/>
      <c r="N204" s="133"/>
      <c r="O204" s="133"/>
      <c r="P204" s="133"/>
      <c r="Q204" s="133"/>
      <c r="R204" s="133"/>
      <c r="S204" s="133"/>
      <c r="T204" s="133"/>
      <c r="U204" s="133"/>
      <c r="V204" s="133"/>
      <c r="W204" s="133"/>
      <c r="X204" s="133"/>
      <c r="Y204" s="951">
        <f>SUMIF($E$4:$E$194,"520",$Y$4:$Y$194)</f>
        <v>2989241271</v>
      </c>
      <c r="Z204" s="951">
        <f>SUMIF($E$4:$E$194,"520",$Z$4:$Z$194)</f>
        <v>0</v>
      </c>
      <c r="AA204" s="216">
        <f>SUMIF($E$4:$E$192,"520",$AA$4:$AA$192)</f>
        <v>0</v>
      </c>
      <c r="AB204" s="216">
        <f>SUMIF($E$4:$E$195,"520",$AB$4:$AB$195)</f>
        <v>0</v>
      </c>
      <c r="AC204" s="216">
        <f>SUMIF($E$4:$E$194,"520",$AC$4:$AC$194)</f>
        <v>50000000</v>
      </c>
      <c r="AD204" s="951">
        <f>SUMIF($E$4:$E$194,"520",$AD$4:$AD$194)</f>
        <v>72884540</v>
      </c>
      <c r="AE204" s="133">
        <f>SUMIF($E$4:$E$192,"520",$AE$4:$AE$192)</f>
        <v>660000000</v>
      </c>
      <c r="AF204" s="133">
        <f>SUMIF($E$4:$E$192,"520",$AF$4:$AF$192)</f>
        <v>923014856</v>
      </c>
      <c r="AG204" s="133">
        <f>SUMIF($E$4:$E$192,"520",$AG$4:$AG$192)</f>
        <v>0</v>
      </c>
      <c r="AH204" s="133">
        <f>SUMIF($E$4:$E$192,"520",$AH$4:$AH$192)</f>
        <v>0</v>
      </c>
      <c r="AI204" s="133">
        <f>SUMIF($E$4:$E$192,"520",$AI$4:$AI$192)</f>
        <v>0</v>
      </c>
      <c r="AJ204" s="133">
        <f>SUMIF($E$4:$E$192,"520",$AJ$4:$AJ$192)</f>
        <v>0</v>
      </c>
      <c r="AK204" s="133">
        <f>SUMIF($E$4:$E$192,"520",$AK$4:$AK$192)</f>
        <v>0</v>
      </c>
      <c r="AL204" s="133">
        <f>SUMIF($E$4:$E$192,"520",$AL$4:$AL$192)</f>
        <v>610864435</v>
      </c>
      <c r="AM204" s="133">
        <f>SUMIF($E$4:$E$192,"520",$AM$4:$AM$192)</f>
        <v>0</v>
      </c>
      <c r="AN204" s="133">
        <f>SUMIF($E$4:$E$192,"520",$AN$4:$AN$192)</f>
        <v>75000000</v>
      </c>
      <c r="AO204" s="133">
        <f>SUMIF($E$4:$E$192,"520",$AO$4:$AO$192)</f>
        <v>0</v>
      </c>
      <c r="AP204" s="133">
        <f>SUMIF($E$4:$E$163,"520",$AP$4:$AP$163)</f>
        <v>0</v>
      </c>
      <c r="AQ204" s="133">
        <f>SUMIF($E$4:$E$192,"520",$AQ$4:$AQ$192)</f>
        <v>0</v>
      </c>
      <c r="AR204" s="133">
        <f>SUMIF($E$4:$E$192,"520",$AR$4:$AR$192)</f>
        <v>0</v>
      </c>
      <c r="AS204" s="133">
        <f>SUMIF($E$4:$E$194,"520",$AS$4:$AS$194)</f>
        <v>597477440</v>
      </c>
      <c r="AU204" s="946">
        <f t="shared" si="203"/>
        <v>0.81551392577437753</v>
      </c>
      <c r="AV204" s="218">
        <f t="shared" si="204"/>
        <v>2437767884</v>
      </c>
      <c r="AW204" s="951">
        <f>SUMIF($E$4:$E$192,"520",$AW$4:$AW$192)</f>
        <v>0</v>
      </c>
      <c r="AX204" s="951">
        <f>SUMIF($E$4:$E$194,"520",$AX$4:$AX$194)</f>
        <v>0</v>
      </c>
      <c r="AY204" s="951">
        <f>SUMIF($E$4:$E$194,"520",$AY$4:$AY$194)</f>
        <v>0</v>
      </c>
      <c r="AZ204" s="951">
        <f>SUMIF($E$4:$E$194,"520",$AZ$4:$AZ$194)</f>
        <v>50000000</v>
      </c>
      <c r="BA204" s="951">
        <f>SUMIF($E$4:$E$192,"520",$BA$4:$BA$192)</f>
        <v>0</v>
      </c>
      <c r="BB204" s="951">
        <f>SUMIF($E$4:$E$192,"520",$BB$4:$BB$192)</f>
        <v>649180877</v>
      </c>
      <c r="BC204" s="951">
        <f>SUMIF($E$4:$E$194,"520",$BC$4:$BC$194)</f>
        <v>898014856</v>
      </c>
      <c r="BD204" s="951">
        <f>SUMIF($E$4:$E$194,"520",$BD$4:$BD$194)</f>
        <v>0</v>
      </c>
      <c r="BE204" s="951">
        <f>SUMIF($E$4:$E$192,"520",$BE$4:$BE$192)</f>
        <v>0</v>
      </c>
      <c r="BF204" s="951">
        <f>SUMIF($E$4:$E$192,"520",$BF$4:$BF$192)</f>
        <v>0</v>
      </c>
      <c r="BG204" s="951">
        <f>SUMIF($E$4:$E$163,"520",$BG$4:$BG$163)</f>
        <v>0</v>
      </c>
      <c r="BH204" s="951">
        <f>SUMIF($E$4:$E$192,"520",$BH$4:$BH$192)</f>
        <v>0</v>
      </c>
      <c r="BI204" s="951">
        <f>SUMIF($E$4:$E$192,"520",$BI$4:$BI$192)</f>
        <v>239671226</v>
      </c>
      <c r="BJ204" s="951">
        <f>SUMIF($E$4:$E$192,"520",$BJ$4:$BJ$192)</f>
        <v>0</v>
      </c>
      <c r="BK204" s="951">
        <f>SUMIF($E$4:$E$194,"520",$BK$4:$BK$194)</f>
        <v>56860700</v>
      </c>
      <c r="BL204" s="951">
        <f>SUMIF($E$4:$E$192,"520",$BL$4:$BL$192)</f>
        <v>0</v>
      </c>
      <c r="BM204" s="951">
        <f>SUMIF($E$4:$E$192,"520",$BM$4:$BM$192)</f>
        <v>0</v>
      </c>
      <c r="BN204" s="951">
        <f>SUMIF($E$4:$E$192,"520",$BN$4:$BN$192)</f>
        <v>0</v>
      </c>
      <c r="BO204" s="951">
        <f>SUMIF($E$4:$E$192,"520",$BO$4:$BO$192)</f>
        <v>0</v>
      </c>
      <c r="BP204" s="951">
        <f>SUMIF($E$4:$E$194,"520",$BP$4:$BP$194)</f>
        <v>544040225</v>
      </c>
      <c r="BQ204" s="950">
        <f t="shared" si="205"/>
        <v>0.18448607422562247</v>
      </c>
      <c r="BR204" s="149">
        <f t="shared" si="206"/>
        <v>551473387</v>
      </c>
      <c r="BS204" s="953">
        <f>SUMIF($E$4:$E$192,"520",$BS$4:$BS$192)</f>
        <v>0</v>
      </c>
      <c r="BT204" s="953">
        <f>SUMIF($E$4:$E$192,"520",$BT$4:$BT$192)</f>
        <v>0</v>
      </c>
      <c r="BU204" s="953">
        <f>SUMIF($E$4:$E$192,"520",$BU$4:$BU$192)</f>
        <v>0</v>
      </c>
      <c r="BV204" s="953">
        <f>SUMIF($E$4:$E$194,"520",$BV$4:$BV$194)</f>
        <v>0</v>
      </c>
      <c r="BW204" s="953">
        <f>SUMIF($E$4:$E$194,"520",$BW$4:$BW$194)</f>
        <v>72884540</v>
      </c>
      <c r="BX204" s="953">
        <f>SUMIF($E$4:$E$194,"520",$BX$4:$BX$194)</f>
        <v>10819123</v>
      </c>
      <c r="BY204" s="953">
        <f>SUMIF($E$4:$E$192,"520",$BY$4:$BY$192)</f>
        <v>25000000</v>
      </c>
      <c r="BZ204" s="953">
        <f>SUMIF($E$4:$E$192,"520",$BZ$4:$BZ$192)</f>
        <v>0</v>
      </c>
      <c r="CA204" s="953">
        <f>SUMIF($E$4:$E$192,"520",$CA$4:$CA$192)</f>
        <v>0</v>
      </c>
      <c r="CB204" s="953">
        <f>SUMIF($E$4:$E$192,"520",$CB$4:$CB$192)</f>
        <v>0</v>
      </c>
      <c r="CC204" s="953">
        <f>SUMIF($E$4:$E$192,"520",$CC$4:$CC$192)</f>
        <v>0</v>
      </c>
      <c r="CD204" s="953">
        <f>SUMIF($E$4:$E$192,"520",$CD$4:$CD$192)</f>
        <v>0</v>
      </c>
      <c r="CE204" s="953">
        <f>SUMIF($E$4:$E$192,"520",$CE$4:$CE$192)</f>
        <v>371193209</v>
      </c>
      <c r="CF204" s="953">
        <f>SUMIF($E$4:$E$192,"520",$CF$4:$CF$192)</f>
        <v>0</v>
      </c>
      <c r="CG204" s="953">
        <f>SUMIF($E$4:$E$192,"520",$CG$4:$CG$192)</f>
        <v>18139300</v>
      </c>
      <c r="CH204" s="953">
        <f>SUMIF($E$4:$E$192,"520",$CH$4:$CH$192)</f>
        <v>0</v>
      </c>
      <c r="CI204" s="953">
        <f>SUMIF($E$4:$E$192,"111",$CI$4:$CI$192)</f>
        <v>0</v>
      </c>
      <c r="CJ204" s="953">
        <f>SUMIF($E$4:$E$192,"520",$CJ$4:$CJ$192)</f>
        <v>0</v>
      </c>
      <c r="CK204" s="953">
        <f>SUMIF($E$4:$E$192,"520",$CK$4:$CK$192)</f>
        <v>0</v>
      </c>
      <c r="CL204" s="956">
        <f>SUMIF($E$4:$E$194,"520",$CL$4:$CL$194)</f>
        <v>53437215</v>
      </c>
      <c r="CM204" s="959">
        <f t="shared" si="207"/>
        <v>0.62019037773414976</v>
      </c>
      <c r="CN204" s="149">
        <f t="shared" si="208"/>
        <v>1853898673</v>
      </c>
      <c r="CO204" s="951">
        <f>SUMIF($E$4:$E$194,"520",$CO$4:$CO$194)</f>
        <v>0</v>
      </c>
      <c r="CP204" s="951">
        <f>SUMIF($E$4:$E$192,"520",$CP$4:$CP$192)</f>
        <v>0</v>
      </c>
      <c r="CQ204" s="951">
        <f>SUMIF($E$4:$E$192,"520",$CQ$4:$CQ$192)</f>
        <v>0</v>
      </c>
      <c r="CR204" s="951">
        <f>SUMIF($E$4:$E$192,"520",$CR$4:$CR$192)</f>
        <v>40000000</v>
      </c>
      <c r="CS204" s="951">
        <f>SUMIF($E$4:$E$194,"520",$CS$4:$CS$194)</f>
        <v>0</v>
      </c>
      <c r="CT204" s="951">
        <f>SUMIF($E$4:$E$192,"520",$CT$4:$CT$192)</f>
        <v>492270188</v>
      </c>
      <c r="CU204" s="951">
        <f>SUMIF($E$4:$E$192,"520",$CU$4:$CU$192)</f>
        <v>654040542</v>
      </c>
      <c r="CV204" s="951">
        <f>SUMIF($E$4:$E$194,"520",$CV$4:$CV$194)</f>
        <v>0</v>
      </c>
      <c r="CW204" s="951">
        <f>SUMIF($E$4:$E$192,"520",$CW$4:$CW$192)</f>
        <v>0</v>
      </c>
      <c r="CX204" s="951">
        <f>SUMIF($E$4:$E$192,"520",$CX$4:$CX$192)</f>
        <v>0</v>
      </c>
      <c r="CY204" s="951">
        <f>SUMIF($E$4:$E$192,"520",$CY$4:$CY$192)</f>
        <v>0</v>
      </c>
      <c r="CZ204" s="951">
        <f>SUMIF($E$4:$E$192,"520",$CZ$4:$CZ$192)</f>
        <v>0</v>
      </c>
      <c r="DA204" s="951">
        <f>SUMIF($E$4:$E$192,"520",$DA$4:$DA$192)</f>
        <v>144717838</v>
      </c>
      <c r="DB204" s="951">
        <f>SUMIF($E$4:$E$192,"520",$DB$4:$DB$192)</f>
        <v>0</v>
      </c>
      <c r="DC204" s="951">
        <f>SUMIF($E$4:$E$192,"520",$DC$4:$DC$192)</f>
        <v>43207264</v>
      </c>
      <c r="DD204" s="951">
        <f>SUMIF($E$4:$E$192,"520",$DD$4:$DD$192)</f>
        <v>0</v>
      </c>
      <c r="DE204" s="951">
        <f>SUMIF($E$4:$E$192,"520",$DE$4:$DE$192)</f>
        <v>0</v>
      </c>
      <c r="DF204" s="951">
        <f>SUMIF($E$4:$E$192,"520",$DF$4:$DF$192)</f>
        <v>0</v>
      </c>
      <c r="DG204" s="951">
        <f>SUMIF($E$4:$E$192,"520",$DG$4:$DG$192)</f>
        <v>0</v>
      </c>
      <c r="DH204" s="952">
        <f>SUMIF($E$4:$E$192,"520",$DH$4:$DH$192)</f>
        <v>479662841</v>
      </c>
      <c r="DI204" s="1010">
        <f t="shared" si="209"/>
        <v>0.37980962226585024</v>
      </c>
      <c r="DJ204" s="149">
        <f t="shared" si="210"/>
        <v>1135342598</v>
      </c>
      <c r="DK204" s="1039">
        <f>SUMIF($E$4:$E$194,"520",$DK$4:$DK$194)</f>
        <v>0</v>
      </c>
      <c r="DL204" s="953">
        <f>SUMIF($E$4:$E$192,"520",$DL$4:$DL$192)</f>
        <v>0</v>
      </c>
      <c r="DM204" s="953">
        <f>SUMIF($E$4:$E$194,"520",$DM$4:$DM$194)</f>
        <v>0</v>
      </c>
      <c r="DN204" s="953">
        <f>SUMIF($E$4:$E$194,"520",$DN$4:$DN$194)</f>
        <v>10000000</v>
      </c>
      <c r="DO204" s="953">
        <f>SUMIF($E$4:$E$194,"520",$DO$4:$DO$194)</f>
        <v>72884540</v>
      </c>
      <c r="DP204" s="953">
        <f>SUMIF($E$4:$E$194,"520",$DP$4:$DP$194)</f>
        <v>167729812</v>
      </c>
      <c r="DQ204" s="953">
        <f>SUMIF($E$4:$E$194,"520",$DQ$4:$DQ$194)</f>
        <v>268974314</v>
      </c>
      <c r="DR204" s="953">
        <f>SUMIF($E$4:$E$194,"520",$DR$4:$DR$194)</f>
        <v>0</v>
      </c>
      <c r="DS204" s="208">
        <f>SUMIF($E$4:$E$192,"520",$DS$4:$DS$192)</f>
        <v>0</v>
      </c>
      <c r="DT204" s="208">
        <f>SUMIF($E$4:$E$192,"520",$DT$4:$DT$192)</f>
        <v>0</v>
      </c>
      <c r="DU204" s="208">
        <f>SUMIF($E$4:$E$194,"520",$DU$4:$DU$194)</f>
        <v>0</v>
      </c>
      <c r="DV204" s="208">
        <f>SUMIF($E$4:$E$192,"520",$DV$4:$DV$192)</f>
        <v>0</v>
      </c>
      <c r="DW204" s="208">
        <f>SUMIF($E$4:$E$192,"520",$DW$4:$DW$192)</f>
        <v>466146597</v>
      </c>
      <c r="DX204" s="208">
        <f>SUMIF($E$4:$E$194,"520",$DX$4:$DX$194)</f>
        <v>0</v>
      </c>
      <c r="DY204" s="208">
        <f>SUMIF($E$4:$E$192,"520",$DY$4:$DY$192)</f>
        <v>31792736</v>
      </c>
      <c r="DZ204" s="208">
        <f>SUMIF($E$4:$E$192,"520",$DZ$4:$DZ$192)</f>
        <v>0</v>
      </c>
      <c r="EA204" s="208">
        <f>SUMIF($E$4:$E$192,"520",$EA$4:$EA$192)</f>
        <v>0</v>
      </c>
      <c r="EB204" s="208">
        <f>SUMIF($E$4:$E$192,"520",$EB$4:$EB$192)</f>
        <v>0</v>
      </c>
      <c r="EC204" s="208">
        <f>SUMIF($E$4:$E$192,"520",$EC$4:$EC$192)</f>
        <v>0</v>
      </c>
      <c r="ED204" s="208">
        <f>SUMIF($E$4:$E$194,"520",$ED$4:$ED$194)</f>
        <v>117814599</v>
      </c>
    </row>
    <row r="205" spans="1:134" x14ac:dyDescent="0.25">
      <c r="C205" s="988"/>
      <c r="D205" s="1118" t="s">
        <v>4587</v>
      </c>
      <c r="E205" s="1119"/>
      <c r="F205" s="3"/>
      <c r="G205" s="875">
        <f>SUM(G199:G204)</f>
        <v>30001000000</v>
      </c>
      <c r="H205" s="1059">
        <f>SUM(H199:H204)</f>
        <v>11016460699</v>
      </c>
      <c r="I205" s="1059">
        <f>SUM(I199:I204)</f>
        <v>11517395804</v>
      </c>
      <c r="J205" s="3"/>
      <c r="K205" s="3"/>
      <c r="L205" s="3"/>
      <c r="M205" s="3"/>
      <c r="N205" s="3"/>
      <c r="O205" s="3"/>
      <c r="P205" s="3"/>
      <c r="Q205" s="3"/>
      <c r="R205" s="3"/>
      <c r="S205" s="3"/>
      <c r="T205" s="3"/>
      <c r="U205" s="3"/>
      <c r="V205" s="3"/>
      <c r="W205" s="3"/>
      <c r="X205" s="3"/>
      <c r="Y205" s="954">
        <f t="shared" ref="Y205:AT205" si="211">SUM(Y199:Y204)</f>
        <v>22533856503</v>
      </c>
      <c r="Z205" s="954">
        <f t="shared" si="211"/>
        <v>0</v>
      </c>
      <c r="AA205" s="955">
        <f t="shared" si="211"/>
        <v>134533656</v>
      </c>
      <c r="AB205" s="955">
        <f t="shared" si="211"/>
        <v>396726534</v>
      </c>
      <c r="AC205" s="955">
        <f t="shared" si="211"/>
        <v>9862143612</v>
      </c>
      <c r="AD205" s="955">
        <f t="shared" si="211"/>
        <v>92895874</v>
      </c>
      <c r="AE205" s="955">
        <f t="shared" si="211"/>
        <v>2509180877</v>
      </c>
      <c r="AF205" s="955">
        <f t="shared" si="211"/>
        <v>1300000000</v>
      </c>
      <c r="AG205" s="955">
        <f t="shared" si="211"/>
        <v>102810569</v>
      </c>
      <c r="AH205" s="955">
        <f t="shared" si="211"/>
        <v>219471348</v>
      </c>
      <c r="AI205" s="955">
        <f t="shared" si="211"/>
        <v>1940856</v>
      </c>
      <c r="AJ205" s="955">
        <f t="shared" si="211"/>
        <v>3438802</v>
      </c>
      <c r="AK205" s="955">
        <f t="shared" si="211"/>
        <v>318664514</v>
      </c>
      <c r="AL205" s="955">
        <f t="shared" si="211"/>
        <v>4114878115</v>
      </c>
      <c r="AM205" s="955">
        <f t="shared" si="211"/>
        <v>348609139</v>
      </c>
      <c r="AN205" s="955">
        <f t="shared" si="211"/>
        <v>727437634</v>
      </c>
      <c r="AO205" s="955">
        <f t="shared" si="211"/>
        <v>879054052</v>
      </c>
      <c r="AP205" s="955">
        <f t="shared" si="211"/>
        <v>0</v>
      </c>
      <c r="AQ205" s="955">
        <f t="shared" si="211"/>
        <v>80844085</v>
      </c>
      <c r="AR205" s="955">
        <f t="shared" si="211"/>
        <v>92524043</v>
      </c>
      <c r="AS205" s="955">
        <f t="shared" si="211"/>
        <v>1348702793</v>
      </c>
      <c r="AT205" s="955">
        <f t="shared" si="211"/>
        <v>0</v>
      </c>
      <c r="AU205" s="946">
        <f t="shared" si="203"/>
        <v>0.66748045870433048</v>
      </c>
      <c r="AV205" s="954">
        <f t="shared" ref="AV205:BP205" si="212">SUM(AV199:AV204)</f>
        <v>15040908875</v>
      </c>
      <c r="AW205" s="146">
        <f t="shared" si="212"/>
        <v>0</v>
      </c>
      <c r="AX205" s="146">
        <f t="shared" si="212"/>
        <v>133268976</v>
      </c>
      <c r="AY205" s="146">
        <f t="shared" si="212"/>
        <v>396726534</v>
      </c>
      <c r="AZ205" s="146">
        <f t="shared" si="212"/>
        <v>5545905692</v>
      </c>
      <c r="BA205" s="146">
        <f t="shared" si="212"/>
        <v>17503290</v>
      </c>
      <c r="BB205" s="146">
        <f t="shared" si="212"/>
        <v>2038364580</v>
      </c>
      <c r="BC205" s="146">
        <f t="shared" si="212"/>
        <v>1199755531</v>
      </c>
      <c r="BD205" s="146">
        <f t="shared" si="212"/>
        <v>102810569</v>
      </c>
      <c r="BE205" s="146">
        <f t="shared" si="212"/>
        <v>219471348</v>
      </c>
      <c r="BF205" s="146">
        <f t="shared" si="212"/>
        <v>0</v>
      </c>
      <c r="BG205" s="146">
        <f t="shared" si="212"/>
        <v>0</v>
      </c>
      <c r="BH205" s="146">
        <f t="shared" si="212"/>
        <v>50855038</v>
      </c>
      <c r="BI205" s="146">
        <f t="shared" si="212"/>
        <v>2645702520</v>
      </c>
      <c r="BJ205" s="146">
        <f t="shared" si="212"/>
        <v>202510411</v>
      </c>
      <c r="BK205" s="146">
        <f t="shared" si="212"/>
        <v>402275660</v>
      </c>
      <c r="BL205" s="146">
        <f t="shared" si="212"/>
        <v>854432877</v>
      </c>
      <c r="BM205" s="146">
        <f t="shared" si="212"/>
        <v>0</v>
      </c>
      <c r="BN205" s="146">
        <f t="shared" si="212"/>
        <v>80844085</v>
      </c>
      <c r="BO205" s="146">
        <f t="shared" si="212"/>
        <v>92524043</v>
      </c>
      <c r="BP205" s="146">
        <f t="shared" si="212"/>
        <v>1057957721</v>
      </c>
      <c r="BQ205" s="950">
        <f t="shared" si="205"/>
        <v>0.33251954129566952</v>
      </c>
      <c r="BR205" s="146">
        <f t="shared" ref="BR205:CL205" si="213">SUM(BR199:BR204)</f>
        <v>7492947628</v>
      </c>
      <c r="BS205" s="146">
        <f t="shared" si="213"/>
        <v>0</v>
      </c>
      <c r="BT205" s="146">
        <f t="shared" si="213"/>
        <v>1264680</v>
      </c>
      <c r="BU205" s="146">
        <f t="shared" si="213"/>
        <v>0</v>
      </c>
      <c r="BV205" s="149">
        <f t="shared" si="213"/>
        <v>4316237920</v>
      </c>
      <c r="BW205" s="149">
        <f t="shared" si="213"/>
        <v>75392584</v>
      </c>
      <c r="BX205" s="149">
        <f t="shared" si="213"/>
        <v>470816297</v>
      </c>
      <c r="BY205" s="149">
        <f t="shared" si="213"/>
        <v>100244469</v>
      </c>
      <c r="BZ205" s="149">
        <f t="shared" si="213"/>
        <v>0</v>
      </c>
      <c r="CA205" s="149">
        <f t="shared" si="213"/>
        <v>0</v>
      </c>
      <c r="CB205" s="149">
        <f t="shared" si="213"/>
        <v>1940856</v>
      </c>
      <c r="CC205" s="149">
        <f t="shared" si="213"/>
        <v>3438802</v>
      </c>
      <c r="CD205" s="149">
        <f t="shared" si="213"/>
        <v>267809476</v>
      </c>
      <c r="CE205" s="149">
        <f t="shared" si="213"/>
        <v>1469175595</v>
      </c>
      <c r="CF205" s="149">
        <f t="shared" si="213"/>
        <v>146098728</v>
      </c>
      <c r="CG205" s="149">
        <f t="shared" si="213"/>
        <v>325161974</v>
      </c>
      <c r="CH205" s="149">
        <f t="shared" si="213"/>
        <v>24621175</v>
      </c>
      <c r="CI205" s="149">
        <f t="shared" si="213"/>
        <v>0</v>
      </c>
      <c r="CJ205" s="149">
        <f t="shared" si="213"/>
        <v>0</v>
      </c>
      <c r="CK205" s="149">
        <f t="shared" si="213"/>
        <v>0</v>
      </c>
      <c r="CL205" s="149">
        <f t="shared" si="213"/>
        <v>290745072</v>
      </c>
      <c r="CM205" s="959">
        <f t="shared" si="207"/>
        <v>0.48888483413983513</v>
      </c>
      <c r="CN205" s="149">
        <f t="shared" ref="CN205:DH205" si="214">SUM(CN199:CN204)</f>
        <v>11016460699</v>
      </c>
      <c r="CO205" s="149">
        <f t="shared" si="214"/>
        <v>0</v>
      </c>
      <c r="CP205" s="219">
        <f t="shared" si="214"/>
        <v>133268976</v>
      </c>
      <c r="CQ205" s="219">
        <f t="shared" si="214"/>
        <v>396726534</v>
      </c>
      <c r="CR205" s="219">
        <f t="shared" si="214"/>
        <v>4337667454</v>
      </c>
      <c r="CS205" s="219">
        <f t="shared" si="214"/>
        <v>12550540</v>
      </c>
      <c r="CT205" s="954">
        <f t="shared" si="214"/>
        <v>1755841308</v>
      </c>
      <c r="CU205" s="954">
        <f t="shared" si="214"/>
        <v>942943109</v>
      </c>
      <c r="CV205" s="954">
        <f t="shared" si="214"/>
        <v>102810569</v>
      </c>
      <c r="CW205" s="954">
        <f t="shared" si="214"/>
        <v>129471348</v>
      </c>
      <c r="CX205" s="954">
        <f t="shared" si="214"/>
        <v>0</v>
      </c>
      <c r="CY205" s="954">
        <f t="shared" si="214"/>
        <v>0</v>
      </c>
      <c r="CZ205" s="954">
        <f t="shared" si="214"/>
        <v>40655038</v>
      </c>
      <c r="DA205" s="954">
        <f t="shared" si="214"/>
        <v>1399823494</v>
      </c>
      <c r="DB205" s="954">
        <f t="shared" si="214"/>
        <v>134800807</v>
      </c>
      <c r="DC205" s="954">
        <f t="shared" si="214"/>
        <v>307153079</v>
      </c>
      <c r="DD205" s="954">
        <f t="shared" si="214"/>
        <v>514819701</v>
      </c>
      <c r="DE205" s="954">
        <f t="shared" si="214"/>
        <v>0</v>
      </c>
      <c r="DF205" s="954">
        <f t="shared" si="214"/>
        <v>30228561</v>
      </c>
      <c r="DG205" s="954">
        <f t="shared" si="214"/>
        <v>0</v>
      </c>
      <c r="DH205" s="955">
        <f t="shared" si="214"/>
        <v>777700181</v>
      </c>
      <c r="DI205" s="1010">
        <f t="shared" si="209"/>
        <v>0.51111516586016492</v>
      </c>
      <c r="DJ205" s="954">
        <f t="shared" ref="DJ205:ED205" ca="1" si="215">SUM(DJ199:DJ204)</f>
        <v>11517395804</v>
      </c>
      <c r="DK205" s="1040">
        <f t="shared" si="215"/>
        <v>0</v>
      </c>
      <c r="DL205" s="955">
        <f t="shared" ca="1" si="215"/>
        <v>1264680</v>
      </c>
      <c r="DM205" s="955">
        <f t="shared" si="215"/>
        <v>0</v>
      </c>
      <c r="DN205" s="955">
        <f t="shared" si="215"/>
        <v>5524476158</v>
      </c>
      <c r="DO205" s="955">
        <f t="shared" si="215"/>
        <v>80345334</v>
      </c>
      <c r="DP205" s="149">
        <f t="shared" si="215"/>
        <v>753339569</v>
      </c>
      <c r="DQ205" s="149">
        <f t="shared" si="215"/>
        <v>357056891</v>
      </c>
      <c r="DR205" s="149">
        <f t="shared" si="215"/>
        <v>0</v>
      </c>
      <c r="DS205" s="149">
        <f t="shared" si="215"/>
        <v>90000000</v>
      </c>
      <c r="DT205" s="149">
        <f t="shared" si="215"/>
        <v>1940856</v>
      </c>
      <c r="DU205" s="149">
        <f t="shared" si="215"/>
        <v>3438802</v>
      </c>
      <c r="DV205" s="149">
        <f t="shared" si="215"/>
        <v>278009476</v>
      </c>
      <c r="DW205" s="149">
        <f t="shared" si="215"/>
        <v>2715054621</v>
      </c>
      <c r="DX205" s="149">
        <f t="shared" si="215"/>
        <v>213808332</v>
      </c>
      <c r="DY205" s="149">
        <f t="shared" si="215"/>
        <v>420284555</v>
      </c>
      <c r="DZ205" s="149">
        <f t="shared" si="215"/>
        <v>364234351</v>
      </c>
      <c r="EA205" s="149">
        <f t="shared" si="215"/>
        <v>0</v>
      </c>
      <c r="EB205" s="149">
        <f t="shared" si="215"/>
        <v>50615524</v>
      </c>
      <c r="EC205" s="149">
        <f t="shared" si="215"/>
        <v>92524043</v>
      </c>
      <c r="ED205" s="149">
        <f t="shared" si="215"/>
        <v>571002612</v>
      </c>
    </row>
    <row r="206" spans="1:134" x14ac:dyDescent="0.25">
      <c r="C206" s="988"/>
      <c r="D206" s="1118" t="s">
        <v>3307</v>
      </c>
      <c r="E206" s="1124">
        <v>301</v>
      </c>
      <c r="F206" s="133"/>
      <c r="G206" s="875">
        <f>SUMIF($E$4:$E$194,"301",$G$4:$G$194)</f>
        <v>1952000000</v>
      </c>
      <c r="H206" s="1059">
        <f>SUMIF($E$4:$E$194,"301",$H$4:$H$194)</f>
        <v>1985775008</v>
      </c>
      <c r="I206" s="1059">
        <f>SUMIF($E$4:$E$194,"301",$I$4:$I$194)</f>
        <v>569461792</v>
      </c>
      <c r="J206" s="133" t="s">
        <v>4760</v>
      </c>
      <c r="K206" s="133"/>
      <c r="L206" s="133"/>
      <c r="M206" s="133"/>
      <c r="N206" s="133"/>
      <c r="O206" s="133"/>
      <c r="P206" s="133"/>
      <c r="Q206" s="133"/>
      <c r="R206" s="133"/>
      <c r="S206" s="133"/>
      <c r="T206" s="133"/>
      <c r="U206" s="133"/>
      <c r="V206" s="133"/>
      <c r="W206" s="133"/>
      <c r="X206" s="133"/>
      <c r="Y206" s="951">
        <f>SUMIF($E$4:$E$194,"301",$Y$4:$Y$194)</f>
        <v>2555236800</v>
      </c>
      <c r="Z206" s="951">
        <f>SUMIF($E$4:$E$194,"301",$Z$4:$Z$194)</f>
        <v>104079469</v>
      </c>
      <c r="AA206" s="216">
        <f>SUMIF($E$4:$E$192,"301",$AA$4:$AA$192)</f>
        <v>0</v>
      </c>
      <c r="AB206" s="216">
        <f>SUMIF($E$4:$E$195,"301",$AB$4:$AB$195)</f>
        <v>0</v>
      </c>
      <c r="AC206" s="216">
        <f>SUMIF($E$4:$E$194,"301",$AC$4:$AC$194)</f>
        <v>0</v>
      </c>
      <c r="AD206" s="951">
        <f>SUMIF($E$4:$E$194,"301",$AD$4:$AD$194)</f>
        <v>0</v>
      </c>
      <c r="AE206" s="133">
        <f>SUMIF($E$4:$E$192,"301",$AE$4:$AE$192)</f>
        <v>0</v>
      </c>
      <c r="AF206" s="133">
        <f>SUMIF($E$4:$E$192,"301",$AF$4:$AF$192)</f>
        <v>0</v>
      </c>
      <c r="AG206" s="133">
        <f>SUMIF($E$4:$E$192,"301",$AG$4:$AG$192)</f>
        <v>0</v>
      </c>
      <c r="AH206" s="133">
        <f>SUMIF($E$4:$E$192,"301",$AH$4:$AH$192)</f>
        <v>0</v>
      </c>
      <c r="AI206" s="133">
        <f>SUMIF($E$4:$E$192,"301",$AI$4:$AI$192)</f>
        <v>0</v>
      </c>
      <c r="AJ206" s="133">
        <f>SUMIF($E$4:$E$192,"301",$AJ$4:$AJ$192)</f>
        <v>0</v>
      </c>
      <c r="AK206" s="133">
        <f>SUMIF($E$4:$E$192,"301",$AK$4:$AK$192)</f>
        <v>0</v>
      </c>
      <c r="AL206" s="133">
        <f>SUMIF($E$4:$E$192,"301",$AL$4:$AL$192)</f>
        <v>0</v>
      </c>
      <c r="AM206" s="133">
        <f>SUMIF($E$4:$E$192,"301",$AM$4:$AM$192)</f>
        <v>728406867</v>
      </c>
      <c r="AN206" s="133">
        <f>SUMIF($E$4:$E$192,"301",$AN$4:$AN$192)</f>
        <v>346819196</v>
      </c>
      <c r="AO206" s="133">
        <f>SUMIF($E$4:$E$192,"301",$AO$4:$AO$192)</f>
        <v>120323279</v>
      </c>
      <c r="AP206" s="133">
        <f>SUMIF($E$4:$E$163,"301",$AP$4:$AP$163)</f>
        <v>1181607989</v>
      </c>
      <c r="AQ206" s="133">
        <f>SUMIF($E$4:$E$163,"301",$AQ$4:$AQ$163)</f>
        <v>0</v>
      </c>
      <c r="AR206" s="133">
        <f>SUMIF($E$4:$E$192,"301",$AR$4:$AR$192)</f>
        <v>0</v>
      </c>
      <c r="AS206" s="133">
        <f>SUMIF($E$4:$E$194,"301",$AS$4:$AS$194)</f>
        <v>74000000</v>
      </c>
      <c r="AU206" s="946">
        <f t="shared" si="203"/>
        <v>0.95557557874870935</v>
      </c>
      <c r="AV206" s="218">
        <f>SUM(AW206:BP206)</f>
        <v>2441721884</v>
      </c>
      <c r="AW206" s="951">
        <f>SUMIF($E$4:$E$192,"301",$AW$4:$AW$192)</f>
        <v>103245422</v>
      </c>
      <c r="AX206" s="951">
        <f>SUMIF($E$4:$E$194,"301",$AX$4:$AX$194)</f>
        <v>0</v>
      </c>
      <c r="AY206" s="951">
        <f>SUMIF($E$4:$E$194,"301",$AY$4:$AY$194)</f>
        <v>0</v>
      </c>
      <c r="AZ206" s="951">
        <f>SUMIF($E$4:$E$194,"301",$AZ$4:$AZ$194)</f>
        <v>0</v>
      </c>
      <c r="BA206" s="951">
        <f>SUMIF($E$4:$E$192,"301",$BA$4:$BA$192)</f>
        <v>0</v>
      </c>
      <c r="BB206" s="951">
        <f>SUMIF($E$4:$E$192,"301",$BB$4:$BB$192)</f>
        <v>0</v>
      </c>
      <c r="BC206" s="951">
        <f>SUMIF($E$4:$E$194,"301",$BC$4:$BC$194)</f>
        <v>0</v>
      </c>
      <c r="BD206" s="951">
        <f>SUMIF($E$4:$E$194,"301",$BD$4:$BD$194)</f>
        <v>0</v>
      </c>
      <c r="BE206" s="951">
        <f>SUMIF($E$4:$E$192,"301",$BE$4:$BE$192)</f>
        <v>0</v>
      </c>
      <c r="BF206" s="951">
        <f>SUMIF($E$4:$E$192,"301",$BF$4:$BF$192)</f>
        <v>0</v>
      </c>
      <c r="BG206" s="951">
        <f>SUMIF($E$4:$E$163,"301",$BG$4:$BG$163)</f>
        <v>0</v>
      </c>
      <c r="BH206" s="951">
        <f>SUMIF($E$4:$E$192,"301",$BH$4:$BH$192)</f>
        <v>0</v>
      </c>
      <c r="BI206" s="951">
        <f>SUMIF($E$4:$E$192,"301",$BI$4:$BI$192)</f>
        <v>0</v>
      </c>
      <c r="BJ206" s="951">
        <f>SUMIF($E$4:$E$192,"301",$BJ$4:$BJ$192)</f>
        <v>709199167</v>
      </c>
      <c r="BK206" s="951">
        <f>SUMIF($E$4:$E$194,"301",$BK$4:$BK$194)</f>
        <v>346819196</v>
      </c>
      <c r="BL206" s="951">
        <f>SUMIF($E$4:$E$192,"301",$BL$4:$BL$192)</f>
        <v>60650110</v>
      </c>
      <c r="BM206" s="951">
        <f>SUMIF($E$4:$E$192,"301",$BM$4:$BM$192)</f>
        <v>1157607989</v>
      </c>
      <c r="BN206" s="951">
        <f>SUMIF($E$4:$E$192,"301",$BN$4:$BN$192)</f>
        <v>0</v>
      </c>
      <c r="BO206" s="951">
        <f>SUMIF($E$4:$E$192,"301",$BO$4:$BO$192)</f>
        <v>0</v>
      </c>
      <c r="BP206" s="951">
        <f>SUMIF($E$4:$E$192,"301",$BP$4:$BP$192)</f>
        <v>64200000</v>
      </c>
      <c r="BQ206" s="950">
        <f t="shared" si="205"/>
        <v>4.4424421251290647E-2</v>
      </c>
      <c r="BR206" s="149">
        <f>SUM(BS206:CL206)</f>
        <v>113514916</v>
      </c>
      <c r="BS206" s="953">
        <f>SUMIF($E$4:$E$192,"301",$BS$4:$BS$192)</f>
        <v>834047</v>
      </c>
      <c r="BT206" s="953">
        <f>SUMIF($E$4:$E$192,"301",$BT$4:$BT$192)</f>
        <v>0</v>
      </c>
      <c r="BU206" s="953">
        <f>SUMIF($E$4:$E$192,"301",$BU$4:$BU$192)</f>
        <v>0</v>
      </c>
      <c r="BV206" s="953">
        <f>SUMIF($E$4:$E$194,"301",$BV$4:$BV$194)</f>
        <v>0</v>
      </c>
      <c r="BW206" s="953">
        <f>SUMIF($E$4:$E$194,"301",$BW$4:$BW$194)</f>
        <v>0</v>
      </c>
      <c r="BX206" s="953">
        <f>SUMIF($E$4:$E$192,"301",$BX$4:$BX$192)</f>
        <v>0</v>
      </c>
      <c r="BY206" s="953">
        <f>SUMIF($E$4:$E$192,"301",$BY$4:$BY$192)</f>
        <v>0</v>
      </c>
      <c r="BZ206" s="953">
        <f>SUMIF($E$4:$E$192,"301",$BZ$4:$BZ$192)</f>
        <v>0</v>
      </c>
      <c r="CA206" s="953">
        <f>SUMIF($E$4:$E$192,"301",$CA$4:$CA$192)</f>
        <v>0</v>
      </c>
      <c r="CB206" s="953">
        <f>SUMIF($E$4:$E$192,"301",$CB$4:$CB$192)</f>
        <v>0</v>
      </c>
      <c r="CC206" s="953">
        <f>SUMIF($E$4:$E$192,"301",$CC$4:$CC$192)</f>
        <v>0</v>
      </c>
      <c r="CD206" s="953">
        <f>SUMIF($E$4:$E$192,"301",$CD$4:$CD$192)</f>
        <v>0</v>
      </c>
      <c r="CE206" s="953">
        <f>SUMIF($E$4:$E$192,"301",$CE$4:$CE$192)</f>
        <v>0</v>
      </c>
      <c r="CF206" s="953">
        <f>SUMIF($E$4:$E$192,"301",$CF$4:$CF$192)</f>
        <v>19207700</v>
      </c>
      <c r="CG206" s="953">
        <f>SUMIF($E$4:$E$192,"301",$CG$4:$CG$192)</f>
        <v>0</v>
      </c>
      <c r="CH206" s="953">
        <f>SUMIF($E$4:$E$192,"301",$CH$4:$CH$192)</f>
        <v>59673169</v>
      </c>
      <c r="CI206" s="953">
        <f>SUMIF($E$4:$E$192,"301",$CI$4:$CI$192)</f>
        <v>24000000</v>
      </c>
      <c r="CJ206" s="953">
        <f>SUMIF($E$4:$E$192,"301",$CJ$4:$CJ$192)</f>
        <v>0</v>
      </c>
      <c r="CK206" s="953"/>
      <c r="CL206" s="956">
        <f>SUMIF($E$4:$E$194,"301",$CL$4:$CL$194)</f>
        <v>9800000</v>
      </c>
      <c r="CM206" s="959">
        <f t="shared" si="207"/>
        <v>0.77713932736097102</v>
      </c>
      <c r="CN206" s="149">
        <f>SUM(CO206:DH206)</f>
        <v>1985775008</v>
      </c>
      <c r="CO206" s="951">
        <f>SUMIF($E$4:$E$194,"301",$CO$4:$CO$194)</f>
        <v>57672466</v>
      </c>
      <c r="CP206" s="951">
        <f>SUMIF($E$4:$E$192,"301",$CP$4:$CP$192)</f>
        <v>0</v>
      </c>
      <c r="CQ206" s="951">
        <f>SUMIF($E$4:$E$192,"301",$CQ$4:$CQ$192)</f>
        <v>0</v>
      </c>
      <c r="CR206" s="951">
        <f>SUMIF($E$4:$E$192,"301",$CR$4:$CR$192)</f>
        <v>0</v>
      </c>
      <c r="CS206" s="951">
        <f>SUMIF($E$4:$E$194,"301",$CS$4:$CS$194)</f>
        <v>0</v>
      </c>
      <c r="CT206" s="951">
        <f>SUMIF($E$4:$E$192,"301",$CT$4:$CT$192)</f>
        <v>0</v>
      </c>
      <c r="CU206" s="951">
        <f>SUMIF($E$4:$E$192,"301",$CU$4:$CU$192)</f>
        <v>0</v>
      </c>
      <c r="CV206" s="951">
        <f>SUMIF($E$4:$E$194,"301",$CV$4:$CV$194)</f>
        <v>0</v>
      </c>
      <c r="CW206" s="951">
        <f>SUMIF($E$4:$E$192,"301",$CW$4:$CW$192)</f>
        <v>0</v>
      </c>
      <c r="CX206" s="951">
        <f>SUMIF($E$4:$E$192,"301",$CX$4:$CX$192)</f>
        <v>0</v>
      </c>
      <c r="CY206" s="951">
        <f>SUMIF($E$4:$E$192,"301",$CY$4:$CY$192)</f>
        <v>0</v>
      </c>
      <c r="CZ206" s="951">
        <f>SUMIF($E$4:$E$192,"301",$CZ$4:$CZ$192)</f>
        <v>0</v>
      </c>
      <c r="DA206" s="951">
        <f>SUMIF($E$4:$E$192,"301",$DA$4:$DA$192)</f>
        <v>0</v>
      </c>
      <c r="DB206" s="951">
        <f>SUMIF($E$4:$E$194,"301",$DB$4:$DB$194)</f>
        <v>471045794</v>
      </c>
      <c r="DC206" s="951">
        <f>SUMIF($E$4:$E$192,"301",$DC$4:$DC$192)</f>
        <v>325002196</v>
      </c>
      <c r="DD206" s="951">
        <f>SUMIF($E$4:$E$192,"301",$DD$4:$DD$192)</f>
        <v>56087110</v>
      </c>
      <c r="DE206" s="951">
        <f>SUMIF($E$4:$E$192,"301",$DE$4:$DE$192)</f>
        <v>1046363025</v>
      </c>
      <c r="DF206" s="951">
        <f>SUMIF($E$4:$E$192,"301",$DF$4:$DF$192)</f>
        <v>0</v>
      </c>
      <c r="DG206" s="951">
        <f>SUMIF($E$4:$E$192,"301",$DG$4:$DG$192)</f>
        <v>0</v>
      </c>
      <c r="DH206" s="952">
        <f>SUMIF($E$4:$E$192,"301",$DH$4:$DH$192)</f>
        <v>29604417</v>
      </c>
      <c r="DI206" s="1010">
        <f t="shared" si="209"/>
        <v>0.22286067263902898</v>
      </c>
      <c r="DJ206" s="149">
        <f>SUM(DK206:ED206)</f>
        <v>569461792</v>
      </c>
      <c r="DK206" s="1039">
        <f>SUMIF($E$4:$E$194,"301",$DK$4:$DK$194)</f>
        <v>46407003</v>
      </c>
      <c r="DL206" s="953">
        <f>SUMIF($E$4:$E$192,"301",$DL$4:$DL$192)</f>
        <v>0</v>
      </c>
      <c r="DM206" s="953">
        <f>SUMIF($E$4:$E$194,"301",$DM$4:$DM$194)</f>
        <v>0</v>
      </c>
      <c r="DN206" s="953">
        <f>SUMIF($E$4:$E$192,"301",$DN$4:$DN$192)</f>
        <v>0</v>
      </c>
      <c r="DO206" s="953">
        <f>SUMIF($E$4:$E$194,"301",$DO$4:$DO$194)</f>
        <v>0</v>
      </c>
      <c r="DP206" s="953">
        <f>SUMIF($E$4:$E$194,"301",$DP$4:$DP$194)</f>
        <v>0</v>
      </c>
      <c r="DQ206" s="953">
        <f>SUMIF($E$4:$E$192,"301",$DQ$4:$DQ$192)</f>
        <v>0</v>
      </c>
      <c r="DR206" s="953">
        <f>SUMIF($E$4:$E$194,"301",$DR$4:$DR$194)</f>
        <v>0</v>
      </c>
      <c r="DS206" s="208">
        <f>SUMIF($E$4:$E$192,"301",$DS$4:$DS$192)</f>
        <v>0</v>
      </c>
      <c r="DT206" s="208">
        <f>SUMIF($E$4:$E$192,"301",$DT$4:$DT$192)</f>
        <v>0</v>
      </c>
      <c r="DU206" s="208">
        <f>SUMIF($E$4:$E$194,"301",$DU$4:$DU$194)</f>
        <v>0</v>
      </c>
      <c r="DV206" s="208">
        <f>SUMIF($E$4:$E$192,"301",$DV$4:$DV$192)</f>
        <v>0</v>
      </c>
      <c r="DW206" s="208">
        <f>SUMIF($E$4:$E$192,"301",$DW$4:$DW$192)</f>
        <v>0</v>
      </c>
      <c r="DX206" s="208">
        <f>SUMIF($E$4:$E$194,"301",$DX$4:$DX$194)</f>
        <v>257361073</v>
      </c>
      <c r="DY206" s="208">
        <f>SUMIF($E$4:$E$192,"301",$DY$4:$DY$192)</f>
        <v>21817000</v>
      </c>
      <c r="DZ206" s="208">
        <f>SUMIF($E$4:$E$192,"301",$DZ$4:$DZ$192)</f>
        <v>64236169</v>
      </c>
      <c r="EA206" s="208">
        <f>SUMIF($E$4:$E$192,"301",$EA$4:$EA$192)</f>
        <v>135244964</v>
      </c>
      <c r="EB206" s="208">
        <f>SUMIF($E$4:$E$192,"301",$EB$4:$EB$192)</f>
        <v>0</v>
      </c>
      <c r="EC206" s="208">
        <f>SUMIF($E$4:$E$192,"301",$EC$4:$EC$192)</f>
        <v>0</v>
      </c>
      <c r="ED206" s="208">
        <f>SUMIF($E$4:$E$194,"301",$ED$4:$ED$194)</f>
        <v>44395583</v>
      </c>
    </row>
    <row r="207" spans="1:134" ht="15.75" thickBot="1" x14ac:dyDescent="0.3">
      <c r="C207" s="1599" t="s">
        <v>4588</v>
      </c>
      <c r="D207" s="1600"/>
      <c r="E207" s="132"/>
      <c r="F207" s="134"/>
      <c r="G207" s="145">
        <f>SUM(G205:G206)</f>
        <v>31953000000</v>
      </c>
      <c r="H207" s="134">
        <f>SUM(H205:H206)</f>
        <v>13002235707</v>
      </c>
      <c r="I207" s="134">
        <f>SUM(I205:I206)</f>
        <v>12086857596</v>
      </c>
      <c r="J207" s="134"/>
      <c r="K207" s="134"/>
      <c r="L207" s="134"/>
      <c r="M207" s="134"/>
      <c r="N207" s="134"/>
      <c r="O207" s="134"/>
      <c r="P207" s="134"/>
      <c r="Q207" s="134"/>
      <c r="R207" s="134"/>
      <c r="S207" s="134"/>
      <c r="T207" s="134"/>
      <c r="U207" s="134"/>
      <c r="V207" s="134"/>
      <c r="W207" s="134"/>
      <c r="X207" s="134"/>
      <c r="Y207" s="945">
        <f t="shared" ref="Y207:AT207" si="216">SUM(Y205:Y206)</f>
        <v>25089093303</v>
      </c>
      <c r="Z207" s="945">
        <f t="shared" si="216"/>
        <v>104079469</v>
      </c>
      <c r="AA207" s="945">
        <f t="shared" si="216"/>
        <v>134533656</v>
      </c>
      <c r="AB207" s="945">
        <f t="shared" si="216"/>
        <v>396726534</v>
      </c>
      <c r="AC207" s="945">
        <f t="shared" si="216"/>
        <v>9862143612</v>
      </c>
      <c r="AD207" s="945">
        <f t="shared" si="216"/>
        <v>92895874</v>
      </c>
      <c r="AE207" s="945">
        <f t="shared" si="216"/>
        <v>2509180877</v>
      </c>
      <c r="AF207" s="945">
        <f t="shared" si="216"/>
        <v>1300000000</v>
      </c>
      <c r="AG207" s="945">
        <f t="shared" si="216"/>
        <v>102810569</v>
      </c>
      <c r="AH207" s="945">
        <f t="shared" si="216"/>
        <v>219471348</v>
      </c>
      <c r="AI207" s="945">
        <f t="shared" si="216"/>
        <v>1940856</v>
      </c>
      <c r="AJ207" s="945">
        <f t="shared" si="216"/>
        <v>3438802</v>
      </c>
      <c r="AK207" s="945">
        <f t="shared" si="216"/>
        <v>318664514</v>
      </c>
      <c r="AL207" s="945">
        <f t="shared" si="216"/>
        <v>4114878115</v>
      </c>
      <c r="AM207" s="945">
        <f t="shared" si="216"/>
        <v>1077016006</v>
      </c>
      <c r="AN207" s="945">
        <f t="shared" si="216"/>
        <v>1074256830</v>
      </c>
      <c r="AO207" s="945">
        <f t="shared" si="216"/>
        <v>999377331</v>
      </c>
      <c r="AP207" s="945">
        <f t="shared" si="216"/>
        <v>1181607989</v>
      </c>
      <c r="AQ207" s="945">
        <f t="shared" si="216"/>
        <v>80844085</v>
      </c>
      <c r="AR207" s="945">
        <f t="shared" si="216"/>
        <v>92524043</v>
      </c>
      <c r="AS207" s="945">
        <f t="shared" si="216"/>
        <v>1422702793</v>
      </c>
      <c r="AT207" s="945">
        <f t="shared" si="216"/>
        <v>0</v>
      </c>
      <c r="AU207" s="958">
        <f t="shared" si="203"/>
        <v>0.69682194361760907</v>
      </c>
      <c r="AV207" s="947">
        <f t="shared" ref="AV207:BP207" si="217">AV205+AV206</f>
        <v>17482630759</v>
      </c>
      <c r="AW207" s="947">
        <f t="shared" si="217"/>
        <v>103245422</v>
      </c>
      <c r="AX207" s="947">
        <f t="shared" si="217"/>
        <v>133268976</v>
      </c>
      <c r="AY207" s="947">
        <f t="shared" si="217"/>
        <v>396726534</v>
      </c>
      <c r="AZ207" s="947">
        <f t="shared" si="217"/>
        <v>5545905692</v>
      </c>
      <c r="BA207" s="947">
        <f t="shared" si="217"/>
        <v>17503290</v>
      </c>
      <c r="BB207" s="947">
        <f t="shared" si="217"/>
        <v>2038364580</v>
      </c>
      <c r="BC207" s="947">
        <f t="shared" si="217"/>
        <v>1199755531</v>
      </c>
      <c r="BD207" s="947">
        <f t="shared" si="217"/>
        <v>102810569</v>
      </c>
      <c r="BE207" s="947">
        <f t="shared" si="217"/>
        <v>219471348</v>
      </c>
      <c r="BF207" s="947">
        <f t="shared" si="217"/>
        <v>0</v>
      </c>
      <c r="BG207" s="947">
        <f t="shared" si="217"/>
        <v>0</v>
      </c>
      <c r="BH207" s="947">
        <f t="shared" si="217"/>
        <v>50855038</v>
      </c>
      <c r="BI207" s="947">
        <f t="shared" si="217"/>
        <v>2645702520</v>
      </c>
      <c r="BJ207" s="947">
        <f t="shared" si="217"/>
        <v>911709578</v>
      </c>
      <c r="BK207" s="947">
        <f t="shared" si="217"/>
        <v>749094856</v>
      </c>
      <c r="BL207" s="947">
        <f t="shared" si="217"/>
        <v>915082987</v>
      </c>
      <c r="BM207" s="947">
        <f t="shared" si="217"/>
        <v>1157607989</v>
      </c>
      <c r="BN207" s="947">
        <f t="shared" si="217"/>
        <v>80844085</v>
      </c>
      <c r="BO207" s="947">
        <f t="shared" si="217"/>
        <v>92524043</v>
      </c>
      <c r="BP207" s="947">
        <f t="shared" si="217"/>
        <v>1122157721</v>
      </c>
      <c r="BQ207" s="950">
        <f t="shared" si="205"/>
        <v>0.30317805638239093</v>
      </c>
      <c r="BR207" s="947">
        <f>BR205+BR206</f>
        <v>7606462544</v>
      </c>
      <c r="BS207" s="947">
        <f>BS205+BS206</f>
        <v>834047</v>
      </c>
      <c r="BT207" s="947">
        <f>BT205+BT206</f>
        <v>1264680</v>
      </c>
      <c r="BU207" s="947">
        <f>BU205+BU206</f>
        <v>0</v>
      </c>
      <c r="BV207" s="966">
        <f t="shared" ref="BV207:CL207" si="218">+BV205+BV206</f>
        <v>4316237920</v>
      </c>
      <c r="BW207" s="966">
        <f t="shared" si="218"/>
        <v>75392584</v>
      </c>
      <c r="BX207" s="966">
        <f t="shared" si="218"/>
        <v>470816297</v>
      </c>
      <c r="BY207" s="966">
        <f t="shared" si="218"/>
        <v>100244469</v>
      </c>
      <c r="BZ207" s="966">
        <f t="shared" si="218"/>
        <v>0</v>
      </c>
      <c r="CA207" s="966">
        <f t="shared" si="218"/>
        <v>0</v>
      </c>
      <c r="CB207" s="966">
        <f t="shared" si="218"/>
        <v>1940856</v>
      </c>
      <c r="CC207" s="966">
        <f t="shared" si="218"/>
        <v>3438802</v>
      </c>
      <c r="CD207" s="966">
        <f t="shared" si="218"/>
        <v>267809476</v>
      </c>
      <c r="CE207" s="966">
        <f t="shared" si="218"/>
        <v>1469175595</v>
      </c>
      <c r="CF207" s="966">
        <f t="shared" si="218"/>
        <v>165306428</v>
      </c>
      <c r="CG207" s="966">
        <f t="shared" si="218"/>
        <v>325161974</v>
      </c>
      <c r="CH207" s="966">
        <f t="shared" si="218"/>
        <v>84294344</v>
      </c>
      <c r="CI207" s="966">
        <f t="shared" si="218"/>
        <v>24000000</v>
      </c>
      <c r="CJ207" s="966">
        <f t="shared" si="218"/>
        <v>0</v>
      </c>
      <c r="CK207" s="966">
        <f t="shared" si="218"/>
        <v>0</v>
      </c>
      <c r="CL207" s="966">
        <f t="shared" si="218"/>
        <v>300545072</v>
      </c>
      <c r="CM207" s="960">
        <f t="shared" si="207"/>
        <v>0.51824255065627556</v>
      </c>
      <c r="CN207" s="1046">
        <f t="shared" ref="CN207:CS207" si="219">+CN205+CN206</f>
        <v>13002235707</v>
      </c>
      <c r="CO207" s="966">
        <f t="shared" si="219"/>
        <v>57672466</v>
      </c>
      <c r="CP207" s="966">
        <f t="shared" si="219"/>
        <v>133268976</v>
      </c>
      <c r="CQ207" s="966">
        <f t="shared" si="219"/>
        <v>396726534</v>
      </c>
      <c r="CR207" s="966">
        <f t="shared" si="219"/>
        <v>4337667454</v>
      </c>
      <c r="CS207" s="966">
        <f t="shared" si="219"/>
        <v>12550540</v>
      </c>
      <c r="CT207" s="945">
        <f t="shared" ref="CT207:DH207" si="220">SUM(CT205:CT206)</f>
        <v>1755841308</v>
      </c>
      <c r="CU207" s="945">
        <f t="shared" si="220"/>
        <v>942943109</v>
      </c>
      <c r="CV207" s="945">
        <f t="shared" si="220"/>
        <v>102810569</v>
      </c>
      <c r="CW207" s="945">
        <f t="shared" si="220"/>
        <v>129471348</v>
      </c>
      <c r="CX207" s="945">
        <f t="shared" si="220"/>
        <v>0</v>
      </c>
      <c r="CY207" s="945">
        <f t="shared" si="220"/>
        <v>0</v>
      </c>
      <c r="CZ207" s="945">
        <f t="shared" si="220"/>
        <v>40655038</v>
      </c>
      <c r="DA207" s="945">
        <f t="shared" si="220"/>
        <v>1399823494</v>
      </c>
      <c r="DB207" s="945">
        <f t="shared" si="220"/>
        <v>605846601</v>
      </c>
      <c r="DC207" s="945">
        <f t="shared" si="220"/>
        <v>632155275</v>
      </c>
      <c r="DD207" s="945">
        <f t="shared" si="220"/>
        <v>570906811</v>
      </c>
      <c r="DE207" s="945">
        <f t="shared" si="220"/>
        <v>1046363025</v>
      </c>
      <c r="DF207" s="945">
        <f t="shared" si="220"/>
        <v>30228561</v>
      </c>
      <c r="DG207" s="945">
        <f t="shared" si="220"/>
        <v>0</v>
      </c>
      <c r="DH207" s="957">
        <f t="shared" si="220"/>
        <v>807304598</v>
      </c>
      <c r="DI207" s="1033">
        <f t="shared" si="209"/>
        <v>0.48175744934372444</v>
      </c>
      <c r="DJ207" s="945">
        <f t="shared" ref="DJ207:ED207" ca="1" si="221">SUM(DJ205:DJ206)</f>
        <v>12086857596</v>
      </c>
      <c r="DK207" s="1041">
        <f t="shared" si="221"/>
        <v>46407003</v>
      </c>
      <c r="DL207" s="957">
        <f t="shared" ca="1" si="221"/>
        <v>1264680</v>
      </c>
      <c r="DM207" s="957">
        <f t="shared" si="221"/>
        <v>0</v>
      </c>
      <c r="DN207" s="957">
        <f t="shared" si="221"/>
        <v>5524476158</v>
      </c>
      <c r="DO207" s="957">
        <f t="shared" si="221"/>
        <v>80345334</v>
      </c>
      <c r="DP207" s="945">
        <f t="shared" si="221"/>
        <v>753339569</v>
      </c>
      <c r="DQ207" s="945">
        <f t="shared" si="221"/>
        <v>357056891</v>
      </c>
      <c r="DR207" s="945">
        <f t="shared" si="221"/>
        <v>0</v>
      </c>
      <c r="DS207" s="145">
        <f t="shared" si="221"/>
        <v>90000000</v>
      </c>
      <c r="DT207" s="145">
        <f t="shared" si="221"/>
        <v>1940856</v>
      </c>
      <c r="DU207" s="145">
        <f t="shared" si="221"/>
        <v>3438802</v>
      </c>
      <c r="DV207" s="145">
        <f t="shared" si="221"/>
        <v>278009476</v>
      </c>
      <c r="DW207" s="145">
        <f t="shared" si="221"/>
        <v>2715054621</v>
      </c>
      <c r="DX207" s="145">
        <f t="shared" si="221"/>
        <v>471169405</v>
      </c>
      <c r="DY207" s="145">
        <f t="shared" si="221"/>
        <v>442101555</v>
      </c>
      <c r="DZ207" s="145">
        <f t="shared" si="221"/>
        <v>428470520</v>
      </c>
      <c r="EA207" s="145">
        <f t="shared" si="221"/>
        <v>135244964</v>
      </c>
      <c r="EB207" s="145">
        <f t="shared" si="221"/>
        <v>50615524</v>
      </c>
      <c r="EC207" s="145">
        <f t="shared" si="221"/>
        <v>92524043</v>
      </c>
      <c r="ED207" s="145">
        <f t="shared" si="221"/>
        <v>615398195</v>
      </c>
    </row>
    <row r="208" spans="1:134" ht="15.75" thickTop="1" x14ac:dyDescent="0.25">
      <c r="Y208" s="1">
        <f t="shared" ref="Y208:AS208" si="222">+Y197-Y207</f>
        <v>0</v>
      </c>
      <c r="Z208" s="1">
        <f t="shared" si="222"/>
        <v>0</v>
      </c>
      <c r="AA208" s="1">
        <f t="shared" si="222"/>
        <v>0</v>
      </c>
      <c r="AB208" s="1">
        <f t="shared" si="222"/>
        <v>0</v>
      </c>
      <c r="AC208" s="1">
        <f t="shared" si="222"/>
        <v>0</v>
      </c>
      <c r="AD208" s="1">
        <f t="shared" si="222"/>
        <v>0</v>
      </c>
      <c r="AE208" s="1">
        <f t="shared" si="222"/>
        <v>0</v>
      </c>
      <c r="AF208" s="1">
        <f t="shared" si="222"/>
        <v>0</v>
      </c>
      <c r="AG208" s="1">
        <f t="shared" si="222"/>
        <v>0</v>
      </c>
      <c r="AH208" s="1">
        <f t="shared" si="222"/>
        <v>0</v>
      </c>
      <c r="AI208" s="1">
        <f t="shared" si="222"/>
        <v>0</v>
      </c>
      <c r="AJ208" s="1">
        <f t="shared" si="222"/>
        <v>0</v>
      </c>
      <c r="AK208" s="1">
        <f t="shared" si="222"/>
        <v>0</v>
      </c>
      <c r="AL208" s="1">
        <f t="shared" si="222"/>
        <v>0</v>
      </c>
      <c r="AM208" s="1">
        <f t="shared" si="222"/>
        <v>0</v>
      </c>
      <c r="AN208" s="1">
        <f t="shared" si="222"/>
        <v>0</v>
      </c>
      <c r="AO208" s="1">
        <f t="shared" si="222"/>
        <v>0</v>
      </c>
      <c r="AP208" s="1">
        <f t="shared" si="222"/>
        <v>0</v>
      </c>
      <c r="AQ208" s="1">
        <f t="shared" si="222"/>
        <v>0</v>
      </c>
      <c r="AR208" s="1">
        <f t="shared" si="222"/>
        <v>0</v>
      </c>
      <c r="AS208" s="1">
        <f t="shared" si="222"/>
        <v>0</v>
      </c>
      <c r="AV208" s="1">
        <f t="shared" ref="AV208:BP208" si="223">+AV197-AV207</f>
        <v>0</v>
      </c>
      <c r="AW208" s="1">
        <f t="shared" si="223"/>
        <v>0</v>
      </c>
      <c r="AX208" s="1">
        <f t="shared" si="223"/>
        <v>0</v>
      </c>
      <c r="AY208" s="1">
        <f t="shared" si="223"/>
        <v>0</v>
      </c>
      <c r="AZ208" s="1">
        <f t="shared" si="223"/>
        <v>0</v>
      </c>
      <c r="BA208" s="1">
        <f t="shared" si="223"/>
        <v>0</v>
      </c>
      <c r="BB208" s="1">
        <f t="shared" si="223"/>
        <v>0</v>
      </c>
      <c r="BC208" s="1">
        <f t="shared" si="223"/>
        <v>0</v>
      </c>
      <c r="BD208" s="1">
        <f t="shared" si="223"/>
        <v>0</v>
      </c>
      <c r="BE208" s="1">
        <f t="shared" si="223"/>
        <v>0</v>
      </c>
      <c r="BF208" s="1">
        <f t="shared" si="223"/>
        <v>0</v>
      </c>
      <c r="BG208" s="1">
        <f t="shared" si="223"/>
        <v>0</v>
      </c>
      <c r="BH208" s="1">
        <f t="shared" si="223"/>
        <v>0</v>
      </c>
      <c r="BI208" s="1">
        <f t="shared" si="223"/>
        <v>0</v>
      </c>
      <c r="BJ208" s="1">
        <f t="shared" si="223"/>
        <v>0</v>
      </c>
      <c r="BK208" s="1">
        <f t="shared" si="223"/>
        <v>0</v>
      </c>
      <c r="BL208" s="1">
        <f t="shared" si="223"/>
        <v>0</v>
      </c>
      <c r="BM208" s="1">
        <f t="shared" si="223"/>
        <v>0</v>
      </c>
      <c r="BN208" s="1">
        <f t="shared" si="223"/>
        <v>0</v>
      </c>
      <c r="BO208" s="1">
        <f t="shared" si="223"/>
        <v>0</v>
      </c>
      <c r="BP208" s="1">
        <f t="shared" si="223"/>
        <v>0</v>
      </c>
      <c r="BR208" s="1">
        <f t="shared" ref="BR208:CL208" si="224">+BR197-BR207</f>
        <v>0</v>
      </c>
      <c r="BS208" s="1">
        <f t="shared" si="224"/>
        <v>0</v>
      </c>
      <c r="BT208" s="1">
        <f t="shared" si="224"/>
        <v>0</v>
      </c>
      <c r="BU208" s="1">
        <f t="shared" si="224"/>
        <v>0</v>
      </c>
      <c r="BV208" s="1">
        <f t="shared" si="224"/>
        <v>0</v>
      </c>
      <c r="BW208" s="1">
        <f t="shared" si="224"/>
        <v>0</v>
      </c>
      <c r="BX208" s="1">
        <f t="shared" si="224"/>
        <v>0</v>
      </c>
      <c r="BY208" s="1">
        <f t="shared" si="224"/>
        <v>0</v>
      </c>
      <c r="BZ208" s="1">
        <f t="shared" si="224"/>
        <v>0</v>
      </c>
      <c r="CA208" s="1">
        <f t="shared" si="224"/>
        <v>0</v>
      </c>
      <c r="CB208" s="1">
        <f t="shared" si="224"/>
        <v>0</v>
      </c>
      <c r="CC208" s="1">
        <f t="shared" si="224"/>
        <v>0</v>
      </c>
      <c r="CD208" s="1">
        <f t="shared" si="224"/>
        <v>0</v>
      </c>
      <c r="CE208" s="1">
        <f t="shared" si="224"/>
        <v>0</v>
      </c>
      <c r="CF208" s="1">
        <f t="shared" si="224"/>
        <v>0</v>
      </c>
      <c r="CG208" s="1">
        <f t="shared" si="224"/>
        <v>0</v>
      </c>
      <c r="CH208" s="1">
        <f t="shared" si="224"/>
        <v>0</v>
      </c>
      <c r="CI208" s="1">
        <f t="shared" si="224"/>
        <v>0</v>
      </c>
      <c r="CJ208" s="1">
        <f t="shared" si="224"/>
        <v>0</v>
      </c>
      <c r="CK208" s="1">
        <f t="shared" si="224"/>
        <v>0</v>
      </c>
      <c r="CL208" s="1">
        <f t="shared" si="224"/>
        <v>0</v>
      </c>
      <c r="CN208" s="1">
        <f t="shared" ref="CN208:DH208" si="225">+CN197-CN207</f>
        <v>0</v>
      </c>
      <c r="CO208" s="1">
        <f t="shared" si="225"/>
        <v>0</v>
      </c>
      <c r="CP208" s="1">
        <f t="shared" si="225"/>
        <v>0</v>
      </c>
      <c r="CQ208" s="1">
        <f t="shared" si="225"/>
        <v>0</v>
      </c>
      <c r="CR208" s="1">
        <f t="shared" si="225"/>
        <v>0</v>
      </c>
      <c r="CS208" s="1">
        <f t="shared" si="225"/>
        <v>0</v>
      </c>
      <c r="CT208" s="1">
        <f t="shared" si="225"/>
        <v>0</v>
      </c>
      <c r="CU208" s="1">
        <f t="shared" si="225"/>
        <v>0</v>
      </c>
      <c r="CV208" s="1">
        <f t="shared" si="225"/>
        <v>0</v>
      </c>
      <c r="CW208" s="1">
        <f t="shared" si="225"/>
        <v>0</v>
      </c>
      <c r="CX208" s="1">
        <f t="shared" si="225"/>
        <v>0</v>
      </c>
      <c r="CY208" s="1">
        <f t="shared" si="225"/>
        <v>0</v>
      </c>
      <c r="CZ208" s="1">
        <f t="shared" si="225"/>
        <v>0</v>
      </c>
      <c r="DA208" s="1">
        <f t="shared" si="225"/>
        <v>0</v>
      </c>
      <c r="DB208" s="1">
        <f t="shared" si="225"/>
        <v>0</v>
      </c>
      <c r="DC208" s="1">
        <f t="shared" si="225"/>
        <v>0</v>
      </c>
      <c r="DD208" s="1">
        <f t="shared" si="225"/>
        <v>0</v>
      </c>
      <c r="DE208" s="1">
        <f t="shared" si="225"/>
        <v>0</v>
      </c>
      <c r="DF208" s="1">
        <f t="shared" si="225"/>
        <v>0</v>
      </c>
      <c r="DG208" s="1">
        <f t="shared" si="225"/>
        <v>0</v>
      </c>
      <c r="DH208" s="1">
        <f t="shared" si="225"/>
        <v>0</v>
      </c>
      <c r="DI208" s="1"/>
      <c r="DJ208" s="1">
        <f t="shared" ref="DJ208:ED208" ca="1" si="226">+DJ197-DJ207</f>
        <v>0</v>
      </c>
      <c r="DK208" s="1">
        <f t="shared" si="226"/>
        <v>0</v>
      </c>
      <c r="DL208" s="1">
        <f t="shared" ca="1" si="226"/>
        <v>0</v>
      </c>
      <c r="DM208" s="1">
        <f t="shared" si="226"/>
        <v>0</v>
      </c>
      <c r="DN208" s="1">
        <f t="shared" si="226"/>
        <v>0</v>
      </c>
      <c r="DO208" s="1">
        <f t="shared" si="226"/>
        <v>0</v>
      </c>
      <c r="DP208" s="1">
        <f t="shared" si="226"/>
        <v>0</v>
      </c>
      <c r="DQ208" s="1">
        <f t="shared" si="226"/>
        <v>0</v>
      </c>
      <c r="DR208" s="1">
        <f t="shared" si="226"/>
        <v>0</v>
      </c>
      <c r="DS208" s="1">
        <f t="shared" si="226"/>
        <v>0</v>
      </c>
      <c r="DT208" s="1">
        <f t="shared" si="226"/>
        <v>0</v>
      </c>
      <c r="DU208" s="1">
        <f t="shared" si="226"/>
        <v>0</v>
      </c>
      <c r="DV208" s="1">
        <f t="shared" si="226"/>
        <v>0</v>
      </c>
      <c r="DW208" s="1">
        <f t="shared" si="226"/>
        <v>0</v>
      </c>
      <c r="DX208" s="1">
        <f t="shared" si="226"/>
        <v>0</v>
      </c>
      <c r="DY208" s="1">
        <f t="shared" si="226"/>
        <v>0</v>
      </c>
      <c r="DZ208" s="1">
        <f t="shared" si="226"/>
        <v>0</v>
      </c>
      <c r="EA208" s="1">
        <f t="shared" si="226"/>
        <v>0</v>
      </c>
      <c r="EB208" s="1">
        <f t="shared" si="226"/>
        <v>0</v>
      </c>
      <c r="EC208" s="1">
        <f t="shared" si="226"/>
        <v>0</v>
      </c>
      <c r="ED208" s="1">
        <f t="shared" si="226"/>
        <v>0</v>
      </c>
    </row>
    <row r="209" spans="4:134" x14ac:dyDescent="0.25">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f>+AV207+BR207</f>
        <v>25089093303</v>
      </c>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f ca="1">+CN207+DJ207</f>
        <v>25089093303</v>
      </c>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row>
    <row r="210" spans="4:134" x14ac:dyDescent="0.25">
      <c r="D210" s="1048"/>
      <c r="F210" s="1"/>
      <c r="G210" s="1"/>
      <c r="H210" s="1"/>
      <c r="I210" s="1"/>
      <c r="J210" s="1"/>
      <c r="K210" s="1"/>
      <c r="L210" s="1"/>
      <c r="M210" s="1"/>
      <c r="N210" s="1"/>
      <c r="O210" s="1"/>
      <c r="P210" s="1"/>
      <c r="Q210" s="1"/>
      <c r="R210" s="1"/>
      <c r="S210" s="1"/>
      <c r="T210" s="1"/>
      <c r="U210" s="1"/>
      <c r="V210" s="1"/>
      <c r="W210" s="1"/>
      <c r="X210" s="1"/>
      <c r="Y210" s="599"/>
      <c r="Z210" s="1"/>
      <c r="AA210" s="1"/>
      <c r="AB210" s="1"/>
      <c r="AC210" s="1"/>
      <c r="AD210" s="1"/>
      <c r="AE210" s="1"/>
      <c r="AF210" s="1"/>
      <c r="AG210" s="1"/>
      <c r="AH210" s="1"/>
      <c r="AI210" s="1"/>
      <c r="AJ210" s="1"/>
      <c r="AK210" s="1"/>
      <c r="AL210" s="1"/>
      <c r="AM210" s="1"/>
      <c r="AN210" s="1"/>
      <c r="AO210" s="1"/>
      <c r="AP210" s="1"/>
      <c r="AQ210" s="1"/>
      <c r="AR210" s="1"/>
      <c r="AS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N210" s="1"/>
      <c r="CO210" s="1"/>
      <c r="CP210" s="1"/>
      <c r="CQ210" s="1"/>
      <c r="CR210" s="1"/>
      <c r="CS210" s="1"/>
      <c r="CT210" s="1"/>
      <c r="CU210" s="1"/>
      <c r="CV210" s="1"/>
      <c r="CW210" s="1"/>
      <c r="CX210" s="1"/>
      <c r="CY210" s="1"/>
      <c r="CZ210" s="1"/>
      <c r="DA210" s="1"/>
      <c r="DB210" s="1"/>
      <c r="DC210" s="1"/>
      <c r="DD210" s="1"/>
      <c r="DE210" s="1"/>
      <c r="DF210" s="1"/>
      <c r="DG210" s="1"/>
      <c r="DH210" s="1"/>
      <c r="DJ210" s="1"/>
      <c r="DK210" s="1"/>
      <c r="DL210" s="1"/>
      <c r="DM210" s="1"/>
      <c r="DN210" s="1"/>
      <c r="DO210" s="1"/>
      <c r="DP210" s="1"/>
      <c r="DQ210" s="1"/>
      <c r="DR210" s="1"/>
      <c r="DS210" s="1"/>
      <c r="DT210" s="1"/>
      <c r="DU210" s="1"/>
      <c r="DV210" s="1"/>
      <c r="DW210" s="1"/>
      <c r="DX210" s="1"/>
      <c r="DY210" s="1"/>
      <c r="DZ210" s="1"/>
      <c r="EA210" s="1"/>
      <c r="EB210" s="1"/>
      <c r="EC210" s="1"/>
      <c r="ED210" s="1"/>
    </row>
    <row r="211" spans="4:134" x14ac:dyDescent="0.25">
      <c r="D211" s="495"/>
      <c r="Y211" s="597"/>
      <c r="Z211" s="1"/>
      <c r="AA211" s="1"/>
      <c r="AB211" s="1"/>
      <c r="AC211" s="1"/>
      <c r="AD211" s="1"/>
      <c r="AE211" s="964"/>
      <c r="AO211" s="1"/>
      <c r="AR211" s="1"/>
      <c r="AS211" s="1"/>
      <c r="AV211" s="1"/>
      <c r="AW211" s="1"/>
      <c r="AX211" s="1"/>
      <c r="AY211" s="1"/>
      <c r="CN211" s="1"/>
      <c r="CO211" s="1"/>
      <c r="DH211" s="1"/>
      <c r="DJ211" s="1"/>
      <c r="DK211" s="1"/>
    </row>
    <row r="212" spans="4:134" x14ac:dyDescent="0.25">
      <c r="D212" s="495"/>
      <c r="Y212" s="597"/>
      <c r="Z212" s="1"/>
      <c r="AA212" s="1"/>
      <c r="AB212" s="1"/>
      <c r="AC212" s="1"/>
      <c r="AD212" s="1"/>
      <c r="AS212" s="1"/>
      <c r="AV212" s="1"/>
      <c r="CN212" s="1"/>
      <c r="DH212" s="1"/>
      <c r="DJ212" s="1"/>
      <c r="DK212" s="1"/>
    </row>
    <row r="213" spans="4:134" x14ac:dyDescent="0.25">
      <c r="D213" s="495"/>
      <c r="Y213" s="597"/>
      <c r="AA213" s="1"/>
      <c r="AN213" s="1"/>
      <c r="AV213" s="1"/>
    </row>
    <row r="214" spans="4:134" x14ac:dyDescent="0.25">
      <c r="D214" s="495"/>
      <c r="Y214" s="597"/>
      <c r="AN214" s="1"/>
      <c r="AV214" s="1"/>
      <c r="CN214" s="1"/>
    </row>
    <row r="215" spans="4:134" ht="1.5" customHeight="1" x14ac:dyDescent="0.25">
      <c r="D215" s="495"/>
      <c r="Y215" s="597"/>
      <c r="AA215" s="1"/>
      <c r="AC215" s="1"/>
    </row>
    <row r="216" spans="4:134" x14ac:dyDescent="0.25">
      <c r="D216" s="495"/>
      <c r="Y216" s="597"/>
      <c r="AC216" s="1"/>
    </row>
    <row r="217" spans="4:134" x14ac:dyDescent="0.25">
      <c r="AA217" s="1"/>
    </row>
  </sheetData>
  <mergeCells count="235">
    <mergeCell ref="AH1:AH3"/>
    <mergeCell ref="AI1:AI3"/>
    <mergeCell ref="AJ1:AJ3"/>
    <mergeCell ref="AK1:AK3"/>
    <mergeCell ref="P2:R2"/>
    <mergeCell ref="S2:U2"/>
    <mergeCell ref="V2:X2"/>
    <mergeCell ref="AD1:AD3"/>
    <mergeCell ref="AE1:AE3"/>
    <mergeCell ref="AF1:AF3"/>
    <mergeCell ref="AG1:AG3"/>
    <mergeCell ref="A2:A3"/>
    <mergeCell ref="B2:B3"/>
    <mergeCell ref="C2:C3"/>
    <mergeCell ref="D2:D3"/>
    <mergeCell ref="E2:E3"/>
    <mergeCell ref="F2:F3"/>
    <mergeCell ref="C1:F1"/>
    <mergeCell ref="J4:J9"/>
    <mergeCell ref="K4:K9"/>
    <mergeCell ref="L4:L9"/>
    <mergeCell ref="G10:G16"/>
    <mergeCell ref="J10:J16"/>
    <mergeCell ref="K10:K16"/>
    <mergeCell ref="L10:L16"/>
    <mergeCell ref="G17:G21"/>
    <mergeCell ref="M2:O2"/>
    <mergeCell ref="J27:J29"/>
    <mergeCell ref="K27:K29"/>
    <mergeCell ref="L27:L29"/>
    <mergeCell ref="B30:B33"/>
    <mergeCell ref="G30:G33"/>
    <mergeCell ref="J30:J33"/>
    <mergeCell ref="K30:K33"/>
    <mergeCell ref="L30:L33"/>
    <mergeCell ref="J17:J21"/>
    <mergeCell ref="K17:K21"/>
    <mergeCell ref="L17:L21"/>
    <mergeCell ref="G22:G23"/>
    <mergeCell ref="J22:J23"/>
    <mergeCell ref="G24:G26"/>
    <mergeCell ref="J24:J26"/>
    <mergeCell ref="K24:K26"/>
    <mergeCell ref="L24:L26"/>
    <mergeCell ref="B34:E34"/>
    <mergeCell ref="A35:A66"/>
    <mergeCell ref="G35:G37"/>
    <mergeCell ref="G38:G43"/>
    <mergeCell ref="G44:G47"/>
    <mergeCell ref="G48:G52"/>
    <mergeCell ref="G53:G55"/>
    <mergeCell ref="G61:G66"/>
    <mergeCell ref="G27:G29"/>
    <mergeCell ref="A4:A33"/>
    <mergeCell ref="G4:G9"/>
    <mergeCell ref="G56:G57"/>
    <mergeCell ref="G58:G59"/>
    <mergeCell ref="J58:J59"/>
    <mergeCell ref="K58:K59"/>
    <mergeCell ref="L58:L59"/>
    <mergeCell ref="J48:J49"/>
    <mergeCell ref="K48:K49"/>
    <mergeCell ref="L48:L49"/>
    <mergeCell ref="J50:J52"/>
    <mergeCell ref="K50:K52"/>
    <mergeCell ref="L50:L52"/>
    <mergeCell ref="J63:J64"/>
    <mergeCell ref="K63:K64"/>
    <mergeCell ref="L63:L64"/>
    <mergeCell ref="J65:J66"/>
    <mergeCell ref="K65:K66"/>
    <mergeCell ref="L65:L66"/>
    <mergeCell ref="J54:J55"/>
    <mergeCell ref="K54:K55"/>
    <mergeCell ref="L54:L55"/>
    <mergeCell ref="B67:E67"/>
    <mergeCell ref="A68:A103"/>
    <mergeCell ref="G68:G73"/>
    <mergeCell ref="J69:J70"/>
    <mergeCell ref="K69:K70"/>
    <mergeCell ref="L69:L70"/>
    <mergeCell ref="J72:J73"/>
    <mergeCell ref="K72:K73"/>
    <mergeCell ref="L72:L73"/>
    <mergeCell ref="G74:G76"/>
    <mergeCell ref="J74:J76"/>
    <mergeCell ref="K74:K76"/>
    <mergeCell ref="L74:L76"/>
    <mergeCell ref="G77:G88"/>
    <mergeCell ref="J77:J78"/>
    <mergeCell ref="K77:K78"/>
    <mergeCell ref="L77:L78"/>
    <mergeCell ref="J81:J82"/>
    <mergeCell ref="K81:K82"/>
    <mergeCell ref="L81:L82"/>
    <mergeCell ref="J87:J88"/>
    <mergeCell ref="K87:K88"/>
    <mergeCell ref="L87:L88"/>
    <mergeCell ref="G89:G92"/>
    <mergeCell ref="J89:J92"/>
    <mergeCell ref="K89:K92"/>
    <mergeCell ref="L89:L92"/>
    <mergeCell ref="J83:J84"/>
    <mergeCell ref="K83:K84"/>
    <mergeCell ref="L83:L84"/>
    <mergeCell ref="J85:J86"/>
    <mergeCell ref="K85:K86"/>
    <mergeCell ref="L85:L86"/>
    <mergeCell ref="G93:G94"/>
    <mergeCell ref="G95:G98"/>
    <mergeCell ref="J97:J98"/>
    <mergeCell ref="K97:K98"/>
    <mergeCell ref="L97:L98"/>
    <mergeCell ref="B99:B100"/>
    <mergeCell ref="C99:C100"/>
    <mergeCell ref="D99:D100"/>
    <mergeCell ref="E99:E100"/>
    <mergeCell ref="F99:F100"/>
    <mergeCell ref="G99:G100"/>
    <mergeCell ref="G101:G103"/>
    <mergeCell ref="B104:F104"/>
    <mergeCell ref="A106:A128"/>
    <mergeCell ref="G106:G114"/>
    <mergeCell ref="J107:J108"/>
    <mergeCell ref="E115:E117"/>
    <mergeCell ref="F115:F117"/>
    <mergeCell ref="G124:G127"/>
    <mergeCell ref="M115:M117"/>
    <mergeCell ref="P115:P117"/>
    <mergeCell ref="M118:M121"/>
    <mergeCell ref="P118:P121"/>
    <mergeCell ref="M122:M123"/>
    <mergeCell ref="P122:P123"/>
    <mergeCell ref="K107:K108"/>
    <mergeCell ref="L107:L108"/>
    <mergeCell ref="J111:J112"/>
    <mergeCell ref="K111:K112"/>
    <mergeCell ref="L111:L112"/>
    <mergeCell ref="J113:J114"/>
    <mergeCell ref="K113:K114"/>
    <mergeCell ref="L113:L114"/>
    <mergeCell ref="M124:M125"/>
    <mergeCell ref="O124:O125"/>
    <mergeCell ref="P124:P125"/>
    <mergeCell ref="B129:F129"/>
    <mergeCell ref="A130:A194"/>
    <mergeCell ref="G130:G131"/>
    <mergeCell ref="G132:G176"/>
    <mergeCell ref="J139:J140"/>
    <mergeCell ref="K139:K140"/>
    <mergeCell ref="L139:L140"/>
    <mergeCell ref="J145:J147"/>
    <mergeCell ref="K145:K147"/>
    <mergeCell ref="L145:L147"/>
    <mergeCell ref="J148:J149"/>
    <mergeCell ref="K148:K149"/>
    <mergeCell ref="L148:L149"/>
    <mergeCell ref="J141:J142"/>
    <mergeCell ref="K141:K142"/>
    <mergeCell ref="L141:L142"/>
    <mergeCell ref="J143:J144"/>
    <mergeCell ref="K143:K144"/>
    <mergeCell ref="L143:L144"/>
    <mergeCell ref="J155:J157"/>
    <mergeCell ref="K155:K157"/>
    <mergeCell ref="L155:L157"/>
    <mergeCell ref="J158:J160"/>
    <mergeCell ref="K158:K160"/>
    <mergeCell ref="L158:L160"/>
    <mergeCell ref="J150:J151"/>
    <mergeCell ref="K150:K151"/>
    <mergeCell ref="L150:L151"/>
    <mergeCell ref="J152:J154"/>
    <mergeCell ref="K152:K154"/>
    <mergeCell ref="L152:L154"/>
    <mergeCell ref="K177:K184"/>
    <mergeCell ref="L177:L184"/>
    <mergeCell ref="J167:J169"/>
    <mergeCell ref="K167:K169"/>
    <mergeCell ref="L167:L169"/>
    <mergeCell ref="J170:J172"/>
    <mergeCell ref="K170:K172"/>
    <mergeCell ref="L170:L172"/>
    <mergeCell ref="J161:J163"/>
    <mergeCell ref="K161:K163"/>
    <mergeCell ref="L161:L163"/>
    <mergeCell ref="J164:J166"/>
    <mergeCell ref="K164:K166"/>
    <mergeCell ref="L164:L166"/>
    <mergeCell ref="C207:D207"/>
    <mergeCell ref="Y1:Y3"/>
    <mergeCell ref="Z1:Z3"/>
    <mergeCell ref="AA1:AA3"/>
    <mergeCell ref="AB1:AB3"/>
    <mergeCell ref="AC1:AC3"/>
    <mergeCell ref="G192:G193"/>
    <mergeCell ref="J192:J193"/>
    <mergeCell ref="K192:K193"/>
    <mergeCell ref="L192:L193"/>
    <mergeCell ref="B195:D195"/>
    <mergeCell ref="C197:E197"/>
    <mergeCell ref="G186:G190"/>
    <mergeCell ref="J187:J188"/>
    <mergeCell ref="K187:K188"/>
    <mergeCell ref="L187:L188"/>
    <mergeCell ref="J189:J190"/>
    <mergeCell ref="K189:K190"/>
    <mergeCell ref="L189:L190"/>
    <mergeCell ref="J173:J176"/>
    <mergeCell ref="K173:K176"/>
    <mergeCell ref="L173:L176"/>
    <mergeCell ref="G177:G184"/>
    <mergeCell ref="J177:J184"/>
    <mergeCell ref="AR1:AR3"/>
    <mergeCell ref="AS1:AS3"/>
    <mergeCell ref="AU1:AV2"/>
    <mergeCell ref="AW1:AX2"/>
    <mergeCell ref="AY1:AZ2"/>
    <mergeCell ref="BA1:BB2"/>
    <mergeCell ref="AL1:AL3"/>
    <mergeCell ref="AM1:AM3"/>
    <mergeCell ref="AN1:AN3"/>
    <mergeCell ref="AO1:AO3"/>
    <mergeCell ref="AP1:AP3"/>
    <mergeCell ref="AQ1:AQ3"/>
    <mergeCell ref="BO1:BP2"/>
    <mergeCell ref="BQ1:BR2"/>
    <mergeCell ref="CM1:CN2"/>
    <mergeCell ref="DI1:DJ2"/>
    <mergeCell ref="BC1:BD2"/>
    <mergeCell ref="BE1:BF2"/>
    <mergeCell ref="BG1:BH2"/>
    <mergeCell ref="BI1:BJ2"/>
    <mergeCell ref="BK1:BL2"/>
    <mergeCell ref="BM1:BN2"/>
  </mergeCells>
  <printOptions horizontalCentered="1" verticalCentered="1"/>
  <pageMargins left="0.35433070866141736" right="0.27559055118110237" top="0.9055118110236221" bottom="0.47244094488188981" header="0.59055118110236227" footer="0.27559055118110237"/>
  <pageSetup scale="60" orientation="landscape" r:id="rId1"/>
  <headerFooter>
    <oddHeader>&amp;C&amp;"-,Negrita"&amp;14UNIVERSIDAD SURCOLOMBIANA PLAN DE ACCIÓN  A 30 DE SEPTIEMBRE DE  2015
 RESOLUCION  204 DEL 14 DE SEPTIEMBRE DE 2015</oddHeader>
    <oddFooter>&amp;LUNIDAD DE PLANEAMIENTO ECONÓMICO Y ADMINISTRATIVO&amp;COFICINA DE PLANEACIÓN&amp;RPágina &amp;P de &amp;N</oddFooter>
  </headerFooter>
  <rowBreaks count="1" manualBreakCount="1">
    <brk id="38" max="16383"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O282"/>
  <sheetViews>
    <sheetView tabSelected="1" topLeftCell="Y1" zoomScaleNormal="100" zoomScalePageLayoutView="50" workbookViewId="0">
      <selection activeCell="EL203" sqref="EL203"/>
    </sheetView>
  </sheetViews>
  <sheetFormatPr baseColWidth="10" defaultRowHeight="15" x14ac:dyDescent="0.25"/>
  <cols>
    <col min="1" max="1" width="12.85546875" hidden="1" customWidth="1"/>
    <col min="2" max="2" width="27.42578125" hidden="1" customWidth="1"/>
    <col min="3" max="3" width="10.140625" customWidth="1"/>
    <col min="4" max="4" width="37.85546875" customWidth="1"/>
    <col min="5" max="5" width="11.42578125" customWidth="1"/>
    <col min="6" max="6" width="13" customWidth="1"/>
    <col min="7" max="7" width="14.28515625" hidden="1" customWidth="1"/>
    <col min="8" max="8" width="13.5703125" hidden="1" customWidth="1"/>
    <col min="9" max="9" width="13.7109375" hidden="1" customWidth="1"/>
    <col min="10" max="10" width="14.42578125" hidden="1" customWidth="1"/>
    <col min="11" max="11" width="14.5703125" hidden="1" customWidth="1"/>
    <col min="12" max="12" width="15" hidden="1" customWidth="1"/>
    <col min="13" max="13" width="11.7109375" hidden="1" customWidth="1"/>
    <col min="14" max="14" width="12.140625" hidden="1" customWidth="1"/>
    <col min="15" max="15" width="12.7109375" hidden="1" customWidth="1"/>
    <col min="16" max="16" width="11.5703125" hidden="1" customWidth="1"/>
    <col min="17" max="17" width="11.42578125" hidden="1" customWidth="1"/>
    <col min="18" max="18" width="12.42578125" hidden="1" customWidth="1"/>
    <col min="19" max="24" width="14.28515625" hidden="1" customWidth="1"/>
    <col min="25" max="25" width="16.140625" customWidth="1"/>
    <col min="26" max="26" width="13.28515625" hidden="1" customWidth="1"/>
    <col min="27" max="28" width="13.42578125" hidden="1" customWidth="1"/>
    <col min="29" max="29" width="14.42578125" hidden="1" customWidth="1"/>
    <col min="30" max="30" width="12.7109375" hidden="1" customWidth="1"/>
    <col min="31" max="31" width="13.7109375" hidden="1" customWidth="1"/>
    <col min="32" max="32" width="14.7109375" hidden="1" customWidth="1"/>
    <col min="33" max="33" width="12.85546875" hidden="1" customWidth="1"/>
    <col min="34" max="34" width="11.85546875" hidden="1" customWidth="1"/>
    <col min="35" max="35" width="11.42578125" hidden="1" customWidth="1"/>
    <col min="36" max="36" width="10.7109375" hidden="1" customWidth="1"/>
    <col min="37" max="37" width="12.42578125" hidden="1" customWidth="1"/>
    <col min="38" max="38" width="13.5703125" hidden="1" customWidth="1"/>
    <col min="39" max="39" width="14.42578125" hidden="1" customWidth="1"/>
    <col min="40" max="40" width="14.140625" hidden="1" customWidth="1"/>
    <col min="41" max="41" width="12.5703125" hidden="1" customWidth="1"/>
    <col min="42" max="42" width="14" hidden="1" customWidth="1"/>
    <col min="43" max="43" width="12.28515625" hidden="1" customWidth="1"/>
    <col min="44" max="44" width="12" hidden="1" customWidth="1"/>
    <col min="45" max="45" width="14.42578125" hidden="1" customWidth="1"/>
    <col min="46" max="46" width="1.140625" customWidth="1"/>
    <col min="47" max="47" width="12.5703125" customWidth="1"/>
    <col min="48" max="48" width="16.7109375" customWidth="1"/>
    <col min="49" max="49" width="15.5703125" hidden="1" customWidth="1"/>
    <col min="50" max="51" width="13.5703125" hidden="1" customWidth="1"/>
    <col min="52" max="52" width="14" hidden="1" customWidth="1"/>
    <col min="53" max="53" width="17.28515625" hidden="1" customWidth="1"/>
    <col min="54" max="54" width="16.140625" hidden="1" customWidth="1"/>
    <col min="55" max="56" width="15" hidden="1" customWidth="1"/>
    <col min="57" max="57" width="11.7109375" hidden="1" customWidth="1"/>
    <col min="58" max="58" width="13.28515625" hidden="1" customWidth="1"/>
    <col min="59" max="59" width="12.5703125" hidden="1" customWidth="1"/>
    <col min="60" max="60" width="14.42578125" hidden="1" customWidth="1"/>
    <col min="61" max="61" width="14.140625" hidden="1" customWidth="1"/>
    <col min="62" max="62" width="13.28515625" hidden="1" customWidth="1"/>
    <col min="63" max="63" width="13.5703125" hidden="1" customWidth="1"/>
    <col min="64" max="64" width="13.42578125" hidden="1" customWidth="1"/>
    <col min="65" max="65" width="17.7109375" hidden="1" customWidth="1"/>
    <col min="66" max="66" width="14.85546875" hidden="1" customWidth="1"/>
    <col min="67" max="67" width="15.5703125" hidden="1" customWidth="1"/>
    <col min="68" max="68" width="13.85546875" hidden="1" customWidth="1"/>
    <col min="69" max="69" width="10.85546875" customWidth="1"/>
    <col min="70" max="70" width="16.5703125" customWidth="1"/>
    <col min="71" max="71" width="15.85546875" hidden="1" customWidth="1"/>
    <col min="72" max="73" width="14" hidden="1" customWidth="1"/>
    <col min="74" max="74" width="15.140625" hidden="1" customWidth="1"/>
    <col min="75" max="75" width="16.5703125" hidden="1" customWidth="1"/>
    <col min="76" max="76" width="13.5703125" hidden="1" customWidth="1"/>
    <col min="77" max="78" width="13.85546875" hidden="1" customWidth="1"/>
    <col min="79" max="80" width="12.28515625" hidden="1" customWidth="1"/>
    <col min="81" max="81" width="11.140625" hidden="1" customWidth="1"/>
    <col min="82" max="82" width="12.5703125" hidden="1" customWidth="1"/>
    <col min="83" max="83" width="13.5703125" hidden="1" customWidth="1"/>
    <col min="84" max="84" width="15.140625" hidden="1" customWidth="1"/>
    <col min="85" max="85" width="13.85546875" hidden="1" customWidth="1"/>
    <col min="86" max="86" width="15" hidden="1" customWidth="1"/>
    <col min="87" max="87" width="13.42578125" hidden="1" customWidth="1"/>
    <col min="88" max="88" width="13.5703125" hidden="1" customWidth="1"/>
    <col min="89" max="89" width="13.7109375" hidden="1" customWidth="1"/>
    <col min="90" max="90" width="14" hidden="1" customWidth="1"/>
    <col min="91" max="91" width="12" customWidth="1"/>
    <col min="92" max="92" width="16.5703125" customWidth="1"/>
    <col min="93" max="93" width="14.42578125" hidden="1" customWidth="1"/>
    <col min="94" max="95" width="12.28515625" hidden="1" customWidth="1"/>
    <col min="96" max="96" width="13.28515625" hidden="1" customWidth="1"/>
    <col min="97" max="97" width="14" hidden="1" customWidth="1"/>
    <col min="98" max="98" width="15.42578125" hidden="1" customWidth="1"/>
    <col min="99" max="99" width="15.28515625" hidden="1" customWidth="1"/>
    <col min="100" max="100" width="12.42578125" hidden="1" customWidth="1"/>
    <col min="101" max="101" width="11.7109375" hidden="1" customWidth="1"/>
    <col min="102" max="102" width="13.42578125" hidden="1" customWidth="1"/>
    <col min="103" max="103" width="11.42578125" hidden="1" customWidth="1"/>
    <col min="104" max="104" width="15.7109375" hidden="1" customWidth="1"/>
    <col min="105" max="105" width="16.28515625" hidden="1" customWidth="1"/>
    <col min="106" max="106" width="16.5703125" hidden="1" customWidth="1"/>
    <col min="107" max="107" width="17.140625" hidden="1" customWidth="1"/>
    <col min="108" max="108" width="13" hidden="1" customWidth="1"/>
    <col min="109" max="109" width="14.28515625" hidden="1" customWidth="1"/>
    <col min="110" max="110" width="13.7109375" hidden="1" customWidth="1"/>
    <col min="111" max="111" width="12.28515625" hidden="1" customWidth="1"/>
    <col min="112" max="112" width="13.42578125" hidden="1" customWidth="1"/>
    <col min="113" max="113" width="12.28515625" customWidth="1"/>
    <col min="114" max="114" width="15" customWidth="1"/>
    <col min="115" max="115" width="16" hidden="1" customWidth="1"/>
    <col min="116" max="117" width="13.7109375" hidden="1" customWidth="1"/>
    <col min="118" max="118" width="14.42578125" hidden="1" customWidth="1"/>
    <col min="119" max="119" width="15.5703125" hidden="1" customWidth="1"/>
    <col min="120" max="122" width="13.5703125" hidden="1" customWidth="1"/>
    <col min="123" max="124" width="13.85546875" hidden="1" customWidth="1"/>
    <col min="125" max="125" width="11.42578125" hidden="1" customWidth="1"/>
    <col min="126" max="126" width="13.7109375" hidden="1" customWidth="1"/>
    <col min="127" max="127" width="13.85546875" hidden="1" customWidth="1"/>
    <col min="128" max="128" width="12.28515625" hidden="1" customWidth="1"/>
    <col min="129" max="129" width="13.85546875" hidden="1" customWidth="1"/>
    <col min="130" max="130" width="16.5703125" hidden="1" customWidth="1"/>
    <col min="131" max="131" width="14.42578125" hidden="1" customWidth="1"/>
    <col min="132" max="133" width="14.85546875" hidden="1" customWidth="1"/>
    <col min="134" max="134" width="13.5703125" hidden="1" customWidth="1"/>
    <col min="135" max="136" width="11.42578125" customWidth="1"/>
    <col min="141" max="141" width="15.28515625" customWidth="1"/>
    <col min="142" max="142" width="14.85546875" customWidth="1"/>
  </cols>
  <sheetData>
    <row r="1" spans="1:134" ht="18" customHeight="1" x14ac:dyDescent="0.3">
      <c r="C1" s="1412"/>
      <c r="D1" s="1413"/>
      <c r="E1" s="1413"/>
      <c r="F1" s="1414"/>
      <c r="G1" s="1120"/>
      <c r="H1" s="1120"/>
      <c r="I1" s="1120"/>
      <c r="J1" s="1120"/>
      <c r="K1" s="1120"/>
      <c r="L1" s="1120"/>
      <c r="M1" s="1072"/>
      <c r="N1" s="1072"/>
      <c r="O1" s="1072"/>
      <c r="P1" s="1120"/>
      <c r="Q1" s="1120"/>
      <c r="R1" s="1120"/>
      <c r="S1" s="1120"/>
      <c r="T1" s="1120"/>
      <c r="U1" s="1120"/>
      <c r="V1" s="1120"/>
      <c r="W1" s="1120"/>
      <c r="X1" s="1120"/>
      <c r="Y1" s="1621" t="s">
        <v>3333</v>
      </c>
      <c r="Z1" s="1621" t="s">
        <v>3333</v>
      </c>
      <c r="AA1" s="1621" t="s">
        <v>3333</v>
      </c>
      <c r="AB1" s="1621" t="s">
        <v>3333</v>
      </c>
      <c r="AC1" s="1621" t="s">
        <v>3333</v>
      </c>
      <c r="AD1" s="1621" t="s">
        <v>3333</v>
      </c>
      <c r="AE1" s="1621" t="s">
        <v>3333</v>
      </c>
      <c r="AF1" s="1621" t="s">
        <v>3333</v>
      </c>
      <c r="AG1" s="1621" t="s">
        <v>3333</v>
      </c>
      <c r="AH1" s="1621" t="s">
        <v>3333</v>
      </c>
      <c r="AI1" s="1621" t="s">
        <v>3333</v>
      </c>
      <c r="AJ1" s="1621" t="s">
        <v>3333</v>
      </c>
      <c r="AK1" s="1621" t="s">
        <v>3333</v>
      </c>
      <c r="AL1" s="1621" t="s">
        <v>3333</v>
      </c>
      <c r="AM1" s="1621" t="s">
        <v>3333</v>
      </c>
      <c r="AN1" s="1621" t="s">
        <v>3333</v>
      </c>
      <c r="AO1" s="1621" t="s">
        <v>3333</v>
      </c>
      <c r="AP1" s="1621" t="s">
        <v>3333</v>
      </c>
      <c r="AQ1" s="1621" t="s">
        <v>3333</v>
      </c>
      <c r="AR1" s="1621" t="s">
        <v>3333</v>
      </c>
      <c r="AS1" s="1621" t="s">
        <v>3333</v>
      </c>
      <c r="AU1" s="1612" t="s">
        <v>4976</v>
      </c>
      <c r="AV1" s="1612"/>
      <c r="AW1" s="1612" t="s">
        <v>4976</v>
      </c>
      <c r="AX1" s="1612"/>
      <c r="AY1" s="1612" t="s">
        <v>4976</v>
      </c>
      <c r="AZ1" s="1612"/>
      <c r="BA1" s="1612" t="s">
        <v>4976</v>
      </c>
      <c r="BB1" s="1612"/>
      <c r="BC1" s="1612" t="s">
        <v>4976</v>
      </c>
      <c r="BD1" s="1612"/>
      <c r="BE1" s="1612" t="s">
        <v>4976</v>
      </c>
      <c r="BF1" s="1612"/>
      <c r="BG1" s="1612" t="s">
        <v>4976</v>
      </c>
      <c r="BH1" s="1612"/>
      <c r="BI1" s="1612" t="s">
        <v>4976</v>
      </c>
      <c r="BJ1" s="1612"/>
      <c r="BK1" s="1612" t="s">
        <v>4976</v>
      </c>
      <c r="BL1" s="1612"/>
      <c r="BM1" s="1612" t="s">
        <v>4976</v>
      </c>
      <c r="BN1" s="1612"/>
      <c r="BO1" s="1612" t="s">
        <v>4976</v>
      </c>
      <c r="BP1" s="1612"/>
      <c r="BQ1" s="1613" t="s">
        <v>4977</v>
      </c>
      <c r="BR1" s="1614"/>
      <c r="BS1" s="1013"/>
      <c r="BT1" s="1136" t="s">
        <v>3400</v>
      </c>
      <c r="BU1" s="1137"/>
      <c r="BV1" s="1137"/>
      <c r="BW1" s="1137"/>
      <c r="BX1" s="1137"/>
      <c r="BY1" s="1137"/>
      <c r="BZ1" s="1137"/>
      <c r="CA1" s="1137"/>
      <c r="CB1" s="1137"/>
      <c r="CC1" s="1137"/>
      <c r="CD1" s="1137"/>
      <c r="CE1" s="1137"/>
      <c r="CF1" s="1137"/>
      <c r="CG1" s="1137"/>
      <c r="CH1" s="1137"/>
      <c r="CI1" s="1137"/>
      <c r="CJ1" s="1137"/>
      <c r="CK1" s="1137"/>
      <c r="CL1" s="1137"/>
      <c r="CM1" s="1612" t="s">
        <v>4978</v>
      </c>
      <c r="CN1" s="1612"/>
      <c r="CO1" s="1137"/>
      <c r="CP1" s="1137"/>
      <c r="CQ1" s="1137"/>
      <c r="CR1" s="1137"/>
      <c r="CS1" s="1137"/>
      <c r="CT1" s="1137"/>
      <c r="CU1" s="1137"/>
      <c r="CV1" s="1137"/>
      <c r="CW1" s="1137"/>
      <c r="CX1" s="1137"/>
      <c r="CY1" s="1137"/>
      <c r="CZ1" s="1137"/>
      <c r="DA1" s="1137"/>
      <c r="DB1" s="1137"/>
      <c r="DC1" s="1137"/>
      <c r="DD1" s="1137"/>
      <c r="DE1" s="1137"/>
      <c r="DF1" s="1137"/>
      <c r="DG1" s="1137"/>
      <c r="DH1" s="1138"/>
      <c r="DI1" s="1617" t="s">
        <v>4979</v>
      </c>
      <c r="DJ1" s="1618"/>
      <c r="DK1" s="1137"/>
      <c r="DL1" s="1137"/>
      <c r="DM1" s="1137"/>
      <c r="DN1" s="1137"/>
      <c r="DO1" s="1137"/>
      <c r="DP1" s="1137"/>
      <c r="DQ1" s="1137"/>
      <c r="DR1" s="1137"/>
      <c r="DS1" s="1137"/>
      <c r="DT1" s="1137"/>
      <c r="DU1" s="1137"/>
      <c r="DV1" s="1137"/>
      <c r="DW1" s="1137"/>
      <c r="DX1" s="1137"/>
      <c r="DY1" s="1137"/>
      <c r="DZ1" s="1137"/>
      <c r="EA1" s="1137"/>
      <c r="EB1" s="1137"/>
      <c r="EC1" s="1137"/>
      <c r="ED1" s="1137"/>
    </row>
    <row r="2" spans="1:134" ht="15.6" customHeight="1" x14ac:dyDescent="0.25">
      <c r="A2" s="1549" t="s">
        <v>4747</v>
      </c>
      <c r="B2" s="1550" t="s">
        <v>3139</v>
      </c>
      <c r="C2" s="1552" t="s">
        <v>1</v>
      </c>
      <c r="D2" s="1549" t="s">
        <v>4174</v>
      </c>
      <c r="E2" s="1554" t="s">
        <v>447</v>
      </c>
      <c r="F2" s="1550" t="s">
        <v>3347</v>
      </c>
      <c r="G2" s="1061"/>
      <c r="H2" s="1061"/>
      <c r="I2" s="1061"/>
      <c r="J2" s="1061"/>
      <c r="K2" s="1061"/>
      <c r="L2" s="1061"/>
      <c r="M2" s="1561" t="s">
        <v>4821</v>
      </c>
      <c r="N2" s="1561"/>
      <c r="O2" s="1561"/>
      <c r="P2" s="1561" t="s">
        <v>4822</v>
      </c>
      <c r="Q2" s="1561"/>
      <c r="R2" s="1561"/>
      <c r="S2" s="1561" t="s">
        <v>4823</v>
      </c>
      <c r="T2" s="1561"/>
      <c r="U2" s="1561"/>
      <c r="V2" s="1561" t="s">
        <v>4824</v>
      </c>
      <c r="W2" s="1561"/>
      <c r="X2" s="1561"/>
      <c r="Y2" s="1622"/>
      <c r="Z2" s="1622"/>
      <c r="AA2" s="1622"/>
      <c r="AB2" s="1622"/>
      <c r="AC2" s="1622"/>
      <c r="AD2" s="1622"/>
      <c r="AE2" s="1622"/>
      <c r="AF2" s="1622"/>
      <c r="AG2" s="1622"/>
      <c r="AH2" s="1622"/>
      <c r="AI2" s="1622"/>
      <c r="AJ2" s="1622"/>
      <c r="AK2" s="1622"/>
      <c r="AL2" s="1622"/>
      <c r="AM2" s="1622"/>
      <c r="AN2" s="1622"/>
      <c r="AO2" s="1622"/>
      <c r="AP2" s="1622"/>
      <c r="AQ2" s="1622"/>
      <c r="AR2" s="1622"/>
      <c r="AS2" s="1622"/>
      <c r="AU2" s="1612"/>
      <c r="AV2" s="1612"/>
      <c r="AW2" s="1612"/>
      <c r="AX2" s="1612"/>
      <c r="AY2" s="1612"/>
      <c r="AZ2" s="1612"/>
      <c r="BA2" s="1612"/>
      <c r="BB2" s="1612"/>
      <c r="BC2" s="1612"/>
      <c r="BD2" s="1612"/>
      <c r="BE2" s="1612"/>
      <c r="BF2" s="1612"/>
      <c r="BG2" s="1612"/>
      <c r="BH2" s="1612"/>
      <c r="BI2" s="1612"/>
      <c r="BJ2" s="1612"/>
      <c r="BK2" s="1612"/>
      <c r="BL2" s="1612"/>
      <c r="BM2" s="1612"/>
      <c r="BN2" s="1612"/>
      <c r="BO2" s="1612"/>
      <c r="BP2" s="1612"/>
      <c r="BQ2" s="1615"/>
      <c r="BR2" s="1616"/>
      <c r="BS2" s="1014"/>
      <c r="BT2" s="1014" t="s">
        <v>3402</v>
      </c>
      <c r="BU2" s="1139"/>
      <c r="BV2" s="1139"/>
      <c r="BW2" s="1139"/>
      <c r="BX2" s="1139"/>
      <c r="BY2" s="1139"/>
      <c r="BZ2" s="1139"/>
      <c r="CA2" s="1139"/>
      <c r="CB2" s="1139"/>
      <c r="CC2" s="1140"/>
      <c r="CD2" s="1014" t="s">
        <v>3402</v>
      </c>
      <c r="CE2" s="1139"/>
      <c r="CF2" s="1139"/>
      <c r="CG2" s="1139"/>
      <c r="CH2" s="1139"/>
      <c r="CI2" s="1139"/>
      <c r="CJ2" s="1139"/>
      <c r="CK2" s="1139"/>
      <c r="CL2" s="1140"/>
      <c r="CM2" s="1612"/>
      <c r="CN2" s="1612"/>
      <c r="CO2" s="1015"/>
      <c r="CP2" s="1141" t="s">
        <v>3401</v>
      </c>
      <c r="CQ2" s="967"/>
      <c r="CR2" s="967"/>
      <c r="CS2" s="967"/>
      <c r="CT2" s="967"/>
      <c r="CU2" s="967"/>
      <c r="CV2" s="967"/>
      <c r="CW2" s="967"/>
      <c r="CX2" s="967"/>
      <c r="CY2" s="967"/>
      <c r="CZ2" s="967"/>
      <c r="DA2" s="967"/>
      <c r="DB2" s="1141" t="s">
        <v>3401</v>
      </c>
      <c r="DC2" s="967"/>
      <c r="DD2" s="967"/>
      <c r="DE2" s="967"/>
      <c r="DF2" s="967"/>
      <c r="DG2" s="967"/>
      <c r="DH2" s="1142"/>
      <c r="DI2" s="1619"/>
      <c r="DJ2" s="1620"/>
      <c r="DK2" s="1139"/>
      <c r="DL2" s="1139"/>
      <c r="DM2" s="1139"/>
      <c r="DN2" s="1139"/>
      <c r="DO2" s="1139"/>
      <c r="DP2" s="1139"/>
      <c r="DQ2" s="1139"/>
      <c r="DR2" s="1139"/>
      <c r="DS2" s="1139"/>
      <c r="DT2" s="1139"/>
      <c r="DU2" s="1139"/>
      <c r="DV2" s="1139" t="s">
        <v>3402</v>
      </c>
      <c r="DW2" s="1139"/>
      <c r="DX2" s="1139"/>
      <c r="DY2" s="1139"/>
      <c r="DZ2" s="1139"/>
      <c r="EA2" s="1139"/>
      <c r="EB2" s="1139"/>
      <c r="EC2" s="1139"/>
      <c r="ED2" s="1140"/>
    </row>
    <row r="3" spans="1:134" ht="43.5" customHeight="1" x14ac:dyDescent="0.25">
      <c r="A3" s="1549"/>
      <c r="B3" s="1551"/>
      <c r="C3" s="1553"/>
      <c r="D3" s="1549"/>
      <c r="E3" s="1555"/>
      <c r="F3" s="1551"/>
      <c r="G3" s="1062" t="s">
        <v>4761</v>
      </c>
      <c r="H3" s="1062" t="s">
        <v>3401</v>
      </c>
      <c r="I3" s="1062" t="s">
        <v>4748</v>
      </c>
      <c r="J3" s="1062" t="s">
        <v>4749</v>
      </c>
      <c r="K3" s="1132" t="s">
        <v>4754</v>
      </c>
      <c r="L3" s="1132" t="s">
        <v>4750</v>
      </c>
      <c r="M3" s="1132" t="s">
        <v>4045</v>
      </c>
      <c r="N3" s="1132" t="s">
        <v>4048</v>
      </c>
      <c r="O3" s="1132" t="s">
        <v>4050</v>
      </c>
      <c r="P3" s="1132" t="s">
        <v>4045</v>
      </c>
      <c r="Q3" s="1132" t="s">
        <v>4048</v>
      </c>
      <c r="R3" s="1132" t="s">
        <v>4050</v>
      </c>
      <c r="S3" s="1062" t="s">
        <v>4045</v>
      </c>
      <c r="T3" s="1062" t="s">
        <v>4048</v>
      </c>
      <c r="U3" s="1062" t="s">
        <v>4050</v>
      </c>
      <c r="V3" s="1062" t="s">
        <v>4045</v>
      </c>
      <c r="W3" s="1062" t="s">
        <v>4048</v>
      </c>
      <c r="X3" s="1062" t="s">
        <v>4050</v>
      </c>
      <c r="Y3" s="1623"/>
      <c r="Z3" s="1623"/>
      <c r="AA3" s="1623"/>
      <c r="AB3" s="1623"/>
      <c r="AC3" s="1623"/>
      <c r="AD3" s="1623"/>
      <c r="AE3" s="1623"/>
      <c r="AF3" s="1623"/>
      <c r="AG3" s="1623"/>
      <c r="AH3" s="1623"/>
      <c r="AI3" s="1623"/>
      <c r="AJ3" s="1623"/>
      <c r="AK3" s="1623"/>
      <c r="AL3" s="1623"/>
      <c r="AM3" s="1623"/>
      <c r="AN3" s="1623"/>
      <c r="AO3" s="1623"/>
      <c r="AP3" s="1623"/>
      <c r="AQ3" s="1623"/>
      <c r="AR3" s="1623"/>
      <c r="AS3" s="1623"/>
      <c r="AU3" s="1134" t="s">
        <v>4293</v>
      </c>
      <c r="AV3" s="1134" t="s">
        <v>433</v>
      </c>
      <c r="AW3" s="1134" t="s">
        <v>4293</v>
      </c>
      <c r="AX3" s="1134" t="s">
        <v>433</v>
      </c>
      <c r="AY3" s="1134" t="s">
        <v>4293</v>
      </c>
      <c r="AZ3" s="1134" t="s">
        <v>433</v>
      </c>
      <c r="BA3" s="1134" t="s">
        <v>4293</v>
      </c>
      <c r="BB3" s="1134" t="s">
        <v>433</v>
      </c>
      <c r="BC3" s="1134" t="s">
        <v>4293</v>
      </c>
      <c r="BD3" s="1134" t="s">
        <v>433</v>
      </c>
      <c r="BE3" s="1134" t="s">
        <v>4293</v>
      </c>
      <c r="BF3" s="1134" t="s">
        <v>433</v>
      </c>
      <c r="BG3" s="1134" t="s">
        <v>4293</v>
      </c>
      <c r="BH3" s="1134" t="s">
        <v>433</v>
      </c>
      <c r="BI3" s="1134" t="s">
        <v>4293</v>
      </c>
      <c r="BJ3" s="1134" t="s">
        <v>433</v>
      </c>
      <c r="BK3" s="1134" t="s">
        <v>4293</v>
      </c>
      <c r="BL3" s="1134" t="s">
        <v>433</v>
      </c>
      <c r="BM3" s="1134" t="s">
        <v>4293</v>
      </c>
      <c r="BN3" s="1134" t="s">
        <v>433</v>
      </c>
      <c r="BO3" s="1134" t="s">
        <v>4293</v>
      </c>
      <c r="BP3" s="1134" t="s">
        <v>433</v>
      </c>
      <c r="BQ3" s="1135" t="s">
        <v>4293</v>
      </c>
      <c r="BR3" s="1135" t="s">
        <v>433</v>
      </c>
      <c r="BS3" s="982" t="s">
        <v>4684</v>
      </c>
      <c r="BT3" s="982" t="s">
        <v>4307</v>
      </c>
      <c r="BU3" s="982" t="s">
        <v>4721</v>
      </c>
      <c r="BV3" s="982" t="s">
        <v>4297</v>
      </c>
      <c r="BW3" s="982" t="s">
        <v>4689</v>
      </c>
      <c r="BX3" s="982" t="s">
        <v>3310</v>
      </c>
      <c r="BY3" s="982" t="s">
        <v>4317</v>
      </c>
      <c r="BZ3" s="982" t="s">
        <v>4687</v>
      </c>
      <c r="CA3" s="982" t="s">
        <v>3312</v>
      </c>
      <c r="CB3" s="982" t="s">
        <v>3313</v>
      </c>
      <c r="CC3" s="982" t="s">
        <v>3314</v>
      </c>
      <c r="CD3" s="982" t="s">
        <v>3315</v>
      </c>
      <c r="CE3" s="982" t="s">
        <v>3316</v>
      </c>
      <c r="CF3" s="982" t="s">
        <v>3317</v>
      </c>
      <c r="CG3" s="982" t="s">
        <v>3346</v>
      </c>
      <c r="CH3" s="982" t="str">
        <f>+BL3</f>
        <v>$</v>
      </c>
      <c r="CI3" s="982" t="s">
        <v>3318</v>
      </c>
      <c r="CJ3" s="982" t="s">
        <v>4707</v>
      </c>
      <c r="CK3" s="982" t="s">
        <v>4294</v>
      </c>
      <c r="CL3" s="982" t="s">
        <v>3319</v>
      </c>
      <c r="CM3" s="1134" t="s">
        <v>4293</v>
      </c>
      <c r="CN3" s="1134" t="s">
        <v>433</v>
      </c>
      <c r="CO3" s="965" t="s">
        <v>4684</v>
      </c>
      <c r="CP3" s="965" t="s">
        <v>4307</v>
      </c>
      <c r="CQ3" s="965" t="s">
        <v>4721</v>
      </c>
      <c r="CR3" s="965" t="s">
        <v>4297</v>
      </c>
      <c r="CS3" s="965" t="s">
        <v>4689</v>
      </c>
      <c r="CT3" s="965" t="s">
        <v>3310</v>
      </c>
      <c r="CU3" s="965" t="s">
        <v>4317</v>
      </c>
      <c r="CV3" s="965" t="s">
        <v>4687</v>
      </c>
      <c r="CW3" s="965" t="s">
        <v>3312</v>
      </c>
      <c r="CX3" s="965" t="s">
        <v>3313</v>
      </c>
      <c r="CY3" s="965" t="s">
        <v>3314</v>
      </c>
      <c r="CZ3" s="965" t="s">
        <v>3315</v>
      </c>
      <c r="DA3" s="965" t="s">
        <v>3316</v>
      </c>
      <c r="DB3" s="965" t="s">
        <v>3317</v>
      </c>
      <c r="DC3" s="965" t="s">
        <v>3346</v>
      </c>
      <c r="DD3" s="965" t="str">
        <f>+CH3</f>
        <v>$</v>
      </c>
      <c r="DE3" s="965" t="s">
        <v>3318</v>
      </c>
      <c r="DF3" s="965" t="s">
        <v>4707</v>
      </c>
      <c r="DG3" s="965" t="s">
        <v>4294</v>
      </c>
      <c r="DH3" s="965" t="s">
        <v>3319</v>
      </c>
      <c r="DI3" s="1135" t="s">
        <v>4293</v>
      </c>
      <c r="DJ3" s="1135" t="s">
        <v>433</v>
      </c>
      <c r="DK3" s="982" t="s">
        <v>4684</v>
      </c>
      <c r="DL3" s="982" t="s">
        <v>4307</v>
      </c>
      <c r="DM3" s="982" t="s">
        <v>4721</v>
      </c>
      <c r="DN3" s="982" t="s">
        <v>4297</v>
      </c>
      <c r="DO3" s="982" t="s">
        <v>4689</v>
      </c>
      <c r="DP3" s="982" t="s">
        <v>3310</v>
      </c>
      <c r="DQ3" s="982" t="s">
        <v>4317</v>
      </c>
      <c r="DR3" s="982" t="s">
        <v>4687</v>
      </c>
      <c r="DS3" s="982" t="s">
        <v>3312</v>
      </c>
      <c r="DT3" s="982" t="s">
        <v>3313</v>
      </c>
      <c r="DU3" s="982" t="s">
        <v>3314</v>
      </c>
      <c r="DV3" s="982" t="s">
        <v>3315</v>
      </c>
      <c r="DW3" s="982" t="s">
        <v>3316</v>
      </c>
      <c r="DX3" s="982" t="s">
        <v>3317</v>
      </c>
      <c r="DY3" s="982" t="s">
        <v>3346</v>
      </c>
      <c r="DZ3" s="980" t="str">
        <f>+DD3</f>
        <v>$</v>
      </c>
      <c r="EA3" s="982" t="s">
        <v>3318</v>
      </c>
      <c r="EB3" s="982" t="s">
        <v>4707</v>
      </c>
      <c r="EC3" s="982" t="s">
        <v>4294</v>
      </c>
      <c r="ED3" s="982" t="s">
        <v>3319</v>
      </c>
    </row>
    <row r="4" spans="1:134" ht="70.5" hidden="1" customHeight="1" x14ac:dyDescent="0.25">
      <c r="A4" s="1564" t="s">
        <v>4751</v>
      </c>
      <c r="B4" s="1017" t="s">
        <v>4298</v>
      </c>
      <c r="C4" s="1114" t="s">
        <v>4397</v>
      </c>
      <c r="D4" s="1018" t="s">
        <v>4562</v>
      </c>
      <c r="E4" s="1019">
        <v>510</v>
      </c>
      <c r="F4" s="1117" t="s">
        <v>4660</v>
      </c>
      <c r="G4" s="1428">
        <v>100000000</v>
      </c>
      <c r="H4" s="1060">
        <f t="shared" ref="H4:H33" si="0">+CN4</f>
        <v>6000000</v>
      </c>
      <c r="I4" s="1060">
        <f t="shared" ref="I4:I33" si="1">Y4-H4</f>
        <v>9000000</v>
      </c>
      <c r="J4" s="1428" t="s">
        <v>4758</v>
      </c>
      <c r="K4" s="1257" t="s">
        <v>4753</v>
      </c>
      <c r="L4" s="1257" t="s">
        <v>4759</v>
      </c>
      <c r="M4" s="1113">
        <v>14</v>
      </c>
      <c r="N4" s="1113">
        <v>43</v>
      </c>
      <c r="O4" s="1113">
        <v>6</v>
      </c>
      <c r="P4" s="1113">
        <v>0</v>
      </c>
      <c r="Q4" s="1113">
        <v>68</v>
      </c>
      <c r="R4" s="1113">
        <v>0</v>
      </c>
      <c r="S4" s="1117"/>
      <c r="T4" s="1117"/>
      <c r="U4" s="1117"/>
      <c r="V4" s="1069"/>
      <c r="W4" s="1069"/>
      <c r="X4" s="1069"/>
      <c r="Y4" s="1007">
        <f t="shared" ref="Y4:Y33" si="2">SUM(Z4:AS4)</f>
        <v>15000000</v>
      </c>
      <c r="Z4" s="1007"/>
      <c r="AA4" s="1007"/>
      <c r="AB4" s="1007"/>
      <c r="AC4" s="1007"/>
      <c r="AD4" s="1007"/>
      <c r="AE4" s="1007"/>
      <c r="AF4" s="1007"/>
      <c r="AG4" s="1007"/>
      <c r="AH4" s="1007"/>
      <c r="AI4" s="1007"/>
      <c r="AJ4" s="1007"/>
      <c r="AK4" s="1007"/>
      <c r="AL4" s="1007"/>
      <c r="AM4" s="1007">
        <v>15000000</v>
      </c>
      <c r="AN4" s="1007"/>
      <c r="AO4" s="1007"/>
      <c r="AP4" s="1007"/>
      <c r="AQ4" s="1007"/>
      <c r="AR4" s="1007"/>
      <c r="AS4" s="1007"/>
      <c r="AT4" s="983"/>
      <c r="AU4" s="1010">
        <f t="shared" ref="AU4:AU67" si="3">+AV4/Y4</f>
        <v>0.4</v>
      </c>
      <c r="AV4" s="1007">
        <f t="shared" ref="AV4:AV33" si="4">SUM(AW4:BP4)</f>
        <v>6000000</v>
      </c>
      <c r="AW4" s="1012"/>
      <c r="AX4" s="218"/>
      <c r="AY4" s="218"/>
      <c r="AZ4" s="218"/>
      <c r="BA4" s="218"/>
      <c r="BB4" s="149"/>
      <c r="BC4" s="149"/>
      <c r="BD4" s="149"/>
      <c r="BE4" s="149"/>
      <c r="BF4" s="149"/>
      <c r="BG4" s="149"/>
      <c r="BH4" s="149"/>
      <c r="BI4" s="149"/>
      <c r="BJ4" s="149">
        <f>+'[7]AGOSTO 2015'!$W$1944</f>
        <v>6000000</v>
      </c>
      <c r="BK4" s="149"/>
      <c r="BL4" s="149"/>
      <c r="BM4" s="149"/>
      <c r="BN4" s="149"/>
      <c r="BO4" s="149"/>
      <c r="BP4" s="149"/>
      <c r="BQ4" s="1010">
        <f t="shared" ref="BQ4:BQ20" si="5">1-AU4</f>
        <v>0.6</v>
      </c>
      <c r="BR4" s="1007">
        <f t="shared" ref="BR4:BR33" si="6">SUM(BS4:CL4)</f>
        <v>9000000</v>
      </c>
      <c r="BS4" s="1007">
        <f t="shared" ref="BS4:BS33" si="7">+Z4-AW4</f>
        <v>0</v>
      </c>
      <c r="BT4" s="1007">
        <f t="shared" ref="BT4:BT18" si="8">+AA4</f>
        <v>0</v>
      </c>
      <c r="BU4" s="1007"/>
      <c r="BV4" s="1007">
        <f t="shared" ref="BV4:BV33" si="9">AC4-AZ4</f>
        <v>0</v>
      </c>
      <c r="BW4" s="1007"/>
      <c r="BX4" s="1007">
        <f t="shared" ref="BX4:BY33" si="10">+AE4-BB4</f>
        <v>0</v>
      </c>
      <c r="BY4" s="1007">
        <f t="shared" si="10"/>
        <v>0</v>
      </c>
      <c r="BZ4" s="1007"/>
      <c r="CA4" s="1007">
        <f t="shared" ref="CA4:CJ19" si="11">+AH4-BE4</f>
        <v>0</v>
      </c>
      <c r="CB4" s="1007">
        <f t="shared" si="11"/>
        <v>0</v>
      </c>
      <c r="CC4" s="1007">
        <f t="shared" si="11"/>
        <v>0</v>
      </c>
      <c r="CD4" s="1007">
        <f t="shared" si="11"/>
        <v>0</v>
      </c>
      <c r="CE4" s="1007">
        <f t="shared" si="11"/>
        <v>0</v>
      </c>
      <c r="CF4" s="1007">
        <f t="shared" si="11"/>
        <v>9000000</v>
      </c>
      <c r="CG4" s="1007">
        <f t="shared" si="11"/>
        <v>0</v>
      </c>
      <c r="CH4" s="1007">
        <f t="shared" si="11"/>
        <v>0</v>
      </c>
      <c r="CI4" s="1007">
        <f t="shared" si="11"/>
        <v>0</v>
      </c>
      <c r="CJ4" s="1007">
        <f t="shared" si="11"/>
        <v>0</v>
      </c>
      <c r="CK4" s="1007"/>
      <c r="CL4" s="1007">
        <f t="shared" ref="CL4:CL33" si="12">+AS4-BP4</f>
        <v>0</v>
      </c>
      <c r="CM4" s="1010">
        <f t="shared" ref="CM4:CM67" si="13">+CN4/Y4</f>
        <v>0.4</v>
      </c>
      <c r="CN4" s="1007">
        <f t="shared" ref="CN4:CN33" si="14">SUM(CO4:DH4)</f>
        <v>6000000</v>
      </c>
      <c r="CO4" s="1007"/>
      <c r="CP4" s="1007"/>
      <c r="CQ4" s="1007"/>
      <c r="CR4" s="1007"/>
      <c r="CS4" s="1007"/>
      <c r="CT4" s="1007"/>
      <c r="CU4" s="1007"/>
      <c r="CV4" s="1007"/>
      <c r="CW4" s="1007"/>
      <c r="CX4" s="1007"/>
      <c r="CY4" s="1007"/>
      <c r="CZ4" s="1007"/>
      <c r="DA4" s="1007"/>
      <c r="DB4" s="1007">
        <f>+'[7]AGOSTO 2015'!$H$1942</f>
        <v>6000000</v>
      </c>
      <c r="DC4" s="1007"/>
      <c r="DD4" s="1007"/>
      <c r="DE4" s="1007"/>
      <c r="DF4" s="1007"/>
      <c r="DG4" s="1007"/>
      <c r="DH4" s="1007"/>
      <c r="DI4" s="1010">
        <f t="shared" ref="DI4:DI66" si="15">1-CM4</f>
        <v>0.6</v>
      </c>
      <c r="DJ4" s="1007">
        <f t="shared" ref="DJ4:DJ33" si="16">SUM(DK4:ED4)</f>
        <v>9000000</v>
      </c>
      <c r="DK4" s="1007">
        <f t="shared" ref="DK4:DL33" si="17">Z4-CO4</f>
        <v>0</v>
      </c>
      <c r="DL4" s="1007">
        <f t="shared" si="17"/>
        <v>0</v>
      </c>
      <c r="DM4" s="1007"/>
      <c r="DN4" s="1007">
        <f t="shared" ref="DN4:DQ32" si="18">AC4-CR4</f>
        <v>0</v>
      </c>
      <c r="DO4" s="1007">
        <f t="shared" si="18"/>
        <v>0</v>
      </c>
      <c r="DP4" s="1007">
        <f t="shared" si="18"/>
        <v>0</v>
      </c>
      <c r="DQ4" s="1007">
        <f t="shared" si="18"/>
        <v>0</v>
      </c>
      <c r="DR4" s="1007"/>
      <c r="DS4" s="1007">
        <f t="shared" ref="DS4:DT33" si="19">+AH4-CW4</f>
        <v>0</v>
      </c>
      <c r="DT4" s="1007">
        <f t="shared" si="19"/>
        <v>0</v>
      </c>
      <c r="DU4" s="1007"/>
      <c r="DV4" s="1007">
        <f t="shared" ref="DV4:DX33" si="20">AK4-CZ4</f>
        <v>0</v>
      </c>
      <c r="DW4" s="1007">
        <f t="shared" si="20"/>
        <v>0</v>
      </c>
      <c r="DX4" s="1007">
        <f t="shared" si="20"/>
        <v>9000000</v>
      </c>
      <c r="DY4" s="1007">
        <f t="shared" ref="DY4:EB33" si="21">+AN4-DC4</f>
        <v>0</v>
      </c>
      <c r="DZ4" s="1007">
        <f t="shared" si="21"/>
        <v>0</v>
      </c>
      <c r="EA4" s="1007">
        <f t="shared" si="21"/>
        <v>0</v>
      </c>
      <c r="EB4" s="1007">
        <f t="shared" si="21"/>
        <v>0</v>
      </c>
      <c r="EC4" s="1007"/>
      <c r="ED4" s="1007">
        <f t="shared" ref="ED4:ED33" si="22">+AS4-DH4</f>
        <v>0</v>
      </c>
    </row>
    <row r="5" spans="1:134" ht="73.5" hidden="1" customHeight="1" x14ac:dyDescent="0.25">
      <c r="A5" s="1565"/>
      <c r="B5" s="1020"/>
      <c r="C5" s="1114" t="s">
        <v>4557</v>
      </c>
      <c r="D5" s="1018" t="s">
        <v>4656</v>
      </c>
      <c r="E5" s="1019">
        <v>510</v>
      </c>
      <c r="F5" s="1117" t="s">
        <v>4660</v>
      </c>
      <c r="G5" s="1429"/>
      <c r="H5" s="1060">
        <f t="shared" si="0"/>
        <v>0</v>
      </c>
      <c r="I5" s="1060">
        <f t="shared" si="1"/>
        <v>10000000</v>
      </c>
      <c r="J5" s="1429"/>
      <c r="K5" s="1562"/>
      <c r="L5" s="1562"/>
      <c r="M5" s="1113">
        <v>0</v>
      </c>
      <c r="N5" s="1113">
        <v>0</v>
      </c>
      <c r="O5" s="1113">
        <v>0</v>
      </c>
      <c r="P5" s="1113">
        <v>0</v>
      </c>
      <c r="Q5" s="1113">
        <v>25</v>
      </c>
      <c r="R5" s="1113">
        <v>0</v>
      </c>
      <c r="S5" s="1117"/>
      <c r="T5" s="1117"/>
      <c r="U5" s="1117"/>
      <c r="V5" s="1117"/>
      <c r="W5" s="1117"/>
      <c r="X5" s="1117"/>
      <c r="Y5" s="1007">
        <f t="shared" si="2"/>
        <v>10000000</v>
      </c>
      <c r="Z5" s="1007"/>
      <c r="AA5" s="1007"/>
      <c r="AB5" s="1007"/>
      <c r="AC5" s="1007"/>
      <c r="AD5" s="1007"/>
      <c r="AE5" s="1007"/>
      <c r="AF5" s="1007"/>
      <c r="AG5" s="1007"/>
      <c r="AH5" s="1007"/>
      <c r="AI5" s="1007"/>
      <c r="AJ5" s="1007"/>
      <c r="AK5" s="1007"/>
      <c r="AL5" s="1007"/>
      <c r="AM5" s="1007">
        <v>10000000</v>
      </c>
      <c r="AN5" s="1007"/>
      <c r="AO5" s="1007"/>
      <c r="AP5" s="1007"/>
      <c r="AQ5" s="1007"/>
      <c r="AR5" s="1007"/>
      <c r="AS5" s="1007"/>
      <c r="AT5" s="986"/>
      <c r="AU5" s="1010">
        <f t="shared" si="3"/>
        <v>0</v>
      </c>
      <c r="AV5" s="1007">
        <f t="shared" si="4"/>
        <v>0</v>
      </c>
      <c r="AW5" s="1007"/>
      <c r="AX5" s="1007"/>
      <c r="AY5" s="1007"/>
      <c r="AZ5" s="1007"/>
      <c r="BA5" s="1007"/>
      <c r="BB5" s="1007"/>
      <c r="BC5" s="1007"/>
      <c r="BD5" s="1007"/>
      <c r="BE5" s="1007"/>
      <c r="BF5" s="1007"/>
      <c r="BG5" s="1007"/>
      <c r="BH5" s="1007"/>
      <c r="BI5" s="1007"/>
      <c r="BJ5" s="1007"/>
      <c r="BK5" s="1007"/>
      <c r="BL5" s="1007"/>
      <c r="BM5" s="1007"/>
      <c r="BN5" s="1007"/>
      <c r="BO5" s="1007"/>
      <c r="BP5" s="1007"/>
      <c r="BQ5" s="1010">
        <f t="shared" si="5"/>
        <v>1</v>
      </c>
      <c r="BR5" s="1007">
        <f t="shared" si="6"/>
        <v>10000000</v>
      </c>
      <c r="BS5" s="1007">
        <f t="shared" si="7"/>
        <v>0</v>
      </c>
      <c r="BT5" s="1007">
        <f t="shared" si="8"/>
        <v>0</v>
      </c>
      <c r="BU5" s="1007"/>
      <c r="BV5" s="1007">
        <f t="shared" si="9"/>
        <v>0</v>
      </c>
      <c r="BW5" s="1007"/>
      <c r="BX5" s="1007">
        <f t="shared" si="10"/>
        <v>0</v>
      </c>
      <c r="BY5" s="1007">
        <f t="shared" si="10"/>
        <v>0</v>
      </c>
      <c r="BZ5" s="1007"/>
      <c r="CA5" s="1007"/>
      <c r="CB5" s="1007"/>
      <c r="CC5" s="1007"/>
      <c r="CD5" s="1007">
        <f t="shared" si="11"/>
        <v>0</v>
      </c>
      <c r="CE5" s="1007">
        <f t="shared" si="11"/>
        <v>0</v>
      </c>
      <c r="CF5" s="1007">
        <f t="shared" si="11"/>
        <v>10000000</v>
      </c>
      <c r="CG5" s="1007">
        <f t="shared" si="11"/>
        <v>0</v>
      </c>
      <c r="CH5" s="1007">
        <f t="shared" si="11"/>
        <v>0</v>
      </c>
      <c r="CI5" s="1007">
        <f t="shared" si="11"/>
        <v>0</v>
      </c>
      <c r="CJ5" s="1007"/>
      <c r="CK5" s="1007"/>
      <c r="CL5" s="1007">
        <f t="shared" si="12"/>
        <v>0</v>
      </c>
      <c r="CM5" s="1010">
        <f t="shared" si="13"/>
        <v>0</v>
      </c>
      <c r="CN5" s="1007">
        <f t="shared" si="14"/>
        <v>0</v>
      </c>
      <c r="CO5" s="1007"/>
      <c r="CP5" s="1007"/>
      <c r="CQ5" s="1007"/>
      <c r="CR5" s="1007"/>
      <c r="CS5" s="1007"/>
      <c r="CT5" s="1007"/>
      <c r="CU5" s="1007"/>
      <c r="CV5" s="1007"/>
      <c r="CW5" s="1007"/>
      <c r="CX5" s="1007"/>
      <c r="CY5" s="1007"/>
      <c r="CZ5" s="1007"/>
      <c r="DA5" s="1007"/>
      <c r="DB5" s="1007"/>
      <c r="DC5" s="1007"/>
      <c r="DD5" s="1007"/>
      <c r="DE5" s="1007"/>
      <c r="DF5" s="1007"/>
      <c r="DG5" s="1007"/>
      <c r="DH5" s="1007"/>
      <c r="DI5" s="1010">
        <f t="shared" si="15"/>
        <v>1</v>
      </c>
      <c r="DJ5" s="1007">
        <f t="shared" si="16"/>
        <v>10000000</v>
      </c>
      <c r="DK5" s="1007">
        <f t="shared" si="17"/>
        <v>0</v>
      </c>
      <c r="DL5" s="1007">
        <f t="shared" si="17"/>
        <v>0</v>
      </c>
      <c r="DM5" s="1007"/>
      <c r="DN5" s="1007">
        <f t="shared" si="18"/>
        <v>0</v>
      </c>
      <c r="DO5" s="1007">
        <f t="shared" si="18"/>
        <v>0</v>
      </c>
      <c r="DP5" s="1007">
        <f t="shared" si="18"/>
        <v>0</v>
      </c>
      <c r="DQ5" s="1007">
        <f t="shared" si="18"/>
        <v>0</v>
      </c>
      <c r="DR5" s="1007"/>
      <c r="DS5" s="1007">
        <f t="shared" si="19"/>
        <v>0</v>
      </c>
      <c r="DT5" s="1007">
        <f t="shared" si="19"/>
        <v>0</v>
      </c>
      <c r="DU5" s="1007"/>
      <c r="DV5" s="1007">
        <f t="shared" si="20"/>
        <v>0</v>
      </c>
      <c r="DW5" s="1007">
        <f t="shared" si="20"/>
        <v>0</v>
      </c>
      <c r="DX5" s="1007">
        <f t="shared" si="20"/>
        <v>10000000</v>
      </c>
      <c r="DY5" s="1007">
        <f t="shared" si="21"/>
        <v>0</v>
      </c>
      <c r="DZ5" s="1007">
        <f t="shared" si="21"/>
        <v>0</v>
      </c>
      <c r="EA5" s="1007">
        <f t="shared" si="21"/>
        <v>0</v>
      </c>
      <c r="EB5" s="1007">
        <f t="shared" si="21"/>
        <v>0</v>
      </c>
      <c r="EC5" s="1007"/>
      <c r="ED5" s="1007">
        <f t="shared" si="22"/>
        <v>0</v>
      </c>
    </row>
    <row r="6" spans="1:134" ht="72.75" hidden="1" customHeight="1" x14ac:dyDescent="0.25">
      <c r="A6" s="1565"/>
      <c r="B6" s="1020"/>
      <c r="C6" s="1114" t="s">
        <v>4558</v>
      </c>
      <c r="D6" s="1018" t="s">
        <v>4657</v>
      </c>
      <c r="E6" s="1129">
        <v>510</v>
      </c>
      <c r="F6" s="1117" t="s">
        <v>4660</v>
      </c>
      <c r="G6" s="1429"/>
      <c r="H6" s="1060">
        <f t="shared" si="0"/>
        <v>0</v>
      </c>
      <c r="I6" s="1060">
        <f t="shared" si="1"/>
        <v>5000000</v>
      </c>
      <c r="J6" s="1429"/>
      <c r="K6" s="1562"/>
      <c r="L6" s="1562"/>
      <c r="M6" s="1113">
        <v>0</v>
      </c>
      <c r="N6" s="1113">
        <v>0</v>
      </c>
      <c r="O6" s="1113">
        <v>0</v>
      </c>
      <c r="P6" s="1113">
        <v>0</v>
      </c>
      <c r="Q6" s="1113">
        <v>25</v>
      </c>
      <c r="R6" s="1113">
        <v>0</v>
      </c>
      <c r="S6" s="1117"/>
      <c r="T6" s="1117"/>
      <c r="U6" s="1117"/>
      <c r="V6" s="1117"/>
      <c r="W6" s="1117"/>
      <c r="X6" s="1117"/>
      <c r="Y6" s="1007">
        <f t="shared" si="2"/>
        <v>5000000</v>
      </c>
      <c r="Z6" s="1007"/>
      <c r="AA6" s="1007"/>
      <c r="AB6" s="1007"/>
      <c r="AC6" s="1007"/>
      <c r="AD6" s="1007"/>
      <c r="AE6" s="1007"/>
      <c r="AF6" s="1007"/>
      <c r="AG6" s="1007"/>
      <c r="AH6" s="1007"/>
      <c r="AI6" s="1007"/>
      <c r="AJ6" s="1007"/>
      <c r="AK6" s="1007"/>
      <c r="AL6" s="1007"/>
      <c r="AM6" s="1007">
        <v>5000000</v>
      </c>
      <c r="AN6" s="1007"/>
      <c r="AO6" s="1007"/>
      <c r="AP6" s="1007"/>
      <c r="AQ6" s="1007"/>
      <c r="AR6" s="1007"/>
      <c r="AS6" s="1007"/>
      <c r="AT6" s="986"/>
      <c r="AU6" s="1010">
        <f t="shared" si="3"/>
        <v>0</v>
      </c>
      <c r="AV6" s="1007">
        <f t="shared" si="4"/>
        <v>0</v>
      </c>
      <c r="AW6" s="1007"/>
      <c r="AX6" s="1007"/>
      <c r="AY6" s="1007"/>
      <c r="AZ6" s="1007"/>
      <c r="BA6" s="1007"/>
      <c r="BB6" s="1007"/>
      <c r="BC6" s="1007"/>
      <c r="BD6" s="1007"/>
      <c r="BE6" s="1007"/>
      <c r="BF6" s="1007"/>
      <c r="BG6" s="1007"/>
      <c r="BH6" s="1007"/>
      <c r="BI6" s="1007"/>
      <c r="BJ6" s="1007"/>
      <c r="BK6" s="1007"/>
      <c r="BL6" s="1007"/>
      <c r="BM6" s="1007"/>
      <c r="BN6" s="1007"/>
      <c r="BO6" s="1007"/>
      <c r="BP6" s="1007"/>
      <c r="BQ6" s="1010">
        <f t="shared" si="5"/>
        <v>1</v>
      </c>
      <c r="BR6" s="1007">
        <f t="shared" si="6"/>
        <v>5000000</v>
      </c>
      <c r="BS6" s="1007">
        <f t="shared" si="7"/>
        <v>0</v>
      </c>
      <c r="BT6" s="1007">
        <f t="shared" si="8"/>
        <v>0</v>
      </c>
      <c r="BU6" s="1007"/>
      <c r="BV6" s="1007">
        <f t="shared" si="9"/>
        <v>0</v>
      </c>
      <c r="BW6" s="1007"/>
      <c r="BX6" s="1007">
        <f t="shared" si="10"/>
        <v>0</v>
      </c>
      <c r="BY6" s="1007">
        <f t="shared" si="10"/>
        <v>0</v>
      </c>
      <c r="BZ6" s="1007"/>
      <c r="CA6" s="1007"/>
      <c r="CB6" s="1007"/>
      <c r="CC6" s="1007"/>
      <c r="CD6" s="1007">
        <f t="shared" si="11"/>
        <v>0</v>
      </c>
      <c r="CE6" s="1007">
        <f t="shared" si="11"/>
        <v>0</v>
      </c>
      <c r="CF6" s="1007">
        <f t="shared" si="11"/>
        <v>5000000</v>
      </c>
      <c r="CG6" s="1007">
        <f t="shared" si="11"/>
        <v>0</v>
      </c>
      <c r="CH6" s="1007">
        <f t="shared" si="11"/>
        <v>0</v>
      </c>
      <c r="CI6" s="1007">
        <f t="shared" si="11"/>
        <v>0</v>
      </c>
      <c r="CJ6" s="1007"/>
      <c r="CK6" s="1007"/>
      <c r="CL6" s="1007">
        <f t="shared" si="12"/>
        <v>0</v>
      </c>
      <c r="CM6" s="1010">
        <f t="shared" si="13"/>
        <v>0</v>
      </c>
      <c r="CN6" s="1007">
        <f t="shared" si="14"/>
        <v>0</v>
      </c>
      <c r="CO6" s="1007"/>
      <c r="CP6" s="1007"/>
      <c r="CQ6" s="1007"/>
      <c r="CR6" s="1007"/>
      <c r="CS6" s="1007"/>
      <c r="CT6" s="1007"/>
      <c r="CU6" s="1007"/>
      <c r="CV6" s="1007"/>
      <c r="CW6" s="1007"/>
      <c r="CX6" s="1007"/>
      <c r="CY6" s="1007"/>
      <c r="CZ6" s="1007"/>
      <c r="DA6" s="1007"/>
      <c r="DB6" s="1007"/>
      <c r="DC6" s="1007"/>
      <c r="DD6" s="1007"/>
      <c r="DE6" s="1007"/>
      <c r="DF6" s="1007"/>
      <c r="DG6" s="1007"/>
      <c r="DH6" s="1007"/>
      <c r="DI6" s="1010">
        <f t="shared" si="15"/>
        <v>1</v>
      </c>
      <c r="DJ6" s="1007">
        <f t="shared" si="16"/>
        <v>5000000</v>
      </c>
      <c r="DK6" s="1007">
        <f t="shared" si="17"/>
        <v>0</v>
      </c>
      <c r="DL6" s="1007">
        <f t="shared" si="17"/>
        <v>0</v>
      </c>
      <c r="DM6" s="1007"/>
      <c r="DN6" s="1007">
        <f t="shared" si="18"/>
        <v>0</v>
      </c>
      <c r="DO6" s="1007">
        <f t="shared" si="18"/>
        <v>0</v>
      </c>
      <c r="DP6" s="1007">
        <f t="shared" si="18"/>
        <v>0</v>
      </c>
      <c r="DQ6" s="1007">
        <f t="shared" si="18"/>
        <v>0</v>
      </c>
      <c r="DR6" s="1007"/>
      <c r="DS6" s="1007">
        <f t="shared" si="19"/>
        <v>0</v>
      </c>
      <c r="DT6" s="1007">
        <f t="shared" si="19"/>
        <v>0</v>
      </c>
      <c r="DU6" s="1007"/>
      <c r="DV6" s="1007">
        <f t="shared" si="20"/>
        <v>0</v>
      </c>
      <c r="DW6" s="1007">
        <f t="shared" si="20"/>
        <v>0</v>
      </c>
      <c r="DX6" s="1007">
        <f t="shared" si="20"/>
        <v>5000000</v>
      </c>
      <c r="DY6" s="1007">
        <f t="shared" si="21"/>
        <v>0</v>
      </c>
      <c r="DZ6" s="1007">
        <f t="shared" si="21"/>
        <v>0</v>
      </c>
      <c r="EA6" s="1007">
        <f t="shared" si="21"/>
        <v>0</v>
      </c>
      <c r="EB6" s="1007">
        <f t="shared" si="21"/>
        <v>0</v>
      </c>
      <c r="EC6" s="1007"/>
      <c r="ED6" s="1007">
        <f t="shared" si="22"/>
        <v>0</v>
      </c>
    </row>
    <row r="7" spans="1:134" ht="53.25" hidden="1" customHeight="1" x14ac:dyDescent="0.25">
      <c r="A7" s="1565"/>
      <c r="B7" s="1021"/>
      <c r="C7" s="1114" t="s">
        <v>4559</v>
      </c>
      <c r="D7" s="1018" t="s">
        <v>4658</v>
      </c>
      <c r="E7" s="1022">
        <v>510</v>
      </c>
      <c r="F7" s="1117" t="s">
        <v>4660</v>
      </c>
      <c r="G7" s="1429"/>
      <c r="H7" s="1060">
        <f t="shared" si="0"/>
        <v>10507037</v>
      </c>
      <c r="I7" s="1060">
        <f t="shared" si="1"/>
        <v>24492963</v>
      </c>
      <c r="J7" s="1429"/>
      <c r="K7" s="1562"/>
      <c r="L7" s="1562"/>
      <c r="M7" s="1113">
        <v>0</v>
      </c>
      <c r="N7" s="1113">
        <v>0</v>
      </c>
      <c r="O7" s="1113">
        <v>0</v>
      </c>
      <c r="P7" s="1113">
        <v>0</v>
      </c>
      <c r="Q7" s="1113">
        <v>25</v>
      </c>
      <c r="R7" s="1113">
        <v>0</v>
      </c>
      <c r="S7" s="1117"/>
      <c r="T7" s="1117"/>
      <c r="U7" s="1117"/>
      <c r="V7" s="1117"/>
      <c r="W7" s="1117"/>
      <c r="X7" s="1117"/>
      <c r="Y7" s="1007">
        <f t="shared" si="2"/>
        <v>35000000</v>
      </c>
      <c r="Z7" s="1007"/>
      <c r="AA7" s="1007"/>
      <c r="AB7" s="1007"/>
      <c r="AC7" s="1007"/>
      <c r="AD7" s="1007"/>
      <c r="AE7" s="1007"/>
      <c r="AF7" s="1007"/>
      <c r="AG7" s="1007"/>
      <c r="AH7" s="1007"/>
      <c r="AI7" s="1007"/>
      <c r="AJ7" s="1007"/>
      <c r="AK7" s="1007"/>
      <c r="AL7" s="1007"/>
      <c r="AM7" s="1066">
        <f>10000000+25000000</f>
        <v>35000000</v>
      </c>
      <c r="AN7" s="1007"/>
      <c r="AO7" s="1007"/>
      <c r="AP7" s="1007"/>
      <c r="AQ7" s="1007"/>
      <c r="AR7" s="1007"/>
      <c r="AS7" s="1007"/>
      <c r="AT7" s="986"/>
      <c r="AU7" s="1010">
        <f t="shared" si="3"/>
        <v>0.30020105714285716</v>
      </c>
      <c r="AV7" s="1007">
        <f t="shared" si="4"/>
        <v>10507037</v>
      </c>
      <c r="AW7" s="1007"/>
      <c r="AX7" s="1007"/>
      <c r="AY7" s="1007"/>
      <c r="AZ7" s="1007"/>
      <c r="BA7" s="1007"/>
      <c r="BB7" s="1007"/>
      <c r="BC7" s="1007"/>
      <c r="BD7" s="1007"/>
      <c r="BE7" s="1007"/>
      <c r="BF7" s="1007"/>
      <c r="BG7" s="1007"/>
      <c r="BH7" s="1007"/>
      <c r="BI7" s="1007"/>
      <c r="BJ7" s="1007">
        <f>+'[8]SEPTIEMBRE 2015'!$W$2440</f>
        <v>10507037</v>
      </c>
      <c r="BK7" s="1007"/>
      <c r="BL7" s="1007"/>
      <c r="BM7" s="1007"/>
      <c r="BN7" s="1007"/>
      <c r="BO7" s="1007"/>
      <c r="BP7" s="1007"/>
      <c r="BQ7" s="1010">
        <f t="shared" si="5"/>
        <v>0.69979894285714284</v>
      </c>
      <c r="BR7" s="1007">
        <f t="shared" si="6"/>
        <v>24492963</v>
      </c>
      <c r="BS7" s="1007">
        <f t="shared" si="7"/>
        <v>0</v>
      </c>
      <c r="BT7" s="1007">
        <f t="shared" si="8"/>
        <v>0</v>
      </c>
      <c r="BU7" s="1007"/>
      <c r="BV7" s="1007">
        <f t="shared" si="9"/>
        <v>0</v>
      </c>
      <c r="BW7" s="1007"/>
      <c r="BX7" s="1007">
        <f t="shared" si="10"/>
        <v>0</v>
      </c>
      <c r="BY7" s="1007">
        <f t="shared" si="10"/>
        <v>0</v>
      </c>
      <c r="BZ7" s="1007"/>
      <c r="CA7" s="1007"/>
      <c r="CB7" s="1007"/>
      <c r="CC7" s="1007"/>
      <c r="CD7" s="1007">
        <f t="shared" si="11"/>
        <v>0</v>
      </c>
      <c r="CE7" s="1007">
        <f t="shared" si="11"/>
        <v>0</v>
      </c>
      <c r="CF7" s="1007">
        <f t="shared" si="11"/>
        <v>24492963</v>
      </c>
      <c r="CG7" s="1007">
        <f t="shared" si="11"/>
        <v>0</v>
      </c>
      <c r="CH7" s="1007">
        <f t="shared" si="11"/>
        <v>0</v>
      </c>
      <c r="CI7" s="1007">
        <f t="shared" si="11"/>
        <v>0</v>
      </c>
      <c r="CJ7" s="1007"/>
      <c r="CK7" s="1007"/>
      <c r="CL7" s="1007">
        <f t="shared" si="12"/>
        <v>0</v>
      </c>
      <c r="CM7" s="1010">
        <f t="shared" si="13"/>
        <v>0.30020105714285716</v>
      </c>
      <c r="CN7" s="1007">
        <f t="shared" si="14"/>
        <v>10507037</v>
      </c>
      <c r="CO7" s="1007"/>
      <c r="CP7" s="1007"/>
      <c r="CQ7" s="1007"/>
      <c r="CR7" s="1007"/>
      <c r="CS7" s="1007"/>
      <c r="CT7" s="1007"/>
      <c r="CU7" s="1007"/>
      <c r="CV7" s="1007"/>
      <c r="CW7" s="1007"/>
      <c r="CX7" s="1007"/>
      <c r="CY7" s="1007"/>
      <c r="CZ7" s="1007"/>
      <c r="DA7" s="1007"/>
      <c r="DB7" s="1007">
        <f>+'[8]SEPTIEMBRE 2015'!$H$2438</f>
        <v>10507037</v>
      </c>
      <c r="DC7" s="1007"/>
      <c r="DD7" s="1007"/>
      <c r="DE7" s="1007"/>
      <c r="DF7" s="1007"/>
      <c r="DG7" s="1007"/>
      <c r="DH7" s="1007"/>
      <c r="DI7" s="1010">
        <f t="shared" si="15"/>
        <v>0.69979894285714284</v>
      </c>
      <c r="DJ7" s="1007">
        <f t="shared" si="16"/>
        <v>24492963</v>
      </c>
      <c r="DK7" s="1007">
        <f t="shared" si="17"/>
        <v>0</v>
      </c>
      <c r="DL7" s="1007">
        <f t="shared" si="17"/>
        <v>0</v>
      </c>
      <c r="DM7" s="1007"/>
      <c r="DN7" s="1007">
        <f t="shared" si="18"/>
        <v>0</v>
      </c>
      <c r="DO7" s="1007">
        <f t="shared" si="18"/>
        <v>0</v>
      </c>
      <c r="DP7" s="1007">
        <f t="shared" si="18"/>
        <v>0</v>
      </c>
      <c r="DQ7" s="1007">
        <f t="shared" si="18"/>
        <v>0</v>
      </c>
      <c r="DR7" s="1007"/>
      <c r="DS7" s="1007">
        <f t="shared" si="19"/>
        <v>0</v>
      </c>
      <c r="DT7" s="1007">
        <f t="shared" si="19"/>
        <v>0</v>
      </c>
      <c r="DU7" s="1007"/>
      <c r="DV7" s="1007">
        <f t="shared" si="20"/>
        <v>0</v>
      </c>
      <c r="DW7" s="1007">
        <f t="shared" si="20"/>
        <v>0</v>
      </c>
      <c r="DX7" s="1007">
        <f t="shared" si="20"/>
        <v>24492963</v>
      </c>
      <c r="DY7" s="1007">
        <f t="shared" si="21"/>
        <v>0</v>
      </c>
      <c r="DZ7" s="1007">
        <f t="shared" si="21"/>
        <v>0</v>
      </c>
      <c r="EA7" s="1007">
        <f t="shared" si="21"/>
        <v>0</v>
      </c>
      <c r="EB7" s="1007">
        <f t="shared" si="21"/>
        <v>0</v>
      </c>
      <c r="EC7" s="1007"/>
      <c r="ED7" s="1007">
        <f t="shared" si="22"/>
        <v>0</v>
      </c>
    </row>
    <row r="8" spans="1:134" ht="114" hidden="1" customHeight="1" x14ac:dyDescent="0.25">
      <c r="A8" s="1565"/>
      <c r="B8" s="1020"/>
      <c r="C8" s="1114" t="s">
        <v>4560</v>
      </c>
      <c r="D8" s="1018" t="s">
        <v>4659</v>
      </c>
      <c r="E8" s="1130">
        <v>510</v>
      </c>
      <c r="F8" s="1117" t="s">
        <v>4660</v>
      </c>
      <c r="G8" s="1429"/>
      <c r="H8" s="1060">
        <f t="shared" si="0"/>
        <v>0</v>
      </c>
      <c r="I8" s="1060">
        <f t="shared" si="1"/>
        <v>0</v>
      </c>
      <c r="J8" s="1429"/>
      <c r="K8" s="1562"/>
      <c r="L8" s="1562"/>
      <c r="M8" s="1113">
        <v>0</v>
      </c>
      <c r="N8" s="1113">
        <v>0</v>
      </c>
      <c r="O8" s="1113">
        <v>0</v>
      </c>
      <c r="P8" s="1113">
        <v>0</v>
      </c>
      <c r="Q8" s="1113">
        <v>25</v>
      </c>
      <c r="R8" s="1113">
        <v>0</v>
      </c>
      <c r="S8" s="1117"/>
      <c r="T8" s="1117"/>
      <c r="U8" s="1117"/>
      <c r="V8" s="1117"/>
      <c r="W8" s="1117"/>
      <c r="X8" s="1117"/>
      <c r="Y8" s="1007">
        <f t="shared" si="2"/>
        <v>0</v>
      </c>
      <c r="Z8" s="1007"/>
      <c r="AA8" s="1007"/>
      <c r="AB8" s="1007"/>
      <c r="AC8" s="1007"/>
      <c r="AD8" s="1007"/>
      <c r="AE8" s="1007"/>
      <c r="AF8" s="1007"/>
      <c r="AG8" s="1007"/>
      <c r="AH8" s="1007"/>
      <c r="AI8" s="1007"/>
      <c r="AJ8" s="1007"/>
      <c r="AK8" s="1007"/>
      <c r="AL8" s="1007"/>
      <c r="AM8" s="1066">
        <f>25000000-25000000</f>
        <v>0</v>
      </c>
      <c r="AN8" s="1007"/>
      <c r="AO8" s="1007"/>
      <c r="AP8" s="1007"/>
      <c r="AQ8" s="1007"/>
      <c r="AR8" s="1007"/>
      <c r="AS8" s="1007"/>
      <c r="AT8" s="986"/>
      <c r="AU8" s="1010" t="e">
        <f t="shared" si="3"/>
        <v>#DIV/0!</v>
      </c>
      <c r="AV8" s="1007">
        <f t="shared" si="4"/>
        <v>0</v>
      </c>
      <c r="AW8" s="1007"/>
      <c r="AX8" s="1007"/>
      <c r="AY8" s="1007"/>
      <c r="AZ8" s="1007"/>
      <c r="BA8" s="1007"/>
      <c r="BB8" s="1007"/>
      <c r="BC8" s="1007"/>
      <c r="BD8" s="1007"/>
      <c r="BE8" s="1007"/>
      <c r="BF8" s="1007"/>
      <c r="BG8" s="1007"/>
      <c r="BH8" s="1007"/>
      <c r="BI8" s="1007"/>
      <c r="BJ8" s="1007"/>
      <c r="BK8" s="1007"/>
      <c r="BL8" s="1007"/>
      <c r="BM8" s="1007"/>
      <c r="BN8" s="1007"/>
      <c r="BO8" s="1007"/>
      <c r="BP8" s="1007"/>
      <c r="BQ8" s="1010" t="e">
        <f t="shared" si="5"/>
        <v>#DIV/0!</v>
      </c>
      <c r="BR8" s="1007">
        <f t="shared" si="6"/>
        <v>0</v>
      </c>
      <c r="BS8" s="1007">
        <f t="shared" si="7"/>
        <v>0</v>
      </c>
      <c r="BT8" s="1007">
        <f t="shared" si="8"/>
        <v>0</v>
      </c>
      <c r="BU8" s="1007"/>
      <c r="BV8" s="1007">
        <f t="shared" si="9"/>
        <v>0</v>
      </c>
      <c r="BW8" s="1007"/>
      <c r="BX8" s="1007">
        <f t="shared" si="10"/>
        <v>0</v>
      </c>
      <c r="BY8" s="1007">
        <f t="shared" si="10"/>
        <v>0</v>
      </c>
      <c r="BZ8" s="1007"/>
      <c r="CA8" s="1007"/>
      <c r="CB8" s="1007"/>
      <c r="CC8" s="1007"/>
      <c r="CD8" s="1007">
        <f t="shared" si="11"/>
        <v>0</v>
      </c>
      <c r="CE8" s="1007">
        <f t="shared" si="11"/>
        <v>0</v>
      </c>
      <c r="CF8" s="1007">
        <f t="shared" si="11"/>
        <v>0</v>
      </c>
      <c r="CG8" s="1007">
        <f t="shared" si="11"/>
        <v>0</v>
      </c>
      <c r="CH8" s="1007">
        <f t="shared" si="11"/>
        <v>0</v>
      </c>
      <c r="CI8" s="1007">
        <f t="shared" si="11"/>
        <v>0</v>
      </c>
      <c r="CJ8" s="1007"/>
      <c r="CK8" s="1007"/>
      <c r="CL8" s="1007">
        <f t="shared" si="12"/>
        <v>0</v>
      </c>
      <c r="CM8" s="1010" t="e">
        <f t="shared" si="13"/>
        <v>#DIV/0!</v>
      </c>
      <c r="CN8" s="1007">
        <f t="shared" si="14"/>
        <v>0</v>
      </c>
      <c r="CO8" s="1007"/>
      <c r="CP8" s="1007"/>
      <c r="CQ8" s="1007"/>
      <c r="CR8" s="1007"/>
      <c r="CS8" s="1007"/>
      <c r="CT8" s="1007"/>
      <c r="CU8" s="1007"/>
      <c r="CV8" s="1007"/>
      <c r="CW8" s="1007"/>
      <c r="CX8" s="1007"/>
      <c r="CY8" s="1007"/>
      <c r="CZ8" s="1007"/>
      <c r="DA8" s="1007"/>
      <c r="DB8" s="1007"/>
      <c r="DC8" s="1007"/>
      <c r="DD8" s="1007"/>
      <c r="DE8" s="1007"/>
      <c r="DF8" s="1007"/>
      <c r="DG8" s="1007"/>
      <c r="DH8" s="1007"/>
      <c r="DI8" s="1010" t="e">
        <f t="shared" si="15"/>
        <v>#DIV/0!</v>
      </c>
      <c r="DJ8" s="1007">
        <f t="shared" si="16"/>
        <v>0</v>
      </c>
      <c r="DK8" s="1007">
        <f t="shared" si="17"/>
        <v>0</v>
      </c>
      <c r="DL8" s="1007">
        <f t="shared" si="17"/>
        <v>0</v>
      </c>
      <c r="DM8" s="1007"/>
      <c r="DN8" s="1007">
        <f t="shared" si="18"/>
        <v>0</v>
      </c>
      <c r="DO8" s="1007">
        <f t="shared" si="18"/>
        <v>0</v>
      </c>
      <c r="DP8" s="1007">
        <f t="shared" si="18"/>
        <v>0</v>
      </c>
      <c r="DQ8" s="1007">
        <f t="shared" si="18"/>
        <v>0</v>
      </c>
      <c r="DR8" s="1007"/>
      <c r="DS8" s="1007">
        <f t="shared" si="19"/>
        <v>0</v>
      </c>
      <c r="DT8" s="1007">
        <f t="shared" si="19"/>
        <v>0</v>
      </c>
      <c r="DU8" s="1007"/>
      <c r="DV8" s="1007">
        <f t="shared" si="20"/>
        <v>0</v>
      </c>
      <c r="DW8" s="1007">
        <f t="shared" si="20"/>
        <v>0</v>
      </c>
      <c r="DX8" s="1007">
        <f t="shared" si="20"/>
        <v>0</v>
      </c>
      <c r="DY8" s="1007">
        <f t="shared" si="21"/>
        <v>0</v>
      </c>
      <c r="DZ8" s="1007">
        <f t="shared" si="21"/>
        <v>0</v>
      </c>
      <c r="EA8" s="1007">
        <f t="shared" si="21"/>
        <v>0</v>
      </c>
      <c r="EB8" s="1007">
        <f t="shared" si="21"/>
        <v>0</v>
      </c>
      <c r="EC8" s="1007"/>
      <c r="ED8" s="1007">
        <f t="shared" si="22"/>
        <v>0</v>
      </c>
    </row>
    <row r="9" spans="1:134" ht="63" hidden="1" customHeight="1" x14ac:dyDescent="0.25">
      <c r="A9" s="1565"/>
      <c r="B9" s="1020"/>
      <c r="C9" s="1114" t="s">
        <v>4561</v>
      </c>
      <c r="D9" s="1018" t="s">
        <v>4662</v>
      </c>
      <c r="E9" s="1019">
        <v>510</v>
      </c>
      <c r="F9" s="1117" t="s">
        <v>4660</v>
      </c>
      <c r="G9" s="1430"/>
      <c r="H9" s="1060">
        <f t="shared" si="0"/>
        <v>34542493</v>
      </c>
      <c r="I9" s="1060">
        <f t="shared" si="1"/>
        <v>457507</v>
      </c>
      <c r="J9" s="1430"/>
      <c r="K9" s="1258"/>
      <c r="L9" s="1258"/>
      <c r="M9" s="1113">
        <v>0</v>
      </c>
      <c r="N9" s="1113">
        <v>0</v>
      </c>
      <c r="O9" s="1113">
        <v>0</v>
      </c>
      <c r="P9" s="1113">
        <v>42</v>
      </c>
      <c r="Q9" s="1113">
        <v>25</v>
      </c>
      <c r="R9" s="1113">
        <v>11</v>
      </c>
      <c r="S9" s="1117"/>
      <c r="T9" s="1117"/>
      <c r="U9" s="1117"/>
      <c r="V9" s="1117"/>
      <c r="W9" s="1117"/>
      <c r="X9" s="1117"/>
      <c r="Y9" s="1007">
        <f t="shared" si="2"/>
        <v>35000000</v>
      </c>
      <c r="Z9" s="1007"/>
      <c r="AA9" s="1007"/>
      <c r="AB9" s="1007"/>
      <c r="AC9" s="1007"/>
      <c r="AD9" s="1007"/>
      <c r="AE9" s="1007"/>
      <c r="AF9" s="1007"/>
      <c r="AG9" s="1007"/>
      <c r="AH9" s="1007"/>
      <c r="AI9" s="1007"/>
      <c r="AJ9" s="1007"/>
      <c r="AK9" s="1007"/>
      <c r="AL9" s="1007"/>
      <c r="AM9" s="1066">
        <f>35000000</f>
        <v>35000000</v>
      </c>
      <c r="AN9" s="1007"/>
      <c r="AO9" s="1007"/>
      <c r="AP9" s="1007"/>
      <c r="AQ9" s="1007"/>
      <c r="AR9" s="1007"/>
      <c r="AS9" s="1007"/>
      <c r="AT9" s="986"/>
      <c r="AU9" s="1010">
        <f t="shared" si="3"/>
        <v>0.98692837142857148</v>
      </c>
      <c r="AV9" s="1007">
        <f t="shared" si="4"/>
        <v>34542493</v>
      </c>
      <c r="AW9" s="1007"/>
      <c r="AX9" s="1007"/>
      <c r="AY9" s="1007"/>
      <c r="AZ9" s="1007"/>
      <c r="BA9" s="1007"/>
      <c r="BB9" s="1007"/>
      <c r="BC9" s="1007"/>
      <c r="BD9" s="1007"/>
      <c r="BE9" s="1007"/>
      <c r="BF9" s="1007"/>
      <c r="BG9" s="1007"/>
      <c r="BH9" s="1007"/>
      <c r="BI9" s="1007"/>
      <c r="BJ9" s="1007">
        <f>+'[8]SEPTIEMBRE 2015'!$W$2458</f>
        <v>34542493</v>
      </c>
      <c r="BK9" s="1007"/>
      <c r="BL9" s="1007"/>
      <c r="BM9" s="1007"/>
      <c r="BN9" s="1007"/>
      <c r="BO9" s="1007"/>
      <c r="BP9" s="1007"/>
      <c r="BQ9" s="1010">
        <f t="shared" si="5"/>
        <v>1.3071628571428517E-2</v>
      </c>
      <c r="BR9" s="1007">
        <f t="shared" si="6"/>
        <v>457507</v>
      </c>
      <c r="BS9" s="1007">
        <f t="shared" si="7"/>
        <v>0</v>
      </c>
      <c r="BT9" s="1007">
        <f t="shared" si="8"/>
        <v>0</v>
      </c>
      <c r="BU9" s="1007"/>
      <c r="BV9" s="1007">
        <f t="shared" si="9"/>
        <v>0</v>
      </c>
      <c r="BW9" s="1007"/>
      <c r="BX9" s="1007">
        <f t="shared" si="10"/>
        <v>0</v>
      </c>
      <c r="BY9" s="1007">
        <f t="shared" si="10"/>
        <v>0</v>
      </c>
      <c r="BZ9" s="1007"/>
      <c r="CA9" s="1007"/>
      <c r="CB9" s="1007"/>
      <c r="CC9" s="1007"/>
      <c r="CD9" s="1007">
        <f t="shared" si="11"/>
        <v>0</v>
      </c>
      <c r="CE9" s="1007">
        <f t="shared" si="11"/>
        <v>0</v>
      </c>
      <c r="CF9" s="1007">
        <f t="shared" si="11"/>
        <v>457507</v>
      </c>
      <c r="CG9" s="1007">
        <f t="shared" si="11"/>
        <v>0</v>
      </c>
      <c r="CH9" s="1007">
        <f t="shared" si="11"/>
        <v>0</v>
      </c>
      <c r="CI9" s="1007">
        <f t="shared" si="11"/>
        <v>0</v>
      </c>
      <c r="CJ9" s="1007"/>
      <c r="CK9" s="1007"/>
      <c r="CL9" s="1007">
        <f t="shared" si="12"/>
        <v>0</v>
      </c>
      <c r="CM9" s="1010">
        <f t="shared" si="13"/>
        <v>0.98692837142857148</v>
      </c>
      <c r="CN9" s="1007">
        <f t="shared" si="14"/>
        <v>34542493</v>
      </c>
      <c r="CO9" s="1007"/>
      <c r="CP9" s="1007"/>
      <c r="CQ9" s="1007"/>
      <c r="CR9" s="1007"/>
      <c r="CS9" s="1007"/>
      <c r="CT9" s="1007"/>
      <c r="CU9" s="1007"/>
      <c r="CV9" s="1007"/>
      <c r="CW9" s="1007"/>
      <c r="CX9" s="1007"/>
      <c r="CY9" s="1007"/>
      <c r="CZ9" s="1007"/>
      <c r="DA9" s="1007"/>
      <c r="DB9" s="1007">
        <f>+'[8]SEPTIEMBRE 2015'!$H$2456</f>
        <v>34542493</v>
      </c>
      <c r="DC9" s="1007"/>
      <c r="DD9" s="1007"/>
      <c r="DE9" s="1007"/>
      <c r="DF9" s="1007"/>
      <c r="DG9" s="1007"/>
      <c r="DH9" s="1007"/>
      <c r="DI9" s="1010">
        <f t="shared" si="15"/>
        <v>1.3071628571428517E-2</v>
      </c>
      <c r="DJ9" s="1007">
        <f t="shared" si="16"/>
        <v>457507</v>
      </c>
      <c r="DK9" s="1007">
        <f t="shared" si="17"/>
        <v>0</v>
      </c>
      <c r="DL9" s="1007">
        <f t="shared" si="17"/>
        <v>0</v>
      </c>
      <c r="DM9" s="1007"/>
      <c r="DN9" s="1007">
        <f t="shared" si="18"/>
        <v>0</v>
      </c>
      <c r="DO9" s="1007">
        <f t="shared" si="18"/>
        <v>0</v>
      </c>
      <c r="DP9" s="1007">
        <f t="shared" si="18"/>
        <v>0</v>
      </c>
      <c r="DQ9" s="1007">
        <f t="shared" si="18"/>
        <v>0</v>
      </c>
      <c r="DR9" s="1007"/>
      <c r="DS9" s="1007">
        <f t="shared" si="19"/>
        <v>0</v>
      </c>
      <c r="DT9" s="1007">
        <f t="shared" si="19"/>
        <v>0</v>
      </c>
      <c r="DU9" s="1007"/>
      <c r="DV9" s="1007">
        <f t="shared" si="20"/>
        <v>0</v>
      </c>
      <c r="DW9" s="1007">
        <f t="shared" si="20"/>
        <v>0</v>
      </c>
      <c r="DX9" s="1007">
        <f t="shared" si="20"/>
        <v>457507</v>
      </c>
      <c r="DY9" s="1007">
        <f t="shared" si="21"/>
        <v>0</v>
      </c>
      <c r="DZ9" s="1007">
        <f t="shared" si="21"/>
        <v>0</v>
      </c>
      <c r="EA9" s="1007">
        <f t="shared" si="21"/>
        <v>0</v>
      </c>
      <c r="EB9" s="1007">
        <f t="shared" si="21"/>
        <v>0</v>
      </c>
      <c r="EC9" s="1007"/>
      <c r="ED9" s="1007">
        <f t="shared" si="22"/>
        <v>0</v>
      </c>
    </row>
    <row r="10" spans="1:134" ht="54" hidden="1" customHeight="1" x14ac:dyDescent="0.25">
      <c r="A10" s="1565"/>
      <c r="B10" s="1020" t="s">
        <v>4299</v>
      </c>
      <c r="C10" s="1114" t="s">
        <v>4398</v>
      </c>
      <c r="D10" s="1018" t="s">
        <v>4300</v>
      </c>
      <c r="E10" s="1019">
        <v>510</v>
      </c>
      <c r="F10" s="1117" t="s">
        <v>4727</v>
      </c>
      <c r="G10" s="1428">
        <v>95000000</v>
      </c>
      <c r="H10" s="1060">
        <f t="shared" si="0"/>
        <v>3977268</v>
      </c>
      <c r="I10" s="1060">
        <f t="shared" si="1"/>
        <v>15022732</v>
      </c>
      <c r="J10" s="1428" t="s">
        <v>4752</v>
      </c>
      <c r="K10" s="1257" t="s">
        <v>4762</v>
      </c>
      <c r="L10" s="1257" t="s">
        <v>4752</v>
      </c>
      <c r="M10" s="1113">
        <v>0</v>
      </c>
      <c r="N10" s="1113">
        <v>0</v>
      </c>
      <c r="O10" s="1113">
        <v>0</v>
      </c>
      <c r="P10" s="1113">
        <v>0</v>
      </c>
      <c r="Q10" s="1113">
        <v>0</v>
      </c>
      <c r="R10" s="1113">
        <v>0</v>
      </c>
      <c r="S10" s="1117"/>
      <c r="T10" s="1117"/>
      <c r="U10" s="1117"/>
      <c r="V10" s="1117"/>
      <c r="W10" s="1117"/>
      <c r="X10" s="1117"/>
      <c r="Y10" s="1007">
        <f t="shared" si="2"/>
        <v>19000000</v>
      </c>
      <c r="Z10" s="1007"/>
      <c r="AA10" s="1007"/>
      <c r="AB10" s="1007"/>
      <c r="AC10" s="1007"/>
      <c r="AD10" s="1007"/>
      <c r="AE10" s="1007"/>
      <c r="AF10" s="1007"/>
      <c r="AG10" s="1007"/>
      <c r="AH10" s="1007"/>
      <c r="AI10" s="1007"/>
      <c r="AJ10" s="1007"/>
      <c r="AK10" s="1007"/>
      <c r="AL10" s="1007"/>
      <c r="AM10" s="1007"/>
      <c r="AN10" s="1007"/>
      <c r="AO10" s="1007"/>
      <c r="AP10" s="1007"/>
      <c r="AQ10" s="1007"/>
      <c r="AR10" s="1007"/>
      <c r="AS10" s="1007">
        <f>5000000+10000000+4000000</f>
        <v>19000000</v>
      </c>
      <c r="AU10" s="1010">
        <f t="shared" si="3"/>
        <v>0.89473684210526316</v>
      </c>
      <c r="AV10" s="1007">
        <f t="shared" si="4"/>
        <v>17000000</v>
      </c>
      <c r="AW10" s="1007"/>
      <c r="AX10" s="1007"/>
      <c r="AY10" s="1007"/>
      <c r="AZ10" s="1007"/>
      <c r="BA10" s="1007"/>
      <c r="BB10" s="1007"/>
      <c r="BC10" s="1007"/>
      <c r="BD10" s="1007"/>
      <c r="BE10" s="1007"/>
      <c r="BF10" s="1007"/>
      <c r="BG10" s="1007"/>
      <c r="BH10" s="1007"/>
      <c r="BI10" s="1007"/>
      <c r="BJ10" s="1007"/>
      <c r="BK10" s="1007"/>
      <c r="BL10" s="1007"/>
      <c r="BM10" s="1007"/>
      <c r="BN10" s="1007"/>
      <c r="BO10" s="1007"/>
      <c r="BP10" s="1007">
        <f>+'[8]SEPTIEMBRE 2015'!$AD$2472</f>
        <v>17000000</v>
      </c>
      <c r="BQ10" s="1010">
        <f t="shared" si="5"/>
        <v>0.10526315789473684</v>
      </c>
      <c r="BR10" s="1007">
        <f t="shared" si="6"/>
        <v>2000000</v>
      </c>
      <c r="BS10" s="1007">
        <f t="shared" si="7"/>
        <v>0</v>
      </c>
      <c r="BT10" s="1007">
        <f t="shared" si="8"/>
        <v>0</v>
      </c>
      <c r="BU10" s="1007"/>
      <c r="BV10" s="1007">
        <f t="shared" si="9"/>
        <v>0</v>
      </c>
      <c r="BW10" s="1007"/>
      <c r="BX10" s="1007">
        <f t="shared" si="10"/>
        <v>0</v>
      </c>
      <c r="BY10" s="1007">
        <f t="shared" si="10"/>
        <v>0</v>
      </c>
      <c r="BZ10" s="1007"/>
      <c r="CA10" s="1007">
        <f>+AH10-BE10</f>
        <v>0</v>
      </c>
      <c r="CB10" s="1007">
        <f>+AI10-BF10</f>
        <v>0</v>
      </c>
      <c r="CC10" s="1007">
        <f>+AJ10-BG10</f>
        <v>0</v>
      </c>
      <c r="CD10" s="1007">
        <f t="shared" si="11"/>
        <v>0</v>
      </c>
      <c r="CE10" s="1007">
        <f t="shared" si="11"/>
        <v>0</v>
      </c>
      <c r="CF10" s="1007">
        <f t="shared" si="11"/>
        <v>0</v>
      </c>
      <c r="CG10" s="1007">
        <f t="shared" si="11"/>
        <v>0</v>
      </c>
      <c r="CH10" s="1007">
        <f t="shared" si="11"/>
        <v>0</v>
      </c>
      <c r="CI10" s="1007">
        <f t="shared" si="11"/>
        <v>0</v>
      </c>
      <c r="CJ10" s="1007"/>
      <c r="CK10" s="1007"/>
      <c r="CL10" s="1007">
        <f t="shared" si="12"/>
        <v>2000000</v>
      </c>
      <c r="CM10" s="1010">
        <f t="shared" si="13"/>
        <v>0.2093298947368421</v>
      </c>
      <c r="CN10" s="1007">
        <f t="shared" si="14"/>
        <v>3977268</v>
      </c>
      <c r="CO10" s="1007"/>
      <c r="CP10" s="1007"/>
      <c r="CQ10" s="1007"/>
      <c r="CR10" s="1007"/>
      <c r="CS10" s="1007"/>
      <c r="CT10" s="1007"/>
      <c r="CU10" s="1007"/>
      <c r="CV10" s="1007"/>
      <c r="CW10" s="1007"/>
      <c r="CX10" s="1007"/>
      <c r="CY10" s="1007"/>
      <c r="CZ10" s="1007"/>
      <c r="DA10" s="1007"/>
      <c r="DB10" s="1007"/>
      <c r="DC10" s="1007"/>
      <c r="DD10" s="1007"/>
      <c r="DE10" s="1007"/>
      <c r="DF10" s="1007"/>
      <c r="DG10" s="1007"/>
      <c r="DH10" s="1007">
        <f>+'[8]SEPTIEMBRE 2015'!$H$2470</f>
        <v>3977268</v>
      </c>
      <c r="DI10" s="1010">
        <f t="shared" si="15"/>
        <v>0.79067010526315795</v>
      </c>
      <c r="DJ10" s="1007">
        <f t="shared" si="16"/>
        <v>15022732</v>
      </c>
      <c r="DK10" s="1007">
        <f t="shared" si="17"/>
        <v>0</v>
      </c>
      <c r="DL10" s="1007">
        <f t="shared" si="17"/>
        <v>0</v>
      </c>
      <c r="DM10" s="1007"/>
      <c r="DN10" s="1007">
        <f t="shared" si="18"/>
        <v>0</v>
      </c>
      <c r="DO10" s="1007">
        <f t="shared" si="18"/>
        <v>0</v>
      </c>
      <c r="DP10" s="1007">
        <f t="shared" si="18"/>
        <v>0</v>
      </c>
      <c r="DQ10" s="1007">
        <f t="shared" si="18"/>
        <v>0</v>
      </c>
      <c r="DR10" s="1007"/>
      <c r="DS10" s="1007">
        <f t="shared" si="19"/>
        <v>0</v>
      </c>
      <c r="DT10" s="1007">
        <f t="shared" si="19"/>
        <v>0</v>
      </c>
      <c r="DU10" s="1007"/>
      <c r="DV10" s="1007">
        <f t="shared" si="20"/>
        <v>0</v>
      </c>
      <c r="DW10" s="1007">
        <f t="shared" si="20"/>
        <v>0</v>
      </c>
      <c r="DX10" s="1007">
        <f t="shared" si="20"/>
        <v>0</v>
      </c>
      <c r="DY10" s="1007">
        <f t="shared" si="21"/>
        <v>0</v>
      </c>
      <c r="DZ10" s="1007">
        <f t="shared" si="21"/>
        <v>0</v>
      </c>
      <c r="EA10" s="1007">
        <f t="shared" si="21"/>
        <v>0</v>
      </c>
      <c r="EB10" s="1007">
        <f t="shared" si="21"/>
        <v>0</v>
      </c>
      <c r="EC10" s="1007"/>
      <c r="ED10" s="1007">
        <f t="shared" si="22"/>
        <v>15022732</v>
      </c>
    </row>
    <row r="11" spans="1:134" ht="50.25" hidden="1" customHeight="1" x14ac:dyDescent="0.25">
      <c r="A11" s="1565"/>
      <c r="B11" s="1020"/>
      <c r="C11" s="1114" t="s">
        <v>4592</v>
      </c>
      <c r="D11" s="1018" t="s">
        <v>4563</v>
      </c>
      <c r="E11" s="1019">
        <v>510</v>
      </c>
      <c r="F11" s="1117" t="s">
        <v>4660</v>
      </c>
      <c r="G11" s="1429"/>
      <c r="H11" s="1060">
        <f t="shared" si="0"/>
        <v>800000</v>
      </c>
      <c r="I11" s="1060">
        <f t="shared" si="1"/>
        <v>14200000</v>
      </c>
      <c r="J11" s="1429"/>
      <c r="K11" s="1562"/>
      <c r="L11" s="1562"/>
      <c r="M11" s="1113">
        <v>0</v>
      </c>
      <c r="N11" s="1113">
        <v>0</v>
      </c>
      <c r="O11" s="1113">
        <v>0</v>
      </c>
      <c r="P11" s="1113">
        <v>0</v>
      </c>
      <c r="Q11" s="1113">
        <v>0</v>
      </c>
      <c r="R11" s="1113">
        <v>0</v>
      </c>
      <c r="S11" s="1117"/>
      <c r="T11" s="1117"/>
      <c r="U11" s="1117"/>
      <c r="V11" s="1117"/>
      <c r="W11" s="1117"/>
      <c r="X11" s="1117"/>
      <c r="Y11" s="1007">
        <f t="shared" si="2"/>
        <v>15000000</v>
      </c>
      <c r="Z11" s="1007"/>
      <c r="AA11" s="1007"/>
      <c r="AB11" s="1007"/>
      <c r="AC11" s="1007"/>
      <c r="AD11" s="1007"/>
      <c r="AE11" s="1007">
        <f>30000000-15000000</f>
        <v>15000000</v>
      </c>
      <c r="AF11" s="1007"/>
      <c r="AG11" s="1007"/>
      <c r="AH11" s="1007"/>
      <c r="AI11" s="1007"/>
      <c r="AJ11" s="1007"/>
      <c r="AK11" s="1007"/>
      <c r="AL11" s="1007"/>
      <c r="AM11" s="1007"/>
      <c r="AN11" s="1007"/>
      <c r="AO11" s="1007"/>
      <c r="AP11" s="1007"/>
      <c r="AQ11" s="1007"/>
      <c r="AR11" s="1007"/>
      <c r="AS11" s="1007"/>
      <c r="AU11" s="1010">
        <f t="shared" si="3"/>
        <v>5.3333333333333337E-2</v>
      </c>
      <c r="AV11" s="1007">
        <f t="shared" si="4"/>
        <v>800000</v>
      </c>
      <c r="AW11" s="1007"/>
      <c r="AX11" s="1007"/>
      <c r="AY11" s="1007"/>
      <c r="AZ11" s="1007"/>
      <c r="BA11" s="1007"/>
      <c r="BB11" s="1007">
        <f>+'[7]AGOSTO 2015'!$O$2001</f>
        <v>800000</v>
      </c>
      <c r="BC11" s="1007"/>
      <c r="BD11" s="1007"/>
      <c r="BE11" s="1007"/>
      <c r="BF11" s="1007"/>
      <c r="BG11" s="1007"/>
      <c r="BH11" s="1007"/>
      <c r="BI11" s="1007"/>
      <c r="BJ11" s="1007"/>
      <c r="BK11" s="1007"/>
      <c r="BL11" s="1007"/>
      <c r="BM11" s="1007"/>
      <c r="BN11" s="1007"/>
      <c r="BO11" s="1007"/>
      <c r="BP11" s="1007"/>
      <c r="BQ11" s="1010">
        <f t="shared" si="5"/>
        <v>0.94666666666666666</v>
      </c>
      <c r="BR11" s="1007">
        <f t="shared" si="6"/>
        <v>14200000</v>
      </c>
      <c r="BS11" s="1007">
        <f t="shared" si="7"/>
        <v>0</v>
      </c>
      <c r="BT11" s="1007">
        <f t="shared" si="8"/>
        <v>0</v>
      </c>
      <c r="BU11" s="1007"/>
      <c r="BV11" s="1007">
        <f t="shared" si="9"/>
        <v>0</v>
      </c>
      <c r="BW11" s="1007"/>
      <c r="BX11" s="1007">
        <f t="shared" si="10"/>
        <v>14200000</v>
      </c>
      <c r="BY11" s="1007">
        <f t="shared" si="10"/>
        <v>0</v>
      </c>
      <c r="BZ11" s="1007"/>
      <c r="CA11" s="1007"/>
      <c r="CB11" s="1007"/>
      <c r="CC11" s="1007"/>
      <c r="CD11" s="1007">
        <f t="shared" si="11"/>
        <v>0</v>
      </c>
      <c r="CE11" s="1007">
        <f t="shared" si="11"/>
        <v>0</v>
      </c>
      <c r="CF11" s="1007">
        <f t="shared" si="11"/>
        <v>0</v>
      </c>
      <c r="CG11" s="1007">
        <f t="shared" si="11"/>
        <v>0</v>
      </c>
      <c r="CH11" s="1007">
        <f t="shared" si="11"/>
        <v>0</v>
      </c>
      <c r="CI11" s="1007">
        <f t="shared" si="11"/>
        <v>0</v>
      </c>
      <c r="CJ11" s="1007"/>
      <c r="CK11" s="1007"/>
      <c r="CL11" s="1007">
        <f t="shared" si="12"/>
        <v>0</v>
      </c>
      <c r="CM11" s="1010">
        <f t="shared" si="13"/>
        <v>5.3333333333333337E-2</v>
      </c>
      <c r="CN11" s="1007">
        <f t="shared" si="14"/>
        <v>800000</v>
      </c>
      <c r="CO11" s="1007"/>
      <c r="CP11" s="1007"/>
      <c r="CQ11" s="1007"/>
      <c r="CR11" s="1007"/>
      <c r="CS11" s="1007"/>
      <c r="CT11" s="1007">
        <f>+'[7]AGOSTO 2015'!$H$1999</f>
        <v>800000</v>
      </c>
      <c r="CU11" s="1007"/>
      <c r="CV11" s="1007"/>
      <c r="CW11" s="1007"/>
      <c r="CX11" s="1007"/>
      <c r="CY11" s="1007"/>
      <c r="CZ11" s="1007"/>
      <c r="DA11" s="1007"/>
      <c r="DB11" s="1007"/>
      <c r="DC11" s="1007"/>
      <c r="DD11" s="1007"/>
      <c r="DE11" s="1007"/>
      <c r="DF11" s="1007"/>
      <c r="DG11" s="1007"/>
      <c r="DH11" s="1007"/>
      <c r="DI11" s="1010">
        <f t="shared" si="15"/>
        <v>0.94666666666666666</v>
      </c>
      <c r="DJ11" s="1007">
        <f t="shared" si="16"/>
        <v>14200000</v>
      </c>
      <c r="DK11" s="1007">
        <f t="shared" si="17"/>
        <v>0</v>
      </c>
      <c r="DL11" s="1007">
        <f t="shared" si="17"/>
        <v>0</v>
      </c>
      <c r="DM11" s="1007"/>
      <c r="DN11" s="1007">
        <f t="shared" si="18"/>
        <v>0</v>
      </c>
      <c r="DO11" s="1007">
        <f t="shared" si="18"/>
        <v>0</v>
      </c>
      <c r="DP11" s="1007">
        <f t="shared" si="18"/>
        <v>14200000</v>
      </c>
      <c r="DQ11" s="1007">
        <f t="shared" si="18"/>
        <v>0</v>
      </c>
      <c r="DR11" s="1007"/>
      <c r="DS11" s="1007">
        <f t="shared" si="19"/>
        <v>0</v>
      </c>
      <c r="DT11" s="1007">
        <f t="shared" si="19"/>
        <v>0</v>
      </c>
      <c r="DU11" s="1007"/>
      <c r="DV11" s="1007">
        <f t="shared" si="20"/>
        <v>0</v>
      </c>
      <c r="DW11" s="1007">
        <f t="shared" si="20"/>
        <v>0</v>
      </c>
      <c r="DX11" s="1007">
        <f t="shared" si="20"/>
        <v>0</v>
      </c>
      <c r="DY11" s="1007">
        <f t="shared" si="21"/>
        <v>0</v>
      </c>
      <c r="DZ11" s="1007">
        <f t="shared" si="21"/>
        <v>0</v>
      </c>
      <c r="EA11" s="1007">
        <f t="shared" si="21"/>
        <v>0</v>
      </c>
      <c r="EB11" s="1007">
        <f t="shared" si="21"/>
        <v>0</v>
      </c>
      <c r="EC11" s="1007"/>
      <c r="ED11" s="1007">
        <f t="shared" si="22"/>
        <v>0</v>
      </c>
    </row>
    <row r="12" spans="1:134" ht="40.5" hidden="1" customHeight="1" x14ac:dyDescent="0.25">
      <c r="A12" s="1565"/>
      <c r="B12" s="1020"/>
      <c r="C12" s="1114" t="s">
        <v>4593</v>
      </c>
      <c r="D12" s="1018" t="s">
        <v>4585</v>
      </c>
      <c r="E12" s="1019">
        <v>510</v>
      </c>
      <c r="F12" s="1117" t="s">
        <v>4660</v>
      </c>
      <c r="G12" s="1429"/>
      <c r="H12" s="1060">
        <f t="shared" si="0"/>
        <v>10000000</v>
      </c>
      <c r="I12" s="1060">
        <f t="shared" si="1"/>
        <v>0</v>
      </c>
      <c r="J12" s="1429"/>
      <c r="K12" s="1562"/>
      <c r="L12" s="1562"/>
      <c r="M12" s="1113">
        <v>0</v>
      </c>
      <c r="N12" s="1113">
        <v>0</v>
      </c>
      <c r="O12" s="1113">
        <v>0</v>
      </c>
      <c r="P12" s="1113">
        <v>100</v>
      </c>
      <c r="Q12" s="1113">
        <v>0</v>
      </c>
      <c r="R12" s="1113">
        <v>0</v>
      </c>
      <c r="S12" s="1117"/>
      <c r="T12" s="1117"/>
      <c r="U12" s="1117"/>
      <c r="V12" s="1117"/>
      <c r="W12" s="1117"/>
      <c r="X12" s="1117"/>
      <c r="Y12" s="1007">
        <f t="shared" si="2"/>
        <v>10000000</v>
      </c>
      <c r="Z12" s="1007"/>
      <c r="AA12" s="1007"/>
      <c r="AB12" s="1007"/>
      <c r="AC12" s="1007"/>
      <c r="AD12" s="1007"/>
      <c r="AE12" s="1007">
        <v>10000000</v>
      </c>
      <c r="AF12" s="1007"/>
      <c r="AG12" s="1007"/>
      <c r="AH12" s="1007"/>
      <c r="AI12" s="1007"/>
      <c r="AJ12" s="1007"/>
      <c r="AK12" s="1007"/>
      <c r="AL12" s="1007"/>
      <c r="AM12" s="1007"/>
      <c r="AN12" s="1007"/>
      <c r="AO12" s="1007"/>
      <c r="AP12" s="1007"/>
      <c r="AQ12" s="1007"/>
      <c r="AR12" s="1007"/>
      <c r="AS12" s="1007"/>
      <c r="AU12" s="1010">
        <f t="shared" si="3"/>
        <v>1</v>
      </c>
      <c r="AV12" s="1007">
        <f t="shared" si="4"/>
        <v>10000000</v>
      </c>
      <c r="AW12" s="1007"/>
      <c r="AX12" s="1007"/>
      <c r="AY12" s="1007"/>
      <c r="AZ12" s="1007"/>
      <c r="BA12" s="1007"/>
      <c r="BB12" s="1007">
        <f>+'[9]ABRIL 2015'!$N$1193</f>
        <v>10000000</v>
      </c>
      <c r="BC12" s="1007"/>
      <c r="BD12" s="1007"/>
      <c r="BE12" s="1007"/>
      <c r="BF12" s="1007"/>
      <c r="BG12" s="1007"/>
      <c r="BH12" s="1007"/>
      <c r="BI12" s="1007"/>
      <c r="BJ12" s="1007"/>
      <c r="BK12" s="1007"/>
      <c r="BL12" s="1007"/>
      <c r="BM12" s="1007"/>
      <c r="BN12" s="1007"/>
      <c r="BO12" s="1007"/>
      <c r="BP12" s="1007"/>
      <c r="BQ12" s="1010">
        <f t="shared" si="5"/>
        <v>0</v>
      </c>
      <c r="BR12" s="1007">
        <f t="shared" si="6"/>
        <v>0</v>
      </c>
      <c r="BS12" s="1007">
        <f t="shared" si="7"/>
        <v>0</v>
      </c>
      <c r="BT12" s="1007">
        <f t="shared" si="8"/>
        <v>0</v>
      </c>
      <c r="BU12" s="1007"/>
      <c r="BV12" s="1007">
        <f t="shared" si="9"/>
        <v>0</v>
      </c>
      <c r="BW12" s="1007"/>
      <c r="BX12" s="1007">
        <f t="shared" si="10"/>
        <v>0</v>
      </c>
      <c r="BY12" s="1007">
        <f t="shared" si="10"/>
        <v>0</v>
      </c>
      <c r="BZ12" s="1007"/>
      <c r="CA12" s="1007"/>
      <c r="CB12" s="1007"/>
      <c r="CC12" s="1007"/>
      <c r="CD12" s="1007">
        <f t="shared" si="11"/>
        <v>0</v>
      </c>
      <c r="CE12" s="1007">
        <f t="shared" si="11"/>
        <v>0</v>
      </c>
      <c r="CF12" s="1007">
        <f t="shared" si="11"/>
        <v>0</v>
      </c>
      <c r="CG12" s="1007">
        <f t="shared" si="11"/>
        <v>0</v>
      </c>
      <c r="CH12" s="1007">
        <f t="shared" si="11"/>
        <v>0</v>
      </c>
      <c r="CI12" s="1007">
        <f t="shared" si="11"/>
        <v>0</v>
      </c>
      <c r="CJ12" s="1007"/>
      <c r="CK12" s="1007"/>
      <c r="CL12" s="1007">
        <f t="shared" si="12"/>
        <v>0</v>
      </c>
      <c r="CM12" s="1010">
        <f t="shared" si="13"/>
        <v>1</v>
      </c>
      <c r="CN12" s="1007">
        <f t="shared" si="14"/>
        <v>10000000</v>
      </c>
      <c r="CO12" s="1007"/>
      <c r="CP12" s="1007"/>
      <c r="CQ12" s="1007"/>
      <c r="CR12" s="1007"/>
      <c r="CS12" s="1007"/>
      <c r="CT12" s="1007">
        <f>+'[9]ABRIL 2015'!$H$1194</f>
        <v>10000000</v>
      </c>
      <c r="CU12" s="1007"/>
      <c r="CV12" s="1007"/>
      <c r="CW12" s="1007"/>
      <c r="CX12" s="1007"/>
      <c r="CY12" s="1007"/>
      <c r="CZ12" s="1007"/>
      <c r="DA12" s="1007"/>
      <c r="DB12" s="1007"/>
      <c r="DC12" s="1007"/>
      <c r="DD12" s="1007"/>
      <c r="DE12" s="1007"/>
      <c r="DF12" s="1007"/>
      <c r="DG12" s="1007"/>
      <c r="DH12" s="1007"/>
      <c r="DI12" s="1010">
        <f t="shared" si="15"/>
        <v>0</v>
      </c>
      <c r="DJ12" s="1007">
        <f t="shared" si="16"/>
        <v>0</v>
      </c>
      <c r="DK12" s="1007">
        <f t="shared" si="17"/>
        <v>0</v>
      </c>
      <c r="DL12" s="1007">
        <f t="shared" si="17"/>
        <v>0</v>
      </c>
      <c r="DM12" s="1007"/>
      <c r="DN12" s="1007">
        <f t="shared" si="18"/>
        <v>0</v>
      </c>
      <c r="DO12" s="1007">
        <f t="shared" si="18"/>
        <v>0</v>
      </c>
      <c r="DP12" s="1007">
        <f t="shared" si="18"/>
        <v>0</v>
      </c>
      <c r="DQ12" s="1007">
        <f t="shared" si="18"/>
        <v>0</v>
      </c>
      <c r="DR12" s="1007"/>
      <c r="DS12" s="1007">
        <f t="shared" si="19"/>
        <v>0</v>
      </c>
      <c r="DT12" s="1007">
        <f t="shared" si="19"/>
        <v>0</v>
      </c>
      <c r="DU12" s="1007"/>
      <c r="DV12" s="1007">
        <f t="shared" si="20"/>
        <v>0</v>
      </c>
      <c r="DW12" s="1007">
        <f t="shared" si="20"/>
        <v>0</v>
      </c>
      <c r="DX12" s="1007">
        <f t="shared" si="20"/>
        <v>0</v>
      </c>
      <c r="DY12" s="1007">
        <f t="shared" si="21"/>
        <v>0</v>
      </c>
      <c r="DZ12" s="1007">
        <f t="shared" si="21"/>
        <v>0</v>
      </c>
      <c r="EA12" s="1007">
        <f t="shared" si="21"/>
        <v>0</v>
      </c>
      <c r="EB12" s="1007">
        <f t="shared" si="21"/>
        <v>0</v>
      </c>
      <c r="EC12" s="1007"/>
      <c r="ED12" s="1007">
        <f t="shared" si="22"/>
        <v>0</v>
      </c>
    </row>
    <row r="13" spans="1:134" ht="55.5" hidden="1" customHeight="1" x14ac:dyDescent="0.25">
      <c r="A13" s="1565"/>
      <c r="B13" s="1020"/>
      <c r="C13" s="1114" t="s">
        <v>4594</v>
      </c>
      <c r="D13" s="1018" t="s">
        <v>4564</v>
      </c>
      <c r="E13" s="1019">
        <v>510</v>
      </c>
      <c r="F13" s="1117" t="s">
        <v>4660</v>
      </c>
      <c r="G13" s="1429"/>
      <c r="H13" s="1060">
        <f t="shared" si="0"/>
        <v>6601149</v>
      </c>
      <c r="I13" s="1060">
        <f t="shared" si="1"/>
        <v>23398851</v>
      </c>
      <c r="J13" s="1429"/>
      <c r="K13" s="1562"/>
      <c r="L13" s="1562"/>
      <c r="M13" s="1113">
        <v>0</v>
      </c>
      <c r="N13" s="1113">
        <v>0</v>
      </c>
      <c r="O13" s="1113">
        <v>0</v>
      </c>
      <c r="P13" s="1113">
        <v>0</v>
      </c>
      <c r="Q13" s="1113">
        <v>0</v>
      </c>
      <c r="R13" s="1113">
        <v>0</v>
      </c>
      <c r="S13" s="1117"/>
      <c r="T13" s="1117"/>
      <c r="U13" s="1117"/>
      <c r="V13" s="1117"/>
      <c r="W13" s="1117"/>
      <c r="X13" s="1117"/>
      <c r="Y13" s="1007">
        <f t="shared" si="2"/>
        <v>30000000</v>
      </c>
      <c r="Z13" s="1007"/>
      <c r="AA13" s="1007"/>
      <c r="AB13" s="1007"/>
      <c r="AC13" s="1007"/>
      <c r="AD13" s="1007"/>
      <c r="AE13" s="1007">
        <v>30000000</v>
      </c>
      <c r="AF13" s="1007"/>
      <c r="AG13" s="1007"/>
      <c r="AH13" s="1007"/>
      <c r="AI13" s="1007"/>
      <c r="AJ13" s="1007"/>
      <c r="AK13" s="1007"/>
      <c r="AL13" s="1007"/>
      <c r="AM13" s="1007"/>
      <c r="AN13" s="1007"/>
      <c r="AO13" s="1007"/>
      <c r="AP13" s="1007"/>
      <c r="AQ13" s="1007"/>
      <c r="AR13" s="1007"/>
      <c r="AS13" s="1007"/>
      <c r="AU13" s="1010">
        <f t="shared" si="3"/>
        <v>0.27089163333333333</v>
      </c>
      <c r="AV13" s="1007">
        <f t="shared" si="4"/>
        <v>8126749</v>
      </c>
      <c r="AW13" s="1007"/>
      <c r="AX13" s="1007"/>
      <c r="AY13" s="1007"/>
      <c r="AZ13" s="1007"/>
      <c r="BA13" s="1007"/>
      <c r="BB13" s="1007">
        <f>+'[8]SEPTIEMBRE 2015'!$O$2495</f>
        <v>8126749</v>
      </c>
      <c r="BC13" s="1007"/>
      <c r="BD13" s="1007"/>
      <c r="BE13" s="1007"/>
      <c r="BF13" s="1007"/>
      <c r="BG13" s="1007"/>
      <c r="BH13" s="1007"/>
      <c r="BI13" s="1007"/>
      <c r="BJ13" s="1007"/>
      <c r="BK13" s="1007"/>
      <c r="BL13" s="1007"/>
      <c r="BM13" s="1007"/>
      <c r="BN13" s="1007"/>
      <c r="BO13" s="1007"/>
      <c r="BP13" s="1007"/>
      <c r="BQ13" s="1010">
        <f t="shared" si="5"/>
        <v>0.72910836666666667</v>
      </c>
      <c r="BR13" s="1007">
        <f t="shared" si="6"/>
        <v>21873251</v>
      </c>
      <c r="BS13" s="1007">
        <f t="shared" si="7"/>
        <v>0</v>
      </c>
      <c r="BT13" s="1007">
        <f t="shared" si="8"/>
        <v>0</v>
      </c>
      <c r="BU13" s="1007"/>
      <c r="BV13" s="1007">
        <f t="shared" si="9"/>
        <v>0</v>
      </c>
      <c r="BW13" s="1007"/>
      <c r="BX13" s="1007">
        <f t="shared" si="10"/>
        <v>21873251</v>
      </c>
      <c r="BY13" s="1007">
        <f t="shared" si="10"/>
        <v>0</v>
      </c>
      <c r="BZ13" s="1007"/>
      <c r="CA13" s="1007"/>
      <c r="CB13" s="1007"/>
      <c r="CC13" s="1007"/>
      <c r="CD13" s="1007">
        <f t="shared" si="11"/>
        <v>0</v>
      </c>
      <c r="CE13" s="1007">
        <f t="shared" si="11"/>
        <v>0</v>
      </c>
      <c r="CF13" s="1007">
        <f t="shared" si="11"/>
        <v>0</v>
      </c>
      <c r="CG13" s="1007">
        <f t="shared" si="11"/>
        <v>0</v>
      </c>
      <c r="CH13" s="1007">
        <f t="shared" si="11"/>
        <v>0</v>
      </c>
      <c r="CI13" s="1007">
        <f t="shared" si="11"/>
        <v>0</v>
      </c>
      <c r="CJ13" s="1007"/>
      <c r="CK13" s="1007"/>
      <c r="CL13" s="1007">
        <f t="shared" si="12"/>
        <v>0</v>
      </c>
      <c r="CM13" s="1010">
        <f t="shared" si="13"/>
        <v>0.22003829999999999</v>
      </c>
      <c r="CN13" s="1007">
        <f t="shared" si="14"/>
        <v>6601149</v>
      </c>
      <c r="CO13" s="1007"/>
      <c r="CP13" s="1007"/>
      <c r="CQ13" s="1007"/>
      <c r="CR13" s="1007"/>
      <c r="CS13" s="1007"/>
      <c r="CT13" s="1007">
        <f>+'[8]SEPTIEMBRE 2015'!$H$2493</f>
        <v>6601149</v>
      </c>
      <c r="CU13" s="1007"/>
      <c r="CV13" s="1007"/>
      <c r="CW13" s="1007"/>
      <c r="CX13" s="1007"/>
      <c r="CY13" s="1007"/>
      <c r="CZ13" s="1007"/>
      <c r="DA13" s="1007"/>
      <c r="DB13" s="1007"/>
      <c r="DC13" s="1007"/>
      <c r="DD13" s="1007"/>
      <c r="DE13" s="1007"/>
      <c r="DF13" s="1007"/>
      <c r="DG13" s="1007"/>
      <c r="DH13" s="1007"/>
      <c r="DI13" s="1010">
        <f t="shared" si="15"/>
        <v>0.77996169999999998</v>
      </c>
      <c r="DJ13" s="1007">
        <f t="shared" si="16"/>
        <v>23398851</v>
      </c>
      <c r="DK13" s="1007">
        <f t="shared" si="17"/>
        <v>0</v>
      </c>
      <c r="DL13" s="1007">
        <f t="shared" si="17"/>
        <v>0</v>
      </c>
      <c r="DM13" s="1007"/>
      <c r="DN13" s="1007">
        <f t="shared" si="18"/>
        <v>0</v>
      </c>
      <c r="DO13" s="1007">
        <f t="shared" si="18"/>
        <v>0</v>
      </c>
      <c r="DP13" s="1007">
        <f t="shared" si="18"/>
        <v>23398851</v>
      </c>
      <c r="DQ13" s="1007">
        <f t="shared" si="18"/>
        <v>0</v>
      </c>
      <c r="DR13" s="1007"/>
      <c r="DS13" s="1007">
        <f t="shared" si="19"/>
        <v>0</v>
      </c>
      <c r="DT13" s="1007">
        <f t="shared" si="19"/>
        <v>0</v>
      </c>
      <c r="DU13" s="1007"/>
      <c r="DV13" s="1007">
        <f t="shared" si="20"/>
        <v>0</v>
      </c>
      <c r="DW13" s="1007">
        <f t="shared" si="20"/>
        <v>0</v>
      </c>
      <c r="DX13" s="1007">
        <f t="shared" si="20"/>
        <v>0</v>
      </c>
      <c r="DY13" s="1007">
        <f t="shared" si="21"/>
        <v>0</v>
      </c>
      <c r="DZ13" s="1007">
        <f t="shared" si="21"/>
        <v>0</v>
      </c>
      <c r="EA13" s="1007">
        <f t="shared" si="21"/>
        <v>0</v>
      </c>
      <c r="EB13" s="1007">
        <f t="shared" si="21"/>
        <v>0</v>
      </c>
      <c r="EC13" s="1007"/>
      <c r="ED13" s="1007">
        <f t="shared" si="22"/>
        <v>0</v>
      </c>
    </row>
    <row r="14" spans="1:134" ht="39" hidden="1" customHeight="1" x14ac:dyDescent="0.25">
      <c r="A14" s="1565"/>
      <c r="B14" s="1020"/>
      <c r="C14" s="1114" t="s">
        <v>4595</v>
      </c>
      <c r="D14" s="1018" t="s">
        <v>4565</v>
      </c>
      <c r="E14" s="1019">
        <v>510</v>
      </c>
      <c r="F14" s="1117" t="s">
        <v>4660</v>
      </c>
      <c r="G14" s="1429"/>
      <c r="H14" s="1060">
        <f t="shared" si="0"/>
        <v>0</v>
      </c>
      <c r="I14" s="1060">
        <f t="shared" si="1"/>
        <v>15000000</v>
      </c>
      <c r="J14" s="1429"/>
      <c r="K14" s="1562"/>
      <c r="L14" s="1562"/>
      <c r="M14" s="1113">
        <v>0</v>
      </c>
      <c r="N14" s="1113">
        <v>0</v>
      </c>
      <c r="O14" s="1113">
        <v>0</v>
      </c>
      <c r="P14" s="1113">
        <v>0</v>
      </c>
      <c r="Q14" s="1113">
        <v>0</v>
      </c>
      <c r="R14" s="1113">
        <v>0</v>
      </c>
      <c r="S14" s="1117"/>
      <c r="T14" s="1117"/>
      <c r="U14" s="1117"/>
      <c r="V14" s="1117"/>
      <c r="W14" s="1117"/>
      <c r="X14" s="1117"/>
      <c r="Y14" s="1007">
        <f t="shared" si="2"/>
        <v>15000000</v>
      </c>
      <c r="Z14" s="1007"/>
      <c r="AA14" s="1007"/>
      <c r="AB14" s="1007"/>
      <c r="AC14" s="1007"/>
      <c r="AD14" s="1007"/>
      <c r="AE14" s="1007">
        <v>15000000</v>
      </c>
      <c r="AF14" s="1007"/>
      <c r="AG14" s="1007"/>
      <c r="AH14" s="1007"/>
      <c r="AI14" s="1007"/>
      <c r="AJ14" s="1007"/>
      <c r="AK14" s="1007"/>
      <c r="AL14" s="1007"/>
      <c r="AM14" s="1007"/>
      <c r="AN14" s="1007"/>
      <c r="AO14" s="1007"/>
      <c r="AP14" s="1007"/>
      <c r="AQ14" s="1007"/>
      <c r="AR14" s="1007"/>
      <c r="AS14" s="1007"/>
      <c r="AU14" s="1010">
        <f t="shared" si="3"/>
        <v>0</v>
      </c>
      <c r="AV14" s="1007">
        <f t="shared" si="4"/>
        <v>0</v>
      </c>
      <c r="AW14" s="1007"/>
      <c r="AX14" s="1007"/>
      <c r="AY14" s="1007"/>
      <c r="AZ14" s="1007"/>
      <c r="BA14" s="1007"/>
      <c r="BB14" s="1007"/>
      <c r="BC14" s="1007"/>
      <c r="BD14" s="1007"/>
      <c r="BE14" s="1007"/>
      <c r="BF14" s="1007"/>
      <c r="BG14" s="1007"/>
      <c r="BH14" s="1007"/>
      <c r="BI14" s="1007"/>
      <c r="BJ14" s="1007"/>
      <c r="BK14" s="1007"/>
      <c r="BL14" s="1007"/>
      <c r="BM14" s="1007"/>
      <c r="BN14" s="1007"/>
      <c r="BO14" s="1007"/>
      <c r="BP14" s="1007"/>
      <c r="BQ14" s="1010">
        <f t="shared" si="5"/>
        <v>1</v>
      </c>
      <c r="BR14" s="1007">
        <f t="shared" si="6"/>
        <v>15000000</v>
      </c>
      <c r="BS14" s="1007">
        <f t="shared" si="7"/>
        <v>0</v>
      </c>
      <c r="BT14" s="1007">
        <f t="shared" si="8"/>
        <v>0</v>
      </c>
      <c r="BU14" s="1007"/>
      <c r="BV14" s="1007">
        <f t="shared" si="9"/>
        <v>0</v>
      </c>
      <c r="BW14" s="1007"/>
      <c r="BX14" s="1007">
        <f t="shared" si="10"/>
        <v>15000000</v>
      </c>
      <c r="BY14" s="1007">
        <f t="shared" si="10"/>
        <v>0</v>
      </c>
      <c r="BZ14" s="1007"/>
      <c r="CA14" s="1007"/>
      <c r="CB14" s="1007"/>
      <c r="CC14" s="1007"/>
      <c r="CD14" s="1007">
        <f t="shared" si="11"/>
        <v>0</v>
      </c>
      <c r="CE14" s="1007">
        <f t="shared" si="11"/>
        <v>0</v>
      </c>
      <c r="CF14" s="1007">
        <f t="shared" si="11"/>
        <v>0</v>
      </c>
      <c r="CG14" s="1007">
        <f t="shared" si="11"/>
        <v>0</v>
      </c>
      <c r="CH14" s="1007">
        <f t="shared" si="11"/>
        <v>0</v>
      </c>
      <c r="CI14" s="1007">
        <f t="shared" si="11"/>
        <v>0</v>
      </c>
      <c r="CJ14" s="1007"/>
      <c r="CK14" s="1007"/>
      <c r="CL14" s="1007">
        <f t="shared" si="12"/>
        <v>0</v>
      </c>
      <c r="CM14" s="1010">
        <f t="shared" si="13"/>
        <v>0</v>
      </c>
      <c r="CN14" s="1007">
        <f t="shared" si="14"/>
        <v>0</v>
      </c>
      <c r="CO14" s="1007"/>
      <c r="CP14" s="1007"/>
      <c r="CQ14" s="1007"/>
      <c r="CR14" s="1007"/>
      <c r="CS14" s="1007"/>
      <c r="CT14" s="1007"/>
      <c r="CU14" s="1007"/>
      <c r="CV14" s="1007"/>
      <c r="CW14" s="1007"/>
      <c r="CX14" s="1007"/>
      <c r="CY14" s="1007"/>
      <c r="CZ14" s="1007"/>
      <c r="DA14" s="1007"/>
      <c r="DB14" s="1007"/>
      <c r="DC14" s="1007"/>
      <c r="DD14" s="1007"/>
      <c r="DE14" s="1007"/>
      <c r="DF14" s="1007"/>
      <c r="DG14" s="1007"/>
      <c r="DH14" s="1007"/>
      <c r="DI14" s="1010">
        <f t="shared" si="15"/>
        <v>1</v>
      </c>
      <c r="DJ14" s="1007">
        <f t="shared" si="16"/>
        <v>15000000</v>
      </c>
      <c r="DK14" s="1007">
        <f t="shared" si="17"/>
        <v>0</v>
      </c>
      <c r="DL14" s="1007">
        <f t="shared" si="17"/>
        <v>0</v>
      </c>
      <c r="DM14" s="1007"/>
      <c r="DN14" s="1007">
        <f t="shared" si="18"/>
        <v>0</v>
      </c>
      <c r="DO14" s="1007">
        <f t="shared" si="18"/>
        <v>0</v>
      </c>
      <c r="DP14" s="1007">
        <f t="shared" si="18"/>
        <v>15000000</v>
      </c>
      <c r="DQ14" s="1007">
        <f t="shared" si="18"/>
        <v>0</v>
      </c>
      <c r="DR14" s="1007"/>
      <c r="DS14" s="1007">
        <f t="shared" si="19"/>
        <v>0</v>
      </c>
      <c r="DT14" s="1007">
        <f t="shared" si="19"/>
        <v>0</v>
      </c>
      <c r="DU14" s="1007"/>
      <c r="DV14" s="1007">
        <f t="shared" si="20"/>
        <v>0</v>
      </c>
      <c r="DW14" s="1007">
        <f t="shared" si="20"/>
        <v>0</v>
      </c>
      <c r="DX14" s="1007">
        <f t="shared" si="20"/>
        <v>0</v>
      </c>
      <c r="DY14" s="1007">
        <f t="shared" si="21"/>
        <v>0</v>
      </c>
      <c r="DZ14" s="1007">
        <f t="shared" si="21"/>
        <v>0</v>
      </c>
      <c r="EA14" s="1007">
        <f t="shared" si="21"/>
        <v>0</v>
      </c>
      <c r="EB14" s="1007">
        <f t="shared" si="21"/>
        <v>0</v>
      </c>
      <c r="EC14" s="1007"/>
      <c r="ED14" s="1007">
        <f t="shared" si="22"/>
        <v>0</v>
      </c>
    </row>
    <row r="15" spans="1:134" ht="34.5" hidden="1" customHeight="1" x14ac:dyDescent="0.25">
      <c r="A15" s="1565"/>
      <c r="B15" s="1020"/>
      <c r="C15" s="1114" t="s">
        <v>4596</v>
      </c>
      <c r="D15" s="1018" t="s">
        <v>4586</v>
      </c>
      <c r="E15" s="1019">
        <v>510</v>
      </c>
      <c r="F15" s="1117" t="s">
        <v>4660</v>
      </c>
      <c r="G15" s="1429"/>
      <c r="H15" s="1060">
        <f t="shared" si="0"/>
        <v>0</v>
      </c>
      <c r="I15" s="1060">
        <f t="shared" si="1"/>
        <v>10000000</v>
      </c>
      <c r="J15" s="1429"/>
      <c r="K15" s="1562"/>
      <c r="L15" s="1562"/>
      <c r="M15" s="1113">
        <v>0</v>
      </c>
      <c r="N15" s="1113">
        <v>0</v>
      </c>
      <c r="O15" s="1113">
        <v>0</v>
      </c>
      <c r="P15" s="1113">
        <v>0</v>
      </c>
      <c r="Q15" s="1113">
        <v>0</v>
      </c>
      <c r="R15" s="1113">
        <v>0</v>
      </c>
      <c r="S15" s="1117"/>
      <c r="T15" s="1117"/>
      <c r="U15" s="1117"/>
      <c r="V15" s="1117"/>
      <c r="W15" s="1117"/>
      <c r="X15" s="1117"/>
      <c r="Y15" s="1007">
        <f t="shared" si="2"/>
        <v>10000000</v>
      </c>
      <c r="Z15" s="1007"/>
      <c r="AA15" s="1007"/>
      <c r="AB15" s="1007"/>
      <c r="AC15" s="1007"/>
      <c r="AD15" s="1007"/>
      <c r="AE15" s="1007">
        <v>10000000</v>
      </c>
      <c r="AF15" s="1007"/>
      <c r="AG15" s="1007"/>
      <c r="AH15" s="1007"/>
      <c r="AI15" s="1007"/>
      <c r="AJ15" s="1007"/>
      <c r="AK15" s="1007"/>
      <c r="AL15" s="1007"/>
      <c r="AM15" s="1007"/>
      <c r="AN15" s="1007"/>
      <c r="AO15" s="1007"/>
      <c r="AP15" s="1007"/>
      <c r="AQ15" s="1007"/>
      <c r="AR15" s="1007"/>
      <c r="AS15" s="1007"/>
      <c r="AU15" s="1010">
        <f t="shared" si="3"/>
        <v>0</v>
      </c>
      <c r="AV15" s="1007">
        <f t="shared" si="4"/>
        <v>0</v>
      </c>
      <c r="AW15" s="1007"/>
      <c r="AX15" s="1007"/>
      <c r="AY15" s="1007"/>
      <c r="AZ15" s="1007"/>
      <c r="BA15" s="1007"/>
      <c r="BB15" s="1007"/>
      <c r="BC15" s="1007"/>
      <c r="BD15" s="1007"/>
      <c r="BE15" s="1007"/>
      <c r="BF15" s="1007"/>
      <c r="BG15" s="1007"/>
      <c r="BH15" s="1007"/>
      <c r="BI15" s="1007"/>
      <c r="BJ15" s="1007"/>
      <c r="BK15" s="1007"/>
      <c r="BL15" s="1007"/>
      <c r="BM15" s="1007"/>
      <c r="BN15" s="1007"/>
      <c r="BO15" s="1007"/>
      <c r="BP15" s="1007"/>
      <c r="BQ15" s="1010">
        <f t="shared" si="5"/>
        <v>1</v>
      </c>
      <c r="BR15" s="1007">
        <f t="shared" si="6"/>
        <v>10000000</v>
      </c>
      <c r="BS15" s="1007">
        <f t="shared" si="7"/>
        <v>0</v>
      </c>
      <c r="BT15" s="1007">
        <f t="shared" si="8"/>
        <v>0</v>
      </c>
      <c r="BU15" s="1007"/>
      <c r="BV15" s="1007">
        <f t="shared" si="9"/>
        <v>0</v>
      </c>
      <c r="BW15" s="1007"/>
      <c r="BX15" s="1007">
        <f t="shared" si="10"/>
        <v>10000000</v>
      </c>
      <c r="BY15" s="1007">
        <f t="shared" si="10"/>
        <v>0</v>
      </c>
      <c r="BZ15" s="1007"/>
      <c r="CA15" s="1007"/>
      <c r="CB15" s="1007"/>
      <c r="CC15" s="1007"/>
      <c r="CD15" s="1007">
        <f t="shared" si="11"/>
        <v>0</v>
      </c>
      <c r="CE15" s="1007">
        <f t="shared" si="11"/>
        <v>0</v>
      </c>
      <c r="CF15" s="1007">
        <f t="shared" si="11"/>
        <v>0</v>
      </c>
      <c r="CG15" s="1007">
        <f t="shared" si="11"/>
        <v>0</v>
      </c>
      <c r="CH15" s="1007">
        <f t="shared" si="11"/>
        <v>0</v>
      </c>
      <c r="CI15" s="1007">
        <f t="shared" si="11"/>
        <v>0</v>
      </c>
      <c r="CJ15" s="1007"/>
      <c r="CK15" s="1007"/>
      <c r="CL15" s="1007">
        <f t="shared" si="12"/>
        <v>0</v>
      </c>
      <c r="CM15" s="1010">
        <f t="shared" si="13"/>
        <v>0</v>
      </c>
      <c r="CN15" s="1007">
        <f t="shared" si="14"/>
        <v>0</v>
      </c>
      <c r="CO15" s="1007"/>
      <c r="CP15" s="1007"/>
      <c r="CQ15" s="1007"/>
      <c r="CR15" s="1007"/>
      <c r="CS15" s="1007"/>
      <c r="CT15" s="1007"/>
      <c r="CU15" s="1007"/>
      <c r="CV15" s="1007"/>
      <c r="CW15" s="1007"/>
      <c r="CX15" s="1007"/>
      <c r="CY15" s="1007"/>
      <c r="CZ15" s="1007"/>
      <c r="DA15" s="1007"/>
      <c r="DB15" s="1007"/>
      <c r="DC15" s="1007"/>
      <c r="DD15" s="1007"/>
      <c r="DE15" s="1007"/>
      <c r="DF15" s="1007"/>
      <c r="DG15" s="1007"/>
      <c r="DH15" s="1007"/>
      <c r="DI15" s="1010">
        <f t="shared" si="15"/>
        <v>1</v>
      </c>
      <c r="DJ15" s="1007">
        <f t="shared" si="16"/>
        <v>10000000</v>
      </c>
      <c r="DK15" s="1007">
        <f t="shared" si="17"/>
        <v>0</v>
      </c>
      <c r="DL15" s="1007">
        <f t="shared" si="17"/>
        <v>0</v>
      </c>
      <c r="DM15" s="1007"/>
      <c r="DN15" s="1007">
        <f t="shared" si="18"/>
        <v>0</v>
      </c>
      <c r="DO15" s="1007">
        <f t="shared" si="18"/>
        <v>0</v>
      </c>
      <c r="DP15" s="1007">
        <f t="shared" si="18"/>
        <v>10000000</v>
      </c>
      <c r="DQ15" s="1007">
        <f t="shared" si="18"/>
        <v>0</v>
      </c>
      <c r="DR15" s="1007"/>
      <c r="DS15" s="1007">
        <f t="shared" si="19"/>
        <v>0</v>
      </c>
      <c r="DT15" s="1007">
        <f t="shared" si="19"/>
        <v>0</v>
      </c>
      <c r="DU15" s="1007"/>
      <c r="DV15" s="1007">
        <f t="shared" si="20"/>
        <v>0</v>
      </c>
      <c r="DW15" s="1007">
        <f t="shared" si="20"/>
        <v>0</v>
      </c>
      <c r="DX15" s="1007">
        <f t="shared" si="20"/>
        <v>0</v>
      </c>
      <c r="DY15" s="1007">
        <f t="shared" si="21"/>
        <v>0</v>
      </c>
      <c r="DZ15" s="1007">
        <f t="shared" si="21"/>
        <v>0</v>
      </c>
      <c r="EA15" s="1007">
        <f t="shared" si="21"/>
        <v>0</v>
      </c>
      <c r="EB15" s="1007">
        <f t="shared" si="21"/>
        <v>0</v>
      </c>
      <c r="EC15" s="1007"/>
      <c r="ED15" s="1007">
        <f t="shared" si="22"/>
        <v>0</v>
      </c>
    </row>
    <row r="16" spans="1:134" s="203" customFormat="1" ht="29.25" hidden="1" customHeight="1" x14ac:dyDescent="0.25">
      <c r="A16" s="1565"/>
      <c r="B16" s="1079"/>
      <c r="C16" s="1080" t="s">
        <v>4685</v>
      </c>
      <c r="D16" s="1018" t="s">
        <v>4697</v>
      </c>
      <c r="E16" s="1019">
        <v>510</v>
      </c>
      <c r="F16" s="1117" t="s">
        <v>4660</v>
      </c>
      <c r="G16" s="1430"/>
      <c r="H16" s="1060">
        <f t="shared" si="0"/>
        <v>0</v>
      </c>
      <c r="I16" s="1060">
        <f t="shared" si="1"/>
        <v>0</v>
      </c>
      <c r="J16" s="1430"/>
      <c r="K16" s="1258"/>
      <c r="L16" s="1258"/>
      <c r="M16" s="1074">
        <v>0</v>
      </c>
      <c r="N16" s="1074">
        <v>0</v>
      </c>
      <c r="O16" s="1074">
        <v>0</v>
      </c>
      <c r="P16" s="1074"/>
      <c r="Q16" s="1074"/>
      <c r="R16" s="1074"/>
      <c r="S16" s="1117"/>
      <c r="T16" s="1117"/>
      <c r="U16" s="1117"/>
      <c r="V16" s="1117"/>
      <c r="W16" s="1117"/>
      <c r="X16" s="1117"/>
      <c r="Y16" s="1066">
        <f t="shared" si="2"/>
        <v>0</v>
      </c>
      <c r="Z16" s="1066"/>
      <c r="AA16" s="1066"/>
      <c r="AB16" s="1066"/>
      <c r="AC16" s="1066"/>
      <c r="AD16" s="1066"/>
      <c r="AE16" s="1066"/>
      <c r="AF16" s="1066"/>
      <c r="AG16" s="1066"/>
      <c r="AH16" s="1066"/>
      <c r="AI16" s="1066"/>
      <c r="AJ16" s="1066"/>
      <c r="AK16" s="1066"/>
      <c r="AL16" s="1066"/>
      <c r="AM16" s="1066"/>
      <c r="AN16" s="1066">
        <f>100000000-100000000</f>
        <v>0</v>
      </c>
      <c r="AO16" s="1066"/>
      <c r="AP16" s="1066"/>
      <c r="AQ16" s="1066"/>
      <c r="AR16" s="1066"/>
      <c r="AS16" s="1066"/>
      <c r="AU16" s="1081" t="e">
        <f t="shared" si="3"/>
        <v>#DIV/0!</v>
      </c>
      <c r="AV16" s="1066">
        <f t="shared" si="4"/>
        <v>0</v>
      </c>
      <c r="AW16" s="1066"/>
      <c r="AX16" s="1066"/>
      <c r="AY16" s="1066"/>
      <c r="AZ16" s="1066"/>
      <c r="BA16" s="1066"/>
      <c r="BB16" s="1066"/>
      <c r="BC16" s="1066"/>
      <c r="BD16" s="1066"/>
      <c r="BE16" s="1066"/>
      <c r="BF16" s="1066"/>
      <c r="BG16" s="1066"/>
      <c r="BH16" s="1066"/>
      <c r="BI16" s="1066"/>
      <c r="BJ16" s="1066"/>
      <c r="BK16" s="1066"/>
      <c r="BL16" s="1066"/>
      <c r="BM16" s="1066"/>
      <c r="BN16" s="1066"/>
      <c r="BO16" s="1066"/>
      <c r="BP16" s="1066"/>
      <c r="BQ16" s="1081" t="e">
        <f t="shared" si="5"/>
        <v>#DIV/0!</v>
      </c>
      <c r="BR16" s="1066">
        <f t="shared" si="6"/>
        <v>0</v>
      </c>
      <c r="BS16" s="1066">
        <f t="shared" si="7"/>
        <v>0</v>
      </c>
      <c r="BT16" s="1066">
        <f t="shared" si="8"/>
        <v>0</v>
      </c>
      <c r="BU16" s="1066"/>
      <c r="BV16" s="1066">
        <f t="shared" si="9"/>
        <v>0</v>
      </c>
      <c r="BW16" s="1066"/>
      <c r="BX16" s="1066">
        <f t="shared" si="10"/>
        <v>0</v>
      </c>
      <c r="BY16" s="1066">
        <f t="shared" si="10"/>
        <v>0</v>
      </c>
      <c r="BZ16" s="1066"/>
      <c r="CA16" s="1066"/>
      <c r="CB16" s="1066"/>
      <c r="CC16" s="1066"/>
      <c r="CD16" s="1066">
        <f t="shared" si="11"/>
        <v>0</v>
      </c>
      <c r="CE16" s="1066">
        <f t="shared" si="11"/>
        <v>0</v>
      </c>
      <c r="CF16" s="1066">
        <f t="shared" si="11"/>
        <v>0</v>
      </c>
      <c r="CG16" s="1066">
        <f t="shared" si="11"/>
        <v>0</v>
      </c>
      <c r="CH16" s="1066">
        <f t="shared" si="11"/>
        <v>0</v>
      </c>
      <c r="CI16" s="1066">
        <f t="shared" si="11"/>
        <v>0</v>
      </c>
      <c r="CJ16" s="1066"/>
      <c r="CK16" s="1066"/>
      <c r="CL16" s="1066">
        <f t="shared" si="12"/>
        <v>0</v>
      </c>
      <c r="CM16" s="1081" t="e">
        <f t="shared" si="13"/>
        <v>#DIV/0!</v>
      </c>
      <c r="CN16" s="1066">
        <f t="shared" si="14"/>
        <v>0</v>
      </c>
      <c r="CO16" s="1066"/>
      <c r="CP16" s="1066"/>
      <c r="CQ16" s="1066"/>
      <c r="CR16" s="1066"/>
      <c r="CS16" s="1066"/>
      <c r="CT16" s="1066"/>
      <c r="CU16" s="1066"/>
      <c r="CV16" s="1066"/>
      <c r="CW16" s="1066"/>
      <c r="CX16" s="1066"/>
      <c r="CY16" s="1066"/>
      <c r="CZ16" s="1066"/>
      <c r="DA16" s="1066"/>
      <c r="DB16" s="1066"/>
      <c r="DC16" s="1066"/>
      <c r="DD16" s="1066"/>
      <c r="DE16" s="1066"/>
      <c r="DF16" s="1066"/>
      <c r="DG16" s="1066"/>
      <c r="DH16" s="1066"/>
      <c r="DI16" s="1081" t="e">
        <f t="shared" si="15"/>
        <v>#DIV/0!</v>
      </c>
      <c r="DJ16" s="1066">
        <f t="shared" si="16"/>
        <v>0</v>
      </c>
      <c r="DK16" s="1066">
        <f t="shared" si="17"/>
        <v>0</v>
      </c>
      <c r="DL16" s="1066">
        <f t="shared" si="17"/>
        <v>0</v>
      </c>
      <c r="DM16" s="1066"/>
      <c r="DN16" s="1066">
        <f t="shared" si="18"/>
        <v>0</v>
      </c>
      <c r="DO16" s="1066">
        <f t="shared" si="18"/>
        <v>0</v>
      </c>
      <c r="DP16" s="1066">
        <f t="shared" si="18"/>
        <v>0</v>
      </c>
      <c r="DQ16" s="1066">
        <f t="shared" si="18"/>
        <v>0</v>
      </c>
      <c r="DR16" s="1066"/>
      <c r="DS16" s="1066">
        <f t="shared" si="19"/>
        <v>0</v>
      </c>
      <c r="DT16" s="1066">
        <f t="shared" si="19"/>
        <v>0</v>
      </c>
      <c r="DU16" s="1066"/>
      <c r="DV16" s="1066">
        <f t="shared" si="20"/>
        <v>0</v>
      </c>
      <c r="DW16" s="1066">
        <f t="shared" si="20"/>
        <v>0</v>
      </c>
      <c r="DX16" s="1066">
        <f t="shared" si="20"/>
        <v>0</v>
      </c>
      <c r="DY16" s="1066">
        <f t="shared" si="21"/>
        <v>0</v>
      </c>
      <c r="DZ16" s="1066">
        <f t="shared" si="21"/>
        <v>0</v>
      </c>
      <c r="EA16" s="1066">
        <f t="shared" si="21"/>
        <v>0</v>
      </c>
      <c r="EB16" s="1066">
        <f t="shared" si="21"/>
        <v>0</v>
      </c>
      <c r="EC16" s="1066"/>
      <c r="ED16" s="1066">
        <f t="shared" si="22"/>
        <v>0</v>
      </c>
    </row>
    <row r="17" spans="1:134" ht="66.75" hidden="1" customHeight="1" x14ac:dyDescent="0.25">
      <c r="A17" s="1565"/>
      <c r="B17" s="1064" t="s">
        <v>4301</v>
      </c>
      <c r="C17" s="1114" t="s">
        <v>4399</v>
      </c>
      <c r="D17" s="1018" t="s">
        <v>4683</v>
      </c>
      <c r="E17" s="1019">
        <v>310</v>
      </c>
      <c r="F17" s="1117" t="s">
        <v>4728</v>
      </c>
      <c r="G17" s="1428">
        <v>916000000</v>
      </c>
      <c r="H17" s="1060">
        <f t="shared" si="0"/>
        <v>278367754</v>
      </c>
      <c r="I17" s="1060">
        <f t="shared" si="1"/>
        <v>231555865</v>
      </c>
      <c r="J17" s="1428" t="s">
        <v>4763</v>
      </c>
      <c r="K17" s="1257" t="s">
        <v>4765</v>
      </c>
      <c r="L17" s="1257" t="s">
        <v>4764</v>
      </c>
      <c r="M17" s="1113">
        <v>12</v>
      </c>
      <c r="N17" s="1113">
        <v>0</v>
      </c>
      <c r="O17" s="1113">
        <v>0</v>
      </c>
      <c r="P17" s="1113">
        <v>16</v>
      </c>
      <c r="Q17" s="1113">
        <v>25</v>
      </c>
      <c r="R17" s="1113">
        <v>4</v>
      </c>
      <c r="S17" s="1121"/>
      <c r="T17" s="1121"/>
      <c r="U17" s="1121"/>
      <c r="V17" s="1121"/>
      <c r="W17" s="1121"/>
      <c r="X17" s="1121"/>
      <c r="Y17" s="1007">
        <f t="shared" si="2"/>
        <v>509923619</v>
      </c>
      <c r="Z17" s="1007"/>
      <c r="AA17" s="1007"/>
      <c r="AB17" s="1007"/>
      <c r="AC17" s="1007"/>
      <c r="AD17" s="1007"/>
      <c r="AE17" s="1007">
        <v>390000000</v>
      </c>
      <c r="AF17" s="1007"/>
      <c r="AG17" s="1007"/>
      <c r="AH17" s="1007"/>
      <c r="AI17" s="1007"/>
      <c r="AJ17" s="1007"/>
      <c r="AK17" s="1007"/>
      <c r="AL17" s="1007"/>
      <c r="AM17" s="1007"/>
      <c r="AN17" s="1007">
        <f>150000000-125000000</f>
        <v>25000000</v>
      </c>
      <c r="AO17" s="1007"/>
      <c r="AP17" s="1007"/>
      <c r="AQ17" s="1007"/>
      <c r="AR17" s="1007"/>
      <c r="AS17" s="1007">
        <f>12388298+18001909+6000000+20000000+3962083+17271329+17300000</f>
        <v>94923619</v>
      </c>
      <c r="AU17" s="1010">
        <f t="shared" si="3"/>
        <v>0.60609398247936419</v>
      </c>
      <c r="AV17" s="1007">
        <f t="shared" si="4"/>
        <v>309061637</v>
      </c>
      <c r="AW17" s="1007"/>
      <c r="AX17" s="1007"/>
      <c r="AY17" s="1007"/>
      <c r="AZ17" s="1007"/>
      <c r="BA17" s="1007"/>
      <c r="BB17" s="1007">
        <f>+'[8]SEPTIEMBRE 2015'!$O$468</f>
        <v>217044496</v>
      </c>
      <c r="BC17" s="1007"/>
      <c r="BD17" s="1007"/>
      <c r="BE17" s="1007"/>
      <c r="BF17" s="1007"/>
      <c r="BG17" s="1007"/>
      <c r="BH17" s="1007"/>
      <c r="BI17" s="1007"/>
      <c r="BJ17" s="1007"/>
      <c r="BK17" s="1007"/>
      <c r="BL17" s="1007"/>
      <c r="BM17" s="1007"/>
      <c r="BN17" s="1007"/>
      <c r="BO17" s="1007"/>
      <c r="BP17" s="1007">
        <f>+'[8]SEPTIEMBRE 2015'!$AD$468</f>
        <v>92017141</v>
      </c>
      <c r="BQ17" s="1010">
        <f t="shared" si="5"/>
        <v>0.39390601752063581</v>
      </c>
      <c r="BR17" s="1007">
        <f t="shared" si="6"/>
        <v>200861982</v>
      </c>
      <c r="BS17" s="1007">
        <f t="shared" si="7"/>
        <v>0</v>
      </c>
      <c r="BT17" s="1007">
        <f t="shared" si="8"/>
        <v>0</v>
      </c>
      <c r="BU17" s="1007"/>
      <c r="BV17" s="1007">
        <f t="shared" si="9"/>
        <v>0</v>
      </c>
      <c r="BW17" s="1007"/>
      <c r="BX17" s="1007">
        <f t="shared" si="10"/>
        <v>172955504</v>
      </c>
      <c r="BY17" s="1007">
        <f t="shared" si="10"/>
        <v>0</v>
      </c>
      <c r="BZ17" s="1007"/>
      <c r="CA17" s="1007"/>
      <c r="CB17" s="1007"/>
      <c r="CC17" s="1007"/>
      <c r="CD17" s="1007">
        <f t="shared" si="11"/>
        <v>0</v>
      </c>
      <c r="CE17" s="1007">
        <f t="shared" si="11"/>
        <v>0</v>
      </c>
      <c r="CF17" s="1007">
        <f t="shared" si="11"/>
        <v>0</v>
      </c>
      <c r="CG17" s="1007">
        <f t="shared" si="11"/>
        <v>25000000</v>
      </c>
      <c r="CH17" s="1007">
        <f t="shared" si="11"/>
        <v>0</v>
      </c>
      <c r="CI17" s="1007">
        <f t="shared" si="11"/>
        <v>0</v>
      </c>
      <c r="CJ17" s="1007"/>
      <c r="CK17" s="1007"/>
      <c r="CL17" s="1007">
        <f t="shared" si="12"/>
        <v>2906478</v>
      </c>
      <c r="CM17" s="1010">
        <f t="shared" si="13"/>
        <v>0.54590088324581021</v>
      </c>
      <c r="CN17" s="1007">
        <f t="shared" si="14"/>
        <v>278367754</v>
      </c>
      <c r="CO17" s="1007"/>
      <c r="CP17" s="1007"/>
      <c r="CQ17" s="1007"/>
      <c r="CR17" s="1007"/>
      <c r="CS17" s="1007"/>
      <c r="CT17" s="1007">
        <f>+'[8]SEPTIEMBRE 2015'!$H$466-DH17</f>
        <v>214044496</v>
      </c>
      <c r="CU17" s="1007"/>
      <c r="CV17" s="1007"/>
      <c r="CW17" s="1007"/>
      <c r="CX17" s="1007"/>
      <c r="CY17" s="1007"/>
      <c r="CZ17" s="1007"/>
      <c r="DA17" s="1007"/>
      <c r="DB17" s="1007"/>
      <c r="DC17" s="1007"/>
      <c r="DD17" s="1007"/>
      <c r="DE17" s="1007"/>
      <c r="DF17" s="1007"/>
      <c r="DG17" s="1007"/>
      <c r="DH17" s="1007">
        <f>+'[8]SEPTIEMBRE 2015'!$H$469+'[8]SEPTIEMBRE 2015'!$H$495+'[8]SEPTIEMBRE 2015'!$H$503+'[8]SEPTIEMBRE 2015'!$H$527+'[8]SEPTIEMBRE 2015'!$H$609+'[8]SEPTIEMBRE 2015'!$H$672+'[8]SEPTIEMBRE 2015'!$H$723+'[8]SEPTIEMBRE 2015'!$H$729+'[8]SEPTIEMBRE 2015'!$H$742</f>
        <v>64323258</v>
      </c>
      <c r="DI17" s="1010">
        <f t="shared" si="15"/>
        <v>0.45409911675418979</v>
      </c>
      <c r="DJ17" s="1007">
        <f t="shared" si="16"/>
        <v>231555865</v>
      </c>
      <c r="DK17" s="1007">
        <f t="shared" si="17"/>
        <v>0</v>
      </c>
      <c r="DL17" s="1007">
        <f t="shared" si="17"/>
        <v>0</v>
      </c>
      <c r="DM17" s="1007"/>
      <c r="DN17" s="1007">
        <f t="shared" si="18"/>
        <v>0</v>
      </c>
      <c r="DO17" s="1007">
        <f t="shared" si="18"/>
        <v>0</v>
      </c>
      <c r="DP17" s="1007">
        <f t="shared" si="18"/>
        <v>175955504</v>
      </c>
      <c r="DQ17" s="1007">
        <f t="shared" si="18"/>
        <v>0</v>
      </c>
      <c r="DR17" s="1007"/>
      <c r="DS17" s="1007">
        <f t="shared" si="19"/>
        <v>0</v>
      </c>
      <c r="DT17" s="1007">
        <f t="shared" si="19"/>
        <v>0</v>
      </c>
      <c r="DU17" s="1007"/>
      <c r="DV17" s="1007">
        <f t="shared" si="20"/>
        <v>0</v>
      </c>
      <c r="DW17" s="1007">
        <f t="shared" si="20"/>
        <v>0</v>
      </c>
      <c r="DX17" s="1007">
        <f t="shared" si="20"/>
        <v>0</v>
      </c>
      <c r="DY17" s="1007">
        <f t="shared" si="21"/>
        <v>25000000</v>
      </c>
      <c r="DZ17" s="1007">
        <f t="shared" si="21"/>
        <v>0</v>
      </c>
      <c r="EA17" s="1007">
        <f t="shared" si="21"/>
        <v>0</v>
      </c>
      <c r="EB17" s="1007">
        <f t="shared" si="21"/>
        <v>0</v>
      </c>
      <c r="EC17" s="1007"/>
      <c r="ED17" s="1007">
        <f t="shared" si="22"/>
        <v>30600361</v>
      </c>
    </row>
    <row r="18" spans="1:134" ht="35.25" hidden="1" customHeight="1" x14ac:dyDescent="0.25">
      <c r="A18" s="1565"/>
      <c r="B18" s="1020"/>
      <c r="C18" s="1114" t="s">
        <v>4597</v>
      </c>
      <c r="D18" s="1018" t="s">
        <v>4698</v>
      </c>
      <c r="E18" s="1019">
        <v>310</v>
      </c>
      <c r="F18" s="1117" t="s">
        <v>4729</v>
      </c>
      <c r="G18" s="1429"/>
      <c r="H18" s="1060">
        <f t="shared" si="0"/>
        <v>186409675</v>
      </c>
      <c r="I18" s="1060">
        <f t="shared" si="1"/>
        <v>35575469</v>
      </c>
      <c r="J18" s="1429"/>
      <c r="K18" s="1562"/>
      <c r="L18" s="1562"/>
      <c r="M18" s="1113">
        <v>9</v>
      </c>
      <c r="N18" s="1113">
        <v>30</v>
      </c>
      <c r="O18" s="1113">
        <v>3</v>
      </c>
      <c r="P18" s="1113">
        <v>10</v>
      </c>
      <c r="Q18" s="1113">
        <v>80</v>
      </c>
      <c r="R18" s="1113">
        <v>8</v>
      </c>
      <c r="S18" s="1122"/>
      <c r="T18" s="1122"/>
      <c r="U18" s="1122"/>
      <c r="V18" s="1122"/>
      <c r="W18" s="1122"/>
      <c r="X18" s="1122"/>
      <c r="Y18" s="1007">
        <f t="shared" si="2"/>
        <v>221985144</v>
      </c>
      <c r="Z18" s="1007"/>
      <c r="AA18" s="1007"/>
      <c r="AB18" s="1007"/>
      <c r="AC18" s="1007"/>
      <c r="AD18" s="1007"/>
      <c r="AE18" s="1007">
        <v>30000000</v>
      </c>
      <c r="AF18" s="1007">
        <f>222000000-30014856</f>
        <v>191985144</v>
      </c>
      <c r="AG18" s="1007"/>
      <c r="AH18" s="1007"/>
      <c r="AI18" s="1007"/>
      <c r="AJ18" s="1007"/>
      <c r="AK18" s="1007"/>
      <c r="AL18" s="1007"/>
      <c r="AM18" s="1007"/>
      <c r="AN18" s="1007"/>
      <c r="AO18" s="1007"/>
      <c r="AP18" s="1007"/>
      <c r="AQ18" s="1007"/>
      <c r="AR18" s="1007"/>
      <c r="AS18" s="1007">
        <f>3000000-3000000</f>
        <v>0</v>
      </c>
      <c r="AT18" s="949"/>
      <c r="AU18" s="1010">
        <f t="shared" si="3"/>
        <v>0.88627856556022511</v>
      </c>
      <c r="AV18" s="1007">
        <f t="shared" si="4"/>
        <v>196740675</v>
      </c>
      <c r="AW18" s="1007"/>
      <c r="AX18" s="1007"/>
      <c r="AY18" s="1007"/>
      <c r="AZ18" s="1007"/>
      <c r="BA18" s="1007"/>
      <c r="BB18" s="1007">
        <f>+'[10]JULIO 2015'!$O$577</f>
        <v>30000000</v>
      </c>
      <c r="BC18" s="1007">
        <f>+'[8]SEPTIEMBRE 2015'!$P$754</f>
        <v>166740675</v>
      </c>
      <c r="BD18" s="1007"/>
      <c r="BE18" s="1007"/>
      <c r="BF18" s="1007"/>
      <c r="BG18" s="1007"/>
      <c r="BH18" s="1007"/>
      <c r="BI18" s="1007"/>
      <c r="BJ18" s="1007"/>
      <c r="BK18" s="1007"/>
      <c r="BL18" s="1007"/>
      <c r="BM18" s="1007"/>
      <c r="BN18" s="1007"/>
      <c r="BO18" s="1007"/>
      <c r="BP18" s="1007"/>
      <c r="BQ18" s="1010">
        <f t="shared" si="5"/>
        <v>0.11372143443977489</v>
      </c>
      <c r="BR18" s="1007">
        <f t="shared" si="6"/>
        <v>25244469</v>
      </c>
      <c r="BS18" s="1007">
        <f t="shared" si="7"/>
        <v>0</v>
      </c>
      <c r="BT18" s="1007">
        <f t="shared" si="8"/>
        <v>0</v>
      </c>
      <c r="BU18" s="1007"/>
      <c r="BV18" s="1007">
        <f t="shared" si="9"/>
        <v>0</v>
      </c>
      <c r="BW18" s="1007"/>
      <c r="BX18" s="1007">
        <f t="shared" si="10"/>
        <v>0</v>
      </c>
      <c r="BY18" s="1007">
        <f t="shared" si="10"/>
        <v>25244469</v>
      </c>
      <c r="BZ18" s="1007"/>
      <c r="CA18" s="1007">
        <f>+AH18-BE18</f>
        <v>0</v>
      </c>
      <c r="CB18" s="1007">
        <f>+AI18-BF18</f>
        <v>0</v>
      </c>
      <c r="CC18" s="1007">
        <f>+AJ18-BG18</f>
        <v>0</v>
      </c>
      <c r="CD18" s="1007">
        <f t="shared" si="11"/>
        <v>0</v>
      </c>
      <c r="CE18" s="1007">
        <f t="shared" si="11"/>
        <v>0</v>
      </c>
      <c r="CF18" s="1007">
        <f t="shared" si="11"/>
        <v>0</v>
      </c>
      <c r="CG18" s="1007">
        <f t="shared" si="11"/>
        <v>0</v>
      </c>
      <c r="CH18" s="1007">
        <f t="shared" si="11"/>
        <v>0</v>
      </c>
      <c r="CI18" s="1007">
        <f t="shared" si="11"/>
        <v>0</v>
      </c>
      <c r="CJ18" s="1007"/>
      <c r="CK18" s="1007"/>
      <c r="CL18" s="1007">
        <f t="shared" si="12"/>
        <v>0</v>
      </c>
      <c r="CM18" s="1010">
        <f t="shared" si="13"/>
        <v>0.83973941517455786</v>
      </c>
      <c r="CN18" s="1007">
        <f t="shared" si="14"/>
        <v>186409675</v>
      </c>
      <c r="CO18" s="1007"/>
      <c r="CP18" s="1007"/>
      <c r="CQ18" s="1007"/>
      <c r="CR18" s="1007"/>
      <c r="CS18" s="1007"/>
      <c r="CT18" s="1007">
        <f>+'[8]SEPTIEMBRE 2015'!$H$755+'[8]SEPTIEMBRE 2015'!$H$756+'[8]SEPTIEMBRE 2015'!$H$757+'[8]SEPTIEMBRE 2015'!$H$758+'[8]SEPTIEMBRE 2015'!$H$760+'[8]SEPTIEMBRE 2015'!$H$762</f>
        <v>29177750</v>
      </c>
      <c r="CU18" s="1007">
        <f>+'[8]SEPTIEMBRE 2015'!$H$752-CT18</f>
        <v>157231925</v>
      </c>
      <c r="CV18" s="1007"/>
      <c r="CW18" s="1007"/>
      <c r="CX18" s="1007"/>
      <c r="CY18" s="1007"/>
      <c r="CZ18" s="1007"/>
      <c r="DA18" s="1007"/>
      <c r="DB18" s="1007"/>
      <c r="DC18" s="1007"/>
      <c r="DD18" s="1007"/>
      <c r="DE18" s="1007"/>
      <c r="DF18" s="1007"/>
      <c r="DG18" s="1007"/>
      <c r="DH18" s="1007"/>
      <c r="DI18" s="1010">
        <f t="shared" si="15"/>
        <v>0.16026058482544214</v>
      </c>
      <c r="DJ18" s="1007">
        <f t="shared" si="16"/>
        <v>35575469</v>
      </c>
      <c r="DK18" s="1007">
        <f t="shared" si="17"/>
        <v>0</v>
      </c>
      <c r="DL18" s="1007">
        <f t="shared" si="17"/>
        <v>0</v>
      </c>
      <c r="DM18" s="1007"/>
      <c r="DN18" s="1007">
        <f t="shared" si="18"/>
        <v>0</v>
      </c>
      <c r="DO18" s="1007">
        <f t="shared" si="18"/>
        <v>0</v>
      </c>
      <c r="DP18" s="1007">
        <f t="shared" si="18"/>
        <v>822250</v>
      </c>
      <c r="DQ18" s="1007">
        <f t="shared" si="18"/>
        <v>34753219</v>
      </c>
      <c r="DR18" s="1007"/>
      <c r="DS18" s="1007">
        <f t="shared" si="19"/>
        <v>0</v>
      </c>
      <c r="DT18" s="1007">
        <f t="shared" si="19"/>
        <v>0</v>
      </c>
      <c r="DU18" s="1007"/>
      <c r="DV18" s="1007">
        <f t="shared" si="20"/>
        <v>0</v>
      </c>
      <c r="DW18" s="1007">
        <f t="shared" si="20"/>
        <v>0</v>
      </c>
      <c r="DX18" s="1007">
        <f t="shared" si="20"/>
        <v>0</v>
      </c>
      <c r="DY18" s="1007">
        <f t="shared" si="21"/>
        <v>0</v>
      </c>
      <c r="DZ18" s="1007">
        <f t="shared" si="21"/>
        <v>0</v>
      </c>
      <c r="EA18" s="1007">
        <f t="shared" si="21"/>
        <v>0</v>
      </c>
      <c r="EB18" s="1007">
        <f t="shared" si="21"/>
        <v>0</v>
      </c>
      <c r="EC18" s="1007"/>
      <c r="ED18" s="1007">
        <f t="shared" si="22"/>
        <v>0</v>
      </c>
    </row>
    <row r="19" spans="1:134" ht="36" hidden="1" customHeight="1" x14ac:dyDescent="0.25">
      <c r="A19" s="1565"/>
      <c r="B19" s="1020"/>
      <c r="C19" s="1114" t="s">
        <v>4568</v>
      </c>
      <c r="D19" s="1018" t="s">
        <v>4567</v>
      </c>
      <c r="E19" s="1019">
        <v>310</v>
      </c>
      <c r="F19" s="1117" t="s">
        <v>4660</v>
      </c>
      <c r="G19" s="1429"/>
      <c r="H19" s="1060">
        <f t="shared" si="0"/>
        <v>76759184</v>
      </c>
      <c r="I19" s="1060">
        <f t="shared" si="1"/>
        <v>64240816</v>
      </c>
      <c r="J19" s="1429"/>
      <c r="K19" s="1562"/>
      <c r="L19" s="1562"/>
      <c r="M19" s="1113">
        <v>39</v>
      </c>
      <c r="N19" s="1113">
        <v>0</v>
      </c>
      <c r="O19" s="1113">
        <v>0</v>
      </c>
      <c r="P19" s="1113">
        <v>89</v>
      </c>
      <c r="Q19" s="1113">
        <v>0</v>
      </c>
      <c r="R19" s="1113">
        <v>0</v>
      </c>
      <c r="S19" s="1122"/>
      <c r="T19" s="1122"/>
      <c r="U19" s="1122"/>
      <c r="V19" s="1122"/>
      <c r="W19" s="1122"/>
      <c r="X19" s="1122"/>
      <c r="Y19" s="1007">
        <f t="shared" si="2"/>
        <v>141000000</v>
      </c>
      <c r="Z19" s="1007"/>
      <c r="AA19" s="1007">
        <f>144000000-144000000</f>
        <v>0</v>
      </c>
      <c r="AB19" s="1007"/>
      <c r="AC19" s="1007"/>
      <c r="AD19" s="1007"/>
      <c r="AE19" s="1007"/>
      <c r="AF19" s="1007">
        <f>144000000-64000000+50000000</f>
        <v>130000000</v>
      </c>
      <c r="AG19" s="1007"/>
      <c r="AH19" s="1007"/>
      <c r="AI19" s="1007"/>
      <c r="AJ19" s="1007"/>
      <c r="AK19" s="1007"/>
      <c r="AL19" s="1007"/>
      <c r="AM19" s="1007"/>
      <c r="AN19" s="1007">
        <f>11000000</f>
        <v>11000000</v>
      </c>
      <c r="AO19" s="1007"/>
      <c r="AP19" s="1007"/>
      <c r="AQ19" s="1007"/>
      <c r="AR19" s="1007"/>
      <c r="AS19" s="1007"/>
      <c r="AT19" s="949"/>
      <c r="AU19" s="1010">
        <f t="shared" si="3"/>
        <v>0.56737588652482274</v>
      </c>
      <c r="AV19" s="1007">
        <f t="shared" si="4"/>
        <v>80000000</v>
      </c>
      <c r="AW19" s="1007"/>
      <c r="AX19" s="1007"/>
      <c r="AY19" s="1007"/>
      <c r="AZ19" s="1007"/>
      <c r="BA19" s="1007"/>
      <c r="BB19" s="1007"/>
      <c r="BC19" s="1007">
        <f>+'[11]MARZO 2015'!$O$374</f>
        <v>80000000</v>
      </c>
      <c r="BD19" s="1007"/>
      <c r="BE19" s="1007"/>
      <c r="BF19" s="1007"/>
      <c r="BG19" s="1007"/>
      <c r="BH19" s="1007"/>
      <c r="BI19" s="1007"/>
      <c r="BJ19" s="1007"/>
      <c r="BK19" s="1007"/>
      <c r="BL19" s="1007"/>
      <c r="BM19" s="1007"/>
      <c r="BN19" s="1007"/>
      <c r="BO19" s="1007"/>
      <c r="BP19" s="1007"/>
      <c r="BQ19" s="1010">
        <f t="shared" si="5"/>
        <v>0.43262411347517726</v>
      </c>
      <c r="BR19" s="1007">
        <f t="shared" si="6"/>
        <v>61000000</v>
      </c>
      <c r="BS19" s="1007">
        <f t="shared" si="7"/>
        <v>0</v>
      </c>
      <c r="BT19" s="1007">
        <f t="shared" ref="BT19:BT33" si="23">AA19-AX19</f>
        <v>0</v>
      </c>
      <c r="BU19" s="1007"/>
      <c r="BV19" s="1007">
        <f t="shared" si="9"/>
        <v>0</v>
      </c>
      <c r="BW19" s="1007"/>
      <c r="BX19" s="1007">
        <f t="shared" si="10"/>
        <v>0</v>
      </c>
      <c r="BY19" s="1007">
        <f t="shared" si="10"/>
        <v>50000000</v>
      </c>
      <c r="BZ19" s="1007"/>
      <c r="CA19" s="1007"/>
      <c r="CB19" s="1007"/>
      <c r="CC19" s="1007"/>
      <c r="CD19" s="1007">
        <f t="shared" si="11"/>
        <v>0</v>
      </c>
      <c r="CE19" s="1007">
        <f t="shared" si="11"/>
        <v>0</v>
      </c>
      <c r="CF19" s="1007">
        <f t="shared" si="11"/>
        <v>0</v>
      </c>
      <c r="CG19" s="1007">
        <f t="shared" si="11"/>
        <v>11000000</v>
      </c>
      <c r="CH19" s="1007">
        <f t="shared" si="11"/>
        <v>0</v>
      </c>
      <c r="CI19" s="1007">
        <f t="shared" si="11"/>
        <v>0</v>
      </c>
      <c r="CJ19" s="1007"/>
      <c r="CK19" s="1007"/>
      <c r="CL19" s="1007">
        <f t="shared" si="12"/>
        <v>0</v>
      </c>
      <c r="CM19" s="1010">
        <f t="shared" si="13"/>
        <v>0.54439137588652486</v>
      </c>
      <c r="CN19" s="1007">
        <f t="shared" si="14"/>
        <v>76759184</v>
      </c>
      <c r="CO19" s="1007"/>
      <c r="CP19" s="1007"/>
      <c r="CQ19" s="1007"/>
      <c r="CR19" s="1007"/>
      <c r="CS19" s="1007"/>
      <c r="CT19" s="1007"/>
      <c r="CU19" s="1007">
        <f>+'[8]SEPTIEMBRE 2015'!$H$783</f>
        <v>76759184</v>
      </c>
      <c r="CV19" s="1007"/>
      <c r="CW19" s="1007"/>
      <c r="CX19" s="1007"/>
      <c r="CY19" s="1007"/>
      <c r="CZ19" s="1007"/>
      <c r="DA19" s="1007"/>
      <c r="DB19" s="1007"/>
      <c r="DC19" s="1007"/>
      <c r="DD19" s="1007"/>
      <c r="DE19" s="1007"/>
      <c r="DF19" s="1007"/>
      <c r="DG19" s="1007"/>
      <c r="DH19" s="1007"/>
      <c r="DI19" s="1010">
        <f t="shared" si="15"/>
        <v>0.45560862411347514</v>
      </c>
      <c r="DJ19" s="1007">
        <f t="shared" si="16"/>
        <v>64240816</v>
      </c>
      <c r="DK19" s="1007">
        <f t="shared" si="17"/>
        <v>0</v>
      </c>
      <c r="DL19" s="1007">
        <f t="shared" si="17"/>
        <v>0</v>
      </c>
      <c r="DM19" s="1007"/>
      <c r="DN19" s="1007">
        <f t="shared" si="18"/>
        <v>0</v>
      </c>
      <c r="DO19" s="1007">
        <f t="shared" si="18"/>
        <v>0</v>
      </c>
      <c r="DP19" s="1007">
        <f t="shared" si="18"/>
        <v>0</v>
      </c>
      <c r="DQ19" s="1007">
        <f t="shared" si="18"/>
        <v>53240816</v>
      </c>
      <c r="DR19" s="1007"/>
      <c r="DS19" s="1007">
        <f t="shared" si="19"/>
        <v>0</v>
      </c>
      <c r="DT19" s="1007">
        <f t="shared" si="19"/>
        <v>0</v>
      </c>
      <c r="DU19" s="1007"/>
      <c r="DV19" s="1007">
        <f t="shared" si="20"/>
        <v>0</v>
      </c>
      <c r="DW19" s="1007">
        <f t="shared" si="20"/>
        <v>0</v>
      </c>
      <c r="DX19" s="1007">
        <f t="shared" si="20"/>
        <v>0</v>
      </c>
      <c r="DY19" s="1007">
        <f t="shared" si="21"/>
        <v>11000000</v>
      </c>
      <c r="DZ19" s="1007">
        <f t="shared" si="21"/>
        <v>0</v>
      </c>
      <c r="EA19" s="1007">
        <f t="shared" si="21"/>
        <v>0</v>
      </c>
      <c r="EB19" s="1007">
        <f t="shared" si="21"/>
        <v>0</v>
      </c>
      <c r="EC19" s="1007"/>
      <c r="ED19" s="1007">
        <f t="shared" si="22"/>
        <v>0</v>
      </c>
    </row>
    <row r="20" spans="1:134" ht="34.5" hidden="1" customHeight="1" x14ac:dyDescent="0.25">
      <c r="A20" s="1565"/>
      <c r="B20" s="1020"/>
      <c r="C20" s="1114" t="s">
        <v>4569</v>
      </c>
      <c r="D20" s="1018" t="s">
        <v>4699</v>
      </c>
      <c r="E20" s="1019">
        <v>310</v>
      </c>
      <c r="F20" s="1117" t="s">
        <v>4660</v>
      </c>
      <c r="G20" s="1429"/>
      <c r="H20" s="1060">
        <f t="shared" si="0"/>
        <v>0</v>
      </c>
      <c r="I20" s="1060">
        <f t="shared" si="1"/>
        <v>0</v>
      </c>
      <c r="J20" s="1429"/>
      <c r="K20" s="1562"/>
      <c r="L20" s="1562"/>
      <c r="M20" s="1113">
        <v>0</v>
      </c>
      <c r="N20" s="1113">
        <v>0</v>
      </c>
      <c r="O20" s="1113">
        <v>0</v>
      </c>
      <c r="P20" s="1113">
        <v>0</v>
      </c>
      <c r="Q20" s="1113">
        <v>0</v>
      </c>
      <c r="R20" s="1113">
        <v>0</v>
      </c>
      <c r="S20" s="1122"/>
      <c r="T20" s="1122"/>
      <c r="U20" s="1122"/>
      <c r="V20" s="1122"/>
      <c r="W20" s="1122"/>
      <c r="X20" s="1122"/>
      <c r="Y20" s="1007">
        <f t="shared" si="2"/>
        <v>0</v>
      </c>
      <c r="Z20" s="149"/>
      <c r="AA20" s="944"/>
      <c r="AB20" s="944"/>
      <c r="AC20" s="944"/>
      <c r="AD20" s="944"/>
      <c r="AE20" s="944"/>
      <c r="AF20" s="1007">
        <f>4000000-4000000</f>
        <v>0</v>
      </c>
      <c r="AG20" s="944"/>
      <c r="AH20" s="149"/>
      <c r="AI20" s="149"/>
      <c r="AJ20" s="149"/>
      <c r="AK20" s="149"/>
      <c r="AL20" s="149"/>
      <c r="AM20" s="149"/>
      <c r="AN20" s="1007">
        <f>11000000-11000000</f>
        <v>0</v>
      </c>
      <c r="AO20" s="149"/>
      <c r="AP20" s="149"/>
      <c r="AQ20" s="149"/>
      <c r="AR20" s="149"/>
      <c r="AS20" s="944"/>
      <c r="AT20" s="949"/>
      <c r="AU20" s="1010" t="e">
        <f t="shared" si="3"/>
        <v>#DIV/0!</v>
      </c>
      <c r="AV20" s="1007">
        <f t="shared" si="4"/>
        <v>0</v>
      </c>
      <c r="AW20" s="1007"/>
      <c r="AX20" s="1007"/>
      <c r="AY20" s="1007"/>
      <c r="AZ20" s="1007"/>
      <c r="BA20" s="1007"/>
      <c r="BB20" s="1007"/>
      <c r="BC20" s="1007"/>
      <c r="BD20" s="1007"/>
      <c r="BE20" s="1007"/>
      <c r="BF20" s="1007"/>
      <c r="BG20" s="1007"/>
      <c r="BH20" s="1007"/>
      <c r="BI20" s="1007"/>
      <c r="BJ20" s="1007"/>
      <c r="BK20" s="1007"/>
      <c r="BL20" s="1007"/>
      <c r="BM20" s="1007"/>
      <c r="BN20" s="1007"/>
      <c r="BO20" s="1007"/>
      <c r="BP20" s="1007"/>
      <c r="BQ20" s="1010" t="e">
        <f t="shared" si="5"/>
        <v>#DIV/0!</v>
      </c>
      <c r="BR20" s="1007">
        <f t="shared" si="6"/>
        <v>0</v>
      </c>
      <c r="BS20" s="1007">
        <f t="shared" si="7"/>
        <v>0</v>
      </c>
      <c r="BT20" s="1007">
        <f t="shared" si="23"/>
        <v>0</v>
      </c>
      <c r="BU20" s="1007"/>
      <c r="BV20" s="1007">
        <f t="shared" si="9"/>
        <v>0</v>
      </c>
      <c r="BW20" s="1007"/>
      <c r="BX20" s="1007">
        <f t="shared" si="10"/>
        <v>0</v>
      </c>
      <c r="BY20" s="1007">
        <f t="shared" si="10"/>
        <v>0</v>
      </c>
      <c r="BZ20" s="1007"/>
      <c r="CA20" s="1007"/>
      <c r="CB20" s="1007"/>
      <c r="CC20" s="1007"/>
      <c r="CD20" s="1007">
        <f t="shared" ref="CD20:CI33" si="24">+AK20-BH20</f>
        <v>0</v>
      </c>
      <c r="CE20" s="1007">
        <f t="shared" si="24"/>
        <v>0</v>
      </c>
      <c r="CF20" s="1007">
        <f t="shared" si="24"/>
        <v>0</v>
      </c>
      <c r="CG20" s="1007">
        <f t="shared" si="24"/>
        <v>0</v>
      </c>
      <c r="CH20" s="1007">
        <f t="shared" si="24"/>
        <v>0</v>
      </c>
      <c r="CI20" s="1007">
        <f t="shared" si="24"/>
        <v>0</v>
      </c>
      <c r="CJ20" s="1007"/>
      <c r="CK20" s="1007"/>
      <c r="CL20" s="1007">
        <f t="shared" si="12"/>
        <v>0</v>
      </c>
      <c r="CM20" s="1010" t="e">
        <f t="shared" si="13"/>
        <v>#DIV/0!</v>
      </c>
      <c r="CN20" s="1007">
        <f t="shared" si="14"/>
        <v>0</v>
      </c>
      <c r="CO20" s="1007"/>
      <c r="CP20" s="1007"/>
      <c r="CQ20" s="1007"/>
      <c r="CR20" s="1007"/>
      <c r="CS20" s="1007"/>
      <c r="CT20" s="1007"/>
      <c r="CU20" s="1007"/>
      <c r="CV20" s="1007"/>
      <c r="CW20" s="1007"/>
      <c r="CX20" s="1007"/>
      <c r="CY20" s="1007"/>
      <c r="CZ20" s="1007"/>
      <c r="DA20" s="1007"/>
      <c r="DB20" s="1007"/>
      <c r="DC20" s="1007"/>
      <c r="DD20" s="1007"/>
      <c r="DE20" s="1007"/>
      <c r="DF20" s="1007"/>
      <c r="DG20" s="1007"/>
      <c r="DH20" s="1007"/>
      <c r="DI20" s="1010" t="e">
        <f t="shared" si="15"/>
        <v>#DIV/0!</v>
      </c>
      <c r="DJ20" s="1007">
        <f t="shared" si="16"/>
        <v>0</v>
      </c>
      <c r="DK20" s="1007">
        <f t="shared" si="17"/>
        <v>0</v>
      </c>
      <c r="DL20" s="1007">
        <f t="shared" si="17"/>
        <v>0</v>
      </c>
      <c r="DM20" s="1007"/>
      <c r="DN20" s="1007">
        <f t="shared" si="18"/>
        <v>0</v>
      </c>
      <c r="DO20" s="1007">
        <f t="shared" si="18"/>
        <v>0</v>
      </c>
      <c r="DP20" s="1007">
        <f t="shared" si="18"/>
        <v>0</v>
      </c>
      <c r="DQ20" s="1007">
        <f t="shared" si="18"/>
        <v>0</v>
      </c>
      <c r="DR20" s="1007"/>
      <c r="DS20" s="1007">
        <f t="shared" si="19"/>
        <v>0</v>
      </c>
      <c r="DT20" s="1007">
        <f t="shared" si="19"/>
        <v>0</v>
      </c>
      <c r="DU20" s="1007"/>
      <c r="DV20" s="1007">
        <f t="shared" si="20"/>
        <v>0</v>
      </c>
      <c r="DW20" s="1007">
        <f t="shared" si="20"/>
        <v>0</v>
      </c>
      <c r="DX20" s="1007">
        <f t="shared" si="20"/>
        <v>0</v>
      </c>
      <c r="DY20" s="1007">
        <f t="shared" si="21"/>
        <v>0</v>
      </c>
      <c r="DZ20" s="1007">
        <f t="shared" si="21"/>
        <v>0</v>
      </c>
      <c r="EA20" s="1007">
        <f t="shared" si="21"/>
        <v>0</v>
      </c>
      <c r="EB20" s="1007">
        <f t="shared" si="21"/>
        <v>0</v>
      </c>
      <c r="EC20" s="1007"/>
      <c r="ED20" s="1007">
        <f t="shared" si="22"/>
        <v>0</v>
      </c>
    </row>
    <row r="21" spans="1:134" ht="48.75" hidden="1" customHeight="1" x14ac:dyDescent="0.25">
      <c r="A21" s="1565"/>
      <c r="B21" s="1020"/>
      <c r="C21" s="1114" t="s">
        <v>4570</v>
      </c>
      <c r="D21" s="1018" t="s">
        <v>4566</v>
      </c>
      <c r="E21" s="1019">
        <v>310</v>
      </c>
      <c r="F21" s="1117" t="s">
        <v>4660</v>
      </c>
      <c r="G21" s="1430"/>
      <c r="H21" s="1060">
        <f t="shared" si="0"/>
        <v>0</v>
      </c>
      <c r="I21" s="1060">
        <f t="shared" si="1"/>
        <v>0</v>
      </c>
      <c r="J21" s="1430"/>
      <c r="K21" s="1258"/>
      <c r="L21" s="1258"/>
      <c r="M21" s="1113">
        <v>0</v>
      </c>
      <c r="N21" s="1113">
        <v>0</v>
      </c>
      <c r="O21" s="1113">
        <v>0</v>
      </c>
      <c r="P21" s="1113">
        <v>0</v>
      </c>
      <c r="Q21" s="1113">
        <v>0</v>
      </c>
      <c r="R21" s="1113">
        <v>0</v>
      </c>
      <c r="S21" s="1123"/>
      <c r="T21" s="1123"/>
      <c r="U21" s="1123"/>
      <c r="V21" s="1123"/>
      <c r="W21" s="1123"/>
      <c r="X21" s="1123"/>
      <c r="Y21" s="1007">
        <f t="shared" si="2"/>
        <v>0</v>
      </c>
      <c r="Z21" s="149"/>
      <c r="AA21" s="944">
        <f>36000000-36000000</f>
        <v>0</v>
      </c>
      <c r="AB21" s="944"/>
      <c r="AC21" s="944"/>
      <c r="AD21" s="944"/>
      <c r="AE21" s="944"/>
      <c r="AF21" s="1007">
        <f>34000000+36000000-20000000-50000000</f>
        <v>0</v>
      </c>
      <c r="AG21" s="944"/>
      <c r="AH21" s="149"/>
      <c r="AI21" s="149"/>
      <c r="AJ21" s="149"/>
      <c r="AK21" s="149"/>
      <c r="AL21" s="149"/>
      <c r="AM21" s="149"/>
      <c r="AN21" s="149"/>
      <c r="AO21" s="149"/>
      <c r="AP21" s="149"/>
      <c r="AQ21" s="149"/>
      <c r="AR21" s="149"/>
      <c r="AS21" s="944"/>
      <c r="AT21" s="949"/>
      <c r="AU21" s="1010" t="e">
        <f t="shared" si="3"/>
        <v>#DIV/0!</v>
      </c>
      <c r="AV21" s="1007">
        <f t="shared" si="4"/>
        <v>0</v>
      </c>
      <c r="AW21" s="1007"/>
      <c r="AX21" s="1007"/>
      <c r="AY21" s="1007"/>
      <c r="AZ21" s="1007"/>
      <c r="BA21" s="1007"/>
      <c r="BB21" s="1007"/>
      <c r="BC21" s="1007"/>
      <c r="BD21" s="1007"/>
      <c r="BE21" s="1007"/>
      <c r="BF21" s="1007"/>
      <c r="BG21" s="1007"/>
      <c r="BH21" s="1007"/>
      <c r="BI21" s="1007"/>
      <c r="BJ21" s="1007"/>
      <c r="BK21" s="1007"/>
      <c r="BL21" s="1007"/>
      <c r="BM21" s="1007"/>
      <c r="BN21" s="1007"/>
      <c r="BO21" s="1007"/>
      <c r="BP21" s="1007"/>
      <c r="BQ21" s="1010"/>
      <c r="BR21" s="1007">
        <f t="shared" si="6"/>
        <v>0</v>
      </c>
      <c r="BS21" s="1007">
        <f t="shared" si="7"/>
        <v>0</v>
      </c>
      <c r="BT21" s="1007">
        <f t="shared" si="23"/>
        <v>0</v>
      </c>
      <c r="BU21" s="1007"/>
      <c r="BV21" s="1007">
        <f t="shared" si="9"/>
        <v>0</v>
      </c>
      <c r="BW21" s="1007"/>
      <c r="BX21" s="1007">
        <f t="shared" si="10"/>
        <v>0</v>
      </c>
      <c r="BY21" s="1007">
        <f t="shared" si="10"/>
        <v>0</v>
      </c>
      <c r="BZ21" s="1007"/>
      <c r="CA21" s="1007"/>
      <c r="CB21" s="1007"/>
      <c r="CC21" s="1007"/>
      <c r="CD21" s="1007">
        <f t="shared" si="24"/>
        <v>0</v>
      </c>
      <c r="CE21" s="1007">
        <f t="shared" si="24"/>
        <v>0</v>
      </c>
      <c r="CF21" s="1007">
        <f t="shared" si="24"/>
        <v>0</v>
      </c>
      <c r="CG21" s="1007">
        <f t="shared" si="24"/>
        <v>0</v>
      </c>
      <c r="CH21" s="1007">
        <f t="shared" si="24"/>
        <v>0</v>
      </c>
      <c r="CI21" s="1007">
        <f t="shared" si="24"/>
        <v>0</v>
      </c>
      <c r="CJ21" s="1007"/>
      <c r="CK21" s="1007"/>
      <c r="CL21" s="1007">
        <f t="shared" si="12"/>
        <v>0</v>
      </c>
      <c r="CM21" s="1010" t="e">
        <f t="shared" si="13"/>
        <v>#DIV/0!</v>
      </c>
      <c r="CN21" s="1007">
        <f t="shared" si="14"/>
        <v>0</v>
      </c>
      <c r="CO21" s="1007"/>
      <c r="CP21" s="1007"/>
      <c r="CQ21" s="1007"/>
      <c r="CR21" s="1007"/>
      <c r="CS21" s="1007"/>
      <c r="CT21" s="1007"/>
      <c r="CU21" s="1007"/>
      <c r="CV21" s="1007"/>
      <c r="CW21" s="1007"/>
      <c r="CX21" s="1007"/>
      <c r="CY21" s="1007"/>
      <c r="CZ21" s="1007"/>
      <c r="DA21" s="1007"/>
      <c r="DB21" s="1007"/>
      <c r="DC21" s="1007"/>
      <c r="DD21" s="1007"/>
      <c r="DE21" s="1007"/>
      <c r="DF21" s="1007"/>
      <c r="DG21" s="1007"/>
      <c r="DH21" s="1007"/>
      <c r="DI21" s="1010" t="e">
        <f t="shared" si="15"/>
        <v>#DIV/0!</v>
      </c>
      <c r="DJ21" s="1007">
        <f t="shared" si="16"/>
        <v>0</v>
      </c>
      <c r="DK21" s="1007">
        <f t="shared" si="17"/>
        <v>0</v>
      </c>
      <c r="DL21" s="1007">
        <f t="shared" si="17"/>
        <v>0</v>
      </c>
      <c r="DM21" s="1007"/>
      <c r="DN21" s="1007">
        <f t="shared" si="18"/>
        <v>0</v>
      </c>
      <c r="DO21" s="1007">
        <f t="shared" si="18"/>
        <v>0</v>
      </c>
      <c r="DP21" s="1007">
        <f t="shared" si="18"/>
        <v>0</v>
      </c>
      <c r="DQ21" s="1007">
        <f t="shared" si="18"/>
        <v>0</v>
      </c>
      <c r="DR21" s="1007"/>
      <c r="DS21" s="1007">
        <f t="shared" si="19"/>
        <v>0</v>
      </c>
      <c r="DT21" s="1007">
        <f t="shared" si="19"/>
        <v>0</v>
      </c>
      <c r="DU21" s="1007"/>
      <c r="DV21" s="1007">
        <f t="shared" si="20"/>
        <v>0</v>
      </c>
      <c r="DW21" s="1007">
        <f t="shared" si="20"/>
        <v>0</v>
      </c>
      <c r="DX21" s="1007">
        <f t="shared" si="20"/>
        <v>0</v>
      </c>
      <c r="DY21" s="1007">
        <f t="shared" si="21"/>
        <v>0</v>
      </c>
      <c r="DZ21" s="1007">
        <f t="shared" si="21"/>
        <v>0</v>
      </c>
      <c r="EA21" s="1007">
        <f t="shared" si="21"/>
        <v>0</v>
      </c>
      <c r="EB21" s="1007">
        <f t="shared" si="21"/>
        <v>0</v>
      </c>
      <c r="EC21" s="1007"/>
      <c r="ED21" s="1007">
        <f t="shared" si="22"/>
        <v>0</v>
      </c>
    </row>
    <row r="22" spans="1:134" ht="60" hidden="1" customHeight="1" x14ac:dyDescent="0.25">
      <c r="A22" s="1565"/>
      <c r="B22" s="1020" t="s">
        <v>4302</v>
      </c>
      <c r="C22" s="1114" t="s">
        <v>4400</v>
      </c>
      <c r="D22" s="1018" t="s">
        <v>4572</v>
      </c>
      <c r="E22" s="1019">
        <v>510</v>
      </c>
      <c r="F22" s="1117" t="s">
        <v>4671</v>
      </c>
      <c r="G22" s="1428">
        <v>259000000</v>
      </c>
      <c r="H22" s="1060">
        <f t="shared" si="0"/>
        <v>47851843</v>
      </c>
      <c r="I22" s="1060">
        <f t="shared" si="1"/>
        <v>59148157</v>
      </c>
      <c r="J22" s="1428" t="s">
        <v>4766</v>
      </c>
      <c r="K22" s="1115" t="s">
        <v>4768</v>
      </c>
      <c r="L22" s="1113" t="s">
        <v>4767</v>
      </c>
      <c r="M22" s="1113">
        <v>19</v>
      </c>
      <c r="N22" s="1113">
        <v>10</v>
      </c>
      <c r="O22" s="1113">
        <v>2</v>
      </c>
      <c r="P22" s="1113">
        <v>19</v>
      </c>
      <c r="Q22" s="1113">
        <v>50</v>
      </c>
      <c r="R22" s="1113">
        <v>9</v>
      </c>
      <c r="S22" s="1121"/>
      <c r="T22" s="1121"/>
      <c r="U22" s="1121"/>
      <c r="V22" s="1121"/>
      <c r="W22" s="1121"/>
      <c r="X22" s="1121"/>
      <c r="Y22" s="1007">
        <f t="shared" si="2"/>
        <v>107000000</v>
      </c>
      <c r="Z22" s="1007"/>
      <c r="AA22" s="1007"/>
      <c r="AB22" s="1007"/>
      <c r="AC22" s="1007"/>
      <c r="AD22" s="1007"/>
      <c r="AE22" s="1007"/>
      <c r="AF22" s="1007"/>
      <c r="AG22" s="1007"/>
      <c r="AH22" s="1007"/>
      <c r="AI22" s="1007"/>
      <c r="AJ22" s="1007"/>
      <c r="AK22" s="1007"/>
      <c r="AL22" s="1007"/>
      <c r="AM22" s="1007"/>
      <c r="AN22" s="1007"/>
      <c r="AO22" s="1007">
        <v>50000000</v>
      </c>
      <c r="AP22" s="1007"/>
      <c r="AQ22" s="1007"/>
      <c r="AR22" s="1007"/>
      <c r="AS22" s="1007">
        <f>9000000+5000000+15000000+5000000+5000000+15000000+3000000</f>
        <v>57000000</v>
      </c>
      <c r="AU22" s="1010">
        <f t="shared" si="3"/>
        <v>0.99342156074766352</v>
      </c>
      <c r="AV22" s="1007">
        <f t="shared" si="4"/>
        <v>106296107</v>
      </c>
      <c r="AW22" s="1007"/>
      <c r="AX22" s="1007"/>
      <c r="AY22" s="1007"/>
      <c r="AZ22" s="1007"/>
      <c r="BA22" s="1007"/>
      <c r="BB22" s="1007"/>
      <c r="BC22" s="1007"/>
      <c r="BD22" s="1007"/>
      <c r="BE22" s="1007"/>
      <c r="BF22" s="1007"/>
      <c r="BG22" s="1007"/>
      <c r="BH22" s="1007"/>
      <c r="BI22" s="1007"/>
      <c r="BJ22" s="1007"/>
      <c r="BK22" s="1007"/>
      <c r="BL22" s="1007">
        <f>+'[12]FEBRERO 2015'!$X$852</f>
        <v>50000000</v>
      </c>
      <c r="BM22" s="1007"/>
      <c r="BN22" s="1007"/>
      <c r="BO22" s="1007"/>
      <c r="BP22" s="1007">
        <f>+'[8]SEPTIEMBRE 2015'!$AD$2528</f>
        <v>56296107</v>
      </c>
      <c r="BQ22" s="1010"/>
      <c r="BR22" s="1007">
        <f t="shared" si="6"/>
        <v>703893</v>
      </c>
      <c r="BS22" s="1007">
        <f t="shared" si="7"/>
        <v>0</v>
      </c>
      <c r="BT22" s="1007">
        <f t="shared" si="23"/>
        <v>0</v>
      </c>
      <c r="BU22" s="1007"/>
      <c r="BV22" s="1007">
        <f t="shared" si="9"/>
        <v>0</v>
      </c>
      <c r="BW22" s="1007"/>
      <c r="BX22" s="1007">
        <f t="shared" si="10"/>
        <v>0</v>
      </c>
      <c r="BY22" s="1007">
        <f t="shared" si="10"/>
        <v>0</v>
      </c>
      <c r="BZ22" s="1007"/>
      <c r="CA22" s="1007"/>
      <c r="CB22" s="1007"/>
      <c r="CC22" s="1007"/>
      <c r="CD22" s="1007">
        <f t="shared" si="24"/>
        <v>0</v>
      </c>
      <c r="CE22" s="1007">
        <f t="shared" si="24"/>
        <v>0</v>
      </c>
      <c r="CF22" s="1007">
        <f t="shared" si="24"/>
        <v>0</v>
      </c>
      <c r="CG22" s="1007">
        <f t="shared" si="24"/>
        <v>0</v>
      </c>
      <c r="CH22" s="1007">
        <f t="shared" si="24"/>
        <v>0</v>
      </c>
      <c r="CI22" s="1007">
        <f t="shared" si="24"/>
        <v>0</v>
      </c>
      <c r="CJ22" s="1007"/>
      <c r="CK22" s="1007"/>
      <c r="CL22" s="1007">
        <f t="shared" si="12"/>
        <v>703893</v>
      </c>
      <c r="CM22" s="1010">
        <f t="shared" si="13"/>
        <v>0.44721348598130839</v>
      </c>
      <c r="CN22" s="1007">
        <f t="shared" si="14"/>
        <v>47851843</v>
      </c>
      <c r="CO22" s="1007"/>
      <c r="CP22" s="1007"/>
      <c r="CQ22" s="1007"/>
      <c r="CR22" s="1007"/>
      <c r="CS22" s="1007"/>
      <c r="CT22" s="1007"/>
      <c r="CU22" s="1007"/>
      <c r="CV22" s="1007"/>
      <c r="CW22" s="1007"/>
      <c r="CX22" s="1007"/>
      <c r="CY22" s="1007"/>
      <c r="CZ22" s="1007"/>
      <c r="DA22" s="1007"/>
      <c r="DB22" s="1007"/>
      <c r="DC22" s="1007"/>
      <c r="DD22" s="1007">
        <f>+'[8]SEPTIEMBRE 2015'!$H$2554</f>
        <v>4799998</v>
      </c>
      <c r="DE22" s="1007"/>
      <c r="DF22" s="1007"/>
      <c r="DG22" s="1007"/>
      <c r="DH22" s="1007">
        <f>+'[8]SEPTIEMBRE 2015'!$H$2529+'[8]SEPTIEMBRE 2015'!$H$2540+'[8]SEPTIEMBRE 2015'!$H$2543+'[8]SEPTIEMBRE 2015'!$H$2558+'[8]SEPTIEMBRE 2015'!$H$2561+'[8]SEPTIEMBRE 2015'!$H$2562+'[8]SEPTIEMBRE 2015'!$H$2564</f>
        <v>43051845</v>
      </c>
      <c r="DI22" s="1010">
        <f t="shared" si="15"/>
        <v>0.55278651401869161</v>
      </c>
      <c r="DJ22" s="1007">
        <f t="shared" si="16"/>
        <v>59148157</v>
      </c>
      <c r="DK22" s="1007">
        <f t="shared" si="17"/>
        <v>0</v>
      </c>
      <c r="DL22" s="1007">
        <f t="shared" si="17"/>
        <v>0</v>
      </c>
      <c r="DM22" s="1007"/>
      <c r="DN22" s="1007">
        <f t="shared" si="18"/>
        <v>0</v>
      </c>
      <c r="DO22" s="1007">
        <f t="shared" si="18"/>
        <v>0</v>
      </c>
      <c r="DP22" s="1007">
        <f t="shared" si="18"/>
        <v>0</v>
      </c>
      <c r="DQ22" s="1007">
        <f t="shared" si="18"/>
        <v>0</v>
      </c>
      <c r="DR22" s="1007"/>
      <c r="DS22" s="1007">
        <f t="shared" si="19"/>
        <v>0</v>
      </c>
      <c r="DT22" s="1007">
        <f t="shared" si="19"/>
        <v>0</v>
      </c>
      <c r="DU22" s="1007"/>
      <c r="DV22" s="1007">
        <f t="shared" si="20"/>
        <v>0</v>
      </c>
      <c r="DW22" s="1007">
        <f t="shared" si="20"/>
        <v>0</v>
      </c>
      <c r="DX22" s="1007">
        <f t="shared" si="20"/>
        <v>0</v>
      </c>
      <c r="DY22" s="1007">
        <f t="shared" si="21"/>
        <v>0</v>
      </c>
      <c r="DZ22" s="1007">
        <f t="shared" si="21"/>
        <v>45200002</v>
      </c>
      <c r="EA22" s="1007">
        <f t="shared" si="21"/>
        <v>0</v>
      </c>
      <c r="EB22" s="1007">
        <f t="shared" si="21"/>
        <v>0</v>
      </c>
      <c r="EC22" s="1007"/>
      <c r="ED22" s="1007">
        <f t="shared" si="22"/>
        <v>13948155</v>
      </c>
    </row>
    <row r="23" spans="1:134" ht="54.75" hidden="1" customHeight="1" x14ac:dyDescent="0.25">
      <c r="A23" s="1565"/>
      <c r="B23" s="1020"/>
      <c r="C23" s="1114" t="s">
        <v>4401</v>
      </c>
      <c r="D23" s="1018" t="s">
        <v>4571</v>
      </c>
      <c r="E23" s="1019">
        <v>510</v>
      </c>
      <c r="F23" s="1117" t="s">
        <v>4730</v>
      </c>
      <c r="G23" s="1430"/>
      <c r="H23" s="1060">
        <f t="shared" si="0"/>
        <v>169611918</v>
      </c>
      <c r="I23" s="1060">
        <f t="shared" si="1"/>
        <v>102588082</v>
      </c>
      <c r="J23" s="1430"/>
      <c r="K23" s="1116" t="s">
        <v>4769</v>
      </c>
      <c r="L23" s="1113" t="s">
        <v>4770</v>
      </c>
      <c r="M23" s="1113">
        <v>56</v>
      </c>
      <c r="N23" s="1113">
        <v>5</v>
      </c>
      <c r="O23" s="1113">
        <v>3</v>
      </c>
      <c r="P23" s="1113">
        <v>67</v>
      </c>
      <c r="Q23" s="1113">
        <v>71</v>
      </c>
      <c r="R23" s="1113">
        <v>47</v>
      </c>
      <c r="S23" s="1123"/>
      <c r="T23" s="1123"/>
      <c r="U23" s="1123"/>
      <c r="V23" s="1123"/>
      <c r="W23" s="1123"/>
      <c r="X23" s="1123"/>
      <c r="Y23" s="1007">
        <f t="shared" si="2"/>
        <v>272200000</v>
      </c>
      <c r="Z23" s="1007"/>
      <c r="AA23" s="1007"/>
      <c r="AB23" s="1007"/>
      <c r="AC23" s="1007"/>
      <c r="AD23" s="1007"/>
      <c r="AE23" s="1007"/>
      <c r="AF23" s="1007"/>
      <c r="AG23" s="1007"/>
      <c r="AH23" s="1007"/>
      <c r="AI23" s="1007"/>
      <c r="AJ23" s="1007"/>
      <c r="AK23" s="1007"/>
      <c r="AL23" s="1007"/>
      <c r="AM23" s="1007"/>
      <c r="AN23" s="1007">
        <f>100000000</f>
        <v>100000000</v>
      </c>
      <c r="AO23" s="1007">
        <v>170000000</v>
      </c>
      <c r="AP23" s="1007"/>
      <c r="AQ23" s="1007"/>
      <c r="AR23" s="1007"/>
      <c r="AS23" s="1007">
        <v>2200000</v>
      </c>
      <c r="AU23" s="1010">
        <f t="shared" si="3"/>
        <v>0.62454077883908887</v>
      </c>
      <c r="AV23" s="1007">
        <f t="shared" si="4"/>
        <v>170000000</v>
      </c>
      <c r="AW23" s="1007"/>
      <c r="AX23" s="1007"/>
      <c r="AY23" s="1007"/>
      <c r="AZ23" s="1007"/>
      <c r="BA23" s="1007"/>
      <c r="BB23" s="1007"/>
      <c r="BC23" s="1007"/>
      <c r="BD23" s="1007"/>
      <c r="BE23" s="1007"/>
      <c r="BF23" s="1007"/>
      <c r="BG23" s="1007"/>
      <c r="BH23" s="1007"/>
      <c r="BI23" s="1007"/>
      <c r="BJ23" s="1007"/>
      <c r="BK23" s="1007"/>
      <c r="BL23" s="1007">
        <f>+'[12]FEBRERO 2015'!$X$864</f>
        <v>170000000</v>
      </c>
      <c r="BM23" s="1007"/>
      <c r="BN23" s="1007"/>
      <c r="BO23" s="1007"/>
      <c r="BP23" s="1007"/>
      <c r="BQ23" s="1010" t="e">
        <f>1-AU21</f>
        <v>#DIV/0!</v>
      </c>
      <c r="BR23" s="1007">
        <f t="shared" si="6"/>
        <v>102200000</v>
      </c>
      <c r="BS23" s="1007">
        <f t="shared" si="7"/>
        <v>0</v>
      </c>
      <c r="BT23" s="1007">
        <f t="shared" si="23"/>
        <v>0</v>
      </c>
      <c r="BU23" s="1007"/>
      <c r="BV23" s="1007">
        <f t="shared" si="9"/>
        <v>0</v>
      </c>
      <c r="BW23" s="1007"/>
      <c r="BX23" s="1007">
        <f t="shared" si="10"/>
        <v>0</v>
      </c>
      <c r="BY23" s="1007">
        <f t="shared" si="10"/>
        <v>0</v>
      </c>
      <c r="BZ23" s="1007"/>
      <c r="CA23" s="1007"/>
      <c r="CB23" s="1007"/>
      <c r="CC23" s="1007"/>
      <c r="CD23" s="1007">
        <f t="shared" si="24"/>
        <v>0</v>
      </c>
      <c r="CE23" s="1007">
        <f t="shared" si="24"/>
        <v>0</v>
      </c>
      <c r="CF23" s="1007">
        <f t="shared" si="24"/>
        <v>0</v>
      </c>
      <c r="CG23" s="1007">
        <f t="shared" si="24"/>
        <v>100000000</v>
      </c>
      <c r="CH23" s="1007">
        <f t="shared" si="24"/>
        <v>0</v>
      </c>
      <c r="CI23" s="1007">
        <f t="shared" si="24"/>
        <v>0</v>
      </c>
      <c r="CJ23" s="1007"/>
      <c r="CK23" s="1007"/>
      <c r="CL23" s="1007">
        <f t="shared" si="12"/>
        <v>2200000</v>
      </c>
      <c r="CM23" s="1010">
        <f t="shared" si="13"/>
        <v>0.62311505510653931</v>
      </c>
      <c r="CN23" s="1007">
        <f t="shared" si="14"/>
        <v>169611918</v>
      </c>
      <c r="CO23" s="1007"/>
      <c r="CP23" s="1007"/>
      <c r="CQ23" s="1007"/>
      <c r="CR23" s="1007"/>
      <c r="CS23" s="1007"/>
      <c r="CT23" s="1007"/>
      <c r="CU23" s="1007"/>
      <c r="CV23" s="1007"/>
      <c r="CW23" s="1007"/>
      <c r="CX23" s="1007"/>
      <c r="CY23" s="1007"/>
      <c r="CZ23" s="1007"/>
      <c r="DA23" s="1007"/>
      <c r="DB23" s="1007"/>
      <c r="DC23" s="1007"/>
      <c r="DD23" s="1007">
        <f>+'[8]SEPTIEMBRE 2015'!$H$2571</f>
        <v>169611918</v>
      </c>
      <c r="DE23" s="1007"/>
      <c r="DF23" s="1007"/>
      <c r="DG23" s="1007"/>
      <c r="DH23" s="1007"/>
      <c r="DI23" s="1010">
        <f t="shared" si="15"/>
        <v>0.37688494489346069</v>
      </c>
      <c r="DJ23" s="1007">
        <f t="shared" si="16"/>
        <v>102588082</v>
      </c>
      <c r="DK23" s="1007">
        <f t="shared" si="17"/>
        <v>0</v>
      </c>
      <c r="DL23" s="1007">
        <f t="shared" si="17"/>
        <v>0</v>
      </c>
      <c r="DM23" s="1007"/>
      <c r="DN23" s="1007">
        <f t="shared" si="18"/>
        <v>0</v>
      </c>
      <c r="DO23" s="1007">
        <f t="shared" si="18"/>
        <v>0</v>
      </c>
      <c r="DP23" s="1007">
        <f t="shared" si="18"/>
        <v>0</v>
      </c>
      <c r="DQ23" s="1007">
        <f t="shared" si="18"/>
        <v>0</v>
      </c>
      <c r="DR23" s="1007"/>
      <c r="DS23" s="1007">
        <f t="shared" si="19"/>
        <v>0</v>
      </c>
      <c r="DT23" s="1007">
        <f t="shared" si="19"/>
        <v>0</v>
      </c>
      <c r="DU23" s="1007"/>
      <c r="DV23" s="1007">
        <f t="shared" si="20"/>
        <v>0</v>
      </c>
      <c r="DW23" s="1007">
        <f t="shared" si="20"/>
        <v>0</v>
      </c>
      <c r="DX23" s="1007">
        <f t="shared" si="20"/>
        <v>0</v>
      </c>
      <c r="DY23" s="1007">
        <f t="shared" si="21"/>
        <v>100000000</v>
      </c>
      <c r="DZ23" s="1007">
        <f t="shared" si="21"/>
        <v>388082</v>
      </c>
      <c r="EA23" s="1007">
        <f t="shared" si="21"/>
        <v>0</v>
      </c>
      <c r="EB23" s="1007">
        <f t="shared" si="21"/>
        <v>0</v>
      </c>
      <c r="EC23" s="1007"/>
      <c r="ED23" s="1007">
        <f t="shared" si="22"/>
        <v>2200000</v>
      </c>
    </row>
    <row r="24" spans="1:134" ht="66.75" hidden="1" customHeight="1" x14ac:dyDescent="0.25">
      <c r="A24" s="1565"/>
      <c r="B24" s="1065" t="s">
        <v>4303</v>
      </c>
      <c r="C24" s="1114" t="s">
        <v>4402</v>
      </c>
      <c r="D24" s="1018" t="s">
        <v>4573</v>
      </c>
      <c r="E24" s="1019">
        <v>510</v>
      </c>
      <c r="F24" s="1117" t="s">
        <v>4660</v>
      </c>
      <c r="G24" s="1428">
        <v>180000000</v>
      </c>
      <c r="H24" s="1060">
        <f t="shared" si="0"/>
        <v>74373761</v>
      </c>
      <c r="I24" s="1060">
        <f t="shared" si="1"/>
        <v>25626239</v>
      </c>
      <c r="J24" s="1428" t="s">
        <v>4771</v>
      </c>
      <c r="K24" s="1569">
        <v>1</v>
      </c>
      <c r="L24" s="1257" t="s">
        <v>4772</v>
      </c>
      <c r="M24" s="1113">
        <v>0</v>
      </c>
      <c r="N24" s="1113">
        <v>0</v>
      </c>
      <c r="O24" s="1113">
        <v>0</v>
      </c>
      <c r="P24" s="1113">
        <v>26</v>
      </c>
      <c r="Q24" s="1113">
        <v>41</v>
      </c>
      <c r="R24" s="1113">
        <v>11</v>
      </c>
      <c r="S24" s="1121"/>
      <c r="T24" s="1121"/>
      <c r="U24" s="1121"/>
      <c r="V24" s="1121"/>
      <c r="W24" s="1121"/>
      <c r="X24" s="1121"/>
      <c r="Y24" s="1007">
        <f t="shared" si="2"/>
        <v>100000000</v>
      </c>
      <c r="Z24" s="1007"/>
      <c r="AA24" s="1007"/>
      <c r="AB24" s="1007"/>
      <c r="AC24" s="1007"/>
      <c r="AD24" s="1007"/>
      <c r="AE24" s="1007">
        <v>100000000</v>
      </c>
      <c r="AF24" s="1007"/>
      <c r="AG24" s="1007"/>
      <c r="AH24" s="1007"/>
      <c r="AI24" s="1007"/>
      <c r="AJ24" s="1007"/>
      <c r="AK24" s="1007"/>
      <c r="AL24" s="1007"/>
      <c r="AM24" s="1007"/>
      <c r="AN24" s="1007"/>
      <c r="AO24" s="1007"/>
      <c r="AP24" s="1007"/>
      <c r="AQ24" s="1007"/>
      <c r="AR24" s="1007"/>
      <c r="AS24" s="1007"/>
      <c r="AU24" s="1010">
        <f t="shared" si="3"/>
        <v>0.89647781999999998</v>
      </c>
      <c r="AV24" s="1007">
        <f t="shared" si="4"/>
        <v>89647782</v>
      </c>
      <c r="AW24" s="1007"/>
      <c r="AX24" s="1007"/>
      <c r="AY24" s="1007"/>
      <c r="AZ24" s="1007"/>
      <c r="BA24" s="1007"/>
      <c r="BB24" s="1007">
        <f>+'[8]SEPTIEMBRE 2015'!$O$2611</f>
        <v>89647782</v>
      </c>
      <c r="BC24" s="1007"/>
      <c r="BD24" s="1007"/>
      <c r="BE24" s="1007"/>
      <c r="BF24" s="1007"/>
      <c r="BG24" s="1007"/>
      <c r="BH24" s="1007"/>
      <c r="BI24" s="1007"/>
      <c r="BJ24" s="1007"/>
      <c r="BK24" s="1007"/>
      <c r="BL24" s="1007"/>
      <c r="BM24" s="1007"/>
      <c r="BN24" s="1007"/>
      <c r="BO24" s="1007"/>
      <c r="BP24" s="1007"/>
      <c r="BQ24" s="1010">
        <f t="shared" ref="BQ24:BQ87" si="25">1-AU24</f>
        <v>0.10352218000000002</v>
      </c>
      <c r="BR24" s="1007">
        <f t="shared" si="6"/>
        <v>10352218</v>
      </c>
      <c r="BS24" s="1007">
        <f t="shared" si="7"/>
        <v>0</v>
      </c>
      <c r="BT24" s="1007">
        <f t="shared" si="23"/>
        <v>0</v>
      </c>
      <c r="BU24" s="1007"/>
      <c r="BV24" s="1007">
        <f t="shared" si="9"/>
        <v>0</v>
      </c>
      <c r="BW24" s="1007"/>
      <c r="BX24" s="1007">
        <f t="shared" si="10"/>
        <v>10352218</v>
      </c>
      <c r="BY24" s="1007">
        <f t="shared" si="10"/>
        <v>0</v>
      </c>
      <c r="BZ24" s="1007"/>
      <c r="CA24" s="1007">
        <f>+AH24-BE24</f>
        <v>0</v>
      </c>
      <c r="CB24" s="1007">
        <f>+AI24-BF24</f>
        <v>0</v>
      </c>
      <c r="CC24" s="1007">
        <f>+AJ24-BG24</f>
        <v>0</v>
      </c>
      <c r="CD24" s="1007">
        <f t="shared" si="24"/>
        <v>0</v>
      </c>
      <c r="CE24" s="1007">
        <f t="shared" si="24"/>
        <v>0</v>
      </c>
      <c r="CF24" s="1007">
        <f t="shared" si="24"/>
        <v>0</v>
      </c>
      <c r="CG24" s="1007">
        <f t="shared" si="24"/>
        <v>0</v>
      </c>
      <c r="CH24" s="1007">
        <f t="shared" si="24"/>
        <v>0</v>
      </c>
      <c r="CI24" s="1007">
        <f t="shared" si="24"/>
        <v>0</v>
      </c>
      <c r="CJ24" s="1007">
        <f>+AQ24-BN24</f>
        <v>0</v>
      </c>
      <c r="CK24" s="1007">
        <f>+AR24-BO24</f>
        <v>0</v>
      </c>
      <c r="CL24" s="1007">
        <f t="shared" si="12"/>
        <v>0</v>
      </c>
      <c r="CM24" s="1010">
        <f t="shared" si="13"/>
        <v>0.74373761000000005</v>
      </c>
      <c r="CN24" s="1007">
        <f t="shared" si="14"/>
        <v>74373761</v>
      </c>
      <c r="CO24" s="1007"/>
      <c r="CP24" s="1007"/>
      <c r="CQ24" s="1007"/>
      <c r="CR24" s="1007"/>
      <c r="CS24" s="1007"/>
      <c r="CT24" s="1007">
        <f>+'[7]AGOSTO 2015'!$H$2113+'[7]AGOSTO 2015'!$H$2115+'[7]AGOSTO 2015'!$H$2117+'[7]AGOSTO 2015'!$H$2119+'[7]AGOSTO 2015'!$H$2121</f>
        <v>74373761</v>
      </c>
      <c r="CU24" s="1007"/>
      <c r="CV24" s="1007"/>
      <c r="CW24" s="1007"/>
      <c r="CX24" s="1007"/>
      <c r="CY24" s="1007"/>
      <c r="CZ24" s="1007"/>
      <c r="DA24" s="1007"/>
      <c r="DB24" s="1007"/>
      <c r="DC24" s="1007"/>
      <c r="DD24" s="1007"/>
      <c r="DE24" s="1007"/>
      <c r="DF24" s="1007"/>
      <c r="DG24" s="1007"/>
      <c r="DH24" s="1007"/>
      <c r="DI24" s="1010">
        <f t="shared" si="15"/>
        <v>0.25626238999999995</v>
      </c>
      <c r="DJ24" s="1007">
        <f t="shared" si="16"/>
        <v>25626239</v>
      </c>
      <c r="DK24" s="1007">
        <f t="shared" si="17"/>
        <v>0</v>
      </c>
      <c r="DL24" s="1007">
        <f t="shared" si="17"/>
        <v>0</v>
      </c>
      <c r="DM24" s="1007"/>
      <c r="DN24" s="1007">
        <f t="shared" si="18"/>
        <v>0</v>
      </c>
      <c r="DO24" s="1007">
        <f t="shared" si="18"/>
        <v>0</v>
      </c>
      <c r="DP24" s="1007">
        <f t="shared" si="18"/>
        <v>25626239</v>
      </c>
      <c r="DQ24" s="1007">
        <f t="shared" si="18"/>
        <v>0</v>
      </c>
      <c r="DR24" s="1007"/>
      <c r="DS24" s="1007">
        <f t="shared" si="19"/>
        <v>0</v>
      </c>
      <c r="DT24" s="1007">
        <f t="shared" si="19"/>
        <v>0</v>
      </c>
      <c r="DU24" s="1007"/>
      <c r="DV24" s="1007">
        <f t="shared" si="20"/>
        <v>0</v>
      </c>
      <c r="DW24" s="1007">
        <f t="shared" si="20"/>
        <v>0</v>
      </c>
      <c r="DX24" s="1007">
        <f t="shared" si="20"/>
        <v>0</v>
      </c>
      <c r="DY24" s="1007">
        <f t="shared" si="21"/>
        <v>0</v>
      </c>
      <c r="DZ24" s="1007">
        <f t="shared" si="21"/>
        <v>0</v>
      </c>
      <c r="EA24" s="1007">
        <f t="shared" si="21"/>
        <v>0</v>
      </c>
      <c r="EB24" s="1007">
        <f t="shared" si="21"/>
        <v>0</v>
      </c>
      <c r="EC24" s="1007"/>
      <c r="ED24" s="1007">
        <f t="shared" si="22"/>
        <v>0</v>
      </c>
    </row>
    <row r="25" spans="1:134" ht="51.75" hidden="1" customHeight="1" x14ac:dyDescent="0.25">
      <c r="A25" s="1565"/>
      <c r="B25" s="1023"/>
      <c r="C25" s="1114" t="s">
        <v>4575</v>
      </c>
      <c r="D25" s="1018" t="s">
        <v>4574</v>
      </c>
      <c r="E25" s="1019">
        <v>510</v>
      </c>
      <c r="F25" s="1117" t="s">
        <v>4660</v>
      </c>
      <c r="G25" s="1429"/>
      <c r="H25" s="1060">
        <f t="shared" si="0"/>
        <v>11870754</v>
      </c>
      <c r="I25" s="1060">
        <f t="shared" si="1"/>
        <v>18129246</v>
      </c>
      <c r="J25" s="1429"/>
      <c r="K25" s="1570"/>
      <c r="L25" s="1562"/>
      <c r="M25" s="1113">
        <v>0</v>
      </c>
      <c r="N25" s="1113">
        <v>4</v>
      </c>
      <c r="O25" s="1113">
        <v>0</v>
      </c>
      <c r="P25" s="1113">
        <v>22</v>
      </c>
      <c r="Q25" s="1113">
        <v>26</v>
      </c>
      <c r="R25" s="1113">
        <v>6</v>
      </c>
      <c r="S25" s="1122"/>
      <c r="T25" s="1122"/>
      <c r="U25" s="1122"/>
      <c r="V25" s="1122"/>
      <c r="W25" s="1122"/>
      <c r="X25" s="1122"/>
      <c r="Y25" s="1007">
        <f t="shared" si="2"/>
        <v>30000000</v>
      </c>
      <c r="Z25" s="1007"/>
      <c r="AA25" s="1007"/>
      <c r="AB25" s="1007"/>
      <c r="AC25" s="1007"/>
      <c r="AD25" s="1007"/>
      <c r="AE25" s="1007">
        <v>20000000</v>
      </c>
      <c r="AF25" s="1007"/>
      <c r="AG25" s="1007"/>
      <c r="AH25" s="1007"/>
      <c r="AI25" s="1007"/>
      <c r="AJ25" s="1007"/>
      <c r="AK25" s="1007"/>
      <c r="AL25" s="1007"/>
      <c r="AM25" s="1007"/>
      <c r="AN25" s="1007">
        <v>10000000</v>
      </c>
      <c r="AO25" s="1007"/>
      <c r="AP25" s="1007"/>
      <c r="AQ25" s="1007"/>
      <c r="AR25" s="1007"/>
      <c r="AS25" s="1007"/>
      <c r="AU25" s="1010">
        <f t="shared" si="3"/>
        <v>0.39569179999999998</v>
      </c>
      <c r="AV25" s="1007">
        <f t="shared" si="4"/>
        <v>11870754</v>
      </c>
      <c r="AW25" s="1007"/>
      <c r="AX25" s="1007"/>
      <c r="AY25" s="1007"/>
      <c r="AZ25" s="1007"/>
      <c r="BA25" s="1007"/>
      <c r="BB25" s="1007">
        <f>+'[8]SEPTIEMBRE 2015'!$O$2626</f>
        <v>9801842</v>
      </c>
      <c r="BC25" s="1007"/>
      <c r="BD25" s="1007"/>
      <c r="BE25" s="1007"/>
      <c r="BF25" s="1007"/>
      <c r="BG25" s="1007"/>
      <c r="BH25" s="1007"/>
      <c r="BI25" s="1007"/>
      <c r="BJ25" s="1007"/>
      <c r="BK25" s="1007">
        <f>+'[13]JUNIO 2015'!$X$1613</f>
        <v>2068912</v>
      </c>
      <c r="BL25" s="1007"/>
      <c r="BM25" s="1007"/>
      <c r="BN25" s="1007"/>
      <c r="BO25" s="1007"/>
      <c r="BP25" s="1007"/>
      <c r="BQ25" s="1010">
        <f t="shared" si="25"/>
        <v>0.60430819999999996</v>
      </c>
      <c r="BR25" s="1007">
        <f t="shared" si="6"/>
        <v>18129246</v>
      </c>
      <c r="BS25" s="1007">
        <f t="shared" si="7"/>
        <v>0</v>
      </c>
      <c r="BT25" s="1007">
        <f t="shared" si="23"/>
        <v>0</v>
      </c>
      <c r="BU25" s="1007"/>
      <c r="BV25" s="1007">
        <f t="shared" si="9"/>
        <v>0</v>
      </c>
      <c r="BW25" s="1007"/>
      <c r="BX25" s="1007">
        <f t="shared" si="10"/>
        <v>10198158</v>
      </c>
      <c r="BY25" s="1007">
        <f t="shared" si="10"/>
        <v>0</v>
      </c>
      <c r="BZ25" s="1007"/>
      <c r="CA25" s="1007"/>
      <c r="CB25" s="1007"/>
      <c r="CC25" s="1007"/>
      <c r="CD25" s="1007">
        <f t="shared" si="24"/>
        <v>0</v>
      </c>
      <c r="CE25" s="1007">
        <f t="shared" si="24"/>
        <v>0</v>
      </c>
      <c r="CF25" s="1007">
        <f t="shared" si="24"/>
        <v>0</v>
      </c>
      <c r="CG25" s="1007">
        <f t="shared" si="24"/>
        <v>7931088</v>
      </c>
      <c r="CH25" s="1007">
        <f t="shared" si="24"/>
        <v>0</v>
      </c>
      <c r="CI25" s="1007">
        <f t="shared" si="24"/>
        <v>0</v>
      </c>
      <c r="CJ25" s="1007"/>
      <c r="CK25" s="1007"/>
      <c r="CL25" s="1007">
        <f t="shared" si="12"/>
        <v>0</v>
      </c>
      <c r="CM25" s="1010">
        <f t="shared" si="13"/>
        <v>0.39569179999999998</v>
      </c>
      <c r="CN25" s="1007">
        <f t="shared" si="14"/>
        <v>11870754</v>
      </c>
      <c r="CO25" s="1007"/>
      <c r="CP25" s="1007"/>
      <c r="CQ25" s="1007"/>
      <c r="CR25" s="1007"/>
      <c r="CS25" s="1007"/>
      <c r="CT25" s="1007">
        <f>+'[8]SEPTIEMBRE 2015'!$H$2624-DC25</f>
        <v>9801842</v>
      </c>
      <c r="CU25" s="1007"/>
      <c r="CV25" s="1007"/>
      <c r="CW25" s="1007"/>
      <c r="CX25" s="1007"/>
      <c r="CY25" s="1007"/>
      <c r="CZ25" s="1007"/>
      <c r="DA25" s="1007"/>
      <c r="DB25" s="1007"/>
      <c r="DC25" s="1007">
        <f>+'[8]SEPTIEMBRE 2015'!$H$2627+'[8]SEPTIEMBRE 2015'!$H$2628+'[8]SEPTIEMBRE 2015'!$H$2629</f>
        <v>2068912</v>
      </c>
      <c r="DD25" s="1007"/>
      <c r="DE25" s="1007"/>
      <c r="DF25" s="1007"/>
      <c r="DG25" s="1007"/>
      <c r="DH25" s="1007"/>
      <c r="DI25" s="1010">
        <f t="shared" si="15"/>
        <v>0.60430819999999996</v>
      </c>
      <c r="DJ25" s="1007">
        <f t="shared" si="16"/>
        <v>18129246</v>
      </c>
      <c r="DK25" s="1007">
        <f t="shared" si="17"/>
        <v>0</v>
      </c>
      <c r="DL25" s="1007">
        <f t="shared" si="17"/>
        <v>0</v>
      </c>
      <c r="DM25" s="1007"/>
      <c r="DN25" s="1007">
        <f t="shared" si="18"/>
        <v>0</v>
      </c>
      <c r="DO25" s="1007">
        <f t="shared" si="18"/>
        <v>0</v>
      </c>
      <c r="DP25" s="1007">
        <f t="shared" si="18"/>
        <v>10198158</v>
      </c>
      <c r="DQ25" s="1007">
        <f t="shared" si="18"/>
        <v>0</v>
      </c>
      <c r="DR25" s="1007"/>
      <c r="DS25" s="1007">
        <f t="shared" si="19"/>
        <v>0</v>
      </c>
      <c r="DT25" s="1007">
        <f t="shared" si="19"/>
        <v>0</v>
      </c>
      <c r="DU25" s="1007"/>
      <c r="DV25" s="1007">
        <f t="shared" si="20"/>
        <v>0</v>
      </c>
      <c r="DW25" s="1007">
        <f t="shared" si="20"/>
        <v>0</v>
      </c>
      <c r="DX25" s="1007">
        <f t="shared" si="20"/>
        <v>0</v>
      </c>
      <c r="DY25" s="1007">
        <f t="shared" si="21"/>
        <v>7931088</v>
      </c>
      <c r="DZ25" s="1007">
        <f t="shared" si="21"/>
        <v>0</v>
      </c>
      <c r="EA25" s="1007">
        <f t="shared" si="21"/>
        <v>0</v>
      </c>
      <c r="EB25" s="1007">
        <f t="shared" si="21"/>
        <v>0</v>
      </c>
      <c r="EC25" s="1007"/>
      <c r="ED25" s="1007">
        <f t="shared" si="22"/>
        <v>0</v>
      </c>
    </row>
    <row r="26" spans="1:134" ht="67.5" hidden="1" customHeight="1" x14ac:dyDescent="0.25">
      <c r="A26" s="1565"/>
      <c r="B26" s="1024"/>
      <c r="C26" s="1114" t="s">
        <v>4576</v>
      </c>
      <c r="D26" s="1018" t="s">
        <v>4703</v>
      </c>
      <c r="E26" s="1019">
        <v>510</v>
      </c>
      <c r="F26" s="1117" t="s">
        <v>4660</v>
      </c>
      <c r="G26" s="1430"/>
      <c r="H26" s="1060">
        <f t="shared" si="0"/>
        <v>0</v>
      </c>
      <c r="I26" s="1060">
        <f t="shared" si="1"/>
        <v>60000000</v>
      </c>
      <c r="J26" s="1430"/>
      <c r="K26" s="1571"/>
      <c r="L26" s="1258"/>
      <c r="M26" s="1113">
        <v>0</v>
      </c>
      <c r="N26" s="1113">
        <v>0</v>
      </c>
      <c r="O26" s="1113">
        <v>0</v>
      </c>
      <c r="P26" s="1113">
        <v>0</v>
      </c>
      <c r="Q26" s="1113">
        <v>0</v>
      </c>
      <c r="R26" s="1113">
        <v>0</v>
      </c>
      <c r="S26" s="1123"/>
      <c r="T26" s="1123"/>
      <c r="U26" s="1123"/>
      <c r="V26" s="1123"/>
      <c r="W26" s="1123"/>
      <c r="X26" s="1123"/>
      <c r="Y26" s="1007">
        <f t="shared" si="2"/>
        <v>60000000</v>
      </c>
      <c r="Z26" s="1007"/>
      <c r="AA26" s="1007"/>
      <c r="AB26" s="1007"/>
      <c r="AC26" s="1007"/>
      <c r="AD26" s="1007"/>
      <c r="AE26" s="1007">
        <v>60000000</v>
      </c>
      <c r="AF26" s="1007"/>
      <c r="AG26" s="1007"/>
      <c r="AH26" s="1007"/>
      <c r="AI26" s="1007"/>
      <c r="AJ26" s="1007"/>
      <c r="AK26" s="1007"/>
      <c r="AL26" s="1007"/>
      <c r="AM26" s="1007"/>
      <c r="AN26" s="1007"/>
      <c r="AO26" s="1007"/>
      <c r="AP26" s="1007"/>
      <c r="AQ26" s="1007"/>
      <c r="AR26" s="1007"/>
      <c r="AS26" s="1007"/>
      <c r="AU26" s="1010">
        <f t="shared" si="3"/>
        <v>0</v>
      </c>
      <c r="AV26" s="1007">
        <f t="shared" si="4"/>
        <v>0</v>
      </c>
      <c r="AW26" s="1007"/>
      <c r="AX26" s="1007"/>
      <c r="AY26" s="1007"/>
      <c r="AZ26" s="1007"/>
      <c r="BA26" s="1007"/>
      <c r="BB26" s="1007"/>
      <c r="BC26" s="1007"/>
      <c r="BD26" s="1007"/>
      <c r="BE26" s="1007"/>
      <c r="BF26" s="1007"/>
      <c r="BG26" s="1007"/>
      <c r="BH26" s="1007"/>
      <c r="BI26" s="1007"/>
      <c r="BJ26" s="1007"/>
      <c r="BK26" s="1007"/>
      <c r="BL26" s="1007"/>
      <c r="BM26" s="1007"/>
      <c r="BN26" s="1007"/>
      <c r="BO26" s="1007"/>
      <c r="BP26" s="1007"/>
      <c r="BQ26" s="1010">
        <f t="shared" si="25"/>
        <v>1</v>
      </c>
      <c r="BR26" s="1007">
        <f t="shared" si="6"/>
        <v>60000000</v>
      </c>
      <c r="BS26" s="1007">
        <f t="shared" si="7"/>
        <v>0</v>
      </c>
      <c r="BT26" s="1007">
        <f t="shared" si="23"/>
        <v>0</v>
      </c>
      <c r="BU26" s="1007"/>
      <c r="BV26" s="1007">
        <f t="shared" si="9"/>
        <v>0</v>
      </c>
      <c r="BW26" s="1007"/>
      <c r="BX26" s="1007">
        <f t="shared" si="10"/>
        <v>60000000</v>
      </c>
      <c r="BY26" s="1007">
        <f t="shared" si="10"/>
        <v>0</v>
      </c>
      <c r="BZ26" s="1007"/>
      <c r="CA26" s="1007"/>
      <c r="CB26" s="1007"/>
      <c r="CC26" s="1007"/>
      <c r="CD26" s="1007">
        <f t="shared" si="24"/>
        <v>0</v>
      </c>
      <c r="CE26" s="1007">
        <f t="shared" si="24"/>
        <v>0</v>
      </c>
      <c r="CF26" s="1007">
        <f t="shared" si="24"/>
        <v>0</v>
      </c>
      <c r="CG26" s="1007">
        <f t="shared" si="24"/>
        <v>0</v>
      </c>
      <c r="CH26" s="1007">
        <f t="shared" si="24"/>
        <v>0</v>
      </c>
      <c r="CI26" s="1007">
        <f t="shared" si="24"/>
        <v>0</v>
      </c>
      <c r="CJ26" s="1007"/>
      <c r="CK26" s="1007"/>
      <c r="CL26" s="1007">
        <f t="shared" si="12"/>
        <v>0</v>
      </c>
      <c r="CM26" s="1010">
        <f t="shared" si="13"/>
        <v>0</v>
      </c>
      <c r="CN26" s="1007">
        <f t="shared" si="14"/>
        <v>0</v>
      </c>
      <c r="CO26" s="1007"/>
      <c r="CP26" s="1007"/>
      <c r="CQ26" s="1007"/>
      <c r="CR26" s="1007"/>
      <c r="CS26" s="1007"/>
      <c r="CT26" s="1007"/>
      <c r="CU26" s="1007"/>
      <c r="CV26" s="1007"/>
      <c r="CW26" s="1007"/>
      <c r="CX26" s="1007"/>
      <c r="CY26" s="1007"/>
      <c r="CZ26" s="1007"/>
      <c r="DA26" s="1007"/>
      <c r="DB26" s="1007"/>
      <c r="DC26" s="1007"/>
      <c r="DD26" s="1007"/>
      <c r="DE26" s="1007"/>
      <c r="DF26" s="1007"/>
      <c r="DG26" s="1007"/>
      <c r="DH26" s="1007"/>
      <c r="DI26" s="1010">
        <f t="shared" si="15"/>
        <v>1</v>
      </c>
      <c r="DJ26" s="1007">
        <f t="shared" si="16"/>
        <v>60000000</v>
      </c>
      <c r="DK26" s="1007">
        <f t="shared" si="17"/>
        <v>0</v>
      </c>
      <c r="DL26" s="1007">
        <f t="shared" si="17"/>
        <v>0</v>
      </c>
      <c r="DM26" s="1007"/>
      <c r="DN26" s="1007">
        <f t="shared" si="18"/>
        <v>0</v>
      </c>
      <c r="DO26" s="1007">
        <f t="shared" si="18"/>
        <v>0</v>
      </c>
      <c r="DP26" s="1007">
        <f t="shared" si="18"/>
        <v>60000000</v>
      </c>
      <c r="DQ26" s="1007">
        <f t="shared" si="18"/>
        <v>0</v>
      </c>
      <c r="DR26" s="1007"/>
      <c r="DS26" s="1007">
        <f t="shared" si="19"/>
        <v>0</v>
      </c>
      <c r="DT26" s="1007">
        <f t="shared" si="19"/>
        <v>0</v>
      </c>
      <c r="DU26" s="1007"/>
      <c r="DV26" s="1007">
        <f t="shared" si="20"/>
        <v>0</v>
      </c>
      <c r="DW26" s="1007">
        <f t="shared" si="20"/>
        <v>0</v>
      </c>
      <c r="DX26" s="1007">
        <f t="shared" si="20"/>
        <v>0</v>
      </c>
      <c r="DY26" s="1007">
        <f t="shared" si="21"/>
        <v>0</v>
      </c>
      <c r="DZ26" s="1007">
        <f t="shared" si="21"/>
        <v>0</v>
      </c>
      <c r="EA26" s="1007">
        <f t="shared" si="21"/>
        <v>0</v>
      </c>
      <c r="EB26" s="1007">
        <f t="shared" si="21"/>
        <v>0</v>
      </c>
      <c r="EC26" s="1007"/>
      <c r="ED26" s="1007">
        <f t="shared" si="22"/>
        <v>0</v>
      </c>
    </row>
    <row r="27" spans="1:134" ht="51" hidden="1" customHeight="1" x14ac:dyDescent="0.25">
      <c r="A27" s="1565"/>
      <c r="B27" s="1020" t="s">
        <v>4304</v>
      </c>
      <c r="C27" s="1114" t="s">
        <v>4403</v>
      </c>
      <c r="D27" s="1018" t="s">
        <v>4577</v>
      </c>
      <c r="E27" s="1019">
        <v>510</v>
      </c>
      <c r="F27" s="1117" t="s">
        <v>4660</v>
      </c>
      <c r="G27" s="1428">
        <v>80000000</v>
      </c>
      <c r="H27" s="1060">
        <f t="shared" si="0"/>
        <v>0</v>
      </c>
      <c r="I27" s="1060">
        <f t="shared" si="1"/>
        <v>0</v>
      </c>
      <c r="J27" s="1428" t="s">
        <v>4773</v>
      </c>
      <c r="K27" s="1257" t="s">
        <v>4774</v>
      </c>
      <c r="L27" s="1257" t="s">
        <v>4775</v>
      </c>
      <c r="M27" s="1113">
        <v>0</v>
      </c>
      <c r="N27" s="1113">
        <v>0</v>
      </c>
      <c r="O27" s="1113">
        <v>0</v>
      </c>
      <c r="P27" s="1113">
        <v>0</v>
      </c>
      <c r="Q27" s="1113">
        <v>20</v>
      </c>
      <c r="R27" s="1113">
        <v>0</v>
      </c>
      <c r="S27" s="1121"/>
      <c r="T27" s="1121"/>
      <c r="U27" s="1121"/>
      <c r="V27" s="1121"/>
      <c r="W27" s="1121"/>
      <c r="X27" s="1121"/>
      <c r="Y27" s="1007">
        <f t="shared" si="2"/>
        <v>0</v>
      </c>
      <c r="Z27" s="1007"/>
      <c r="AA27" s="1007"/>
      <c r="AB27" s="1007"/>
      <c r="AC27" s="1007"/>
      <c r="AD27" s="1007"/>
      <c r="AE27" s="1007"/>
      <c r="AF27" s="1007"/>
      <c r="AG27" s="1007"/>
      <c r="AH27" s="1007"/>
      <c r="AI27" s="1007"/>
      <c r="AJ27" s="1007"/>
      <c r="AK27" s="1007"/>
      <c r="AL27" s="1007"/>
      <c r="AM27" s="1007">
        <f>40000000-40000000</f>
        <v>0</v>
      </c>
      <c r="AN27" s="1007"/>
      <c r="AO27" s="1007"/>
      <c r="AP27" s="1007"/>
      <c r="AQ27" s="1007"/>
      <c r="AR27" s="1007"/>
      <c r="AS27" s="1007"/>
      <c r="AU27" s="1010" t="e">
        <f t="shared" si="3"/>
        <v>#DIV/0!</v>
      </c>
      <c r="AV27" s="1007">
        <f t="shared" si="4"/>
        <v>0</v>
      </c>
      <c r="AW27" s="1007"/>
      <c r="AX27" s="1007"/>
      <c r="AY27" s="1007"/>
      <c r="AZ27" s="1007"/>
      <c r="BA27" s="1007"/>
      <c r="BB27" s="1007"/>
      <c r="BC27" s="1007"/>
      <c r="BD27" s="1007"/>
      <c r="BE27" s="1007"/>
      <c r="BF27" s="1007"/>
      <c r="BG27" s="1007"/>
      <c r="BH27" s="1007"/>
      <c r="BI27" s="1007"/>
      <c r="BJ27" s="1007"/>
      <c r="BK27" s="1007"/>
      <c r="BL27" s="1007"/>
      <c r="BM27" s="1007"/>
      <c r="BN27" s="1007"/>
      <c r="BO27" s="1007"/>
      <c r="BP27" s="1007"/>
      <c r="BQ27" s="1010" t="e">
        <f t="shared" si="25"/>
        <v>#DIV/0!</v>
      </c>
      <c r="BR27" s="1007">
        <f t="shared" si="6"/>
        <v>0</v>
      </c>
      <c r="BS27" s="1007">
        <f t="shared" si="7"/>
        <v>0</v>
      </c>
      <c r="BT27" s="1007">
        <f t="shared" si="23"/>
        <v>0</v>
      </c>
      <c r="BU27" s="1007"/>
      <c r="BV27" s="1007">
        <f t="shared" si="9"/>
        <v>0</v>
      </c>
      <c r="BW27" s="1007"/>
      <c r="BX27" s="1007">
        <f t="shared" si="10"/>
        <v>0</v>
      </c>
      <c r="BY27" s="1007">
        <f t="shared" si="10"/>
        <v>0</v>
      </c>
      <c r="BZ27" s="1007"/>
      <c r="CA27" s="1007"/>
      <c r="CB27" s="1007"/>
      <c r="CC27" s="1007"/>
      <c r="CD27" s="1007">
        <f t="shared" si="24"/>
        <v>0</v>
      </c>
      <c r="CE27" s="1007">
        <f t="shared" si="24"/>
        <v>0</v>
      </c>
      <c r="CF27" s="1007">
        <f t="shared" si="24"/>
        <v>0</v>
      </c>
      <c r="CG27" s="1007">
        <f t="shared" si="24"/>
        <v>0</v>
      </c>
      <c r="CH27" s="1007">
        <f t="shared" si="24"/>
        <v>0</v>
      </c>
      <c r="CI27" s="1007">
        <f t="shared" si="24"/>
        <v>0</v>
      </c>
      <c r="CJ27" s="1007"/>
      <c r="CK27" s="1007"/>
      <c r="CL27" s="1007">
        <f t="shared" si="12"/>
        <v>0</v>
      </c>
      <c r="CM27" s="1010" t="e">
        <f t="shared" si="13"/>
        <v>#DIV/0!</v>
      </c>
      <c r="CN27" s="1007">
        <f t="shared" si="14"/>
        <v>0</v>
      </c>
      <c r="CO27" s="1007"/>
      <c r="CP27" s="1007"/>
      <c r="CQ27" s="1007"/>
      <c r="CR27" s="1007"/>
      <c r="CS27" s="1007"/>
      <c r="CT27" s="1007"/>
      <c r="CU27" s="1007"/>
      <c r="CV27" s="1007"/>
      <c r="CW27" s="1007"/>
      <c r="CX27" s="1007"/>
      <c r="CY27" s="1007"/>
      <c r="CZ27" s="1007"/>
      <c r="DA27" s="1007"/>
      <c r="DB27" s="1007"/>
      <c r="DC27" s="1007"/>
      <c r="DD27" s="1007"/>
      <c r="DE27" s="1007"/>
      <c r="DF27" s="1007"/>
      <c r="DG27" s="1007"/>
      <c r="DH27" s="1007"/>
      <c r="DI27" s="1010" t="e">
        <f t="shared" si="15"/>
        <v>#DIV/0!</v>
      </c>
      <c r="DJ27" s="1007">
        <f t="shared" si="16"/>
        <v>0</v>
      </c>
      <c r="DK27" s="1007">
        <f t="shared" si="17"/>
        <v>0</v>
      </c>
      <c r="DL27" s="1007">
        <f t="shared" si="17"/>
        <v>0</v>
      </c>
      <c r="DM27" s="1007"/>
      <c r="DN27" s="1007">
        <f t="shared" si="18"/>
        <v>0</v>
      </c>
      <c r="DO27" s="1007">
        <f t="shared" si="18"/>
        <v>0</v>
      </c>
      <c r="DP27" s="1007">
        <f t="shared" si="18"/>
        <v>0</v>
      </c>
      <c r="DQ27" s="1007">
        <f t="shared" si="18"/>
        <v>0</v>
      </c>
      <c r="DR27" s="1007"/>
      <c r="DS27" s="1007">
        <f t="shared" si="19"/>
        <v>0</v>
      </c>
      <c r="DT27" s="1007">
        <f t="shared" si="19"/>
        <v>0</v>
      </c>
      <c r="DU27" s="1007"/>
      <c r="DV27" s="1007">
        <f t="shared" si="20"/>
        <v>0</v>
      </c>
      <c r="DW27" s="1007">
        <f t="shared" si="20"/>
        <v>0</v>
      </c>
      <c r="DX27" s="1007">
        <f t="shared" si="20"/>
        <v>0</v>
      </c>
      <c r="DY27" s="1007">
        <f t="shared" si="21"/>
        <v>0</v>
      </c>
      <c r="DZ27" s="1007">
        <f t="shared" si="21"/>
        <v>0</v>
      </c>
      <c r="EA27" s="1007">
        <f t="shared" si="21"/>
        <v>0</v>
      </c>
      <c r="EB27" s="1007">
        <f t="shared" si="21"/>
        <v>0</v>
      </c>
      <c r="EC27" s="1007"/>
      <c r="ED27" s="1007">
        <f t="shared" si="22"/>
        <v>0</v>
      </c>
    </row>
    <row r="28" spans="1:134" ht="46.5" hidden="1" customHeight="1" x14ac:dyDescent="0.25">
      <c r="A28" s="1565"/>
      <c r="B28" s="1020"/>
      <c r="C28" s="1114" t="s">
        <v>4598</v>
      </c>
      <c r="D28" s="1018" t="s">
        <v>4578</v>
      </c>
      <c r="E28" s="1019">
        <v>510</v>
      </c>
      <c r="F28" s="1117" t="s">
        <v>4660</v>
      </c>
      <c r="G28" s="1429"/>
      <c r="H28" s="1060">
        <f t="shared" si="0"/>
        <v>0</v>
      </c>
      <c r="I28" s="1060">
        <f t="shared" si="1"/>
        <v>45000000</v>
      </c>
      <c r="J28" s="1429"/>
      <c r="K28" s="1562"/>
      <c r="L28" s="1562"/>
      <c r="M28" s="1113">
        <v>0</v>
      </c>
      <c r="N28" s="1113">
        <v>0</v>
      </c>
      <c r="O28" s="1113">
        <v>0</v>
      </c>
      <c r="P28" s="1113">
        <v>0</v>
      </c>
      <c r="Q28" s="1113">
        <v>0</v>
      </c>
      <c r="R28" s="1113">
        <v>0</v>
      </c>
      <c r="S28" s="1122"/>
      <c r="T28" s="1122"/>
      <c r="U28" s="1122"/>
      <c r="V28" s="1122"/>
      <c r="W28" s="1122"/>
      <c r="X28" s="1122"/>
      <c r="Y28" s="1007">
        <f t="shared" si="2"/>
        <v>45000000</v>
      </c>
      <c r="Z28" s="1007"/>
      <c r="AA28" s="1007"/>
      <c r="AB28" s="1007"/>
      <c r="AC28" s="1007"/>
      <c r="AD28" s="1007"/>
      <c r="AE28" s="1007"/>
      <c r="AF28" s="1007"/>
      <c r="AG28" s="1007"/>
      <c r="AH28" s="1007"/>
      <c r="AI28" s="1007"/>
      <c r="AJ28" s="1007"/>
      <c r="AK28" s="1007"/>
      <c r="AL28" s="1007"/>
      <c r="AM28" s="1007">
        <f>5000000+40000000</f>
        <v>45000000</v>
      </c>
      <c r="AN28" s="1007"/>
      <c r="AO28" s="1007"/>
      <c r="AP28" s="1007"/>
      <c r="AQ28" s="1007"/>
      <c r="AR28" s="1007"/>
      <c r="AS28" s="1007"/>
      <c r="AU28" s="1010">
        <f t="shared" si="3"/>
        <v>0</v>
      </c>
      <c r="AV28" s="1007">
        <f t="shared" si="4"/>
        <v>0</v>
      </c>
      <c r="AW28" s="1007"/>
      <c r="AX28" s="1007"/>
      <c r="AY28" s="1007"/>
      <c r="AZ28" s="1007"/>
      <c r="BA28" s="1007"/>
      <c r="BB28" s="1007"/>
      <c r="BC28" s="1007"/>
      <c r="BD28" s="1007"/>
      <c r="BE28" s="1007"/>
      <c r="BF28" s="1007"/>
      <c r="BG28" s="1007"/>
      <c r="BH28" s="1007"/>
      <c r="BI28" s="1007"/>
      <c r="BJ28" s="1007"/>
      <c r="BK28" s="1007"/>
      <c r="BL28" s="1007"/>
      <c r="BM28" s="1007"/>
      <c r="BN28" s="1007"/>
      <c r="BO28" s="1007"/>
      <c r="BP28" s="1007"/>
      <c r="BQ28" s="1010">
        <f t="shared" si="25"/>
        <v>1</v>
      </c>
      <c r="BR28" s="1007">
        <f t="shared" si="6"/>
        <v>45000000</v>
      </c>
      <c r="BS28" s="1007">
        <f t="shared" si="7"/>
        <v>0</v>
      </c>
      <c r="BT28" s="1007">
        <f t="shared" si="23"/>
        <v>0</v>
      </c>
      <c r="BU28" s="1007"/>
      <c r="BV28" s="1007">
        <f t="shared" si="9"/>
        <v>0</v>
      </c>
      <c r="BW28" s="1007"/>
      <c r="BX28" s="1007">
        <f t="shared" si="10"/>
        <v>0</v>
      </c>
      <c r="BY28" s="1007">
        <f t="shared" si="10"/>
        <v>0</v>
      </c>
      <c r="BZ28" s="1007"/>
      <c r="CA28" s="1007"/>
      <c r="CB28" s="1007"/>
      <c r="CC28" s="1007"/>
      <c r="CD28" s="1007">
        <f t="shared" si="24"/>
        <v>0</v>
      </c>
      <c r="CE28" s="1007">
        <f t="shared" si="24"/>
        <v>0</v>
      </c>
      <c r="CF28" s="1007">
        <f t="shared" si="24"/>
        <v>45000000</v>
      </c>
      <c r="CG28" s="1007">
        <f t="shared" si="24"/>
        <v>0</v>
      </c>
      <c r="CH28" s="1007">
        <f t="shared" si="24"/>
        <v>0</v>
      </c>
      <c r="CI28" s="1007">
        <f t="shared" si="24"/>
        <v>0</v>
      </c>
      <c r="CJ28" s="1007"/>
      <c r="CK28" s="1007"/>
      <c r="CL28" s="1007">
        <f t="shared" si="12"/>
        <v>0</v>
      </c>
      <c r="CM28" s="1010">
        <f t="shared" si="13"/>
        <v>0</v>
      </c>
      <c r="CN28" s="1007">
        <f t="shared" si="14"/>
        <v>0</v>
      </c>
      <c r="CO28" s="1007"/>
      <c r="CP28" s="1007"/>
      <c r="CQ28" s="1007"/>
      <c r="CR28" s="1007"/>
      <c r="CS28" s="1007"/>
      <c r="CT28" s="1007"/>
      <c r="CU28" s="1007"/>
      <c r="CV28" s="1007"/>
      <c r="CW28" s="1007"/>
      <c r="CX28" s="1007"/>
      <c r="CY28" s="1007"/>
      <c r="CZ28" s="1007"/>
      <c r="DA28" s="1007"/>
      <c r="DB28" s="1007"/>
      <c r="DC28" s="1007"/>
      <c r="DD28" s="1007"/>
      <c r="DE28" s="1007"/>
      <c r="DF28" s="1007"/>
      <c r="DG28" s="1007"/>
      <c r="DH28" s="1007"/>
      <c r="DI28" s="1010">
        <f t="shared" si="15"/>
        <v>1</v>
      </c>
      <c r="DJ28" s="1007">
        <f t="shared" si="16"/>
        <v>45000000</v>
      </c>
      <c r="DK28" s="1007">
        <f t="shared" si="17"/>
        <v>0</v>
      </c>
      <c r="DL28" s="1007">
        <f t="shared" si="17"/>
        <v>0</v>
      </c>
      <c r="DM28" s="1007"/>
      <c r="DN28" s="1007">
        <f t="shared" si="18"/>
        <v>0</v>
      </c>
      <c r="DO28" s="1007">
        <f t="shared" si="18"/>
        <v>0</v>
      </c>
      <c r="DP28" s="1007">
        <f t="shared" si="18"/>
        <v>0</v>
      </c>
      <c r="DQ28" s="1007">
        <f t="shared" si="18"/>
        <v>0</v>
      </c>
      <c r="DR28" s="1007"/>
      <c r="DS28" s="1007">
        <f t="shared" si="19"/>
        <v>0</v>
      </c>
      <c r="DT28" s="1007">
        <f t="shared" si="19"/>
        <v>0</v>
      </c>
      <c r="DU28" s="1007"/>
      <c r="DV28" s="1007">
        <f t="shared" si="20"/>
        <v>0</v>
      </c>
      <c r="DW28" s="1007">
        <f t="shared" si="20"/>
        <v>0</v>
      </c>
      <c r="DX28" s="1007">
        <f t="shared" si="20"/>
        <v>45000000</v>
      </c>
      <c r="DY28" s="1007">
        <f t="shared" si="21"/>
        <v>0</v>
      </c>
      <c r="DZ28" s="1007">
        <f t="shared" si="21"/>
        <v>0</v>
      </c>
      <c r="EA28" s="1007">
        <f t="shared" si="21"/>
        <v>0</v>
      </c>
      <c r="EB28" s="1007">
        <f t="shared" si="21"/>
        <v>0</v>
      </c>
      <c r="EC28" s="1007"/>
      <c r="ED28" s="1007">
        <f t="shared" si="22"/>
        <v>0</v>
      </c>
    </row>
    <row r="29" spans="1:134" ht="48.75" hidden="1" customHeight="1" x14ac:dyDescent="0.25">
      <c r="A29" s="1565"/>
      <c r="B29" s="1020"/>
      <c r="C29" s="1114" t="s">
        <v>4599</v>
      </c>
      <c r="D29" s="1018" t="s">
        <v>4686</v>
      </c>
      <c r="E29" s="1019">
        <v>510</v>
      </c>
      <c r="F29" s="1117" t="s">
        <v>4660</v>
      </c>
      <c r="G29" s="1430"/>
      <c r="H29" s="1060">
        <f t="shared" si="0"/>
        <v>0</v>
      </c>
      <c r="I29" s="1060">
        <f t="shared" si="1"/>
        <v>65000000</v>
      </c>
      <c r="J29" s="1430"/>
      <c r="K29" s="1258"/>
      <c r="L29" s="1258"/>
      <c r="M29" s="1113">
        <v>0</v>
      </c>
      <c r="N29" s="1113">
        <v>0</v>
      </c>
      <c r="O29" s="1113">
        <v>0</v>
      </c>
      <c r="P29" s="1113">
        <v>0</v>
      </c>
      <c r="Q29" s="1113">
        <v>20</v>
      </c>
      <c r="R29" s="1113">
        <v>0</v>
      </c>
      <c r="S29" s="1123"/>
      <c r="T29" s="1123"/>
      <c r="U29" s="1123"/>
      <c r="V29" s="1123"/>
      <c r="W29" s="1123"/>
      <c r="X29" s="1123"/>
      <c r="Y29" s="1007">
        <f t="shared" si="2"/>
        <v>65000000</v>
      </c>
      <c r="Z29" s="1007"/>
      <c r="AA29" s="1007"/>
      <c r="AB29" s="1007"/>
      <c r="AC29" s="1007"/>
      <c r="AD29" s="1007"/>
      <c r="AE29" s="1007"/>
      <c r="AF29" s="1007"/>
      <c r="AG29" s="1007"/>
      <c r="AH29" s="1007"/>
      <c r="AI29" s="1007"/>
      <c r="AJ29" s="1007"/>
      <c r="AK29" s="1007"/>
      <c r="AL29" s="1007"/>
      <c r="AM29" s="1007">
        <v>35000000</v>
      </c>
      <c r="AN29" s="1007">
        <v>30000000</v>
      </c>
      <c r="AO29" s="1007"/>
      <c r="AP29" s="1007"/>
      <c r="AQ29" s="1007"/>
      <c r="AR29" s="1007"/>
      <c r="AS29" s="1007"/>
      <c r="AU29" s="1010">
        <f t="shared" si="3"/>
        <v>0</v>
      </c>
      <c r="AV29" s="1007">
        <f t="shared" si="4"/>
        <v>0</v>
      </c>
      <c r="AW29" s="1007"/>
      <c r="AX29" s="1007"/>
      <c r="AY29" s="1007"/>
      <c r="AZ29" s="1007"/>
      <c r="BA29" s="1007"/>
      <c r="BB29" s="1007"/>
      <c r="BC29" s="1007"/>
      <c r="BD29" s="1007"/>
      <c r="BE29" s="1007"/>
      <c r="BF29" s="1007"/>
      <c r="BG29" s="1007"/>
      <c r="BH29" s="1007"/>
      <c r="BI29" s="1007"/>
      <c r="BJ29" s="1007"/>
      <c r="BK29" s="1007"/>
      <c r="BL29" s="1007"/>
      <c r="BM29" s="1007"/>
      <c r="BN29" s="1007"/>
      <c r="BO29" s="1007"/>
      <c r="BP29" s="1007"/>
      <c r="BQ29" s="1010">
        <f t="shared" si="25"/>
        <v>1</v>
      </c>
      <c r="BR29" s="1007">
        <f t="shared" si="6"/>
        <v>65000000</v>
      </c>
      <c r="BS29" s="1007">
        <f t="shared" si="7"/>
        <v>0</v>
      </c>
      <c r="BT29" s="1007">
        <f t="shared" si="23"/>
        <v>0</v>
      </c>
      <c r="BU29" s="1007"/>
      <c r="BV29" s="1007">
        <f t="shared" si="9"/>
        <v>0</v>
      </c>
      <c r="BW29" s="1007"/>
      <c r="BX29" s="1007">
        <f t="shared" si="10"/>
        <v>0</v>
      </c>
      <c r="BY29" s="1007">
        <f t="shared" si="10"/>
        <v>0</v>
      </c>
      <c r="BZ29" s="1007"/>
      <c r="CA29" s="1007"/>
      <c r="CB29" s="1007"/>
      <c r="CC29" s="1007"/>
      <c r="CD29" s="1007">
        <f t="shared" si="24"/>
        <v>0</v>
      </c>
      <c r="CE29" s="1007">
        <f t="shared" si="24"/>
        <v>0</v>
      </c>
      <c r="CF29" s="1007">
        <f t="shared" si="24"/>
        <v>35000000</v>
      </c>
      <c r="CG29" s="1007">
        <f t="shared" si="24"/>
        <v>30000000</v>
      </c>
      <c r="CH29" s="1007">
        <f t="shared" si="24"/>
        <v>0</v>
      </c>
      <c r="CI29" s="1007">
        <f t="shared" si="24"/>
        <v>0</v>
      </c>
      <c r="CJ29" s="1007"/>
      <c r="CK29" s="1007"/>
      <c r="CL29" s="1007">
        <f t="shared" si="12"/>
        <v>0</v>
      </c>
      <c r="CM29" s="1010">
        <f t="shared" si="13"/>
        <v>0</v>
      </c>
      <c r="CN29" s="1007">
        <f t="shared" si="14"/>
        <v>0</v>
      </c>
      <c r="CO29" s="1007"/>
      <c r="CP29" s="1007"/>
      <c r="CQ29" s="1007"/>
      <c r="CR29" s="1007"/>
      <c r="CS29" s="1007"/>
      <c r="CT29" s="1007"/>
      <c r="CU29" s="1007"/>
      <c r="CV29" s="1007"/>
      <c r="CW29" s="1007"/>
      <c r="CX29" s="1007"/>
      <c r="CY29" s="1007"/>
      <c r="CZ29" s="1007"/>
      <c r="DA29" s="1007"/>
      <c r="DB29" s="1007"/>
      <c r="DC29" s="1007"/>
      <c r="DD29" s="1007"/>
      <c r="DE29" s="1007"/>
      <c r="DF29" s="1007"/>
      <c r="DG29" s="1007"/>
      <c r="DH29" s="1007"/>
      <c r="DI29" s="1010">
        <f t="shared" si="15"/>
        <v>1</v>
      </c>
      <c r="DJ29" s="1007">
        <f t="shared" si="16"/>
        <v>65000000</v>
      </c>
      <c r="DK29" s="1007">
        <f t="shared" si="17"/>
        <v>0</v>
      </c>
      <c r="DL29" s="1007">
        <f t="shared" si="17"/>
        <v>0</v>
      </c>
      <c r="DM29" s="1007"/>
      <c r="DN29" s="1007">
        <f t="shared" si="18"/>
        <v>0</v>
      </c>
      <c r="DO29" s="1007">
        <f t="shared" si="18"/>
        <v>0</v>
      </c>
      <c r="DP29" s="1007">
        <f t="shared" si="18"/>
        <v>0</v>
      </c>
      <c r="DQ29" s="1007">
        <f t="shared" si="18"/>
        <v>0</v>
      </c>
      <c r="DR29" s="1007"/>
      <c r="DS29" s="1007">
        <f t="shared" si="19"/>
        <v>0</v>
      </c>
      <c r="DT29" s="1007">
        <f t="shared" si="19"/>
        <v>0</v>
      </c>
      <c r="DU29" s="1007"/>
      <c r="DV29" s="1007">
        <f t="shared" si="20"/>
        <v>0</v>
      </c>
      <c r="DW29" s="1007">
        <f t="shared" si="20"/>
        <v>0</v>
      </c>
      <c r="DX29" s="1007">
        <f t="shared" si="20"/>
        <v>35000000</v>
      </c>
      <c r="DY29" s="1007">
        <f t="shared" si="21"/>
        <v>30000000</v>
      </c>
      <c r="DZ29" s="1007">
        <f t="shared" si="21"/>
        <v>0</v>
      </c>
      <c r="EA29" s="1007">
        <f t="shared" si="21"/>
        <v>0</v>
      </c>
      <c r="EB29" s="1007">
        <f t="shared" si="21"/>
        <v>0</v>
      </c>
      <c r="EC29" s="1007"/>
      <c r="ED29" s="1007">
        <f t="shared" si="22"/>
        <v>0</v>
      </c>
    </row>
    <row r="30" spans="1:134" ht="36" hidden="1" customHeight="1" x14ac:dyDescent="0.25">
      <c r="A30" s="1565"/>
      <c r="B30" s="1566" t="s">
        <v>4305</v>
      </c>
      <c r="C30" s="1114" t="s">
        <v>4404</v>
      </c>
      <c r="D30" s="1018" t="s">
        <v>4700</v>
      </c>
      <c r="E30" s="1019">
        <v>510</v>
      </c>
      <c r="F30" s="1117" t="s">
        <v>4660</v>
      </c>
      <c r="G30" s="1428">
        <v>111000000</v>
      </c>
      <c r="H30" s="1060">
        <f t="shared" si="0"/>
        <v>876100</v>
      </c>
      <c r="I30" s="1060">
        <f t="shared" si="1"/>
        <v>1123900</v>
      </c>
      <c r="J30" s="1428" t="s">
        <v>4776</v>
      </c>
      <c r="K30" s="1257" t="s">
        <v>4777</v>
      </c>
      <c r="L30" s="1257" t="s">
        <v>4778</v>
      </c>
      <c r="M30" s="1113">
        <v>0</v>
      </c>
      <c r="N30" s="1113">
        <v>0</v>
      </c>
      <c r="O30" s="1113">
        <v>0</v>
      </c>
      <c r="P30" s="1113">
        <v>44</v>
      </c>
      <c r="Q30" s="1113">
        <v>10</v>
      </c>
      <c r="R30" s="1113">
        <v>40</v>
      </c>
      <c r="S30" s="1121"/>
      <c r="T30" s="1121"/>
      <c r="U30" s="1121"/>
      <c r="V30" s="1121"/>
      <c r="W30" s="1121"/>
      <c r="X30" s="1121"/>
      <c r="Y30" s="1007">
        <f t="shared" si="2"/>
        <v>2000000</v>
      </c>
      <c r="Z30" s="1007"/>
      <c r="AA30" s="1007"/>
      <c r="AB30" s="1007"/>
      <c r="AC30" s="1007"/>
      <c r="AD30" s="1007"/>
      <c r="AE30" s="1007"/>
      <c r="AF30" s="1007"/>
      <c r="AG30" s="1007"/>
      <c r="AH30" s="1007"/>
      <c r="AI30" s="1007"/>
      <c r="AJ30" s="1007"/>
      <c r="AK30" s="1007"/>
      <c r="AL30" s="1007"/>
      <c r="AM30" s="1007">
        <v>2000000</v>
      </c>
      <c r="AN30" s="1007"/>
      <c r="AO30" s="1007"/>
      <c r="AP30" s="1007"/>
      <c r="AQ30" s="1007"/>
      <c r="AR30" s="1007"/>
      <c r="AS30" s="1007"/>
      <c r="AU30" s="1010">
        <f t="shared" si="3"/>
        <v>0.43804999999999999</v>
      </c>
      <c r="AV30" s="1007">
        <f t="shared" si="4"/>
        <v>876100</v>
      </c>
      <c r="AW30" s="1007"/>
      <c r="AX30" s="1007"/>
      <c r="AY30" s="1007"/>
      <c r="AZ30" s="1007"/>
      <c r="BA30" s="1007"/>
      <c r="BB30" s="1007"/>
      <c r="BC30" s="1007"/>
      <c r="BD30" s="1007"/>
      <c r="BE30" s="1007"/>
      <c r="BF30" s="1007"/>
      <c r="BG30" s="1007"/>
      <c r="BH30" s="1007"/>
      <c r="BI30" s="1007"/>
      <c r="BJ30" s="1007">
        <f>+'[11]MARZO 2015'!$V$1091</f>
        <v>876100</v>
      </c>
      <c r="BK30" s="1007"/>
      <c r="BL30" s="1007"/>
      <c r="BM30" s="1007"/>
      <c r="BN30" s="1007"/>
      <c r="BO30" s="1007"/>
      <c r="BP30" s="1007"/>
      <c r="BQ30" s="1010">
        <f t="shared" si="25"/>
        <v>0.56194999999999995</v>
      </c>
      <c r="BR30" s="1007">
        <f t="shared" si="6"/>
        <v>1123900</v>
      </c>
      <c r="BS30" s="1007">
        <f t="shared" si="7"/>
        <v>0</v>
      </c>
      <c r="BT30" s="1007">
        <f t="shared" si="23"/>
        <v>0</v>
      </c>
      <c r="BU30" s="1007"/>
      <c r="BV30" s="1007">
        <f t="shared" si="9"/>
        <v>0</v>
      </c>
      <c r="BW30" s="1007"/>
      <c r="BX30" s="1007">
        <f t="shared" si="10"/>
        <v>0</v>
      </c>
      <c r="BY30" s="1007">
        <f t="shared" si="10"/>
        <v>0</v>
      </c>
      <c r="BZ30" s="1007"/>
      <c r="CA30" s="1007"/>
      <c r="CB30" s="1007"/>
      <c r="CC30" s="1007"/>
      <c r="CD30" s="1007">
        <f t="shared" si="24"/>
        <v>0</v>
      </c>
      <c r="CE30" s="1007">
        <f t="shared" si="24"/>
        <v>0</v>
      </c>
      <c r="CF30" s="1007">
        <f t="shared" si="24"/>
        <v>1123900</v>
      </c>
      <c r="CG30" s="1007">
        <f t="shared" si="24"/>
        <v>0</v>
      </c>
      <c r="CH30" s="1007">
        <f t="shared" si="24"/>
        <v>0</v>
      </c>
      <c r="CI30" s="1007">
        <f t="shared" si="24"/>
        <v>0</v>
      </c>
      <c r="CJ30" s="1007"/>
      <c r="CK30" s="1007"/>
      <c r="CL30" s="1007">
        <f t="shared" si="12"/>
        <v>0</v>
      </c>
      <c r="CM30" s="1010">
        <f t="shared" si="13"/>
        <v>0.43804999999999999</v>
      </c>
      <c r="CN30" s="1007">
        <f t="shared" si="14"/>
        <v>876100</v>
      </c>
      <c r="CO30" s="1007"/>
      <c r="CP30" s="1007"/>
      <c r="CQ30" s="1007"/>
      <c r="CR30" s="1007"/>
      <c r="CS30" s="1007"/>
      <c r="CT30" s="1007"/>
      <c r="CU30" s="1007"/>
      <c r="CV30" s="1007"/>
      <c r="CW30" s="1007"/>
      <c r="CX30" s="1007"/>
      <c r="CY30" s="1007"/>
      <c r="CZ30" s="1007"/>
      <c r="DA30" s="1007"/>
      <c r="DB30" s="1007">
        <f>+'[11]MARZO 2015'!$H$1089</f>
        <v>876100</v>
      </c>
      <c r="DC30" s="1007"/>
      <c r="DD30" s="1007"/>
      <c r="DE30" s="1007"/>
      <c r="DF30" s="1007"/>
      <c r="DG30" s="1007"/>
      <c r="DH30" s="1007"/>
      <c r="DI30" s="1010">
        <f t="shared" si="15"/>
        <v>0.56194999999999995</v>
      </c>
      <c r="DJ30" s="1007">
        <f t="shared" si="16"/>
        <v>1123900</v>
      </c>
      <c r="DK30" s="1007">
        <f t="shared" si="17"/>
        <v>0</v>
      </c>
      <c r="DL30" s="1007">
        <f t="shared" si="17"/>
        <v>0</v>
      </c>
      <c r="DM30" s="1007"/>
      <c r="DN30" s="1007">
        <f t="shared" si="18"/>
        <v>0</v>
      </c>
      <c r="DO30" s="1007">
        <f t="shared" si="18"/>
        <v>0</v>
      </c>
      <c r="DP30" s="1007">
        <f t="shared" si="18"/>
        <v>0</v>
      </c>
      <c r="DQ30" s="1007">
        <f t="shared" si="18"/>
        <v>0</v>
      </c>
      <c r="DR30" s="1007"/>
      <c r="DS30" s="1007">
        <f t="shared" si="19"/>
        <v>0</v>
      </c>
      <c r="DT30" s="1007">
        <f t="shared" si="19"/>
        <v>0</v>
      </c>
      <c r="DU30" s="1007"/>
      <c r="DV30" s="1007">
        <f t="shared" si="20"/>
        <v>0</v>
      </c>
      <c r="DW30" s="1007">
        <f t="shared" si="20"/>
        <v>0</v>
      </c>
      <c r="DX30" s="1007">
        <f t="shared" si="20"/>
        <v>1123900</v>
      </c>
      <c r="DY30" s="1007">
        <f t="shared" si="21"/>
        <v>0</v>
      </c>
      <c r="DZ30" s="1007">
        <f t="shared" si="21"/>
        <v>0</v>
      </c>
      <c r="EA30" s="1007">
        <f t="shared" si="21"/>
        <v>0</v>
      </c>
      <c r="EB30" s="1007">
        <f t="shared" si="21"/>
        <v>0</v>
      </c>
      <c r="EC30" s="1007"/>
      <c r="ED30" s="1007">
        <f t="shared" si="22"/>
        <v>0</v>
      </c>
    </row>
    <row r="31" spans="1:134" ht="26.25" hidden="1" customHeight="1" x14ac:dyDescent="0.25">
      <c r="A31" s="1565"/>
      <c r="B31" s="1567"/>
      <c r="C31" s="1114" t="s">
        <v>4581</v>
      </c>
      <c r="D31" s="1018" t="s">
        <v>4600</v>
      </c>
      <c r="E31" s="1019">
        <v>510</v>
      </c>
      <c r="F31" s="1117" t="s">
        <v>4660</v>
      </c>
      <c r="G31" s="1429"/>
      <c r="H31" s="1060">
        <f t="shared" si="0"/>
        <v>25219875</v>
      </c>
      <c r="I31" s="1060">
        <f t="shared" si="1"/>
        <v>35780125</v>
      </c>
      <c r="J31" s="1429"/>
      <c r="K31" s="1562"/>
      <c r="L31" s="1562"/>
      <c r="M31" s="1113">
        <v>0</v>
      </c>
      <c r="N31" s="1113">
        <v>0</v>
      </c>
      <c r="O31" s="1113">
        <v>0</v>
      </c>
      <c r="P31" s="1113">
        <v>27</v>
      </c>
      <c r="Q31" s="1113">
        <v>40</v>
      </c>
      <c r="R31" s="1113">
        <v>11</v>
      </c>
      <c r="S31" s="1122"/>
      <c r="T31" s="1122"/>
      <c r="U31" s="1122"/>
      <c r="V31" s="1122"/>
      <c r="W31" s="1122"/>
      <c r="X31" s="1122"/>
      <c r="Y31" s="1007">
        <f t="shared" si="2"/>
        <v>61000000</v>
      </c>
      <c r="Z31" s="1007"/>
      <c r="AA31" s="1007"/>
      <c r="AB31" s="1007"/>
      <c r="AC31" s="1007"/>
      <c r="AD31" s="1007"/>
      <c r="AE31" s="1007"/>
      <c r="AF31" s="1007"/>
      <c r="AG31" s="1007"/>
      <c r="AH31" s="1007"/>
      <c r="AI31" s="1007"/>
      <c r="AJ31" s="1007"/>
      <c r="AK31" s="1007"/>
      <c r="AL31" s="1007"/>
      <c r="AM31" s="1007">
        <v>40000000</v>
      </c>
      <c r="AN31" s="1007"/>
      <c r="AO31" s="1007"/>
      <c r="AP31" s="1007"/>
      <c r="AQ31" s="1007"/>
      <c r="AR31" s="1007"/>
      <c r="AS31" s="1007">
        <v>21000000</v>
      </c>
      <c r="AU31" s="1010">
        <f t="shared" si="3"/>
        <v>0.61704167213114758</v>
      </c>
      <c r="AV31" s="1007">
        <f t="shared" si="4"/>
        <v>37639542</v>
      </c>
      <c r="AW31" s="1007"/>
      <c r="AX31" s="1007"/>
      <c r="AY31" s="1007"/>
      <c r="AZ31" s="1007"/>
      <c r="BA31" s="1007"/>
      <c r="BB31" s="1007"/>
      <c r="BC31" s="1007"/>
      <c r="BD31" s="1007"/>
      <c r="BE31" s="1007"/>
      <c r="BF31" s="1007"/>
      <c r="BG31" s="1007"/>
      <c r="BH31" s="1007"/>
      <c r="BI31" s="1007"/>
      <c r="BJ31" s="1007">
        <f>+'[8]SEPTIEMBRE 2015'!$W$2671</f>
        <v>37639542</v>
      </c>
      <c r="BK31" s="1007"/>
      <c r="BL31" s="1007"/>
      <c r="BM31" s="1007"/>
      <c r="BN31" s="1007"/>
      <c r="BO31" s="1007"/>
      <c r="BP31" s="1007"/>
      <c r="BQ31" s="1010">
        <f t="shared" si="25"/>
        <v>0.38295832786885242</v>
      </c>
      <c r="BR31" s="1007">
        <f t="shared" si="6"/>
        <v>23360458</v>
      </c>
      <c r="BS31" s="1007">
        <f t="shared" si="7"/>
        <v>0</v>
      </c>
      <c r="BT31" s="1007">
        <f t="shared" si="23"/>
        <v>0</v>
      </c>
      <c r="BU31" s="1007"/>
      <c r="BV31" s="1007">
        <f t="shared" si="9"/>
        <v>0</v>
      </c>
      <c r="BW31" s="1007"/>
      <c r="BX31" s="1007">
        <f t="shared" si="10"/>
        <v>0</v>
      </c>
      <c r="BY31" s="1007">
        <f t="shared" si="10"/>
        <v>0</v>
      </c>
      <c r="BZ31" s="1007"/>
      <c r="CA31" s="1007"/>
      <c r="CB31" s="1007"/>
      <c r="CC31" s="1007"/>
      <c r="CD31" s="1007">
        <f t="shared" si="24"/>
        <v>0</v>
      </c>
      <c r="CE31" s="1007">
        <f t="shared" si="24"/>
        <v>0</v>
      </c>
      <c r="CF31" s="1007">
        <f t="shared" si="24"/>
        <v>2360458</v>
      </c>
      <c r="CG31" s="1007">
        <f t="shared" si="24"/>
        <v>0</v>
      </c>
      <c r="CH31" s="1007">
        <f t="shared" si="24"/>
        <v>0</v>
      </c>
      <c r="CI31" s="1007">
        <f t="shared" si="24"/>
        <v>0</v>
      </c>
      <c r="CJ31" s="1007"/>
      <c r="CK31" s="1007"/>
      <c r="CL31" s="1007">
        <f t="shared" si="12"/>
        <v>21000000</v>
      </c>
      <c r="CM31" s="1010">
        <f t="shared" si="13"/>
        <v>0.41344057377049181</v>
      </c>
      <c r="CN31" s="1007">
        <f t="shared" si="14"/>
        <v>25219875</v>
      </c>
      <c r="CO31" s="1007"/>
      <c r="CP31" s="1007"/>
      <c r="CQ31" s="1007"/>
      <c r="CR31" s="1007"/>
      <c r="CS31" s="1007"/>
      <c r="CT31" s="1007"/>
      <c r="CU31" s="1007"/>
      <c r="CV31" s="1007"/>
      <c r="CW31" s="1007"/>
      <c r="CX31" s="1007"/>
      <c r="CY31" s="1007"/>
      <c r="CZ31" s="1007"/>
      <c r="DA31" s="1007"/>
      <c r="DB31" s="1007">
        <f>+'[8]SEPTIEMBRE 2015'!$H$2669</f>
        <v>25219875</v>
      </c>
      <c r="DC31" s="1007"/>
      <c r="DD31" s="1007"/>
      <c r="DE31" s="1007"/>
      <c r="DF31" s="1007"/>
      <c r="DG31" s="1007"/>
      <c r="DH31" s="1007"/>
      <c r="DI31" s="1010">
        <f t="shared" si="15"/>
        <v>0.58655942622950819</v>
      </c>
      <c r="DJ31" s="1007">
        <f t="shared" si="16"/>
        <v>35780125</v>
      </c>
      <c r="DK31" s="1007">
        <f t="shared" si="17"/>
        <v>0</v>
      </c>
      <c r="DL31" s="1007">
        <f t="shared" si="17"/>
        <v>0</v>
      </c>
      <c r="DM31" s="1007"/>
      <c r="DN31" s="1007">
        <f t="shared" si="18"/>
        <v>0</v>
      </c>
      <c r="DO31" s="1007">
        <f t="shared" si="18"/>
        <v>0</v>
      </c>
      <c r="DP31" s="1007">
        <f t="shared" si="18"/>
        <v>0</v>
      </c>
      <c r="DQ31" s="1007">
        <f t="shared" si="18"/>
        <v>0</v>
      </c>
      <c r="DR31" s="1007"/>
      <c r="DS31" s="1007">
        <f t="shared" si="19"/>
        <v>0</v>
      </c>
      <c r="DT31" s="1007">
        <f t="shared" si="19"/>
        <v>0</v>
      </c>
      <c r="DU31" s="1007"/>
      <c r="DV31" s="1007">
        <f t="shared" si="20"/>
        <v>0</v>
      </c>
      <c r="DW31" s="1007">
        <f t="shared" si="20"/>
        <v>0</v>
      </c>
      <c r="DX31" s="1007">
        <f t="shared" si="20"/>
        <v>14780125</v>
      </c>
      <c r="DY31" s="1007">
        <f t="shared" si="21"/>
        <v>0</v>
      </c>
      <c r="DZ31" s="1007">
        <f t="shared" si="21"/>
        <v>0</v>
      </c>
      <c r="EA31" s="1007">
        <f t="shared" si="21"/>
        <v>0</v>
      </c>
      <c r="EB31" s="1007">
        <f t="shared" si="21"/>
        <v>0</v>
      </c>
      <c r="EC31" s="1007"/>
      <c r="ED31" s="1007">
        <f t="shared" si="22"/>
        <v>21000000</v>
      </c>
    </row>
    <row r="32" spans="1:134" ht="39" hidden="1" customHeight="1" x14ac:dyDescent="0.25">
      <c r="A32" s="1565"/>
      <c r="B32" s="1567"/>
      <c r="C32" s="1114" t="s">
        <v>4582</v>
      </c>
      <c r="D32" s="1018" t="s">
        <v>4579</v>
      </c>
      <c r="E32" s="1019">
        <v>510</v>
      </c>
      <c r="F32" s="1117" t="s">
        <v>4660</v>
      </c>
      <c r="G32" s="1429"/>
      <c r="H32" s="1060">
        <f t="shared" si="0"/>
        <v>10640000</v>
      </c>
      <c r="I32" s="1060">
        <f t="shared" si="1"/>
        <v>39360000</v>
      </c>
      <c r="J32" s="1429"/>
      <c r="K32" s="1562"/>
      <c r="L32" s="1562"/>
      <c r="M32" s="1113">
        <v>0</v>
      </c>
      <c r="N32" s="1113">
        <v>0</v>
      </c>
      <c r="O32" s="1113">
        <v>0</v>
      </c>
      <c r="P32" s="1113">
        <v>0</v>
      </c>
      <c r="Q32" s="1113">
        <v>40</v>
      </c>
      <c r="R32" s="1113">
        <v>0</v>
      </c>
      <c r="S32" s="1122"/>
      <c r="T32" s="1122"/>
      <c r="U32" s="1122"/>
      <c r="V32" s="1122"/>
      <c r="W32" s="1122"/>
      <c r="X32" s="1122"/>
      <c r="Y32" s="1007">
        <f t="shared" si="2"/>
        <v>50000000</v>
      </c>
      <c r="Z32" s="1007"/>
      <c r="AA32" s="1007"/>
      <c r="AB32" s="1007"/>
      <c r="AC32" s="1007"/>
      <c r="AD32" s="1007"/>
      <c r="AE32" s="1007"/>
      <c r="AF32" s="1007"/>
      <c r="AG32" s="1007"/>
      <c r="AH32" s="1007"/>
      <c r="AI32" s="1007"/>
      <c r="AJ32" s="1007"/>
      <c r="AK32" s="1007"/>
      <c r="AL32" s="1007"/>
      <c r="AM32" s="1007">
        <v>40000000</v>
      </c>
      <c r="AN32" s="1007">
        <v>10000000</v>
      </c>
      <c r="AO32" s="1007"/>
      <c r="AP32" s="1007"/>
      <c r="AQ32" s="1007"/>
      <c r="AR32" s="1007"/>
      <c r="AS32" s="1007"/>
      <c r="AU32" s="1010">
        <f t="shared" si="3"/>
        <v>0.95281987999999995</v>
      </c>
      <c r="AV32" s="1007">
        <f t="shared" si="4"/>
        <v>47640994</v>
      </c>
      <c r="AW32" s="1007"/>
      <c r="AX32" s="1007"/>
      <c r="AY32" s="1007"/>
      <c r="AZ32" s="1007"/>
      <c r="BA32" s="1007"/>
      <c r="BB32" s="1007"/>
      <c r="BC32" s="1007"/>
      <c r="BD32" s="1007"/>
      <c r="BE32" s="1007"/>
      <c r="BF32" s="1007"/>
      <c r="BG32" s="1007"/>
      <c r="BH32" s="1007"/>
      <c r="BI32" s="1007"/>
      <c r="BJ32" s="1007">
        <f>+'[13]JUNIO 2015'!$W$1673</f>
        <v>40000000</v>
      </c>
      <c r="BK32" s="1007">
        <f>+'[13]JUNIO 2015'!$X$1673</f>
        <v>7640994</v>
      </c>
      <c r="BL32" s="1007"/>
      <c r="BM32" s="1007"/>
      <c r="BN32" s="1007"/>
      <c r="BO32" s="1007"/>
      <c r="BP32" s="1007"/>
      <c r="BQ32" s="1010">
        <f t="shared" si="25"/>
        <v>4.7180120000000048E-2</v>
      </c>
      <c r="BR32" s="1007">
        <f t="shared" si="6"/>
        <v>2359006</v>
      </c>
      <c r="BS32" s="1007">
        <f t="shared" si="7"/>
        <v>0</v>
      </c>
      <c r="BT32" s="1007">
        <f t="shared" si="23"/>
        <v>0</v>
      </c>
      <c r="BU32" s="1007"/>
      <c r="BV32" s="1007">
        <f t="shared" si="9"/>
        <v>0</v>
      </c>
      <c r="BW32" s="1007"/>
      <c r="BX32" s="1007">
        <f t="shared" si="10"/>
        <v>0</v>
      </c>
      <c r="BY32" s="1007">
        <f t="shared" si="10"/>
        <v>0</v>
      </c>
      <c r="BZ32" s="1007"/>
      <c r="CA32" s="1007"/>
      <c r="CB32" s="1007"/>
      <c r="CC32" s="1007"/>
      <c r="CD32" s="1007">
        <f t="shared" si="24"/>
        <v>0</v>
      </c>
      <c r="CE32" s="1007">
        <f t="shared" si="24"/>
        <v>0</v>
      </c>
      <c r="CF32" s="1007">
        <f t="shared" si="24"/>
        <v>0</v>
      </c>
      <c r="CG32" s="1007">
        <f t="shared" si="24"/>
        <v>2359006</v>
      </c>
      <c r="CH32" s="1007">
        <f t="shared" si="24"/>
        <v>0</v>
      </c>
      <c r="CI32" s="1007">
        <f t="shared" si="24"/>
        <v>0</v>
      </c>
      <c r="CJ32" s="1007"/>
      <c r="CK32" s="1007"/>
      <c r="CL32" s="1007">
        <f t="shared" si="12"/>
        <v>0</v>
      </c>
      <c r="CM32" s="1010">
        <f t="shared" si="13"/>
        <v>0.21279999999999999</v>
      </c>
      <c r="CN32" s="1007">
        <f t="shared" si="14"/>
        <v>10640000</v>
      </c>
      <c r="CO32" s="1007"/>
      <c r="CP32" s="1007"/>
      <c r="CQ32" s="1007"/>
      <c r="CR32" s="1007"/>
      <c r="CS32" s="1007"/>
      <c r="CT32" s="1007"/>
      <c r="CU32" s="1007"/>
      <c r="CV32" s="1007"/>
      <c r="CW32" s="1007"/>
      <c r="CX32" s="1007"/>
      <c r="CY32" s="1007"/>
      <c r="CZ32" s="1007"/>
      <c r="DA32" s="1007"/>
      <c r="DB32" s="1007">
        <f>+'[10]JULIO 2015'!$W$1957</f>
        <v>3000000</v>
      </c>
      <c r="DC32" s="1007">
        <f>+'[10]JULIO 2015'!$H$1958-DB32</f>
        <v>7640000</v>
      </c>
      <c r="DD32" s="1007"/>
      <c r="DE32" s="1007"/>
      <c r="DF32" s="1007"/>
      <c r="DG32" s="1007"/>
      <c r="DH32" s="1007"/>
      <c r="DI32" s="1010">
        <f t="shared" si="15"/>
        <v>0.78720000000000001</v>
      </c>
      <c r="DJ32" s="1007">
        <f t="shared" si="16"/>
        <v>39360000</v>
      </c>
      <c r="DK32" s="1007">
        <f t="shared" si="17"/>
        <v>0</v>
      </c>
      <c r="DL32" s="1007">
        <f t="shared" si="17"/>
        <v>0</v>
      </c>
      <c r="DM32" s="1007"/>
      <c r="DN32" s="1007">
        <f t="shared" si="18"/>
        <v>0</v>
      </c>
      <c r="DO32" s="1007">
        <f t="shared" si="18"/>
        <v>0</v>
      </c>
      <c r="DP32" s="1007">
        <f t="shared" si="18"/>
        <v>0</v>
      </c>
      <c r="DQ32" s="1007">
        <f t="shared" si="18"/>
        <v>0</v>
      </c>
      <c r="DR32" s="1007"/>
      <c r="DS32" s="1007">
        <f t="shared" si="19"/>
        <v>0</v>
      </c>
      <c r="DT32" s="1007">
        <f t="shared" si="19"/>
        <v>0</v>
      </c>
      <c r="DU32" s="1007"/>
      <c r="DV32" s="1007">
        <f t="shared" si="20"/>
        <v>0</v>
      </c>
      <c r="DW32" s="1007">
        <f t="shared" si="20"/>
        <v>0</v>
      </c>
      <c r="DX32" s="1007">
        <f t="shared" si="20"/>
        <v>37000000</v>
      </c>
      <c r="DY32" s="1007">
        <f t="shared" si="21"/>
        <v>2360000</v>
      </c>
      <c r="DZ32" s="1007">
        <f t="shared" si="21"/>
        <v>0</v>
      </c>
      <c r="EA32" s="1007">
        <f t="shared" si="21"/>
        <v>0</v>
      </c>
      <c r="EB32" s="1007">
        <f t="shared" si="21"/>
        <v>0</v>
      </c>
      <c r="EC32" s="1007"/>
      <c r="ED32" s="1007">
        <f t="shared" si="22"/>
        <v>0</v>
      </c>
    </row>
    <row r="33" spans="1:134" ht="31.5" hidden="1" customHeight="1" x14ac:dyDescent="0.25">
      <c r="A33" s="1565"/>
      <c r="B33" s="1568"/>
      <c r="C33" s="1114" t="s">
        <v>4583</v>
      </c>
      <c r="D33" s="1018" t="s">
        <v>4580</v>
      </c>
      <c r="E33" s="1019">
        <v>510</v>
      </c>
      <c r="F33" s="1117" t="s">
        <v>4729</v>
      </c>
      <c r="G33" s="1430"/>
      <c r="H33" s="1060">
        <f t="shared" si="0"/>
        <v>949220</v>
      </c>
      <c r="I33" s="1060">
        <f t="shared" si="1"/>
        <v>12050780</v>
      </c>
      <c r="J33" s="1430"/>
      <c r="K33" s="1258"/>
      <c r="L33" s="1258"/>
      <c r="M33" s="1113">
        <v>0</v>
      </c>
      <c r="N33" s="1113">
        <v>0</v>
      </c>
      <c r="O33" s="1113">
        <v>0</v>
      </c>
      <c r="P33" s="1113">
        <v>7</v>
      </c>
      <c r="Q33" s="1113">
        <v>50</v>
      </c>
      <c r="R33" s="1113">
        <v>4</v>
      </c>
      <c r="S33" s="1123"/>
      <c r="T33" s="1123"/>
      <c r="U33" s="1123"/>
      <c r="V33" s="1123"/>
      <c r="W33" s="1123"/>
      <c r="X33" s="1123"/>
      <c r="Y33" s="1007">
        <f t="shared" si="2"/>
        <v>13000000</v>
      </c>
      <c r="Z33" s="1007"/>
      <c r="AA33" s="1007"/>
      <c r="AB33" s="1007"/>
      <c r="AC33" s="1007"/>
      <c r="AD33" s="1007"/>
      <c r="AE33" s="1007"/>
      <c r="AF33" s="1007"/>
      <c r="AG33" s="1007"/>
      <c r="AH33" s="1007"/>
      <c r="AI33" s="1007"/>
      <c r="AJ33" s="1007"/>
      <c r="AK33" s="1007"/>
      <c r="AL33" s="1007"/>
      <c r="AM33" s="1007">
        <v>8000000</v>
      </c>
      <c r="AN33" s="1007"/>
      <c r="AO33" s="1007"/>
      <c r="AP33" s="1007"/>
      <c r="AQ33" s="1007"/>
      <c r="AR33" s="1007"/>
      <c r="AS33" s="1007">
        <v>5000000</v>
      </c>
      <c r="AU33" s="1010">
        <f t="shared" si="3"/>
        <v>0.71816153846153841</v>
      </c>
      <c r="AV33" s="1007">
        <f t="shared" si="4"/>
        <v>9336100</v>
      </c>
      <c r="AW33" s="1007"/>
      <c r="AX33" s="1007"/>
      <c r="AY33" s="1007"/>
      <c r="AZ33" s="1007"/>
      <c r="BA33" s="1007"/>
      <c r="BB33" s="1007"/>
      <c r="BC33" s="1007"/>
      <c r="BD33" s="1007"/>
      <c r="BE33" s="1007"/>
      <c r="BF33" s="1007"/>
      <c r="BG33" s="1007"/>
      <c r="BH33" s="1007"/>
      <c r="BI33" s="1007"/>
      <c r="BJ33" s="1007">
        <f>+'[8]SEPTIEMBRE 2015'!$W$2704</f>
        <v>4336100</v>
      </c>
      <c r="BK33" s="1007"/>
      <c r="BL33" s="1007"/>
      <c r="BM33" s="1007"/>
      <c r="BN33" s="1007"/>
      <c r="BO33" s="1007"/>
      <c r="BP33" s="1007">
        <f>+'[10]JULIO 2015'!$AD$1962</f>
        <v>5000000</v>
      </c>
      <c r="BQ33" s="1010">
        <f t="shared" si="25"/>
        <v>0.28183846153846159</v>
      </c>
      <c r="BR33" s="1007">
        <f t="shared" si="6"/>
        <v>3663900</v>
      </c>
      <c r="BS33" s="1007">
        <f t="shared" si="7"/>
        <v>0</v>
      </c>
      <c r="BT33" s="1007">
        <f t="shared" si="23"/>
        <v>0</v>
      </c>
      <c r="BU33" s="1007"/>
      <c r="BV33" s="1007">
        <f t="shared" si="9"/>
        <v>0</v>
      </c>
      <c r="BW33" s="1007"/>
      <c r="BX33" s="1007">
        <f t="shared" si="10"/>
        <v>0</v>
      </c>
      <c r="BY33" s="1007">
        <f t="shared" si="10"/>
        <v>0</v>
      </c>
      <c r="BZ33" s="1007"/>
      <c r="CA33" s="1007"/>
      <c r="CB33" s="1007"/>
      <c r="CC33" s="1007"/>
      <c r="CD33" s="1007">
        <f t="shared" si="24"/>
        <v>0</v>
      </c>
      <c r="CE33" s="1007">
        <f t="shared" si="24"/>
        <v>0</v>
      </c>
      <c r="CF33" s="1007">
        <f t="shared" si="24"/>
        <v>3663900</v>
      </c>
      <c r="CG33" s="1007">
        <f t="shared" si="24"/>
        <v>0</v>
      </c>
      <c r="CH33" s="1007">
        <f t="shared" si="24"/>
        <v>0</v>
      </c>
      <c r="CI33" s="1007">
        <f t="shared" si="24"/>
        <v>0</v>
      </c>
      <c r="CJ33" s="1007"/>
      <c r="CK33" s="1007"/>
      <c r="CL33" s="1007">
        <f t="shared" si="12"/>
        <v>0</v>
      </c>
      <c r="CM33" s="1010">
        <f t="shared" si="13"/>
        <v>7.3016923076923076E-2</v>
      </c>
      <c r="CN33" s="1007">
        <f t="shared" si="14"/>
        <v>949220</v>
      </c>
      <c r="CO33" s="1007"/>
      <c r="CP33" s="1007"/>
      <c r="CQ33" s="1007"/>
      <c r="CR33" s="1007"/>
      <c r="CS33" s="1007"/>
      <c r="CT33" s="1007"/>
      <c r="CU33" s="1007"/>
      <c r="CV33" s="1007"/>
      <c r="CW33" s="1007"/>
      <c r="CX33" s="1007"/>
      <c r="CY33" s="1007"/>
      <c r="CZ33" s="1007"/>
      <c r="DA33" s="1007"/>
      <c r="DB33" s="1007">
        <f>+'[9]ABRIL 2015'!$H$1316</f>
        <v>949220</v>
      </c>
      <c r="DC33" s="1007"/>
      <c r="DD33" s="1007"/>
      <c r="DE33" s="1007"/>
      <c r="DF33" s="1007"/>
      <c r="DG33" s="1007"/>
      <c r="DH33" s="1007"/>
      <c r="DI33" s="1010">
        <f t="shared" si="15"/>
        <v>0.92698307692307691</v>
      </c>
      <c r="DJ33" s="1007">
        <f t="shared" si="16"/>
        <v>12050780</v>
      </c>
      <c r="DK33" s="1007">
        <f t="shared" si="17"/>
        <v>0</v>
      </c>
      <c r="DL33" s="1007">
        <f t="shared" si="17"/>
        <v>0</v>
      </c>
      <c r="DM33" s="1007"/>
      <c r="DN33" s="1007">
        <f>AC33-CR33</f>
        <v>0</v>
      </c>
      <c r="DO33" s="1007"/>
      <c r="DP33" s="1007">
        <f>AE33-CT33</f>
        <v>0</v>
      </c>
      <c r="DQ33" s="1007">
        <f>AF33-CU33</f>
        <v>0</v>
      </c>
      <c r="DR33" s="1007"/>
      <c r="DS33" s="1007">
        <f t="shared" si="19"/>
        <v>0</v>
      </c>
      <c r="DT33" s="1007">
        <f t="shared" si="19"/>
        <v>0</v>
      </c>
      <c r="DU33" s="1007"/>
      <c r="DV33" s="1007">
        <f t="shared" si="20"/>
        <v>0</v>
      </c>
      <c r="DW33" s="1007">
        <f t="shared" si="20"/>
        <v>0</v>
      </c>
      <c r="DX33" s="1007">
        <f t="shared" si="20"/>
        <v>7050780</v>
      </c>
      <c r="DY33" s="1007">
        <f t="shared" si="21"/>
        <v>0</v>
      </c>
      <c r="DZ33" s="1007">
        <f t="shared" si="21"/>
        <v>0</v>
      </c>
      <c r="EA33" s="1007">
        <f t="shared" si="21"/>
        <v>0</v>
      </c>
      <c r="EB33" s="1007">
        <f t="shared" si="21"/>
        <v>0</v>
      </c>
      <c r="EC33" s="1007"/>
      <c r="ED33" s="1007">
        <f t="shared" si="22"/>
        <v>5000000</v>
      </c>
    </row>
    <row r="34" spans="1:134" s="948" customFormat="1" ht="28.5" customHeight="1" thickBot="1" x14ac:dyDescent="0.3">
      <c r="A34" s="1057"/>
      <c r="B34" s="1628" t="s">
        <v>4980</v>
      </c>
      <c r="C34" s="1629"/>
      <c r="D34" s="1629"/>
      <c r="E34" s="1630"/>
      <c r="F34" s="1050"/>
      <c r="G34" s="1034">
        <f>SUM(G4:G33)</f>
        <v>1741000000</v>
      </c>
      <c r="H34" s="1034">
        <f>SUM(H4:H33)</f>
        <v>955358031</v>
      </c>
      <c r="I34" s="1034">
        <f>SUM(I4:I33)</f>
        <v>921750732</v>
      </c>
      <c r="J34" s="1054"/>
      <c r="K34" s="1078"/>
      <c r="L34" s="1078"/>
      <c r="M34" s="1073"/>
      <c r="N34" s="1073"/>
      <c r="O34" s="1073"/>
      <c r="P34" s="1078"/>
      <c r="Q34" s="1078"/>
      <c r="R34" s="1078"/>
      <c r="S34" s="1054"/>
      <c r="T34" s="1054"/>
      <c r="U34" s="1054"/>
      <c r="V34" s="1054"/>
      <c r="W34" s="1054"/>
      <c r="X34" s="1054"/>
      <c r="Y34" s="1034">
        <f t="shared" ref="Y34:AS34" si="26">SUM(Y4:Y33)</f>
        <v>1877108763</v>
      </c>
      <c r="Z34" s="1034">
        <f t="shared" si="26"/>
        <v>0</v>
      </c>
      <c r="AA34" s="1034">
        <f t="shared" si="26"/>
        <v>0</v>
      </c>
      <c r="AB34" s="1034">
        <f t="shared" si="26"/>
        <v>0</v>
      </c>
      <c r="AC34" s="1034">
        <f t="shared" si="26"/>
        <v>0</v>
      </c>
      <c r="AD34" s="1034">
        <f t="shared" si="26"/>
        <v>0</v>
      </c>
      <c r="AE34" s="1034">
        <f t="shared" si="26"/>
        <v>680000000</v>
      </c>
      <c r="AF34" s="1034">
        <f t="shared" si="26"/>
        <v>321985144</v>
      </c>
      <c r="AG34" s="1034">
        <f t="shared" si="26"/>
        <v>0</v>
      </c>
      <c r="AH34" s="1034">
        <f t="shared" si="26"/>
        <v>0</v>
      </c>
      <c r="AI34" s="1034">
        <f t="shared" si="26"/>
        <v>0</v>
      </c>
      <c r="AJ34" s="1034">
        <f t="shared" si="26"/>
        <v>0</v>
      </c>
      <c r="AK34" s="1034">
        <f t="shared" si="26"/>
        <v>0</v>
      </c>
      <c r="AL34" s="1034">
        <f t="shared" si="26"/>
        <v>0</v>
      </c>
      <c r="AM34" s="1034">
        <f t="shared" si="26"/>
        <v>270000000</v>
      </c>
      <c r="AN34" s="1034">
        <f t="shared" si="26"/>
        <v>186000000</v>
      </c>
      <c r="AO34" s="1034">
        <f t="shared" si="26"/>
        <v>220000000</v>
      </c>
      <c r="AP34" s="1034">
        <f t="shared" si="26"/>
        <v>0</v>
      </c>
      <c r="AQ34" s="1034">
        <f t="shared" si="26"/>
        <v>0</v>
      </c>
      <c r="AR34" s="1034">
        <f t="shared" si="26"/>
        <v>0</v>
      </c>
      <c r="AS34" s="1034">
        <f t="shared" si="26"/>
        <v>199123619</v>
      </c>
      <c r="AT34"/>
      <c r="AU34" s="1011">
        <f t="shared" si="3"/>
        <v>0.61055917088593337</v>
      </c>
      <c r="AV34" s="1034">
        <f>SUM(AV4:AV33)</f>
        <v>1146085970</v>
      </c>
      <c r="AW34" s="1034">
        <f>SUM(AW4:AW33)</f>
        <v>0</v>
      </c>
      <c r="AX34" s="1034">
        <f>SUM(AX4:AX33)</f>
        <v>0</v>
      </c>
      <c r="AY34" s="1034"/>
      <c r="AZ34" s="1034">
        <f t="shared" ref="AZ34:BP34" si="27">SUM(AZ4:AZ33)</f>
        <v>0</v>
      </c>
      <c r="BA34" s="1034">
        <f t="shared" si="27"/>
        <v>0</v>
      </c>
      <c r="BB34" s="1034">
        <f t="shared" si="27"/>
        <v>365420869</v>
      </c>
      <c r="BC34" s="1034">
        <f t="shared" si="27"/>
        <v>246740675</v>
      </c>
      <c r="BD34" s="1034">
        <f t="shared" si="27"/>
        <v>0</v>
      </c>
      <c r="BE34" s="1034">
        <f t="shared" si="27"/>
        <v>0</v>
      </c>
      <c r="BF34" s="1034">
        <f t="shared" si="27"/>
        <v>0</v>
      </c>
      <c r="BG34" s="1034">
        <f t="shared" si="27"/>
        <v>0</v>
      </c>
      <c r="BH34" s="1034">
        <f t="shared" si="27"/>
        <v>0</v>
      </c>
      <c r="BI34" s="1034">
        <f t="shared" si="27"/>
        <v>0</v>
      </c>
      <c r="BJ34" s="1034">
        <f t="shared" si="27"/>
        <v>133901272</v>
      </c>
      <c r="BK34" s="1034">
        <f t="shared" si="27"/>
        <v>9709906</v>
      </c>
      <c r="BL34" s="1034">
        <f t="shared" si="27"/>
        <v>220000000</v>
      </c>
      <c r="BM34" s="1034">
        <f t="shared" si="27"/>
        <v>0</v>
      </c>
      <c r="BN34" s="1034">
        <f t="shared" si="27"/>
        <v>0</v>
      </c>
      <c r="BO34" s="1034">
        <f t="shared" si="27"/>
        <v>0</v>
      </c>
      <c r="BP34" s="1034">
        <f t="shared" si="27"/>
        <v>170313248</v>
      </c>
      <c r="BQ34" s="1009">
        <f t="shared" si="25"/>
        <v>0.38944082911406663</v>
      </c>
      <c r="BR34" s="1034">
        <f t="shared" ref="BR34:CL34" si="28">SUM(BR4:BR33)</f>
        <v>731022793</v>
      </c>
      <c r="BS34" s="1034">
        <f t="shared" si="28"/>
        <v>0</v>
      </c>
      <c r="BT34" s="1034">
        <f t="shared" si="28"/>
        <v>0</v>
      </c>
      <c r="BU34" s="1034">
        <f t="shared" si="28"/>
        <v>0</v>
      </c>
      <c r="BV34" s="1034">
        <f t="shared" si="28"/>
        <v>0</v>
      </c>
      <c r="BW34" s="1034">
        <f t="shared" si="28"/>
        <v>0</v>
      </c>
      <c r="BX34" s="1034">
        <f t="shared" si="28"/>
        <v>314579131</v>
      </c>
      <c r="BY34" s="1034">
        <f t="shared" si="28"/>
        <v>75244469</v>
      </c>
      <c r="BZ34" s="1034">
        <f t="shared" si="28"/>
        <v>0</v>
      </c>
      <c r="CA34" s="1034">
        <f t="shared" si="28"/>
        <v>0</v>
      </c>
      <c r="CB34" s="1034">
        <f t="shared" si="28"/>
        <v>0</v>
      </c>
      <c r="CC34" s="1034">
        <f t="shared" si="28"/>
        <v>0</v>
      </c>
      <c r="CD34" s="1034">
        <f t="shared" si="28"/>
        <v>0</v>
      </c>
      <c r="CE34" s="1034">
        <f t="shared" si="28"/>
        <v>0</v>
      </c>
      <c r="CF34" s="1034">
        <f t="shared" si="28"/>
        <v>136098728</v>
      </c>
      <c r="CG34" s="1034">
        <f t="shared" si="28"/>
        <v>176290094</v>
      </c>
      <c r="CH34" s="1034">
        <f t="shared" si="28"/>
        <v>0</v>
      </c>
      <c r="CI34" s="1034">
        <f t="shared" si="28"/>
        <v>0</v>
      </c>
      <c r="CJ34" s="1034">
        <f t="shared" si="28"/>
        <v>0</v>
      </c>
      <c r="CK34" s="1034">
        <f t="shared" si="28"/>
        <v>0</v>
      </c>
      <c r="CL34" s="1034">
        <f t="shared" si="28"/>
        <v>28810371</v>
      </c>
      <c r="CM34" s="1009">
        <f>+CN34/Y34</f>
        <v>0.50895187845862722</v>
      </c>
      <c r="CN34" s="1034">
        <f>SUM(CN4:CN33)</f>
        <v>955358031</v>
      </c>
      <c r="CO34" s="1034">
        <f>SUM(CO4:CO33)</f>
        <v>0</v>
      </c>
      <c r="CP34" s="1034">
        <f>SUM(CP4:CP33)</f>
        <v>0</v>
      </c>
      <c r="CQ34" s="1034"/>
      <c r="CR34" s="1034">
        <f t="shared" ref="CR34:DH34" si="29">SUM(CR4:CR33)</f>
        <v>0</v>
      </c>
      <c r="CS34" s="1034">
        <f t="shared" si="29"/>
        <v>0</v>
      </c>
      <c r="CT34" s="1034">
        <f t="shared" si="29"/>
        <v>344798998</v>
      </c>
      <c r="CU34" s="1034">
        <f t="shared" si="29"/>
        <v>233991109</v>
      </c>
      <c r="CV34" s="1034">
        <f t="shared" si="29"/>
        <v>0</v>
      </c>
      <c r="CW34" s="1034">
        <f t="shared" si="29"/>
        <v>0</v>
      </c>
      <c r="CX34" s="1034">
        <f t="shared" si="29"/>
        <v>0</v>
      </c>
      <c r="CY34" s="1034">
        <f t="shared" si="29"/>
        <v>0</v>
      </c>
      <c r="CZ34" s="1034">
        <f t="shared" si="29"/>
        <v>0</v>
      </c>
      <c r="DA34" s="1034">
        <f t="shared" si="29"/>
        <v>0</v>
      </c>
      <c r="DB34" s="1034">
        <f t="shared" si="29"/>
        <v>81094725</v>
      </c>
      <c r="DC34" s="1034">
        <f t="shared" si="29"/>
        <v>9708912</v>
      </c>
      <c r="DD34" s="1034">
        <f t="shared" si="29"/>
        <v>174411916</v>
      </c>
      <c r="DE34" s="1034">
        <f t="shared" si="29"/>
        <v>0</v>
      </c>
      <c r="DF34" s="1034">
        <f t="shared" si="29"/>
        <v>0</v>
      </c>
      <c r="DG34" s="1034">
        <f t="shared" si="29"/>
        <v>0</v>
      </c>
      <c r="DH34" s="1034">
        <f t="shared" si="29"/>
        <v>111352371</v>
      </c>
      <c r="DI34" s="1009">
        <f t="shared" si="15"/>
        <v>0.49104812154137278</v>
      </c>
      <c r="DJ34" s="1034">
        <f>SUM(DJ4:DJ33)</f>
        <v>921750732</v>
      </c>
      <c r="DK34" s="1034">
        <f>SUM(DK4:DK33)</f>
        <v>0</v>
      </c>
      <c r="DL34" s="1034">
        <f>SUM(DL4:DL33)</f>
        <v>0</v>
      </c>
      <c r="DM34" s="1034"/>
      <c r="DN34" s="1034">
        <f t="shared" ref="DN34:ED34" si="30">SUM(DN4:DN33)</f>
        <v>0</v>
      </c>
      <c r="DO34" s="1034">
        <f t="shared" si="30"/>
        <v>0</v>
      </c>
      <c r="DP34" s="1034">
        <f t="shared" si="30"/>
        <v>335201002</v>
      </c>
      <c r="DQ34" s="1034">
        <f t="shared" si="30"/>
        <v>87994035</v>
      </c>
      <c r="DR34" s="1034">
        <f t="shared" si="30"/>
        <v>0</v>
      </c>
      <c r="DS34" s="1034">
        <f t="shared" si="30"/>
        <v>0</v>
      </c>
      <c r="DT34" s="1034">
        <f t="shared" si="30"/>
        <v>0</v>
      </c>
      <c r="DU34" s="1034">
        <f t="shared" si="30"/>
        <v>0</v>
      </c>
      <c r="DV34" s="1034">
        <f t="shared" si="30"/>
        <v>0</v>
      </c>
      <c r="DW34" s="1034">
        <f t="shared" si="30"/>
        <v>0</v>
      </c>
      <c r="DX34" s="1034">
        <f t="shared" si="30"/>
        <v>188905275</v>
      </c>
      <c r="DY34" s="1034">
        <f t="shared" si="30"/>
        <v>176291088</v>
      </c>
      <c r="DZ34" s="1034">
        <f t="shared" si="30"/>
        <v>45588084</v>
      </c>
      <c r="EA34" s="1034">
        <f t="shared" si="30"/>
        <v>0</v>
      </c>
      <c r="EB34" s="1034">
        <f t="shared" si="30"/>
        <v>0</v>
      </c>
      <c r="EC34" s="1034">
        <f t="shared" si="30"/>
        <v>0</v>
      </c>
      <c r="ED34" s="1042">
        <f t="shared" si="30"/>
        <v>87771248</v>
      </c>
    </row>
    <row r="35" spans="1:134" ht="59.25" hidden="1" customHeight="1" thickTop="1" x14ac:dyDescent="0.25">
      <c r="A35" s="1564" t="s">
        <v>4755</v>
      </c>
      <c r="B35" s="1026" t="s">
        <v>4306</v>
      </c>
      <c r="C35" s="1114" t="s">
        <v>4367</v>
      </c>
      <c r="D35" s="1018" t="s">
        <v>4601</v>
      </c>
      <c r="E35" s="1019">
        <v>410</v>
      </c>
      <c r="F35" s="1117" t="s">
        <v>3350</v>
      </c>
      <c r="G35" s="1576">
        <v>1000000000</v>
      </c>
      <c r="H35" s="1060">
        <f t="shared" ref="H35:H66" si="31">+CN35</f>
        <v>611824441</v>
      </c>
      <c r="I35" s="1060">
        <f t="shared" ref="I35:I66" si="32">Y35-H35</f>
        <v>11996440</v>
      </c>
      <c r="J35" s="1121" t="s">
        <v>4779</v>
      </c>
      <c r="K35" s="1115" t="s">
        <v>4780</v>
      </c>
      <c r="L35" s="1115" t="s">
        <v>4781</v>
      </c>
      <c r="M35" s="1113">
        <v>24</v>
      </c>
      <c r="N35" s="1113">
        <v>67</v>
      </c>
      <c r="O35" s="1113">
        <v>16</v>
      </c>
      <c r="P35" s="1115">
        <v>97</v>
      </c>
      <c r="Q35" s="1115">
        <v>200</v>
      </c>
      <c r="R35" s="1115">
        <v>195</v>
      </c>
      <c r="S35" s="1121"/>
      <c r="T35" s="1121"/>
      <c r="U35" s="1121"/>
      <c r="V35" s="1121"/>
      <c r="W35" s="1121"/>
      <c r="X35" s="1121"/>
      <c r="Y35" s="1007">
        <f t="shared" ref="Y35:Y66" si="33">SUM(Z35:AS35)</f>
        <v>623820881</v>
      </c>
      <c r="Z35" s="991"/>
      <c r="AA35" s="1016">
        <f>100000000+180000000-280000000</f>
        <v>0</v>
      </c>
      <c r="AB35" s="1016">
        <v>280000000</v>
      </c>
      <c r="AC35" s="1007">
        <f>300000000+220000000-216179119</f>
        <v>303820881</v>
      </c>
      <c r="AD35" s="991"/>
      <c r="AE35" s="1007">
        <f>20000000+20000000</f>
        <v>40000000</v>
      </c>
      <c r="AF35" s="1016">
        <f>400000000-180000000-220000000</f>
        <v>0</v>
      </c>
      <c r="AG35" s="991"/>
      <c r="AH35" s="991"/>
      <c r="AI35" s="991"/>
      <c r="AJ35" s="991"/>
      <c r="AK35" s="875"/>
      <c r="AL35" s="991"/>
      <c r="AM35" s="991"/>
      <c r="AN35" s="991"/>
      <c r="AO35" s="991"/>
      <c r="AP35" s="991"/>
      <c r="AQ35" s="991"/>
      <c r="AR35" s="991"/>
      <c r="AS35" s="991"/>
      <c r="AU35" s="1143">
        <f t="shared" si="3"/>
        <v>1</v>
      </c>
      <c r="AV35" s="1007">
        <f t="shared" ref="AV35:AV66" si="34">SUM(AW35:BP35)</f>
        <v>623820881</v>
      </c>
      <c r="AW35" s="1007"/>
      <c r="AX35" s="1007"/>
      <c r="AY35" s="1007">
        <v>280000000</v>
      </c>
      <c r="AZ35" s="1007">
        <f>+'[13]JUNIO 2015'!$M$866</f>
        <v>303820881</v>
      </c>
      <c r="BA35" s="1007"/>
      <c r="BB35" s="1007">
        <f>+'[13]JUNIO 2015'!$O$866</f>
        <v>40000000</v>
      </c>
      <c r="BC35" s="1007"/>
      <c r="BD35" s="1007"/>
      <c r="BE35" s="1007"/>
      <c r="BF35" s="1007"/>
      <c r="BG35" s="1007"/>
      <c r="BH35" s="1007"/>
      <c r="BI35" s="1007"/>
      <c r="BJ35" s="1007"/>
      <c r="BK35" s="1007"/>
      <c r="BL35" s="1007"/>
      <c r="BM35" s="1007"/>
      <c r="BN35" s="1007"/>
      <c r="BO35" s="1007"/>
      <c r="BP35" s="1007"/>
      <c r="BQ35" s="1010">
        <f t="shared" si="25"/>
        <v>0</v>
      </c>
      <c r="BR35" s="1007">
        <f t="shared" ref="BR35:BR66" si="35">SUM(BS35:CL35)</f>
        <v>0</v>
      </c>
      <c r="BS35" s="1007">
        <f t="shared" ref="BS35:BS58" si="36">+Z35-AW35</f>
        <v>0</v>
      </c>
      <c r="BT35" s="1007">
        <f t="shared" ref="BT35:BV50" si="37">AA35-AX35</f>
        <v>0</v>
      </c>
      <c r="BU35" s="1007">
        <f t="shared" si="37"/>
        <v>0</v>
      </c>
      <c r="BV35" s="1007">
        <f t="shared" si="37"/>
        <v>0</v>
      </c>
      <c r="BW35" s="1007"/>
      <c r="BX35" s="1007">
        <f t="shared" ref="BX35:BY58" si="38">+AE35-BB35</f>
        <v>0</v>
      </c>
      <c r="BY35" s="1007">
        <f t="shared" si="38"/>
        <v>0</v>
      </c>
      <c r="BZ35" s="1007"/>
      <c r="CA35" s="1007"/>
      <c r="CB35" s="1007">
        <f t="shared" ref="CB35:CB42" si="39">+AI35-BF35</f>
        <v>0</v>
      </c>
      <c r="CC35" s="1007"/>
      <c r="CD35" s="1007">
        <f t="shared" ref="CD35:CI54" si="40">+AK35-BH35</f>
        <v>0</v>
      </c>
      <c r="CE35" s="1007">
        <f t="shared" si="40"/>
        <v>0</v>
      </c>
      <c r="CF35" s="1007">
        <f t="shared" si="40"/>
        <v>0</v>
      </c>
      <c r="CG35" s="1007">
        <f t="shared" si="40"/>
        <v>0</v>
      </c>
      <c r="CH35" s="1007">
        <f t="shared" si="40"/>
        <v>0</v>
      </c>
      <c r="CI35" s="1007">
        <f t="shared" si="40"/>
        <v>0</v>
      </c>
      <c r="CJ35" s="1007"/>
      <c r="CK35" s="1007"/>
      <c r="CL35" s="1007">
        <f t="shared" ref="CL35:CL66" si="41">+AS35-BP35</f>
        <v>0</v>
      </c>
      <c r="CM35" s="1010">
        <f t="shared" si="13"/>
        <v>0.98076941576439469</v>
      </c>
      <c r="CN35" s="1007">
        <f t="shared" ref="CN35:CN66" si="42">SUM(CO35:DH35)</f>
        <v>611824441</v>
      </c>
      <c r="CO35" s="1007"/>
      <c r="CP35" s="1007"/>
      <c r="CQ35" s="1007">
        <f>+'[14]MAYO 2015'!$H$730+'[14]MAYO 2015'!$H$740</f>
        <v>280000000</v>
      </c>
      <c r="CR35" s="1007">
        <f>+'[13]JUNIO 2015'!$H$871+'[13]JUNIO 2015'!$H$882</f>
        <v>303820881</v>
      </c>
      <c r="CS35" s="1007"/>
      <c r="CT35" s="1007">
        <f>+'[10]JULIO 2015'!$H$1039</f>
        <v>28003560</v>
      </c>
      <c r="CU35" s="1007"/>
      <c r="CV35" s="1007"/>
      <c r="CW35" s="1007"/>
      <c r="CX35" s="1007"/>
      <c r="CY35" s="1007"/>
      <c r="CZ35" s="1007"/>
      <c r="DA35" s="1007"/>
      <c r="DB35" s="1007"/>
      <c r="DC35" s="1007"/>
      <c r="DD35" s="1007"/>
      <c r="DE35" s="1007"/>
      <c r="DF35" s="1007"/>
      <c r="DG35" s="1007"/>
      <c r="DH35" s="1007"/>
      <c r="DI35" s="1010">
        <f t="shared" si="15"/>
        <v>1.9230584235605308E-2</v>
      </c>
      <c r="DJ35" s="1007">
        <f t="shared" ref="DJ35:DJ66" si="43">SUM(DK35:ED35)</f>
        <v>11996440</v>
      </c>
      <c r="DK35" s="1007"/>
      <c r="DL35" s="1007">
        <f t="shared" ref="DL35:DN37" si="44">AA35-CP35</f>
        <v>0</v>
      </c>
      <c r="DM35" s="1007">
        <f t="shared" si="44"/>
        <v>0</v>
      </c>
      <c r="DN35" s="1007">
        <f t="shared" si="44"/>
        <v>0</v>
      </c>
      <c r="DO35" s="1007"/>
      <c r="DP35" s="1007">
        <f t="shared" ref="DP35:DQ58" si="45">AE35-CT35</f>
        <v>11996440</v>
      </c>
      <c r="DQ35" s="1007">
        <f t="shared" si="45"/>
        <v>0</v>
      </c>
      <c r="DR35" s="1007"/>
      <c r="DS35" s="1007">
        <f t="shared" ref="DS35:DT58" si="46">+AH35-CW35</f>
        <v>0</v>
      </c>
      <c r="DT35" s="1007">
        <f t="shared" si="46"/>
        <v>0</v>
      </c>
      <c r="DU35" s="1007"/>
      <c r="DV35" s="1007">
        <f t="shared" ref="DV35:DX58" si="47">AK35-CZ35</f>
        <v>0</v>
      </c>
      <c r="DW35" s="1007">
        <f t="shared" si="47"/>
        <v>0</v>
      </c>
      <c r="DX35" s="1007">
        <f t="shared" si="47"/>
        <v>0</v>
      </c>
      <c r="DY35" s="1007">
        <f t="shared" ref="DY35:EB58" si="48">+AN35-DC35</f>
        <v>0</v>
      </c>
      <c r="DZ35" s="1007">
        <f t="shared" si="48"/>
        <v>0</v>
      </c>
      <c r="EA35" s="1007">
        <f t="shared" si="48"/>
        <v>0</v>
      </c>
      <c r="EB35" s="1007">
        <f t="shared" si="48"/>
        <v>0</v>
      </c>
      <c r="EC35" s="1007"/>
      <c r="ED35" s="1007">
        <f t="shared" ref="ED35:ED66" si="49">+AS35-DH35</f>
        <v>0</v>
      </c>
    </row>
    <row r="36" spans="1:134" ht="48" hidden="1" customHeight="1" x14ac:dyDescent="0.25">
      <c r="A36" s="1565"/>
      <c r="B36" s="1018"/>
      <c r="C36" s="1114" t="s">
        <v>4368</v>
      </c>
      <c r="D36" s="1018" t="s">
        <v>4602</v>
      </c>
      <c r="E36" s="1019">
        <v>410</v>
      </c>
      <c r="F36" s="1117" t="s">
        <v>3350</v>
      </c>
      <c r="G36" s="1429"/>
      <c r="H36" s="1060">
        <f t="shared" si="31"/>
        <v>7649518</v>
      </c>
      <c r="I36" s="1060">
        <f t="shared" si="32"/>
        <v>0</v>
      </c>
      <c r="J36" s="1117" t="s">
        <v>4782</v>
      </c>
      <c r="K36" s="1113" t="s">
        <v>4783</v>
      </c>
      <c r="L36" s="1113" t="s">
        <v>4784</v>
      </c>
      <c r="M36" s="1113">
        <v>0</v>
      </c>
      <c r="N36" s="1113">
        <v>0</v>
      </c>
      <c r="O36" s="1113">
        <v>0</v>
      </c>
      <c r="P36" s="1113">
        <v>100</v>
      </c>
      <c r="Q36" s="1113">
        <v>33</v>
      </c>
      <c r="R36" s="1113">
        <v>33</v>
      </c>
      <c r="S36" s="1117"/>
      <c r="T36" s="1117"/>
      <c r="U36" s="1117"/>
      <c r="V36" s="1117"/>
      <c r="W36" s="1117"/>
      <c r="X36" s="1117"/>
      <c r="Y36" s="1007">
        <f t="shared" si="33"/>
        <v>7649518</v>
      </c>
      <c r="Z36" s="1007"/>
      <c r="AA36" s="1007">
        <f>100000000-92350482</f>
        <v>7649518</v>
      </c>
      <c r="AB36" s="1007"/>
      <c r="AC36" s="1007"/>
      <c r="AD36" s="1007"/>
      <c r="AE36" s="1007"/>
      <c r="AF36" s="1007"/>
      <c r="AG36" s="1007"/>
      <c r="AH36" s="1007"/>
      <c r="AI36" s="1007"/>
      <c r="AJ36" s="1007"/>
      <c r="AK36" s="1007"/>
      <c r="AL36" s="1007"/>
      <c r="AM36" s="1007"/>
      <c r="AN36" s="1007"/>
      <c r="AO36" s="1007"/>
      <c r="AP36" s="1007"/>
      <c r="AQ36" s="1007"/>
      <c r="AR36" s="1007"/>
      <c r="AS36" s="1007"/>
      <c r="AU36" s="1010">
        <f t="shared" si="3"/>
        <v>1</v>
      </c>
      <c r="AV36" s="1007">
        <f t="shared" si="34"/>
        <v>7649518</v>
      </c>
      <c r="AW36" s="1007"/>
      <c r="AX36" s="1007">
        <v>7649518</v>
      </c>
      <c r="AY36" s="1007"/>
      <c r="AZ36" s="1007"/>
      <c r="BA36" s="1007"/>
      <c r="BB36" s="1007"/>
      <c r="BC36" s="1007"/>
      <c r="BD36" s="1007"/>
      <c r="BE36" s="1007"/>
      <c r="BF36" s="1007"/>
      <c r="BG36" s="1007"/>
      <c r="BH36" s="1007"/>
      <c r="BI36" s="1007"/>
      <c r="BJ36" s="1007"/>
      <c r="BK36" s="1007"/>
      <c r="BL36" s="1007"/>
      <c r="BM36" s="1007"/>
      <c r="BN36" s="1007"/>
      <c r="BO36" s="1007"/>
      <c r="BP36" s="1007"/>
      <c r="BQ36" s="1010">
        <f t="shared" si="25"/>
        <v>0</v>
      </c>
      <c r="BR36" s="1007">
        <f t="shared" si="35"/>
        <v>0</v>
      </c>
      <c r="BS36" s="1007">
        <f t="shared" si="36"/>
        <v>0</v>
      </c>
      <c r="BT36" s="1007">
        <f t="shared" si="37"/>
        <v>0</v>
      </c>
      <c r="BU36" s="1007">
        <f t="shared" si="37"/>
        <v>0</v>
      </c>
      <c r="BV36" s="1007">
        <f t="shared" si="37"/>
        <v>0</v>
      </c>
      <c r="BW36" s="1007"/>
      <c r="BX36" s="1007">
        <f t="shared" si="38"/>
        <v>0</v>
      </c>
      <c r="BY36" s="1007">
        <f t="shared" si="38"/>
        <v>0</v>
      </c>
      <c r="BZ36" s="1007"/>
      <c r="CA36" s="1007"/>
      <c r="CB36" s="1007">
        <f t="shared" si="39"/>
        <v>0</v>
      </c>
      <c r="CC36" s="1007"/>
      <c r="CD36" s="1007">
        <f t="shared" si="40"/>
        <v>0</v>
      </c>
      <c r="CE36" s="1007">
        <f t="shared" si="40"/>
        <v>0</v>
      </c>
      <c r="CF36" s="1007">
        <f t="shared" si="40"/>
        <v>0</v>
      </c>
      <c r="CG36" s="1007">
        <f t="shared" si="40"/>
        <v>0</v>
      </c>
      <c r="CH36" s="1007">
        <f t="shared" si="40"/>
        <v>0</v>
      </c>
      <c r="CI36" s="1007">
        <f t="shared" si="40"/>
        <v>0</v>
      </c>
      <c r="CJ36" s="1007"/>
      <c r="CK36" s="1007"/>
      <c r="CL36" s="1007">
        <f t="shared" si="41"/>
        <v>0</v>
      </c>
      <c r="CM36" s="1010">
        <f t="shared" si="13"/>
        <v>1</v>
      </c>
      <c r="CN36" s="1007">
        <f t="shared" si="42"/>
        <v>7649518</v>
      </c>
      <c r="CO36" s="1007"/>
      <c r="CP36" s="1007">
        <f>+'[13]JUNIO 2015'!$K$891</f>
        <v>7649518</v>
      </c>
      <c r="CQ36" s="1007"/>
      <c r="CR36" s="1007"/>
      <c r="CS36" s="1007"/>
      <c r="CT36" s="1007"/>
      <c r="CU36" s="1007"/>
      <c r="CV36" s="1007"/>
      <c r="CW36" s="1007"/>
      <c r="CX36" s="1007"/>
      <c r="CY36" s="1007"/>
      <c r="CZ36" s="1007"/>
      <c r="DA36" s="1007"/>
      <c r="DB36" s="1007"/>
      <c r="DC36" s="1007"/>
      <c r="DD36" s="1007"/>
      <c r="DE36" s="1007"/>
      <c r="DF36" s="1007"/>
      <c r="DG36" s="1007"/>
      <c r="DH36" s="1007"/>
      <c r="DI36" s="1010">
        <f t="shared" si="15"/>
        <v>0</v>
      </c>
      <c r="DJ36" s="1007">
        <f t="shared" si="43"/>
        <v>0</v>
      </c>
      <c r="DK36" s="1007"/>
      <c r="DL36" s="1007">
        <f t="shared" si="44"/>
        <v>0</v>
      </c>
      <c r="DM36" s="1007">
        <f t="shared" si="44"/>
        <v>0</v>
      </c>
      <c r="DN36" s="1007">
        <f t="shared" si="44"/>
        <v>0</v>
      </c>
      <c r="DO36" s="1007"/>
      <c r="DP36" s="1007">
        <f t="shared" si="45"/>
        <v>0</v>
      </c>
      <c r="DQ36" s="1007">
        <f t="shared" si="45"/>
        <v>0</v>
      </c>
      <c r="DR36" s="1007"/>
      <c r="DS36" s="1007">
        <f t="shared" si="46"/>
        <v>0</v>
      </c>
      <c r="DT36" s="1007">
        <f t="shared" si="46"/>
        <v>0</v>
      </c>
      <c r="DU36" s="1007"/>
      <c r="DV36" s="1007">
        <f t="shared" si="47"/>
        <v>0</v>
      </c>
      <c r="DW36" s="1007">
        <f t="shared" si="47"/>
        <v>0</v>
      </c>
      <c r="DX36" s="1007">
        <f t="shared" si="47"/>
        <v>0</v>
      </c>
      <c r="DY36" s="1007">
        <f t="shared" si="48"/>
        <v>0</v>
      </c>
      <c r="DZ36" s="1007">
        <f t="shared" si="48"/>
        <v>0</v>
      </c>
      <c r="EA36" s="1007">
        <f t="shared" si="48"/>
        <v>0</v>
      </c>
      <c r="EB36" s="1007">
        <f t="shared" si="48"/>
        <v>0</v>
      </c>
      <c r="EC36" s="1007"/>
      <c r="ED36" s="1007">
        <f t="shared" si="49"/>
        <v>0</v>
      </c>
    </row>
    <row r="37" spans="1:134" ht="75" hidden="1" customHeight="1" x14ac:dyDescent="0.25">
      <c r="A37" s="1565"/>
      <c r="B37" s="1018"/>
      <c r="C37" s="1114" t="s">
        <v>4375</v>
      </c>
      <c r="D37" s="1018" t="s">
        <v>4318</v>
      </c>
      <c r="E37" s="1019">
        <v>410</v>
      </c>
      <c r="F37" s="1117" t="s">
        <v>3350</v>
      </c>
      <c r="G37" s="1430"/>
      <c r="H37" s="1060">
        <f t="shared" si="31"/>
        <v>141979331</v>
      </c>
      <c r="I37" s="1060">
        <f t="shared" si="32"/>
        <v>32388492</v>
      </c>
      <c r="J37" s="1117" t="s">
        <v>4785</v>
      </c>
      <c r="K37" s="1113" t="s">
        <v>4786</v>
      </c>
      <c r="L37" s="1113" t="s">
        <v>4787</v>
      </c>
      <c r="M37" s="1113">
        <v>56</v>
      </c>
      <c r="N37" s="1113">
        <v>100</v>
      </c>
      <c r="O37" s="1113">
        <v>56</v>
      </c>
      <c r="P37" s="1113">
        <v>49</v>
      </c>
      <c r="Q37" s="1113">
        <v>400</v>
      </c>
      <c r="R37" s="1113">
        <v>196</v>
      </c>
      <c r="S37" s="1117"/>
      <c r="T37" s="1117"/>
      <c r="U37" s="1117"/>
      <c r="V37" s="1117"/>
      <c r="W37" s="1117"/>
      <c r="X37" s="1117"/>
      <c r="Y37" s="1007">
        <f t="shared" si="33"/>
        <v>174367823</v>
      </c>
      <c r="Z37" s="1007"/>
      <c r="AA37" s="1007">
        <f>100000000-38824072</f>
        <v>61175928</v>
      </c>
      <c r="AB37" s="1007"/>
      <c r="AC37" s="1007"/>
      <c r="AD37" s="1007"/>
      <c r="AE37" s="1007">
        <v>50000000</v>
      </c>
      <c r="AF37" s="1007"/>
      <c r="AG37" s="1007"/>
      <c r="AH37" s="1007"/>
      <c r="AI37" s="1007"/>
      <c r="AJ37" s="1007"/>
      <c r="AK37" s="1007"/>
      <c r="AL37" s="1007"/>
      <c r="AM37" s="1007"/>
      <c r="AN37" s="1007"/>
      <c r="AO37" s="1007">
        <f>13191895+50000000</f>
        <v>63191895</v>
      </c>
      <c r="AP37" s="1007"/>
      <c r="AQ37" s="1007"/>
      <c r="AR37" s="1007"/>
      <c r="AS37" s="1007"/>
      <c r="AU37" s="1010">
        <f t="shared" si="3"/>
        <v>1</v>
      </c>
      <c r="AV37" s="1007">
        <f t="shared" si="34"/>
        <v>174367823</v>
      </c>
      <c r="AW37" s="1007"/>
      <c r="AX37" s="1007">
        <f>+'[13]JUNIO 2015'!$K$897</f>
        <v>61175928</v>
      </c>
      <c r="AY37" s="1007"/>
      <c r="AZ37" s="1007"/>
      <c r="BA37" s="1007"/>
      <c r="BB37" s="1007">
        <f>+'[13]JUNIO 2015'!$O$897</f>
        <v>50000000</v>
      </c>
      <c r="BC37" s="1007"/>
      <c r="BD37" s="1007"/>
      <c r="BE37" s="1007"/>
      <c r="BF37" s="1007"/>
      <c r="BG37" s="1007"/>
      <c r="BH37" s="1007"/>
      <c r="BI37" s="1007"/>
      <c r="BJ37" s="1007"/>
      <c r="BK37" s="1007"/>
      <c r="BL37" s="1007">
        <f>+'[8]SEPTIEMBRE 2015'!$Y$1352</f>
        <v>63191895</v>
      </c>
      <c r="BM37" s="1007"/>
      <c r="BN37" s="1007"/>
      <c r="BO37" s="1007"/>
      <c r="BP37" s="1007"/>
      <c r="BQ37" s="1010">
        <f t="shared" si="25"/>
        <v>0</v>
      </c>
      <c r="BR37" s="1007">
        <f t="shared" si="35"/>
        <v>0</v>
      </c>
      <c r="BS37" s="1007">
        <f t="shared" si="36"/>
        <v>0</v>
      </c>
      <c r="BT37" s="1007">
        <f t="shared" si="37"/>
        <v>0</v>
      </c>
      <c r="BU37" s="1007">
        <f t="shared" si="37"/>
        <v>0</v>
      </c>
      <c r="BV37" s="1007">
        <f t="shared" si="37"/>
        <v>0</v>
      </c>
      <c r="BW37" s="1007"/>
      <c r="BX37" s="1007">
        <f t="shared" si="38"/>
        <v>0</v>
      </c>
      <c r="BY37" s="1007">
        <f t="shared" si="38"/>
        <v>0</v>
      </c>
      <c r="BZ37" s="1007"/>
      <c r="CA37" s="1007"/>
      <c r="CB37" s="1007">
        <f t="shared" si="39"/>
        <v>0</v>
      </c>
      <c r="CC37" s="1007"/>
      <c r="CD37" s="1007">
        <f t="shared" si="40"/>
        <v>0</v>
      </c>
      <c r="CE37" s="1007">
        <f t="shared" si="40"/>
        <v>0</v>
      </c>
      <c r="CF37" s="1007">
        <f t="shared" si="40"/>
        <v>0</v>
      </c>
      <c r="CG37" s="1007">
        <f t="shared" si="40"/>
        <v>0</v>
      </c>
      <c r="CH37" s="1007">
        <f t="shared" si="40"/>
        <v>0</v>
      </c>
      <c r="CI37" s="1007">
        <f t="shared" si="40"/>
        <v>0</v>
      </c>
      <c r="CJ37" s="1007"/>
      <c r="CK37" s="1007"/>
      <c r="CL37" s="1007">
        <f t="shared" si="41"/>
        <v>0</v>
      </c>
      <c r="CM37" s="1010">
        <f t="shared" si="13"/>
        <v>0.81425189898711992</v>
      </c>
      <c r="CN37" s="1007">
        <f t="shared" si="42"/>
        <v>141979331</v>
      </c>
      <c r="CO37" s="1007"/>
      <c r="CP37" s="1007">
        <f>+'[13]JUNIO 2015'!$H$898</f>
        <v>61175928</v>
      </c>
      <c r="CQ37" s="1007"/>
      <c r="CR37" s="1007"/>
      <c r="CS37" s="1007"/>
      <c r="CT37" s="1007">
        <f>+'[8]SEPTIEMBRE 2015'!$H$1368</f>
        <v>50000000</v>
      </c>
      <c r="CU37" s="1007"/>
      <c r="CV37" s="1007"/>
      <c r="CW37" s="1007"/>
      <c r="CX37" s="1007"/>
      <c r="CY37" s="1007"/>
      <c r="CZ37" s="1007"/>
      <c r="DA37" s="1007"/>
      <c r="DB37" s="1007"/>
      <c r="DC37" s="1007"/>
      <c r="DD37" s="1007">
        <f>+'[8]SEPTIEMBRE 2015'!$H$1381+'[8]SEPTIEMBRE 2015'!$H$1384</f>
        <v>30803403</v>
      </c>
      <c r="DE37" s="1007"/>
      <c r="DF37" s="1007"/>
      <c r="DG37" s="1007"/>
      <c r="DH37" s="1007"/>
      <c r="DI37" s="1010">
        <f t="shared" si="15"/>
        <v>0.18574810101288008</v>
      </c>
      <c r="DJ37" s="1007">
        <f t="shared" si="43"/>
        <v>32388492</v>
      </c>
      <c r="DK37" s="1007"/>
      <c r="DL37" s="1007">
        <f t="shared" si="44"/>
        <v>0</v>
      </c>
      <c r="DM37" s="1007">
        <f t="shared" si="44"/>
        <v>0</v>
      </c>
      <c r="DN37" s="1007">
        <f t="shared" si="44"/>
        <v>0</v>
      </c>
      <c r="DO37" s="1007"/>
      <c r="DP37" s="1007">
        <f t="shared" si="45"/>
        <v>0</v>
      </c>
      <c r="DQ37" s="1007">
        <f t="shared" si="45"/>
        <v>0</v>
      </c>
      <c r="DR37" s="1007"/>
      <c r="DS37" s="1007">
        <f t="shared" si="46"/>
        <v>0</v>
      </c>
      <c r="DT37" s="1007">
        <f t="shared" si="46"/>
        <v>0</v>
      </c>
      <c r="DU37" s="1007"/>
      <c r="DV37" s="1007">
        <f t="shared" si="47"/>
        <v>0</v>
      </c>
      <c r="DW37" s="1007">
        <f t="shared" si="47"/>
        <v>0</v>
      </c>
      <c r="DX37" s="1007">
        <f t="shared" si="47"/>
        <v>0</v>
      </c>
      <c r="DY37" s="1007">
        <f t="shared" si="48"/>
        <v>0</v>
      </c>
      <c r="DZ37" s="1007">
        <f t="shared" si="48"/>
        <v>32388492</v>
      </c>
      <c r="EA37" s="1007">
        <f t="shared" si="48"/>
        <v>0</v>
      </c>
      <c r="EB37" s="1007">
        <f t="shared" si="48"/>
        <v>0</v>
      </c>
      <c r="EC37" s="1007"/>
      <c r="ED37" s="1007">
        <f t="shared" si="49"/>
        <v>0</v>
      </c>
    </row>
    <row r="38" spans="1:134" ht="36.75" hidden="1" customHeight="1" x14ac:dyDescent="0.25">
      <c r="A38" s="1565"/>
      <c r="B38" s="1018" t="s">
        <v>4308</v>
      </c>
      <c r="C38" s="1114" t="s">
        <v>4369</v>
      </c>
      <c r="D38" s="1018" t="s">
        <v>4724</v>
      </c>
      <c r="E38" s="1019">
        <v>410</v>
      </c>
      <c r="F38" s="1117" t="s">
        <v>3350</v>
      </c>
      <c r="G38" s="1428">
        <v>170000000</v>
      </c>
      <c r="H38" s="1060">
        <f t="shared" si="31"/>
        <v>0</v>
      </c>
      <c r="I38" s="1060">
        <f t="shared" si="32"/>
        <v>10000000</v>
      </c>
      <c r="J38" s="1117" t="s">
        <v>4788</v>
      </c>
      <c r="K38" s="1113" t="s">
        <v>4789</v>
      </c>
      <c r="L38" s="1113" t="s">
        <v>4790</v>
      </c>
      <c r="M38" s="1113">
        <v>0</v>
      </c>
      <c r="N38" s="1113">
        <v>0</v>
      </c>
      <c r="O38" s="1113">
        <v>0</v>
      </c>
      <c r="P38" s="1113">
        <v>0</v>
      </c>
      <c r="Q38" s="1113">
        <v>0</v>
      </c>
      <c r="R38" s="1113">
        <v>0</v>
      </c>
      <c r="S38" s="1117"/>
      <c r="T38" s="1117"/>
      <c r="U38" s="1117"/>
      <c r="V38" s="1117"/>
      <c r="W38" s="1117"/>
      <c r="X38" s="1117"/>
      <c r="Y38" s="1007">
        <f t="shared" si="33"/>
        <v>10000000</v>
      </c>
      <c r="Z38" s="1007"/>
      <c r="AA38" s="1007"/>
      <c r="AB38" s="1007"/>
      <c r="AC38" s="1007"/>
      <c r="AD38" s="1007"/>
      <c r="AE38" s="1007">
        <v>10000000</v>
      </c>
      <c r="AF38" s="1007"/>
      <c r="AG38" s="1007"/>
      <c r="AH38" s="1007"/>
      <c r="AI38" s="1007"/>
      <c r="AJ38" s="1007"/>
      <c r="AK38" s="1007"/>
      <c r="AL38" s="1007"/>
      <c r="AM38" s="1007"/>
      <c r="AN38" s="1007"/>
      <c r="AO38" s="1007"/>
      <c r="AP38" s="1007"/>
      <c r="AQ38" s="1007"/>
      <c r="AR38" s="1007"/>
      <c r="AS38" s="1007"/>
      <c r="AU38" s="1010">
        <f t="shared" si="3"/>
        <v>1</v>
      </c>
      <c r="AV38" s="1007">
        <f t="shared" si="34"/>
        <v>10000000</v>
      </c>
      <c r="AW38" s="1007"/>
      <c r="AX38" s="1007"/>
      <c r="AY38" s="1007"/>
      <c r="AZ38" s="1007"/>
      <c r="BA38" s="1007"/>
      <c r="BB38" s="1007">
        <f>+'[15]FEBRERO 2015'!$N$490</f>
        <v>10000000</v>
      </c>
      <c r="BC38" s="1007"/>
      <c r="BD38" s="1007"/>
      <c r="BE38" s="1007"/>
      <c r="BF38" s="1007"/>
      <c r="BG38" s="1007"/>
      <c r="BH38" s="1007"/>
      <c r="BI38" s="1007"/>
      <c r="BJ38" s="1007"/>
      <c r="BK38" s="1007"/>
      <c r="BL38" s="1007"/>
      <c r="BM38" s="1007"/>
      <c r="BN38" s="1007"/>
      <c r="BO38" s="1007"/>
      <c r="BP38" s="1007"/>
      <c r="BQ38" s="1010">
        <f t="shared" si="25"/>
        <v>0</v>
      </c>
      <c r="BR38" s="1007">
        <f t="shared" si="35"/>
        <v>0</v>
      </c>
      <c r="BS38" s="1007">
        <f t="shared" si="36"/>
        <v>0</v>
      </c>
      <c r="BT38" s="1007"/>
      <c r="BU38" s="1007">
        <f t="shared" si="37"/>
        <v>0</v>
      </c>
      <c r="BV38" s="1007">
        <f t="shared" si="37"/>
        <v>0</v>
      </c>
      <c r="BW38" s="1007"/>
      <c r="BX38" s="1007">
        <f t="shared" si="38"/>
        <v>0</v>
      </c>
      <c r="BY38" s="1007">
        <f t="shared" si="38"/>
        <v>0</v>
      </c>
      <c r="BZ38" s="1007"/>
      <c r="CA38" s="1007">
        <f>+AH38-BE38</f>
        <v>0</v>
      </c>
      <c r="CB38" s="1007">
        <f t="shared" si="39"/>
        <v>0</v>
      </c>
      <c r="CC38" s="1007">
        <f>+AJ38-BG38</f>
        <v>0</v>
      </c>
      <c r="CD38" s="1007">
        <f t="shared" si="40"/>
        <v>0</v>
      </c>
      <c r="CE38" s="1007">
        <f t="shared" si="40"/>
        <v>0</v>
      </c>
      <c r="CF38" s="1007">
        <f t="shared" si="40"/>
        <v>0</v>
      </c>
      <c r="CG38" s="1007">
        <f t="shared" si="40"/>
        <v>0</v>
      </c>
      <c r="CH38" s="1007">
        <f t="shared" si="40"/>
        <v>0</v>
      </c>
      <c r="CI38" s="1007">
        <f t="shared" si="40"/>
        <v>0</v>
      </c>
      <c r="CJ38" s="1007"/>
      <c r="CK38" s="1007"/>
      <c r="CL38" s="1007">
        <f t="shared" si="41"/>
        <v>0</v>
      </c>
      <c r="CM38" s="1010">
        <f t="shared" si="13"/>
        <v>0</v>
      </c>
      <c r="CN38" s="1007">
        <f t="shared" si="42"/>
        <v>0</v>
      </c>
      <c r="CO38" s="1007"/>
      <c r="CP38" s="1007"/>
      <c r="CQ38" s="1007"/>
      <c r="CR38" s="1007"/>
      <c r="CS38" s="1007"/>
      <c r="CT38" s="1007"/>
      <c r="CU38" s="1007"/>
      <c r="CV38" s="1007"/>
      <c r="CW38" s="1007"/>
      <c r="CX38" s="1007"/>
      <c r="CY38" s="1007"/>
      <c r="CZ38" s="1007"/>
      <c r="DA38" s="1007"/>
      <c r="DB38" s="1007"/>
      <c r="DC38" s="1007"/>
      <c r="DD38" s="1007"/>
      <c r="DE38" s="1007"/>
      <c r="DF38" s="1007"/>
      <c r="DG38" s="1007"/>
      <c r="DH38" s="1007"/>
      <c r="DI38" s="1010">
        <f t="shared" si="15"/>
        <v>1</v>
      </c>
      <c r="DJ38" s="1007">
        <f t="shared" si="43"/>
        <v>10000000</v>
      </c>
      <c r="DK38" s="1007"/>
      <c r="DL38" s="1007"/>
      <c r="DM38" s="1007"/>
      <c r="DN38" s="1007"/>
      <c r="DO38" s="1007"/>
      <c r="DP38" s="1007">
        <f t="shared" si="45"/>
        <v>10000000</v>
      </c>
      <c r="DQ38" s="1007">
        <f t="shared" si="45"/>
        <v>0</v>
      </c>
      <c r="DR38" s="1007"/>
      <c r="DS38" s="1007">
        <f t="shared" si="46"/>
        <v>0</v>
      </c>
      <c r="DT38" s="1007">
        <f t="shared" si="46"/>
        <v>0</v>
      </c>
      <c r="DU38" s="1007"/>
      <c r="DV38" s="1007">
        <f t="shared" si="47"/>
        <v>0</v>
      </c>
      <c r="DW38" s="1007">
        <f t="shared" si="47"/>
        <v>0</v>
      </c>
      <c r="DX38" s="1007">
        <f t="shared" si="47"/>
        <v>0</v>
      </c>
      <c r="DY38" s="1007">
        <f t="shared" si="48"/>
        <v>0</v>
      </c>
      <c r="DZ38" s="1007">
        <f t="shared" si="48"/>
        <v>0</v>
      </c>
      <c r="EA38" s="1007">
        <f t="shared" si="48"/>
        <v>0</v>
      </c>
      <c r="EB38" s="1007">
        <f t="shared" si="48"/>
        <v>0</v>
      </c>
      <c r="EC38" s="1007"/>
      <c r="ED38" s="1007">
        <f t="shared" si="49"/>
        <v>0</v>
      </c>
    </row>
    <row r="39" spans="1:134" ht="37.5" hidden="1" customHeight="1" x14ac:dyDescent="0.25">
      <c r="A39" s="1565"/>
      <c r="B39" s="1018"/>
      <c r="C39" s="1114" t="s">
        <v>4370</v>
      </c>
      <c r="D39" s="1018" t="s">
        <v>4603</v>
      </c>
      <c r="E39" s="1019">
        <v>410</v>
      </c>
      <c r="F39" s="1117" t="s">
        <v>3350</v>
      </c>
      <c r="G39" s="1429"/>
      <c r="H39" s="1060">
        <f t="shared" si="31"/>
        <v>92697557</v>
      </c>
      <c r="I39" s="1060">
        <f t="shared" si="32"/>
        <v>88146528</v>
      </c>
      <c r="J39" s="1117" t="s">
        <v>4776</v>
      </c>
      <c r="K39" s="1113" t="s">
        <v>4791</v>
      </c>
      <c r="L39" s="1113" t="s">
        <v>4792</v>
      </c>
      <c r="M39" s="1113">
        <v>10</v>
      </c>
      <c r="N39" s="1113">
        <v>0</v>
      </c>
      <c r="O39" s="1113">
        <v>0</v>
      </c>
      <c r="P39" s="1113">
        <v>26</v>
      </c>
      <c r="Q39" s="1113">
        <v>200</v>
      </c>
      <c r="R39" s="1113">
        <v>26</v>
      </c>
      <c r="S39" s="1117"/>
      <c r="T39" s="1117"/>
      <c r="U39" s="1117"/>
      <c r="V39" s="1117"/>
      <c r="W39" s="1117"/>
      <c r="X39" s="1117"/>
      <c r="Y39" s="1007">
        <f t="shared" si="33"/>
        <v>180844085</v>
      </c>
      <c r="Z39" s="1007"/>
      <c r="AA39" s="1007"/>
      <c r="AB39" s="1007"/>
      <c r="AC39" s="1007"/>
      <c r="AD39" s="1007"/>
      <c r="AE39" s="1007">
        <v>20000000</v>
      </c>
      <c r="AF39" s="1007"/>
      <c r="AG39" s="1007"/>
      <c r="AH39" s="1007"/>
      <c r="AI39" s="1007"/>
      <c r="AJ39" s="1007"/>
      <c r="AK39" s="1007"/>
      <c r="AL39" s="1007"/>
      <c r="AM39" s="1007"/>
      <c r="AN39" s="1007">
        <f>100000000-20000000</f>
        <v>80000000</v>
      </c>
      <c r="AO39" s="1007"/>
      <c r="AP39" s="1007"/>
      <c r="AQ39" s="1007">
        <v>80844085</v>
      </c>
      <c r="AR39" s="1007"/>
      <c r="AS39" s="1007"/>
      <c r="AU39" s="1010">
        <f t="shared" si="3"/>
        <v>0.91178572967979576</v>
      </c>
      <c r="AV39" s="1007">
        <f t="shared" si="34"/>
        <v>164891056</v>
      </c>
      <c r="AW39" s="1007"/>
      <c r="AX39" s="1007"/>
      <c r="AY39" s="1007"/>
      <c r="AZ39" s="1007"/>
      <c r="BA39" s="1007"/>
      <c r="BB39" s="1007">
        <f>+'[15]FEBRERO 2015'!$N$495</f>
        <v>20000000</v>
      </c>
      <c r="BC39" s="1007"/>
      <c r="BD39" s="1007"/>
      <c r="BE39" s="1007"/>
      <c r="BF39" s="1007"/>
      <c r="BG39" s="1007"/>
      <c r="BH39" s="1007"/>
      <c r="BI39" s="1007"/>
      <c r="BJ39" s="1007"/>
      <c r="BK39" s="1007">
        <f>+'[10]JULIO 2015'!$X$1091</f>
        <v>64046971</v>
      </c>
      <c r="BL39" s="1007"/>
      <c r="BM39" s="1007"/>
      <c r="BN39" s="1007">
        <f>+'[11]MARZO 2015'!$Z$635</f>
        <v>80844085</v>
      </c>
      <c r="BO39" s="1007"/>
      <c r="BP39" s="1007"/>
      <c r="BQ39" s="1010">
        <f t="shared" si="25"/>
        <v>8.8214270320204236E-2</v>
      </c>
      <c r="BR39" s="1007">
        <f t="shared" si="35"/>
        <v>15953029</v>
      </c>
      <c r="BS39" s="1007">
        <f t="shared" si="36"/>
        <v>0</v>
      </c>
      <c r="BT39" s="1007"/>
      <c r="BU39" s="1007">
        <f t="shared" si="37"/>
        <v>0</v>
      </c>
      <c r="BV39" s="1007">
        <f t="shared" si="37"/>
        <v>0</v>
      </c>
      <c r="BW39" s="1007"/>
      <c r="BX39" s="1007">
        <f t="shared" si="38"/>
        <v>0</v>
      </c>
      <c r="BY39" s="1007">
        <f t="shared" si="38"/>
        <v>0</v>
      </c>
      <c r="BZ39" s="1007"/>
      <c r="CA39" s="1007">
        <f>+AH39-BE39</f>
        <v>0</v>
      </c>
      <c r="CB39" s="1007">
        <f t="shared" si="39"/>
        <v>0</v>
      </c>
      <c r="CC39" s="1007">
        <f>+AJ39-BG39</f>
        <v>0</v>
      </c>
      <c r="CD39" s="1007">
        <f t="shared" si="40"/>
        <v>0</v>
      </c>
      <c r="CE39" s="1007">
        <f t="shared" si="40"/>
        <v>0</v>
      </c>
      <c r="CF39" s="1007">
        <f t="shared" si="40"/>
        <v>0</v>
      </c>
      <c r="CG39" s="1007">
        <f t="shared" si="40"/>
        <v>15953029</v>
      </c>
      <c r="CH39" s="1007">
        <f t="shared" si="40"/>
        <v>0</v>
      </c>
      <c r="CI39" s="1007">
        <f t="shared" si="40"/>
        <v>0</v>
      </c>
      <c r="CJ39" s="1007"/>
      <c r="CK39" s="1007"/>
      <c r="CL39" s="1007">
        <f t="shared" si="41"/>
        <v>0</v>
      </c>
      <c r="CM39" s="1010">
        <f t="shared" si="13"/>
        <v>0.51258274220027711</v>
      </c>
      <c r="CN39" s="1007">
        <f t="shared" si="42"/>
        <v>92697557</v>
      </c>
      <c r="CO39" s="1007"/>
      <c r="CP39" s="1007"/>
      <c r="CQ39" s="1007"/>
      <c r="CR39" s="1007"/>
      <c r="CS39" s="1007"/>
      <c r="CT39" s="1007">
        <f>+'[13]JUNIO 2015'!$H$924</f>
        <v>20000000</v>
      </c>
      <c r="CU39" s="1007"/>
      <c r="CV39" s="1007"/>
      <c r="CW39" s="1007"/>
      <c r="CX39" s="1007"/>
      <c r="CY39" s="1007"/>
      <c r="CZ39" s="1007"/>
      <c r="DA39" s="1007"/>
      <c r="DB39" s="1007"/>
      <c r="DC39" s="1007">
        <f>+'[8]SEPTIEMBRE 2015'!$H$1403+'[8]SEPTIEMBRE 2015'!$H$1412</f>
        <v>42468996</v>
      </c>
      <c r="DD39" s="1007"/>
      <c r="DE39" s="1007"/>
      <c r="DF39" s="1007">
        <f>+'[8]SEPTIEMBRE 2015'!$H$1417</f>
        <v>30228561</v>
      </c>
      <c r="DG39" s="1007"/>
      <c r="DH39" s="1007"/>
      <c r="DI39" s="1010">
        <f t="shared" si="15"/>
        <v>0.48741725779972289</v>
      </c>
      <c r="DJ39" s="1007">
        <f t="shared" si="43"/>
        <v>88146528</v>
      </c>
      <c r="DK39" s="1007"/>
      <c r="DL39" s="1007"/>
      <c r="DM39" s="1007"/>
      <c r="DN39" s="1007"/>
      <c r="DO39" s="1007"/>
      <c r="DP39" s="1007">
        <f t="shared" si="45"/>
        <v>0</v>
      </c>
      <c r="DQ39" s="1007">
        <f t="shared" si="45"/>
        <v>0</v>
      </c>
      <c r="DR39" s="1007"/>
      <c r="DS39" s="1007">
        <f t="shared" si="46"/>
        <v>0</v>
      </c>
      <c r="DT39" s="1007">
        <f t="shared" si="46"/>
        <v>0</v>
      </c>
      <c r="DU39" s="1007"/>
      <c r="DV39" s="1007">
        <f t="shared" si="47"/>
        <v>0</v>
      </c>
      <c r="DW39" s="1007">
        <f t="shared" si="47"/>
        <v>0</v>
      </c>
      <c r="DX39" s="1007">
        <f t="shared" si="47"/>
        <v>0</v>
      </c>
      <c r="DY39" s="1007">
        <f t="shared" si="48"/>
        <v>37531004</v>
      </c>
      <c r="DZ39" s="1007">
        <f t="shared" si="48"/>
        <v>0</v>
      </c>
      <c r="EA39" s="1007">
        <f t="shared" si="48"/>
        <v>0</v>
      </c>
      <c r="EB39" s="1007">
        <f t="shared" si="48"/>
        <v>50615524</v>
      </c>
      <c r="EC39" s="1007"/>
      <c r="ED39" s="1007">
        <f t="shared" si="49"/>
        <v>0</v>
      </c>
    </row>
    <row r="40" spans="1:134" ht="42" hidden="1" customHeight="1" x14ac:dyDescent="0.25">
      <c r="A40" s="1565"/>
      <c r="B40" s="1018"/>
      <c r="C40" s="1114" t="s">
        <v>4371</v>
      </c>
      <c r="D40" s="1018" t="s">
        <v>4604</v>
      </c>
      <c r="E40" s="1019">
        <v>410</v>
      </c>
      <c r="F40" s="1117" t="s">
        <v>3350</v>
      </c>
      <c r="G40" s="1429"/>
      <c r="H40" s="1060">
        <f t="shared" si="31"/>
        <v>1064000</v>
      </c>
      <c r="I40" s="1060">
        <f t="shared" si="32"/>
        <v>8936000</v>
      </c>
      <c r="J40" s="1117" t="s">
        <v>4793</v>
      </c>
      <c r="K40" s="1113" t="s">
        <v>4794</v>
      </c>
      <c r="L40" s="1113" t="s">
        <v>4795</v>
      </c>
      <c r="M40" s="1113">
        <v>0</v>
      </c>
      <c r="N40" s="1113">
        <v>0</v>
      </c>
      <c r="O40" s="1113">
        <v>0</v>
      </c>
      <c r="P40" s="1113">
        <v>6</v>
      </c>
      <c r="Q40" s="1113">
        <v>0</v>
      </c>
      <c r="R40" s="1113">
        <v>0</v>
      </c>
      <c r="S40" s="1117"/>
      <c r="T40" s="1117"/>
      <c r="U40" s="1117"/>
      <c r="V40" s="1117"/>
      <c r="W40" s="1117"/>
      <c r="X40" s="1117"/>
      <c r="Y40" s="1007">
        <f t="shared" si="33"/>
        <v>10000000</v>
      </c>
      <c r="Z40" s="1007"/>
      <c r="AA40" s="1007"/>
      <c r="AB40" s="1007"/>
      <c r="AC40" s="1007"/>
      <c r="AD40" s="1007"/>
      <c r="AE40" s="1007">
        <v>10000000</v>
      </c>
      <c r="AF40" s="1007"/>
      <c r="AG40" s="1007"/>
      <c r="AH40" s="1007"/>
      <c r="AI40" s="1007"/>
      <c r="AJ40" s="1007"/>
      <c r="AK40" s="1007"/>
      <c r="AL40" s="1007"/>
      <c r="AM40" s="1007"/>
      <c r="AN40" s="1007"/>
      <c r="AO40" s="1007"/>
      <c r="AP40" s="1007"/>
      <c r="AQ40" s="1007"/>
      <c r="AR40" s="1007"/>
      <c r="AS40" s="1007"/>
      <c r="AU40" s="1010">
        <f t="shared" si="3"/>
        <v>1</v>
      </c>
      <c r="AV40" s="1007">
        <f t="shared" si="34"/>
        <v>10000000</v>
      </c>
      <c r="AW40" s="1007"/>
      <c r="AX40" s="1007"/>
      <c r="AY40" s="1007"/>
      <c r="AZ40" s="1007"/>
      <c r="BA40" s="1007"/>
      <c r="BB40" s="1007">
        <f>+'[15]FEBRERO 2015'!$N$501</f>
        <v>10000000</v>
      </c>
      <c r="BC40" s="1007"/>
      <c r="BD40" s="1007"/>
      <c r="BE40" s="1007"/>
      <c r="BF40" s="1007"/>
      <c r="BG40" s="1007"/>
      <c r="BH40" s="1007"/>
      <c r="BI40" s="1007"/>
      <c r="BJ40" s="1007"/>
      <c r="BK40" s="1007"/>
      <c r="BL40" s="1007"/>
      <c r="BM40" s="1007"/>
      <c r="BN40" s="1007"/>
      <c r="BO40" s="1007"/>
      <c r="BP40" s="1007"/>
      <c r="BQ40" s="1010">
        <f t="shared" si="25"/>
        <v>0</v>
      </c>
      <c r="BR40" s="1007">
        <f t="shared" si="35"/>
        <v>0</v>
      </c>
      <c r="BS40" s="1007">
        <f t="shared" si="36"/>
        <v>0</v>
      </c>
      <c r="BT40" s="1007"/>
      <c r="BU40" s="1007">
        <f t="shared" si="37"/>
        <v>0</v>
      </c>
      <c r="BV40" s="1007">
        <f t="shared" si="37"/>
        <v>0</v>
      </c>
      <c r="BW40" s="1007"/>
      <c r="BX40" s="1007">
        <f t="shared" si="38"/>
        <v>0</v>
      </c>
      <c r="BY40" s="1007">
        <f t="shared" si="38"/>
        <v>0</v>
      </c>
      <c r="BZ40" s="1007"/>
      <c r="CA40" s="1007">
        <f>+AH40-BE40</f>
        <v>0</v>
      </c>
      <c r="CB40" s="1007">
        <f t="shared" si="39"/>
        <v>0</v>
      </c>
      <c r="CC40" s="1007">
        <f>+AJ40-BG40</f>
        <v>0</v>
      </c>
      <c r="CD40" s="1007">
        <f t="shared" si="40"/>
        <v>0</v>
      </c>
      <c r="CE40" s="1007">
        <f t="shared" si="40"/>
        <v>0</v>
      </c>
      <c r="CF40" s="1007">
        <f t="shared" si="40"/>
        <v>0</v>
      </c>
      <c r="CG40" s="1007">
        <f t="shared" si="40"/>
        <v>0</v>
      </c>
      <c r="CH40" s="1007">
        <f t="shared" si="40"/>
        <v>0</v>
      </c>
      <c r="CI40" s="1007">
        <f t="shared" si="40"/>
        <v>0</v>
      </c>
      <c r="CJ40" s="1007"/>
      <c r="CK40" s="1007"/>
      <c r="CL40" s="1007">
        <f t="shared" si="41"/>
        <v>0</v>
      </c>
      <c r="CM40" s="1010">
        <f t="shared" si="13"/>
        <v>0.10639999999999999</v>
      </c>
      <c r="CN40" s="1007">
        <f t="shared" si="42"/>
        <v>1064000</v>
      </c>
      <c r="CO40" s="1007"/>
      <c r="CP40" s="1007"/>
      <c r="CQ40" s="1007"/>
      <c r="CR40" s="1007"/>
      <c r="CS40" s="1007"/>
      <c r="CT40" s="1007">
        <f>+'[7]AGOSTO 2015'!$H$1265</f>
        <v>1064000</v>
      </c>
      <c r="CU40" s="1007"/>
      <c r="CV40" s="1007"/>
      <c r="CW40" s="1007"/>
      <c r="CX40" s="1007"/>
      <c r="CY40" s="1007"/>
      <c r="CZ40" s="1007"/>
      <c r="DA40" s="1007"/>
      <c r="DB40" s="1007"/>
      <c r="DC40" s="1007"/>
      <c r="DD40" s="1007"/>
      <c r="DE40" s="1007"/>
      <c r="DF40" s="1007"/>
      <c r="DG40" s="1007"/>
      <c r="DH40" s="1007"/>
      <c r="DI40" s="1010">
        <f t="shared" si="15"/>
        <v>0.89359999999999995</v>
      </c>
      <c r="DJ40" s="1007">
        <f t="shared" si="43"/>
        <v>8936000</v>
      </c>
      <c r="DK40" s="1007"/>
      <c r="DL40" s="1007"/>
      <c r="DM40" s="1007"/>
      <c r="DN40" s="1007"/>
      <c r="DO40" s="1007"/>
      <c r="DP40" s="1007">
        <f t="shared" si="45"/>
        <v>8936000</v>
      </c>
      <c r="DQ40" s="1007">
        <f t="shared" si="45"/>
        <v>0</v>
      </c>
      <c r="DR40" s="1007"/>
      <c r="DS40" s="1007">
        <f t="shared" si="46"/>
        <v>0</v>
      </c>
      <c r="DT40" s="1007">
        <f t="shared" si="46"/>
        <v>0</v>
      </c>
      <c r="DU40" s="1007"/>
      <c r="DV40" s="1007">
        <f t="shared" si="47"/>
        <v>0</v>
      </c>
      <c r="DW40" s="1007">
        <f t="shared" si="47"/>
        <v>0</v>
      </c>
      <c r="DX40" s="1007">
        <f t="shared" si="47"/>
        <v>0</v>
      </c>
      <c r="DY40" s="1007">
        <f t="shared" si="48"/>
        <v>0</v>
      </c>
      <c r="DZ40" s="1007">
        <f t="shared" si="48"/>
        <v>0</v>
      </c>
      <c r="EA40" s="1007">
        <f t="shared" si="48"/>
        <v>0</v>
      </c>
      <c r="EB40" s="1007">
        <f t="shared" si="48"/>
        <v>0</v>
      </c>
      <c r="EC40" s="1007"/>
      <c r="ED40" s="1007">
        <f t="shared" si="49"/>
        <v>0</v>
      </c>
    </row>
    <row r="41" spans="1:134" ht="48.75" hidden="1" customHeight="1" x14ac:dyDescent="0.25">
      <c r="A41" s="1565"/>
      <c r="B41" s="1018"/>
      <c r="C41" s="1114" t="s">
        <v>4372</v>
      </c>
      <c r="D41" s="1018" t="s">
        <v>4607</v>
      </c>
      <c r="E41" s="1019">
        <v>410</v>
      </c>
      <c r="F41" s="1117" t="s">
        <v>3350</v>
      </c>
      <c r="G41" s="1429"/>
      <c r="H41" s="1060">
        <f t="shared" si="31"/>
        <v>6500000</v>
      </c>
      <c r="I41" s="1060">
        <f t="shared" si="32"/>
        <v>3500000</v>
      </c>
      <c r="J41" s="1117" t="s">
        <v>4796</v>
      </c>
      <c r="K41" s="1113" t="s">
        <v>4797</v>
      </c>
      <c r="L41" s="1113" t="s">
        <v>4798</v>
      </c>
      <c r="M41" s="1113">
        <v>5</v>
      </c>
      <c r="N41" s="1113">
        <v>0</v>
      </c>
      <c r="O41" s="1113">
        <v>0</v>
      </c>
      <c r="P41" s="1113">
        <v>16</v>
      </c>
      <c r="Q41" s="1113">
        <v>0</v>
      </c>
      <c r="R41" s="1113">
        <v>0</v>
      </c>
      <c r="S41" s="1117"/>
      <c r="T41" s="1117"/>
      <c r="U41" s="1117"/>
      <c r="V41" s="1117"/>
      <c r="W41" s="1117"/>
      <c r="X41" s="1117"/>
      <c r="Y41" s="1007">
        <f t="shared" si="33"/>
        <v>10000000</v>
      </c>
      <c r="Z41" s="1007"/>
      <c r="AA41" s="1007"/>
      <c r="AB41" s="1007"/>
      <c r="AC41" s="1007"/>
      <c r="AD41" s="1007"/>
      <c r="AE41" s="1007">
        <f>30000000-20000000</f>
        <v>10000000</v>
      </c>
      <c r="AF41" s="1007"/>
      <c r="AG41" s="1007"/>
      <c r="AH41" s="1007"/>
      <c r="AI41" s="1007"/>
      <c r="AJ41" s="1007"/>
      <c r="AK41" s="1007"/>
      <c r="AL41" s="1007"/>
      <c r="AM41" s="1007"/>
      <c r="AN41" s="1007"/>
      <c r="AO41" s="1007"/>
      <c r="AP41" s="1007"/>
      <c r="AQ41" s="1007"/>
      <c r="AR41" s="1007"/>
      <c r="AS41" s="1007"/>
      <c r="AU41" s="1010">
        <f t="shared" si="3"/>
        <v>1</v>
      </c>
      <c r="AV41" s="1007">
        <f t="shared" si="34"/>
        <v>10000000</v>
      </c>
      <c r="AW41" s="1007"/>
      <c r="AX41" s="1007"/>
      <c r="AY41" s="1007"/>
      <c r="AZ41" s="1007"/>
      <c r="BA41" s="1007"/>
      <c r="BB41" s="1007">
        <f>+'[13]JUNIO 2015'!$O$956</f>
        <v>10000000</v>
      </c>
      <c r="BC41" s="1007"/>
      <c r="BD41" s="1007"/>
      <c r="BE41" s="1007"/>
      <c r="BF41" s="1007"/>
      <c r="BG41" s="1007"/>
      <c r="BH41" s="1007"/>
      <c r="BI41" s="1007"/>
      <c r="BJ41" s="1007"/>
      <c r="BK41" s="1007"/>
      <c r="BL41" s="1007"/>
      <c r="BM41" s="1007"/>
      <c r="BN41" s="1007"/>
      <c r="BO41" s="1007"/>
      <c r="BP41" s="1007"/>
      <c r="BQ41" s="1010">
        <f t="shared" si="25"/>
        <v>0</v>
      </c>
      <c r="BR41" s="1007">
        <f t="shared" si="35"/>
        <v>0</v>
      </c>
      <c r="BS41" s="1007">
        <f t="shared" si="36"/>
        <v>0</v>
      </c>
      <c r="BT41" s="1007"/>
      <c r="BU41" s="1007">
        <f t="shared" si="37"/>
        <v>0</v>
      </c>
      <c r="BV41" s="1007">
        <f t="shared" si="37"/>
        <v>0</v>
      </c>
      <c r="BW41" s="1007"/>
      <c r="BX41" s="1007">
        <f t="shared" si="38"/>
        <v>0</v>
      </c>
      <c r="BY41" s="1007">
        <f t="shared" si="38"/>
        <v>0</v>
      </c>
      <c r="BZ41" s="1007"/>
      <c r="CA41" s="1007">
        <f>+AH41-BE41</f>
        <v>0</v>
      </c>
      <c r="CB41" s="1007">
        <f t="shared" si="39"/>
        <v>0</v>
      </c>
      <c r="CC41" s="1007">
        <f>+AJ41-BG41</f>
        <v>0</v>
      </c>
      <c r="CD41" s="1007">
        <f t="shared" si="40"/>
        <v>0</v>
      </c>
      <c r="CE41" s="1007">
        <f t="shared" si="40"/>
        <v>0</v>
      </c>
      <c r="CF41" s="1007">
        <f t="shared" si="40"/>
        <v>0</v>
      </c>
      <c r="CG41" s="1007">
        <f t="shared" si="40"/>
        <v>0</v>
      </c>
      <c r="CH41" s="1007">
        <f t="shared" si="40"/>
        <v>0</v>
      </c>
      <c r="CI41" s="1007">
        <f t="shared" si="40"/>
        <v>0</v>
      </c>
      <c r="CJ41" s="1007"/>
      <c r="CK41" s="1007"/>
      <c r="CL41" s="1007">
        <f t="shared" si="41"/>
        <v>0</v>
      </c>
      <c r="CM41" s="1010">
        <f t="shared" si="13"/>
        <v>0.65</v>
      </c>
      <c r="CN41" s="1007">
        <f t="shared" si="42"/>
        <v>6500000</v>
      </c>
      <c r="CO41" s="1007"/>
      <c r="CP41" s="1007"/>
      <c r="CQ41" s="1007"/>
      <c r="CR41" s="1007"/>
      <c r="CS41" s="1007"/>
      <c r="CT41" s="1007">
        <f>+'[10]JULIO 2015'!$H$1127</f>
        <v>6500000</v>
      </c>
      <c r="CU41" s="1007"/>
      <c r="CV41" s="1007"/>
      <c r="CW41" s="1007"/>
      <c r="CX41" s="1007"/>
      <c r="CY41" s="1007"/>
      <c r="CZ41" s="1007"/>
      <c r="DA41" s="1007"/>
      <c r="DB41" s="1007"/>
      <c r="DC41" s="1007"/>
      <c r="DD41" s="1007"/>
      <c r="DE41" s="1007"/>
      <c r="DF41" s="1007"/>
      <c r="DG41" s="1007"/>
      <c r="DH41" s="1007"/>
      <c r="DI41" s="1010">
        <f t="shared" si="15"/>
        <v>0.35</v>
      </c>
      <c r="DJ41" s="1007">
        <f t="shared" si="43"/>
        <v>3500000</v>
      </c>
      <c r="DK41" s="1007"/>
      <c r="DL41" s="1007"/>
      <c r="DM41" s="1007"/>
      <c r="DN41" s="1007"/>
      <c r="DO41" s="1007"/>
      <c r="DP41" s="1007">
        <f t="shared" si="45"/>
        <v>3500000</v>
      </c>
      <c r="DQ41" s="1007">
        <f t="shared" si="45"/>
        <v>0</v>
      </c>
      <c r="DR41" s="1007"/>
      <c r="DS41" s="1007">
        <f t="shared" si="46"/>
        <v>0</v>
      </c>
      <c r="DT41" s="1007">
        <f t="shared" si="46"/>
        <v>0</v>
      </c>
      <c r="DU41" s="1007"/>
      <c r="DV41" s="1007">
        <f t="shared" si="47"/>
        <v>0</v>
      </c>
      <c r="DW41" s="1007">
        <f t="shared" si="47"/>
        <v>0</v>
      </c>
      <c r="DX41" s="1007">
        <f t="shared" si="47"/>
        <v>0</v>
      </c>
      <c r="DY41" s="1007">
        <f t="shared" si="48"/>
        <v>0</v>
      </c>
      <c r="DZ41" s="1007">
        <f t="shared" si="48"/>
        <v>0</v>
      </c>
      <c r="EA41" s="1007">
        <f t="shared" si="48"/>
        <v>0</v>
      </c>
      <c r="EB41" s="1007">
        <f t="shared" si="48"/>
        <v>0</v>
      </c>
      <c r="EC41" s="1007"/>
      <c r="ED41" s="1007">
        <f t="shared" si="49"/>
        <v>0</v>
      </c>
    </row>
    <row r="42" spans="1:134" ht="31.5" hidden="1" customHeight="1" x14ac:dyDescent="0.25">
      <c r="A42" s="1565"/>
      <c r="B42" s="1018"/>
      <c r="C42" s="1114" t="s">
        <v>4373</v>
      </c>
      <c r="D42" s="1018" t="s">
        <v>4606</v>
      </c>
      <c r="E42" s="1019">
        <v>410</v>
      </c>
      <c r="F42" s="1117" t="s">
        <v>4731</v>
      </c>
      <c r="G42" s="1429"/>
      <c r="H42" s="1060">
        <f t="shared" si="31"/>
        <v>42722628</v>
      </c>
      <c r="I42" s="1060">
        <f t="shared" si="32"/>
        <v>8254435</v>
      </c>
      <c r="J42" s="1117" t="s">
        <v>4799</v>
      </c>
      <c r="K42" s="1113" t="s">
        <v>4800</v>
      </c>
      <c r="L42" s="1113" t="s">
        <v>4801</v>
      </c>
      <c r="M42" s="1113">
        <v>0</v>
      </c>
      <c r="N42" s="1113">
        <v>0</v>
      </c>
      <c r="O42" s="1113">
        <v>0</v>
      </c>
      <c r="P42" s="1113">
        <v>3</v>
      </c>
      <c r="Q42" s="1113">
        <v>0</v>
      </c>
      <c r="R42" s="1113">
        <v>0</v>
      </c>
      <c r="S42" s="1117"/>
      <c r="T42" s="1117"/>
      <c r="U42" s="1117"/>
      <c r="V42" s="1117"/>
      <c r="W42" s="1117"/>
      <c r="X42" s="1117"/>
      <c r="Y42" s="1007">
        <f t="shared" si="33"/>
        <v>50977063</v>
      </c>
      <c r="Z42" s="1007"/>
      <c r="AA42" s="1007"/>
      <c r="AB42" s="1007"/>
      <c r="AC42" s="1007"/>
      <c r="AD42" s="1007"/>
      <c r="AE42" s="1007">
        <v>50000000</v>
      </c>
      <c r="AF42" s="1007"/>
      <c r="AG42" s="1007"/>
      <c r="AH42" s="1007"/>
      <c r="AI42" s="1007"/>
      <c r="AJ42" s="1007"/>
      <c r="AK42" s="1007"/>
      <c r="AL42" s="1007"/>
      <c r="AM42" s="1007"/>
      <c r="AN42" s="1007"/>
      <c r="AO42" s="1007"/>
      <c r="AP42" s="1007"/>
      <c r="AQ42" s="1007"/>
      <c r="AR42" s="1007"/>
      <c r="AS42" s="1007">
        <v>977063</v>
      </c>
      <c r="AU42" s="1010">
        <f t="shared" si="3"/>
        <v>0.98083328182323881</v>
      </c>
      <c r="AV42" s="1007">
        <f t="shared" si="34"/>
        <v>50000000</v>
      </c>
      <c r="AW42" s="1007"/>
      <c r="AX42" s="1007"/>
      <c r="AY42" s="1007"/>
      <c r="AZ42" s="1007"/>
      <c r="BA42" s="1007"/>
      <c r="BB42" s="1007">
        <f>+'[15]FEBRERO 2015'!$N$511</f>
        <v>50000000</v>
      </c>
      <c r="BC42" s="1007"/>
      <c r="BD42" s="1007"/>
      <c r="BE42" s="1007"/>
      <c r="BF42" s="1007"/>
      <c r="BG42" s="1007"/>
      <c r="BH42" s="1007"/>
      <c r="BI42" s="1007"/>
      <c r="BJ42" s="1007"/>
      <c r="BK42" s="1007"/>
      <c r="BL42" s="1007"/>
      <c r="BM42" s="1007"/>
      <c r="BN42" s="1007"/>
      <c r="BO42" s="1007"/>
      <c r="BP42" s="1007"/>
      <c r="BQ42" s="1010">
        <f t="shared" si="25"/>
        <v>1.9166718176761188E-2</v>
      </c>
      <c r="BR42" s="1007">
        <f t="shared" si="35"/>
        <v>977063</v>
      </c>
      <c r="BS42" s="1007">
        <f t="shared" si="36"/>
        <v>0</v>
      </c>
      <c r="BT42" s="1007"/>
      <c r="BU42" s="1007">
        <f t="shared" si="37"/>
        <v>0</v>
      </c>
      <c r="BV42" s="1007">
        <f t="shared" si="37"/>
        <v>0</v>
      </c>
      <c r="BW42" s="1007"/>
      <c r="BX42" s="1007">
        <f t="shared" si="38"/>
        <v>0</v>
      </c>
      <c r="BY42" s="1007">
        <f t="shared" si="38"/>
        <v>0</v>
      </c>
      <c r="BZ42" s="1007"/>
      <c r="CA42" s="1007">
        <f>+AH42-BE42</f>
        <v>0</v>
      </c>
      <c r="CB42" s="1007">
        <f t="shared" si="39"/>
        <v>0</v>
      </c>
      <c r="CC42" s="1007">
        <f>+AJ42-BG42</f>
        <v>0</v>
      </c>
      <c r="CD42" s="1007">
        <f t="shared" si="40"/>
        <v>0</v>
      </c>
      <c r="CE42" s="1007">
        <f t="shared" si="40"/>
        <v>0</v>
      </c>
      <c r="CF42" s="1007">
        <f t="shared" si="40"/>
        <v>0</v>
      </c>
      <c r="CG42" s="1007">
        <f t="shared" si="40"/>
        <v>0</v>
      </c>
      <c r="CH42" s="1007">
        <f t="shared" si="40"/>
        <v>0</v>
      </c>
      <c r="CI42" s="1007">
        <f t="shared" si="40"/>
        <v>0</v>
      </c>
      <c r="CJ42" s="1007"/>
      <c r="CK42" s="1007"/>
      <c r="CL42" s="1007">
        <f t="shared" si="41"/>
        <v>977063</v>
      </c>
      <c r="CM42" s="1010">
        <f t="shared" si="13"/>
        <v>0.83807550858706792</v>
      </c>
      <c r="CN42" s="1007">
        <f t="shared" si="42"/>
        <v>42722628</v>
      </c>
      <c r="CO42" s="1007"/>
      <c r="CP42" s="1007"/>
      <c r="CQ42" s="1007"/>
      <c r="CR42" s="1007"/>
      <c r="CS42" s="1007"/>
      <c r="CT42" s="1007">
        <f>+'[8]SEPTIEMBRE 2015'!$H$1448</f>
        <v>42722628</v>
      </c>
      <c r="CU42" s="1007"/>
      <c r="CV42" s="1007"/>
      <c r="CW42" s="1007"/>
      <c r="CX42" s="1007"/>
      <c r="CY42" s="1007"/>
      <c r="CZ42" s="1007"/>
      <c r="DA42" s="1007"/>
      <c r="DB42" s="1007"/>
      <c r="DC42" s="1007"/>
      <c r="DD42" s="1007"/>
      <c r="DE42" s="1007"/>
      <c r="DF42" s="1007"/>
      <c r="DG42" s="1007"/>
      <c r="DH42" s="1007"/>
      <c r="DI42" s="1010">
        <f t="shared" si="15"/>
        <v>0.16192449141293208</v>
      </c>
      <c r="DJ42" s="1007">
        <f t="shared" si="43"/>
        <v>8254435</v>
      </c>
      <c r="DK42" s="1007"/>
      <c r="DL42" s="1007"/>
      <c r="DM42" s="1007"/>
      <c r="DN42" s="1007"/>
      <c r="DO42" s="1007"/>
      <c r="DP42" s="1007">
        <f t="shared" si="45"/>
        <v>7277372</v>
      </c>
      <c r="DQ42" s="1007">
        <f t="shared" si="45"/>
        <v>0</v>
      </c>
      <c r="DR42" s="1007"/>
      <c r="DS42" s="1007">
        <f t="shared" si="46"/>
        <v>0</v>
      </c>
      <c r="DT42" s="1007">
        <f t="shared" si="46"/>
        <v>0</v>
      </c>
      <c r="DU42" s="1007"/>
      <c r="DV42" s="1007">
        <f t="shared" si="47"/>
        <v>0</v>
      </c>
      <c r="DW42" s="1007">
        <f t="shared" si="47"/>
        <v>0</v>
      </c>
      <c r="DX42" s="1007">
        <f t="shared" si="47"/>
        <v>0</v>
      </c>
      <c r="DY42" s="1007">
        <f t="shared" si="48"/>
        <v>0</v>
      </c>
      <c r="DZ42" s="1007">
        <f t="shared" si="48"/>
        <v>0</v>
      </c>
      <c r="EA42" s="1007">
        <f t="shared" si="48"/>
        <v>0</v>
      </c>
      <c r="EB42" s="1007">
        <f t="shared" si="48"/>
        <v>0</v>
      </c>
      <c r="EC42" s="1007"/>
      <c r="ED42" s="1007">
        <f t="shared" si="49"/>
        <v>977063</v>
      </c>
    </row>
    <row r="43" spans="1:134" ht="46.5" hidden="1" customHeight="1" x14ac:dyDescent="0.25">
      <c r="A43" s="1565"/>
      <c r="B43" s="1018"/>
      <c r="C43" s="1114" t="s">
        <v>4374</v>
      </c>
      <c r="D43" s="1018" t="s">
        <v>4605</v>
      </c>
      <c r="E43" s="1019">
        <v>410</v>
      </c>
      <c r="F43" s="1117" t="s">
        <v>3350</v>
      </c>
      <c r="G43" s="1430"/>
      <c r="H43" s="1060">
        <f t="shared" si="31"/>
        <v>69605000</v>
      </c>
      <c r="I43" s="1060">
        <f t="shared" si="32"/>
        <v>395000</v>
      </c>
      <c r="J43" s="1117" t="s">
        <v>4802</v>
      </c>
      <c r="K43" s="1113" t="s">
        <v>4804</v>
      </c>
      <c r="L43" s="1113" t="s">
        <v>4803</v>
      </c>
      <c r="M43" s="1113">
        <v>31</v>
      </c>
      <c r="N43" s="1113">
        <v>95</v>
      </c>
      <c r="O43" s="1113">
        <v>30</v>
      </c>
      <c r="P43" s="1113">
        <v>71</v>
      </c>
      <c r="Q43" s="1113">
        <v>585</v>
      </c>
      <c r="R43" s="1113">
        <v>414</v>
      </c>
      <c r="S43" s="1117"/>
      <c r="T43" s="1117"/>
      <c r="U43" s="1117"/>
      <c r="V43" s="1117"/>
      <c r="W43" s="1117"/>
      <c r="X43" s="1117"/>
      <c r="Y43" s="1007">
        <f t="shared" si="33"/>
        <v>70000000</v>
      </c>
      <c r="Z43" s="1007"/>
      <c r="AA43" s="1007"/>
      <c r="AB43" s="1007"/>
      <c r="AC43" s="1007"/>
      <c r="AD43" s="1007"/>
      <c r="AE43" s="1007">
        <f>50000000+20000000</f>
        <v>70000000</v>
      </c>
      <c r="AF43" s="1007"/>
      <c r="AG43" s="1007"/>
      <c r="AH43" s="1007"/>
      <c r="AI43" s="1007"/>
      <c r="AJ43" s="1007"/>
      <c r="AK43" s="1007"/>
      <c r="AL43" s="1007"/>
      <c r="AM43" s="1007"/>
      <c r="AN43" s="1007"/>
      <c r="AO43" s="1007"/>
      <c r="AP43" s="1007"/>
      <c r="AQ43" s="1007"/>
      <c r="AR43" s="1007"/>
      <c r="AS43" s="1007"/>
      <c r="AU43" s="1010">
        <f t="shared" si="3"/>
        <v>1</v>
      </c>
      <c r="AV43" s="1007">
        <f t="shared" si="34"/>
        <v>70000000</v>
      </c>
      <c r="AW43" s="1007"/>
      <c r="AX43" s="1007"/>
      <c r="AY43" s="1007"/>
      <c r="AZ43" s="1007"/>
      <c r="BA43" s="1007"/>
      <c r="BB43" s="1007">
        <f>+'[13]JUNIO 2015'!$O$970</f>
        <v>70000000</v>
      </c>
      <c r="BC43" s="1007"/>
      <c r="BD43" s="1007"/>
      <c r="BE43" s="1007"/>
      <c r="BF43" s="1007"/>
      <c r="BG43" s="1007"/>
      <c r="BH43" s="1007"/>
      <c r="BI43" s="1007"/>
      <c r="BJ43" s="1007"/>
      <c r="BK43" s="1007"/>
      <c r="BL43" s="1007"/>
      <c r="BM43" s="1007"/>
      <c r="BN43" s="1007"/>
      <c r="BO43" s="1007"/>
      <c r="BP43" s="1007"/>
      <c r="BQ43" s="1010">
        <f t="shared" si="25"/>
        <v>0</v>
      </c>
      <c r="BR43" s="1007">
        <f t="shared" si="35"/>
        <v>0</v>
      </c>
      <c r="BS43" s="1007">
        <f t="shared" si="36"/>
        <v>0</v>
      </c>
      <c r="BT43" s="1007"/>
      <c r="BU43" s="1007">
        <f t="shared" si="37"/>
        <v>0</v>
      </c>
      <c r="BV43" s="1007">
        <f t="shared" si="37"/>
        <v>0</v>
      </c>
      <c r="BW43" s="1007"/>
      <c r="BX43" s="1007">
        <f t="shared" si="38"/>
        <v>0</v>
      </c>
      <c r="BY43" s="1007">
        <f t="shared" si="38"/>
        <v>0</v>
      </c>
      <c r="BZ43" s="1007"/>
      <c r="CA43" s="1007"/>
      <c r="CB43" s="1007"/>
      <c r="CC43" s="1007"/>
      <c r="CD43" s="1007">
        <f t="shared" si="40"/>
        <v>0</v>
      </c>
      <c r="CE43" s="1007">
        <f t="shared" si="40"/>
        <v>0</v>
      </c>
      <c r="CF43" s="1007">
        <f t="shared" si="40"/>
        <v>0</v>
      </c>
      <c r="CG43" s="1007">
        <f t="shared" si="40"/>
        <v>0</v>
      </c>
      <c r="CH43" s="1007">
        <f t="shared" si="40"/>
        <v>0</v>
      </c>
      <c r="CI43" s="1007">
        <f t="shared" si="40"/>
        <v>0</v>
      </c>
      <c r="CJ43" s="1007"/>
      <c r="CK43" s="1007"/>
      <c r="CL43" s="1007">
        <f t="shared" si="41"/>
        <v>0</v>
      </c>
      <c r="CM43" s="1010">
        <f t="shared" si="13"/>
        <v>0.99435714285714283</v>
      </c>
      <c r="CN43" s="1007">
        <f t="shared" si="42"/>
        <v>69605000</v>
      </c>
      <c r="CO43" s="1007"/>
      <c r="CP43" s="1007"/>
      <c r="CQ43" s="1007"/>
      <c r="CR43" s="1007"/>
      <c r="CS43" s="1007"/>
      <c r="CT43" s="1007">
        <f>+'[8]SEPTIEMBRE 2015'!$H$1465</f>
        <v>69605000</v>
      </c>
      <c r="CU43" s="1007"/>
      <c r="CV43" s="1007"/>
      <c r="CW43" s="1007"/>
      <c r="CX43" s="1007"/>
      <c r="CY43" s="1007"/>
      <c r="CZ43" s="1007"/>
      <c r="DA43" s="1007"/>
      <c r="DB43" s="1007"/>
      <c r="DC43" s="1007"/>
      <c r="DD43" s="1007"/>
      <c r="DE43" s="1007"/>
      <c r="DF43" s="1007"/>
      <c r="DG43" s="1007"/>
      <c r="DH43" s="1007"/>
      <c r="DI43" s="1010">
        <f t="shared" si="15"/>
        <v>5.6428571428571717E-3</v>
      </c>
      <c r="DJ43" s="1007">
        <f t="shared" si="43"/>
        <v>395000</v>
      </c>
      <c r="DK43" s="1007"/>
      <c r="DL43" s="1007"/>
      <c r="DM43" s="1007"/>
      <c r="DN43" s="1007"/>
      <c r="DO43" s="1007"/>
      <c r="DP43" s="1007">
        <f t="shared" si="45"/>
        <v>395000</v>
      </c>
      <c r="DQ43" s="1007">
        <f t="shared" si="45"/>
        <v>0</v>
      </c>
      <c r="DR43" s="1007"/>
      <c r="DS43" s="1007">
        <f t="shared" si="46"/>
        <v>0</v>
      </c>
      <c r="DT43" s="1007">
        <f t="shared" si="46"/>
        <v>0</v>
      </c>
      <c r="DU43" s="1007"/>
      <c r="DV43" s="1007">
        <f t="shared" si="47"/>
        <v>0</v>
      </c>
      <c r="DW43" s="1007">
        <f t="shared" si="47"/>
        <v>0</v>
      </c>
      <c r="DX43" s="1007">
        <f t="shared" si="47"/>
        <v>0</v>
      </c>
      <c r="DY43" s="1007">
        <f t="shared" si="48"/>
        <v>0</v>
      </c>
      <c r="DZ43" s="1007">
        <f t="shared" si="48"/>
        <v>0</v>
      </c>
      <c r="EA43" s="1007">
        <f t="shared" si="48"/>
        <v>0</v>
      </c>
      <c r="EB43" s="1007">
        <f t="shared" si="48"/>
        <v>0</v>
      </c>
      <c r="EC43" s="1007"/>
      <c r="ED43" s="1007">
        <f t="shared" si="49"/>
        <v>0</v>
      </c>
    </row>
    <row r="44" spans="1:134" ht="45" hidden="1" customHeight="1" x14ac:dyDescent="0.25">
      <c r="A44" s="1565"/>
      <c r="B44" s="1027" t="s">
        <v>4309</v>
      </c>
      <c r="C44" s="1114" t="s">
        <v>4376</v>
      </c>
      <c r="D44" s="1018" t="s">
        <v>4320</v>
      </c>
      <c r="E44" s="1129">
        <v>410</v>
      </c>
      <c r="F44" s="1117" t="s">
        <v>3350</v>
      </c>
      <c r="G44" s="1428">
        <v>303000000</v>
      </c>
      <c r="H44" s="1060">
        <f t="shared" si="31"/>
        <v>39121546</v>
      </c>
      <c r="I44" s="1060">
        <f t="shared" si="32"/>
        <v>15301125</v>
      </c>
      <c r="J44" s="1117" t="s">
        <v>4805</v>
      </c>
      <c r="K44" s="1113" t="s">
        <v>4806</v>
      </c>
      <c r="L44" s="1113" t="s">
        <v>4815</v>
      </c>
      <c r="M44" s="1113">
        <v>0</v>
      </c>
      <c r="N44" s="1113">
        <v>21</v>
      </c>
      <c r="O44" s="1113">
        <v>0</v>
      </c>
      <c r="P44" s="1113">
        <v>18</v>
      </c>
      <c r="Q44" s="1113">
        <v>25</v>
      </c>
      <c r="R44" s="1113">
        <v>4</v>
      </c>
      <c r="S44" s="1117"/>
      <c r="T44" s="1117"/>
      <c r="U44" s="1117"/>
      <c r="V44" s="1117"/>
      <c r="W44" s="1117"/>
      <c r="X44" s="1117"/>
      <c r="Y44" s="1007">
        <f t="shared" si="33"/>
        <v>54422671</v>
      </c>
      <c r="Z44" s="1007"/>
      <c r="AA44" s="1007">
        <f>80000000-69189100</f>
        <v>10810900</v>
      </c>
      <c r="AB44" s="1007"/>
      <c r="AC44" s="1007"/>
      <c r="AD44" s="1007"/>
      <c r="AE44" s="1007"/>
      <c r="AF44" s="1007">
        <f>20000000</f>
        <v>20000000</v>
      </c>
      <c r="AG44" s="1007"/>
      <c r="AH44" s="1007"/>
      <c r="AI44" s="1007"/>
      <c r="AJ44" s="1007"/>
      <c r="AK44" s="1007"/>
      <c r="AL44" s="1007"/>
      <c r="AM44" s="1007"/>
      <c r="AN44" s="1007"/>
      <c r="AO44" s="1007">
        <v>23611771</v>
      </c>
      <c r="AP44" s="1007"/>
      <c r="AQ44" s="1007"/>
      <c r="AR44" s="1007"/>
      <c r="AS44" s="1007"/>
      <c r="AU44" s="1010">
        <f t="shared" si="3"/>
        <v>0.97676078779742359</v>
      </c>
      <c r="AV44" s="1007">
        <f t="shared" si="34"/>
        <v>53157931</v>
      </c>
      <c r="AW44" s="1007"/>
      <c r="AX44" s="1007">
        <f>+'[13]JUNIO 2015'!$K$1009</f>
        <v>9546220</v>
      </c>
      <c r="AY44" s="1007"/>
      <c r="AZ44" s="1007"/>
      <c r="BA44" s="1007"/>
      <c r="BB44" s="1007"/>
      <c r="BC44" s="1007">
        <f>+'[13]JUNIO 2015'!$P$1009</f>
        <v>20000000</v>
      </c>
      <c r="BD44" s="1007"/>
      <c r="BE44" s="1007"/>
      <c r="BF44" s="1007"/>
      <c r="BG44" s="1007"/>
      <c r="BH44" s="1007"/>
      <c r="BI44" s="1007"/>
      <c r="BJ44" s="1007"/>
      <c r="BK44" s="1007"/>
      <c r="BL44" s="1007">
        <f>+'[10]JULIO 2015'!$Y$1192</f>
        <v>23611711</v>
      </c>
      <c r="BM44" s="1007"/>
      <c r="BN44" s="1007"/>
      <c r="BO44" s="1007"/>
      <c r="BP44" s="1007"/>
      <c r="BQ44" s="1010">
        <f t="shared" si="25"/>
        <v>2.3239212202576409E-2</v>
      </c>
      <c r="BR44" s="1007">
        <f t="shared" si="35"/>
        <v>1264740</v>
      </c>
      <c r="BS44" s="1007">
        <f t="shared" si="36"/>
        <v>0</v>
      </c>
      <c r="BT44" s="1007">
        <f>AA44-AX44</f>
        <v>1264680</v>
      </c>
      <c r="BU44" s="1007">
        <f t="shared" si="37"/>
        <v>0</v>
      </c>
      <c r="BV44" s="1007">
        <f t="shared" si="37"/>
        <v>0</v>
      </c>
      <c r="BW44" s="1007"/>
      <c r="BX44" s="1007">
        <f t="shared" si="38"/>
        <v>0</v>
      </c>
      <c r="BY44" s="1007">
        <f t="shared" si="38"/>
        <v>0</v>
      </c>
      <c r="BZ44" s="1007"/>
      <c r="CA44" s="1007">
        <f t="shared" ref="CA44:CC48" si="50">+AH44-BE44</f>
        <v>0</v>
      </c>
      <c r="CB44" s="1007">
        <f t="shared" si="50"/>
        <v>0</v>
      </c>
      <c r="CC44" s="1007">
        <f t="shared" si="50"/>
        <v>0</v>
      </c>
      <c r="CD44" s="1007">
        <f t="shared" si="40"/>
        <v>0</v>
      </c>
      <c r="CE44" s="1007">
        <f t="shared" si="40"/>
        <v>0</v>
      </c>
      <c r="CF44" s="1007">
        <f t="shared" si="40"/>
        <v>0</v>
      </c>
      <c r="CG44" s="1007">
        <f t="shared" si="40"/>
        <v>0</v>
      </c>
      <c r="CH44" s="1007">
        <f t="shared" si="40"/>
        <v>60</v>
      </c>
      <c r="CI44" s="1007">
        <f t="shared" si="40"/>
        <v>0</v>
      </c>
      <c r="CJ44" s="1007"/>
      <c r="CK44" s="1007"/>
      <c r="CL44" s="1007">
        <f t="shared" si="41"/>
        <v>0</v>
      </c>
      <c r="CM44" s="1010">
        <f t="shared" si="13"/>
        <v>0.71884648954477082</v>
      </c>
      <c r="CN44" s="1007">
        <f t="shared" si="42"/>
        <v>39121546</v>
      </c>
      <c r="CO44" s="1007"/>
      <c r="CP44" s="1007">
        <f>+'[13]JUNIO 2015'!$H$1010</f>
        <v>9546220</v>
      </c>
      <c r="CQ44" s="1007"/>
      <c r="CR44" s="1007"/>
      <c r="CS44" s="1007"/>
      <c r="CT44" s="1007"/>
      <c r="CU44" s="1007">
        <f>+'[7]AGOSTO 2015'!$H$1349</f>
        <v>19911458</v>
      </c>
      <c r="CV44" s="1007"/>
      <c r="CW44" s="1007"/>
      <c r="CX44" s="1007"/>
      <c r="CY44" s="1007"/>
      <c r="CZ44" s="1007"/>
      <c r="DA44" s="1007"/>
      <c r="DB44" s="1007"/>
      <c r="DC44" s="1007"/>
      <c r="DD44" s="1007">
        <f>+'[8]SEPTIEMBRE 2015'!$H$1542</f>
        <v>9663868</v>
      </c>
      <c r="DE44" s="1007"/>
      <c r="DF44" s="1007"/>
      <c r="DG44" s="1007"/>
      <c r="DH44" s="1007"/>
      <c r="DI44" s="1010">
        <f t="shared" si="15"/>
        <v>0.28115351045522918</v>
      </c>
      <c r="DJ44" s="1007">
        <f t="shared" si="43"/>
        <v>15301125</v>
      </c>
      <c r="DK44" s="1007"/>
      <c r="DL44" s="1007">
        <f t="shared" ref="DL44:DN58" si="51">AA44-CP44</f>
        <v>1264680</v>
      </c>
      <c r="DM44" s="1007">
        <f t="shared" si="51"/>
        <v>0</v>
      </c>
      <c r="DN44" s="1007">
        <f t="shared" si="51"/>
        <v>0</v>
      </c>
      <c r="DO44" s="1007"/>
      <c r="DP44" s="1007">
        <f t="shared" si="45"/>
        <v>0</v>
      </c>
      <c r="DQ44" s="1007">
        <f t="shared" si="45"/>
        <v>88542</v>
      </c>
      <c r="DR44" s="1007"/>
      <c r="DS44" s="1007">
        <f t="shared" si="46"/>
        <v>0</v>
      </c>
      <c r="DT44" s="1007">
        <f t="shared" si="46"/>
        <v>0</v>
      </c>
      <c r="DU44" s="1007"/>
      <c r="DV44" s="1007">
        <f t="shared" si="47"/>
        <v>0</v>
      </c>
      <c r="DW44" s="1007">
        <f t="shared" si="47"/>
        <v>0</v>
      </c>
      <c r="DX44" s="1007">
        <f t="shared" si="47"/>
        <v>0</v>
      </c>
      <c r="DY44" s="1007">
        <f t="shared" si="48"/>
        <v>0</v>
      </c>
      <c r="DZ44" s="1007">
        <f t="shared" si="48"/>
        <v>13947903</v>
      </c>
      <c r="EA44" s="1007">
        <f t="shared" si="48"/>
        <v>0</v>
      </c>
      <c r="EB44" s="1007">
        <f t="shared" si="48"/>
        <v>0</v>
      </c>
      <c r="EC44" s="1007"/>
      <c r="ED44" s="1007">
        <f t="shared" si="49"/>
        <v>0</v>
      </c>
    </row>
    <row r="45" spans="1:134" ht="39" hidden="1" customHeight="1" x14ac:dyDescent="0.25">
      <c r="A45" s="1565"/>
      <c r="B45" s="1018"/>
      <c r="C45" s="1114" t="s">
        <v>4377</v>
      </c>
      <c r="D45" s="1127" t="s">
        <v>4321</v>
      </c>
      <c r="E45" s="1019">
        <v>410</v>
      </c>
      <c r="F45" s="1117" t="s">
        <v>3350</v>
      </c>
      <c r="G45" s="1429"/>
      <c r="H45" s="1060">
        <f t="shared" si="31"/>
        <v>24645401</v>
      </c>
      <c r="I45" s="1060">
        <f t="shared" si="32"/>
        <v>22436529</v>
      </c>
      <c r="J45" s="1117" t="s">
        <v>4807</v>
      </c>
      <c r="K45" s="1113" t="s">
        <v>4808</v>
      </c>
      <c r="L45" s="1113" t="s">
        <v>4816</v>
      </c>
      <c r="M45" s="1113">
        <v>0</v>
      </c>
      <c r="N45" s="1113">
        <v>107</v>
      </c>
      <c r="O45" s="1113">
        <v>0</v>
      </c>
      <c r="P45" s="1113">
        <v>4</v>
      </c>
      <c r="Q45" s="1113">
        <v>107</v>
      </c>
      <c r="R45" s="1113">
        <v>5</v>
      </c>
      <c r="S45" s="1117"/>
      <c r="T45" s="1117"/>
      <c r="U45" s="1117"/>
      <c r="V45" s="1117"/>
      <c r="W45" s="1117"/>
      <c r="X45" s="1117"/>
      <c r="Y45" s="1007">
        <f t="shared" si="33"/>
        <v>47081930</v>
      </c>
      <c r="Z45" s="1007"/>
      <c r="AA45" s="1007">
        <f>64000000-61918070</f>
        <v>2081930</v>
      </c>
      <c r="AB45" s="1007"/>
      <c r="AC45" s="1007"/>
      <c r="AD45" s="1007"/>
      <c r="AE45" s="1007"/>
      <c r="AF45" s="1007">
        <f>20000000</f>
        <v>20000000</v>
      </c>
      <c r="AG45" s="1007"/>
      <c r="AH45" s="1007"/>
      <c r="AI45" s="1007"/>
      <c r="AJ45" s="1007"/>
      <c r="AK45" s="1007"/>
      <c r="AL45" s="1007"/>
      <c r="AM45" s="1007"/>
      <c r="AN45" s="1007"/>
      <c r="AO45" s="1007">
        <v>25000000</v>
      </c>
      <c r="AP45" s="1007"/>
      <c r="AQ45" s="1007"/>
      <c r="AR45" s="1007"/>
      <c r="AS45" s="1007"/>
      <c r="AU45" s="1010">
        <f t="shared" si="3"/>
        <v>1</v>
      </c>
      <c r="AV45" s="1007">
        <f t="shared" si="34"/>
        <v>47081930</v>
      </c>
      <c r="AW45" s="1007"/>
      <c r="AX45" s="1007">
        <f>+'[13]JUNIO 2015'!$K$1023</f>
        <v>2081930</v>
      </c>
      <c r="AY45" s="1007"/>
      <c r="AZ45" s="1007"/>
      <c r="BA45" s="1007"/>
      <c r="BB45" s="1007"/>
      <c r="BC45" s="1007">
        <f>+'[13]JUNIO 2015'!$P$1023</f>
        <v>20000000</v>
      </c>
      <c r="BD45" s="1007"/>
      <c r="BE45" s="1007"/>
      <c r="BF45" s="1007"/>
      <c r="BG45" s="1007"/>
      <c r="BH45" s="1007"/>
      <c r="BI45" s="1007"/>
      <c r="BJ45" s="1007"/>
      <c r="BK45" s="1007"/>
      <c r="BL45" s="1007">
        <f>+'[10]JULIO 2015'!$Y$1215</f>
        <v>25000000</v>
      </c>
      <c r="BM45" s="1007"/>
      <c r="BN45" s="1007"/>
      <c r="BO45" s="1007"/>
      <c r="BP45" s="1007"/>
      <c r="BQ45" s="1010">
        <f t="shared" si="25"/>
        <v>0</v>
      </c>
      <c r="BR45" s="1007">
        <f t="shared" si="35"/>
        <v>0</v>
      </c>
      <c r="BS45" s="1007">
        <f t="shared" si="36"/>
        <v>0</v>
      </c>
      <c r="BT45" s="1007">
        <f>AA45-AX45</f>
        <v>0</v>
      </c>
      <c r="BU45" s="1007">
        <f t="shared" si="37"/>
        <v>0</v>
      </c>
      <c r="BV45" s="1007">
        <f t="shared" si="37"/>
        <v>0</v>
      </c>
      <c r="BW45" s="1007"/>
      <c r="BX45" s="1007">
        <f t="shared" si="38"/>
        <v>0</v>
      </c>
      <c r="BY45" s="1007">
        <f t="shared" si="38"/>
        <v>0</v>
      </c>
      <c r="BZ45" s="1007"/>
      <c r="CA45" s="1007">
        <f t="shared" si="50"/>
        <v>0</v>
      </c>
      <c r="CB45" s="1007">
        <f t="shared" si="50"/>
        <v>0</v>
      </c>
      <c r="CC45" s="1007">
        <f t="shared" si="50"/>
        <v>0</v>
      </c>
      <c r="CD45" s="1007">
        <f t="shared" si="40"/>
        <v>0</v>
      </c>
      <c r="CE45" s="1007">
        <f t="shared" si="40"/>
        <v>0</v>
      </c>
      <c r="CF45" s="1007">
        <f t="shared" si="40"/>
        <v>0</v>
      </c>
      <c r="CG45" s="1007">
        <f t="shared" si="40"/>
        <v>0</v>
      </c>
      <c r="CH45" s="1007">
        <f t="shared" si="40"/>
        <v>0</v>
      </c>
      <c r="CI45" s="1007">
        <f t="shared" si="40"/>
        <v>0</v>
      </c>
      <c r="CJ45" s="1007"/>
      <c r="CK45" s="1007"/>
      <c r="CL45" s="1007">
        <f t="shared" si="41"/>
        <v>0</v>
      </c>
      <c r="CM45" s="1010">
        <f t="shared" si="13"/>
        <v>0.52345774695302427</v>
      </c>
      <c r="CN45" s="1007">
        <f t="shared" si="42"/>
        <v>24645401</v>
      </c>
      <c r="CO45" s="1007"/>
      <c r="CP45" s="1007">
        <f>+'[14]MAYO 2015'!$H$858</f>
        <v>2081930</v>
      </c>
      <c r="CQ45" s="1007"/>
      <c r="CR45" s="1007"/>
      <c r="CS45" s="1007"/>
      <c r="CT45" s="1007"/>
      <c r="CU45" s="1007">
        <f>+'[8]SEPTIEMBRE 2015'!$H$1555</f>
        <v>20000000</v>
      </c>
      <c r="CV45" s="1007"/>
      <c r="CW45" s="1007"/>
      <c r="CX45" s="1007"/>
      <c r="CY45" s="1007"/>
      <c r="CZ45" s="1007"/>
      <c r="DA45" s="1007"/>
      <c r="DB45" s="1007"/>
      <c r="DC45" s="1007"/>
      <c r="DD45" s="1007">
        <f>+'[8]SEPTIEMBRE 2015'!$H$1582</f>
        <v>2563471</v>
      </c>
      <c r="DE45" s="1007"/>
      <c r="DF45" s="1007"/>
      <c r="DG45" s="1007"/>
      <c r="DH45" s="1007"/>
      <c r="DI45" s="1010">
        <f t="shared" si="15"/>
        <v>0.47654225304697573</v>
      </c>
      <c r="DJ45" s="1007">
        <f t="shared" si="43"/>
        <v>22436529</v>
      </c>
      <c r="DK45" s="1007"/>
      <c r="DL45" s="1007">
        <f t="shared" si="51"/>
        <v>0</v>
      </c>
      <c r="DM45" s="1007">
        <f t="shared" si="51"/>
        <v>0</v>
      </c>
      <c r="DN45" s="1007">
        <f t="shared" si="51"/>
        <v>0</v>
      </c>
      <c r="DO45" s="1007"/>
      <c r="DP45" s="1007">
        <f t="shared" si="45"/>
        <v>0</v>
      </c>
      <c r="DQ45" s="1007">
        <f t="shared" si="45"/>
        <v>0</v>
      </c>
      <c r="DR45" s="1007"/>
      <c r="DS45" s="1007">
        <f t="shared" si="46"/>
        <v>0</v>
      </c>
      <c r="DT45" s="1007">
        <f t="shared" si="46"/>
        <v>0</v>
      </c>
      <c r="DU45" s="1007"/>
      <c r="DV45" s="1007">
        <f t="shared" si="47"/>
        <v>0</v>
      </c>
      <c r="DW45" s="1007">
        <f t="shared" si="47"/>
        <v>0</v>
      </c>
      <c r="DX45" s="1007">
        <f t="shared" si="47"/>
        <v>0</v>
      </c>
      <c r="DY45" s="1007">
        <f t="shared" si="48"/>
        <v>0</v>
      </c>
      <c r="DZ45" s="1007">
        <f t="shared" si="48"/>
        <v>22436529</v>
      </c>
      <c r="EA45" s="1007">
        <f t="shared" si="48"/>
        <v>0</v>
      </c>
      <c r="EB45" s="1007">
        <f t="shared" si="48"/>
        <v>0</v>
      </c>
      <c r="EC45" s="1007"/>
      <c r="ED45" s="1007">
        <f t="shared" si="49"/>
        <v>0</v>
      </c>
    </row>
    <row r="46" spans="1:134" ht="49.5" hidden="1" customHeight="1" x14ac:dyDescent="0.25">
      <c r="A46" s="1565"/>
      <c r="B46" s="1018"/>
      <c r="C46" s="1114" t="s">
        <v>4378</v>
      </c>
      <c r="D46" s="1018" t="s">
        <v>4322</v>
      </c>
      <c r="E46" s="1019">
        <v>410</v>
      </c>
      <c r="F46" s="1117" t="s">
        <v>4670</v>
      </c>
      <c r="G46" s="1429"/>
      <c r="H46" s="1060">
        <f t="shared" si="31"/>
        <v>6478000</v>
      </c>
      <c r="I46" s="1060">
        <f t="shared" si="32"/>
        <v>1522000</v>
      </c>
      <c r="J46" s="1117" t="s">
        <v>4809</v>
      </c>
      <c r="K46" s="1113" t="s">
        <v>4810</v>
      </c>
      <c r="L46" s="1113" t="s">
        <v>4817</v>
      </c>
      <c r="M46" s="1113">
        <v>17</v>
      </c>
      <c r="N46" s="1113">
        <v>20</v>
      </c>
      <c r="O46" s="1113">
        <v>3</v>
      </c>
      <c r="P46" s="1113">
        <v>31</v>
      </c>
      <c r="Q46" s="1113">
        <v>45</v>
      </c>
      <c r="R46" s="1113">
        <v>14</v>
      </c>
      <c r="S46" s="1117"/>
      <c r="T46" s="1117"/>
      <c r="U46" s="1117"/>
      <c r="V46" s="1117"/>
      <c r="W46" s="1117"/>
      <c r="X46" s="1117"/>
      <c r="Y46" s="1007">
        <f t="shared" si="33"/>
        <v>8000000</v>
      </c>
      <c r="Z46" s="1007"/>
      <c r="AA46" s="1007"/>
      <c r="AB46" s="1007"/>
      <c r="AC46" s="1007"/>
      <c r="AD46" s="1007"/>
      <c r="AE46" s="1007"/>
      <c r="AF46" s="1007"/>
      <c r="AG46" s="1007"/>
      <c r="AH46" s="1007"/>
      <c r="AI46" s="1007"/>
      <c r="AJ46" s="1007"/>
      <c r="AK46" s="1007"/>
      <c r="AL46" s="1007"/>
      <c r="AM46" s="1007"/>
      <c r="AN46" s="1007"/>
      <c r="AO46" s="1007"/>
      <c r="AP46" s="1007"/>
      <c r="AQ46" s="1007"/>
      <c r="AR46" s="1007"/>
      <c r="AS46" s="1007">
        <f>3000000+5000000</f>
        <v>8000000</v>
      </c>
      <c r="AU46" s="1010">
        <f t="shared" si="3"/>
        <v>1</v>
      </c>
      <c r="AV46" s="1007">
        <f t="shared" si="34"/>
        <v>8000000</v>
      </c>
      <c r="AW46" s="1007"/>
      <c r="AX46" s="1007"/>
      <c r="AY46" s="1007"/>
      <c r="AZ46" s="1007"/>
      <c r="BA46" s="1007"/>
      <c r="BB46" s="1007"/>
      <c r="BC46" s="1007"/>
      <c r="BD46" s="1007"/>
      <c r="BE46" s="1007"/>
      <c r="BF46" s="1007"/>
      <c r="BG46" s="1007"/>
      <c r="BH46" s="1007"/>
      <c r="BI46" s="1007"/>
      <c r="BJ46" s="1007"/>
      <c r="BK46" s="1007"/>
      <c r="BL46" s="1007"/>
      <c r="BM46" s="1007"/>
      <c r="BN46" s="1007"/>
      <c r="BO46" s="1007"/>
      <c r="BP46" s="1007">
        <f>+'[10]JULIO 2015'!$G$1233</f>
        <v>8000000</v>
      </c>
      <c r="BQ46" s="1010">
        <f t="shared" si="25"/>
        <v>0</v>
      </c>
      <c r="BR46" s="1007">
        <f t="shared" si="35"/>
        <v>0</v>
      </c>
      <c r="BS46" s="1007">
        <f t="shared" si="36"/>
        <v>0</v>
      </c>
      <c r="BT46" s="1007"/>
      <c r="BU46" s="1007">
        <f t="shared" si="37"/>
        <v>0</v>
      </c>
      <c r="BV46" s="1007">
        <f t="shared" si="37"/>
        <v>0</v>
      </c>
      <c r="BW46" s="1007"/>
      <c r="BX46" s="1007">
        <f t="shared" si="38"/>
        <v>0</v>
      </c>
      <c r="BY46" s="1007">
        <f t="shared" si="38"/>
        <v>0</v>
      </c>
      <c r="BZ46" s="1007"/>
      <c r="CA46" s="1007">
        <f t="shared" si="50"/>
        <v>0</v>
      </c>
      <c r="CB46" s="1007">
        <f t="shared" si="50"/>
        <v>0</v>
      </c>
      <c r="CC46" s="1007">
        <f t="shared" si="50"/>
        <v>0</v>
      </c>
      <c r="CD46" s="1007">
        <f t="shared" si="40"/>
        <v>0</v>
      </c>
      <c r="CE46" s="1007">
        <f t="shared" si="40"/>
        <v>0</v>
      </c>
      <c r="CF46" s="1007">
        <f t="shared" si="40"/>
        <v>0</v>
      </c>
      <c r="CG46" s="1007">
        <f t="shared" si="40"/>
        <v>0</v>
      </c>
      <c r="CH46" s="1007">
        <f t="shared" si="40"/>
        <v>0</v>
      </c>
      <c r="CI46" s="1007">
        <f t="shared" si="40"/>
        <v>0</v>
      </c>
      <c r="CJ46" s="1007"/>
      <c r="CK46" s="1007"/>
      <c r="CL46" s="1007">
        <f t="shared" si="41"/>
        <v>0</v>
      </c>
      <c r="CM46" s="1010">
        <f t="shared" si="13"/>
        <v>0.80974999999999997</v>
      </c>
      <c r="CN46" s="1007">
        <f t="shared" si="42"/>
        <v>6478000</v>
      </c>
      <c r="CO46" s="1007"/>
      <c r="CP46" s="1007"/>
      <c r="CQ46" s="1007"/>
      <c r="CR46" s="1007"/>
      <c r="CS46" s="1007"/>
      <c r="CT46" s="1007"/>
      <c r="CU46" s="1007"/>
      <c r="CV46" s="1007"/>
      <c r="CW46" s="1007"/>
      <c r="CX46" s="1007"/>
      <c r="CY46" s="1007"/>
      <c r="CZ46" s="1007"/>
      <c r="DA46" s="1007"/>
      <c r="DB46" s="1007"/>
      <c r="DC46" s="1007"/>
      <c r="DD46" s="1007"/>
      <c r="DE46" s="1007"/>
      <c r="DF46" s="1007"/>
      <c r="DG46" s="1007"/>
      <c r="DH46" s="1007">
        <f>+'[8]SEPTIEMBRE 2015'!$H$1588</f>
        <v>6478000</v>
      </c>
      <c r="DI46" s="1010">
        <f t="shared" si="15"/>
        <v>0.19025000000000003</v>
      </c>
      <c r="DJ46" s="1007">
        <f t="shared" si="43"/>
        <v>1522000</v>
      </c>
      <c r="DK46" s="1007"/>
      <c r="DL46" s="1007"/>
      <c r="DM46" s="1007"/>
      <c r="DN46" s="1007">
        <f t="shared" si="51"/>
        <v>0</v>
      </c>
      <c r="DO46" s="1007"/>
      <c r="DP46" s="1007">
        <f t="shared" si="45"/>
        <v>0</v>
      </c>
      <c r="DQ46" s="1007">
        <f t="shared" si="45"/>
        <v>0</v>
      </c>
      <c r="DR46" s="1007"/>
      <c r="DS46" s="1007">
        <f t="shared" si="46"/>
        <v>0</v>
      </c>
      <c r="DT46" s="1007">
        <f t="shared" si="46"/>
        <v>0</v>
      </c>
      <c r="DU46" s="1007"/>
      <c r="DV46" s="1007">
        <f t="shared" si="47"/>
        <v>0</v>
      </c>
      <c r="DW46" s="1007">
        <f t="shared" si="47"/>
        <v>0</v>
      </c>
      <c r="DX46" s="1007">
        <f t="shared" si="47"/>
        <v>0</v>
      </c>
      <c r="DY46" s="1007">
        <f t="shared" si="48"/>
        <v>0</v>
      </c>
      <c r="DZ46" s="1007">
        <f t="shared" si="48"/>
        <v>0</v>
      </c>
      <c r="EA46" s="1007">
        <f t="shared" si="48"/>
        <v>0</v>
      </c>
      <c r="EB46" s="1007">
        <f t="shared" si="48"/>
        <v>0</v>
      </c>
      <c r="EC46" s="1007"/>
      <c r="ED46" s="1007">
        <f t="shared" si="49"/>
        <v>1522000</v>
      </c>
    </row>
    <row r="47" spans="1:134" ht="51" hidden="1" customHeight="1" x14ac:dyDescent="0.25">
      <c r="A47" s="1565"/>
      <c r="B47" s="1018"/>
      <c r="C47" s="1114" t="s">
        <v>4379</v>
      </c>
      <c r="D47" s="1018" t="s">
        <v>4323</v>
      </c>
      <c r="E47" s="1019">
        <v>410</v>
      </c>
      <c r="F47" s="1117" t="s">
        <v>3350</v>
      </c>
      <c r="G47" s="1430"/>
      <c r="H47" s="1060">
        <f t="shared" si="31"/>
        <v>142910666</v>
      </c>
      <c r="I47" s="1060">
        <f t="shared" si="32"/>
        <v>3089334</v>
      </c>
      <c r="J47" s="1117" t="s">
        <v>4825</v>
      </c>
      <c r="K47" s="1113" t="s">
        <v>4825</v>
      </c>
      <c r="L47" s="1113" t="s">
        <v>4825</v>
      </c>
      <c r="M47" s="1113">
        <v>67</v>
      </c>
      <c r="N47" s="1113">
        <v>500</v>
      </c>
      <c r="O47" s="1113">
        <v>337</v>
      </c>
      <c r="P47" s="1128">
        <v>94</v>
      </c>
      <c r="Q47" s="1128">
        <v>650</v>
      </c>
      <c r="R47" s="1128">
        <v>613</v>
      </c>
      <c r="S47" s="1117"/>
      <c r="T47" s="1117"/>
      <c r="U47" s="1117"/>
      <c r="V47" s="1117"/>
      <c r="W47" s="1117"/>
      <c r="X47" s="1117"/>
      <c r="Y47" s="1007">
        <f t="shared" si="33"/>
        <v>146000000</v>
      </c>
      <c r="Z47" s="1007"/>
      <c r="AA47" s="1007">
        <f>98670877-98670877</f>
        <v>0</v>
      </c>
      <c r="AB47" s="1007">
        <v>98670877</v>
      </c>
      <c r="AC47" s="1007"/>
      <c r="AD47" s="1007"/>
      <c r="AE47" s="1007"/>
      <c r="AF47" s="1007"/>
      <c r="AG47" s="1007"/>
      <c r="AH47" s="1007"/>
      <c r="AI47" s="1007"/>
      <c r="AJ47" s="1007"/>
      <c r="AK47" s="1007"/>
      <c r="AL47" s="1007"/>
      <c r="AM47" s="1007">
        <f>57329123-10000000</f>
        <v>47329123</v>
      </c>
      <c r="AN47" s="1007"/>
      <c r="AO47" s="1007"/>
      <c r="AP47" s="1007"/>
      <c r="AQ47" s="1007"/>
      <c r="AR47" s="1007"/>
      <c r="AS47" s="1007"/>
      <c r="AU47" s="1010">
        <f t="shared" si="3"/>
        <v>1</v>
      </c>
      <c r="AV47" s="1007">
        <f t="shared" si="34"/>
        <v>146000000</v>
      </c>
      <c r="AW47" s="1007"/>
      <c r="AX47" s="1007"/>
      <c r="AY47" s="1007">
        <v>98670877</v>
      </c>
      <c r="AZ47" s="1007"/>
      <c r="BA47" s="1007"/>
      <c r="BB47" s="1007"/>
      <c r="BC47" s="1007"/>
      <c r="BD47" s="1007"/>
      <c r="BE47" s="1007"/>
      <c r="BF47" s="1007"/>
      <c r="BG47" s="1007"/>
      <c r="BH47" s="1007"/>
      <c r="BI47" s="1007"/>
      <c r="BJ47" s="1007">
        <f>+'[11]MARZO 2015'!$V$700-10000000</f>
        <v>47329123</v>
      </c>
      <c r="BK47" s="1007"/>
      <c r="BL47" s="1007"/>
      <c r="BM47" s="1007"/>
      <c r="BN47" s="1007"/>
      <c r="BO47" s="1007"/>
      <c r="BP47" s="1007"/>
      <c r="BQ47" s="1010">
        <f t="shared" si="25"/>
        <v>0</v>
      </c>
      <c r="BR47" s="1007">
        <f t="shared" si="35"/>
        <v>0</v>
      </c>
      <c r="BS47" s="1007">
        <f t="shared" si="36"/>
        <v>0</v>
      </c>
      <c r="BT47" s="1007">
        <f t="shared" ref="BT47:BV62" si="52">AA47-AX47</f>
        <v>0</v>
      </c>
      <c r="BU47" s="1007">
        <f t="shared" si="37"/>
        <v>0</v>
      </c>
      <c r="BV47" s="1007">
        <f t="shared" si="37"/>
        <v>0</v>
      </c>
      <c r="BW47" s="1007"/>
      <c r="BX47" s="1007">
        <f t="shared" si="38"/>
        <v>0</v>
      </c>
      <c r="BY47" s="1007">
        <f t="shared" si="38"/>
        <v>0</v>
      </c>
      <c r="BZ47" s="1007"/>
      <c r="CA47" s="1007">
        <f t="shared" si="50"/>
        <v>0</v>
      </c>
      <c r="CB47" s="1007">
        <f t="shared" si="50"/>
        <v>0</v>
      </c>
      <c r="CC47" s="1007">
        <f t="shared" si="50"/>
        <v>0</v>
      </c>
      <c r="CD47" s="1007">
        <f t="shared" si="40"/>
        <v>0</v>
      </c>
      <c r="CE47" s="1007">
        <f t="shared" si="40"/>
        <v>0</v>
      </c>
      <c r="CF47" s="1007">
        <f t="shared" si="40"/>
        <v>0</v>
      </c>
      <c r="CG47" s="1007">
        <f t="shared" si="40"/>
        <v>0</v>
      </c>
      <c r="CH47" s="1007">
        <f t="shared" si="40"/>
        <v>0</v>
      </c>
      <c r="CI47" s="1007">
        <f t="shared" si="40"/>
        <v>0</v>
      </c>
      <c r="CJ47" s="1007"/>
      <c r="CK47" s="1007"/>
      <c r="CL47" s="1007">
        <f t="shared" si="41"/>
        <v>0</v>
      </c>
      <c r="CM47" s="1010">
        <f t="shared" si="13"/>
        <v>0.97884017808219181</v>
      </c>
      <c r="CN47" s="1007">
        <f t="shared" si="42"/>
        <v>142910666</v>
      </c>
      <c r="CO47" s="1007"/>
      <c r="CP47" s="1007"/>
      <c r="CQ47" s="1007">
        <v>98670877</v>
      </c>
      <c r="CR47" s="1007"/>
      <c r="CS47" s="1007"/>
      <c r="CT47" s="1007"/>
      <c r="CU47" s="1007"/>
      <c r="CV47" s="1007"/>
      <c r="CW47" s="1007"/>
      <c r="CX47" s="1007"/>
      <c r="CY47" s="1007"/>
      <c r="CZ47" s="1007"/>
      <c r="DA47" s="1007"/>
      <c r="DB47" s="1007">
        <f>+'[7]AGOSTO 2015'!$H$1417</f>
        <v>44239789</v>
      </c>
      <c r="DC47" s="1007"/>
      <c r="DD47" s="1007"/>
      <c r="DE47" s="1007"/>
      <c r="DF47" s="1007"/>
      <c r="DG47" s="1007"/>
      <c r="DH47" s="1007"/>
      <c r="DI47" s="1010">
        <f t="shared" si="15"/>
        <v>2.1159821917808186E-2</v>
      </c>
      <c r="DJ47" s="1007">
        <f t="shared" si="43"/>
        <v>3089334</v>
      </c>
      <c r="DK47" s="1007"/>
      <c r="DL47" s="1007">
        <f t="shared" ref="DL47:DM49" si="53">AA47-CP47</f>
        <v>0</v>
      </c>
      <c r="DM47" s="1007">
        <f t="shared" si="53"/>
        <v>0</v>
      </c>
      <c r="DN47" s="1007">
        <f t="shared" si="51"/>
        <v>0</v>
      </c>
      <c r="DO47" s="1007"/>
      <c r="DP47" s="1007">
        <f t="shared" si="45"/>
        <v>0</v>
      </c>
      <c r="DQ47" s="1007">
        <f t="shared" si="45"/>
        <v>0</v>
      </c>
      <c r="DR47" s="1007"/>
      <c r="DS47" s="1007">
        <f t="shared" si="46"/>
        <v>0</v>
      </c>
      <c r="DT47" s="1007">
        <f t="shared" si="46"/>
        <v>0</v>
      </c>
      <c r="DU47" s="1007"/>
      <c r="DV47" s="1007">
        <f t="shared" si="47"/>
        <v>0</v>
      </c>
      <c r="DW47" s="1007">
        <f t="shared" si="47"/>
        <v>0</v>
      </c>
      <c r="DX47" s="1007">
        <f t="shared" si="47"/>
        <v>3089334</v>
      </c>
      <c r="DY47" s="1007">
        <f t="shared" si="48"/>
        <v>0</v>
      </c>
      <c r="DZ47" s="1007">
        <f t="shared" si="48"/>
        <v>0</v>
      </c>
      <c r="EA47" s="1007">
        <f t="shared" si="48"/>
        <v>0</v>
      </c>
      <c r="EB47" s="1007">
        <f t="shared" si="48"/>
        <v>0</v>
      </c>
      <c r="EC47" s="1007"/>
      <c r="ED47" s="1007">
        <f t="shared" si="49"/>
        <v>0</v>
      </c>
    </row>
    <row r="48" spans="1:134" ht="35.25" hidden="1" customHeight="1" x14ac:dyDescent="0.25">
      <c r="A48" s="1565"/>
      <c r="B48" s="1018" t="s">
        <v>4310</v>
      </c>
      <c r="C48" s="1114" t="s">
        <v>4380</v>
      </c>
      <c r="D48" s="1018" t="s">
        <v>4608</v>
      </c>
      <c r="E48" s="1019">
        <v>410</v>
      </c>
      <c r="F48" s="1117" t="s">
        <v>3350</v>
      </c>
      <c r="G48" s="1428">
        <v>1150000000</v>
      </c>
      <c r="H48" s="1060">
        <f t="shared" si="31"/>
        <v>460457196</v>
      </c>
      <c r="I48" s="1060">
        <f t="shared" si="32"/>
        <v>154423804</v>
      </c>
      <c r="J48" s="1428" t="s">
        <v>4811</v>
      </c>
      <c r="K48" s="1257" t="s">
        <v>4812</v>
      </c>
      <c r="L48" s="1257" t="s">
        <v>4818</v>
      </c>
      <c r="M48" s="1113">
        <v>6</v>
      </c>
      <c r="N48" s="1113">
        <v>112</v>
      </c>
      <c r="O48" s="1113">
        <v>7</v>
      </c>
      <c r="P48" s="1113">
        <v>42</v>
      </c>
      <c r="Q48" s="1113">
        <v>132</v>
      </c>
      <c r="R48" s="1113">
        <v>55</v>
      </c>
      <c r="S48" s="1117"/>
      <c r="T48" s="1117"/>
      <c r="U48" s="1117"/>
      <c r="V48" s="1117"/>
      <c r="W48" s="1117"/>
      <c r="X48" s="1117"/>
      <c r="Y48" s="1051">
        <f t="shared" si="33"/>
        <v>614881000</v>
      </c>
      <c r="Z48" s="944"/>
      <c r="AA48" s="1007">
        <f>420000000-415119000</f>
        <v>4881000</v>
      </c>
      <c r="AB48" s="1007"/>
      <c r="AC48" s="1007"/>
      <c r="AD48" s="1007"/>
      <c r="AE48" s="1007">
        <f>30000000+30000000+10000000+20000000</f>
        <v>90000000</v>
      </c>
      <c r="AF48" s="1007">
        <f>5000000+10000000</f>
        <v>15000000</v>
      </c>
      <c r="AG48" s="1007">
        <v>102810569</v>
      </c>
      <c r="AH48" s="1007">
        <v>219471348</v>
      </c>
      <c r="AI48" s="1007"/>
      <c r="AJ48" s="1007"/>
      <c r="AK48" s="1007"/>
      <c r="AL48" s="1007"/>
      <c r="AM48" s="1007">
        <f>10000000</f>
        <v>10000000</v>
      </c>
      <c r="AN48" s="1007">
        <f>82718083+10000000+20000000+10000000</f>
        <v>122718083</v>
      </c>
      <c r="AO48" s="1007">
        <f>30000000+10000000+10000000</f>
        <v>50000000</v>
      </c>
      <c r="AP48" s="1007"/>
      <c r="AQ48" s="1007"/>
      <c r="AR48" s="1007"/>
      <c r="AS48" s="1007"/>
      <c r="AU48" s="1010">
        <f t="shared" si="3"/>
        <v>1</v>
      </c>
      <c r="AV48" s="1007">
        <f t="shared" si="34"/>
        <v>614881000</v>
      </c>
      <c r="AW48" s="1007"/>
      <c r="AX48" s="1007">
        <f>+'[13]JUNIO 2015'!$K$1062</f>
        <v>4881000</v>
      </c>
      <c r="AY48" s="1007"/>
      <c r="AZ48" s="1007"/>
      <c r="BA48" s="1007"/>
      <c r="BB48" s="1007">
        <f>+'[13]JUNIO 2015'!$O$1062</f>
        <v>90000000</v>
      </c>
      <c r="BC48" s="1007">
        <f>+'[13]JUNIO 2015'!$P$1062</f>
        <v>15000000</v>
      </c>
      <c r="BD48" s="1007">
        <f>+'[12]FEBRERO 2015'!$P$585</f>
        <v>102810569</v>
      </c>
      <c r="BE48" s="1007">
        <f>+'[12]FEBRERO 2015'!$Q$585</f>
        <v>219471348</v>
      </c>
      <c r="BF48" s="1007"/>
      <c r="BG48" s="1007"/>
      <c r="BH48" s="1007"/>
      <c r="BI48" s="1007"/>
      <c r="BJ48" s="1007">
        <f>+'[13]JUNIO 2015'!$W$1062</f>
        <v>10000000</v>
      </c>
      <c r="BK48" s="1007">
        <f>+'[13]JUNIO 2015'!$X$1062</f>
        <v>122718083</v>
      </c>
      <c r="BL48" s="1007">
        <f>+'[13]JUNIO 2015'!$Y$1062</f>
        <v>50000000</v>
      </c>
      <c r="BM48" s="1007"/>
      <c r="BN48" s="1007"/>
      <c r="BO48" s="1007"/>
      <c r="BP48" s="1007"/>
      <c r="BQ48" s="1010">
        <f t="shared" si="25"/>
        <v>0</v>
      </c>
      <c r="BR48" s="1007">
        <f t="shared" si="35"/>
        <v>0</v>
      </c>
      <c r="BS48" s="1007">
        <f t="shared" si="36"/>
        <v>0</v>
      </c>
      <c r="BT48" s="1007">
        <f t="shared" si="52"/>
        <v>0</v>
      </c>
      <c r="BU48" s="1007">
        <f t="shared" si="37"/>
        <v>0</v>
      </c>
      <c r="BV48" s="1007">
        <f t="shared" si="37"/>
        <v>0</v>
      </c>
      <c r="BW48" s="1007"/>
      <c r="BX48" s="1007">
        <f t="shared" si="38"/>
        <v>0</v>
      </c>
      <c r="BY48" s="1007">
        <f t="shared" si="38"/>
        <v>0</v>
      </c>
      <c r="BZ48" s="1007">
        <f>+AG48-BD48</f>
        <v>0</v>
      </c>
      <c r="CA48" s="1007">
        <f t="shared" si="50"/>
        <v>0</v>
      </c>
      <c r="CB48" s="1007">
        <f t="shared" si="50"/>
        <v>0</v>
      </c>
      <c r="CC48" s="1007">
        <f t="shared" si="50"/>
        <v>0</v>
      </c>
      <c r="CD48" s="1007">
        <f t="shared" si="40"/>
        <v>0</v>
      </c>
      <c r="CE48" s="1007">
        <f t="shared" si="40"/>
        <v>0</v>
      </c>
      <c r="CF48" s="1007">
        <f t="shared" si="40"/>
        <v>0</v>
      </c>
      <c r="CG48" s="1007">
        <f t="shared" si="40"/>
        <v>0</v>
      </c>
      <c r="CH48" s="1007">
        <f t="shared" si="40"/>
        <v>0</v>
      </c>
      <c r="CI48" s="1007">
        <f t="shared" si="40"/>
        <v>0</v>
      </c>
      <c r="CJ48" s="1007"/>
      <c r="CK48" s="1007"/>
      <c r="CL48" s="1007">
        <f t="shared" si="41"/>
        <v>0</v>
      </c>
      <c r="CM48" s="1010">
        <f t="shared" si="13"/>
        <v>0.74885578835579569</v>
      </c>
      <c r="CN48" s="1007">
        <f t="shared" si="42"/>
        <v>460457196</v>
      </c>
      <c r="CO48" s="1007"/>
      <c r="CP48" s="1007">
        <f>+'[7]AGOSTO 2015'!$H$1429+'[7]AGOSTO 2015'!$H$1430</f>
        <v>4881000</v>
      </c>
      <c r="CQ48" s="1007"/>
      <c r="CR48" s="1007"/>
      <c r="CS48" s="1007"/>
      <c r="CT48" s="1007">
        <f>+'[8]SEPTIEMBRE 2015'!$H$1734</f>
        <v>89690665</v>
      </c>
      <c r="CU48" s="1007">
        <f>+'[8]SEPTIEMBRE 2015'!$H$1790</f>
        <v>15000000</v>
      </c>
      <c r="CV48" s="1007">
        <f>+'[13]JUNIO 2015'!$H$1093</f>
        <v>102810569</v>
      </c>
      <c r="CW48" s="1007">
        <f>+'[8]SEPTIEMBRE 2015'!$H$1680</f>
        <v>129471348</v>
      </c>
      <c r="CX48" s="1007"/>
      <c r="CY48" s="1007"/>
      <c r="CZ48" s="1007"/>
      <c r="DA48" s="1007"/>
      <c r="DB48" s="1007"/>
      <c r="DC48" s="1007">
        <f>+'[7]AGOSTO 2015'!$H$1432</f>
        <v>82718083</v>
      </c>
      <c r="DD48" s="1007">
        <f>+'[8]SEPTIEMBRE 2015'!$H$1771</f>
        <v>35885531</v>
      </c>
      <c r="DE48" s="1007"/>
      <c r="DF48" s="1007"/>
      <c r="DG48" s="1007"/>
      <c r="DH48" s="1007"/>
      <c r="DI48" s="1010">
        <f t="shared" si="15"/>
        <v>0.25114421164420431</v>
      </c>
      <c r="DJ48" s="1007">
        <f t="shared" si="43"/>
        <v>154423804</v>
      </c>
      <c r="DK48" s="1007"/>
      <c r="DL48" s="1007">
        <f t="shared" si="53"/>
        <v>0</v>
      </c>
      <c r="DM48" s="1007">
        <f t="shared" si="53"/>
        <v>0</v>
      </c>
      <c r="DN48" s="1007">
        <f t="shared" si="51"/>
        <v>0</v>
      </c>
      <c r="DO48" s="1007"/>
      <c r="DP48" s="1007">
        <f t="shared" si="45"/>
        <v>309335</v>
      </c>
      <c r="DQ48" s="1007">
        <f t="shared" si="45"/>
        <v>0</v>
      </c>
      <c r="DR48" s="1007">
        <f>AG48-CV48</f>
        <v>0</v>
      </c>
      <c r="DS48" s="1007">
        <f t="shared" si="46"/>
        <v>90000000</v>
      </c>
      <c r="DT48" s="1007">
        <f t="shared" si="46"/>
        <v>0</v>
      </c>
      <c r="DU48" s="1007"/>
      <c r="DV48" s="1007">
        <f t="shared" si="47"/>
        <v>0</v>
      </c>
      <c r="DW48" s="1007">
        <f t="shared" si="47"/>
        <v>0</v>
      </c>
      <c r="DX48" s="1007">
        <f t="shared" si="47"/>
        <v>10000000</v>
      </c>
      <c r="DY48" s="1007">
        <f t="shared" si="48"/>
        <v>40000000</v>
      </c>
      <c r="DZ48" s="1007">
        <f t="shared" si="48"/>
        <v>14114469</v>
      </c>
      <c r="EA48" s="1007">
        <f t="shared" si="48"/>
        <v>0</v>
      </c>
      <c r="EB48" s="1007">
        <f t="shared" si="48"/>
        <v>0</v>
      </c>
      <c r="EC48" s="1007"/>
      <c r="ED48" s="1007">
        <f t="shared" si="49"/>
        <v>0</v>
      </c>
    </row>
    <row r="49" spans="1:135" ht="37.5" hidden="1" customHeight="1" x14ac:dyDescent="0.25">
      <c r="A49" s="1565"/>
      <c r="B49" s="1018"/>
      <c r="C49" s="1114" t="s">
        <v>4381</v>
      </c>
      <c r="D49" s="1018" t="s">
        <v>4609</v>
      </c>
      <c r="E49" s="1019">
        <v>410</v>
      </c>
      <c r="F49" s="1117" t="s">
        <v>3350</v>
      </c>
      <c r="G49" s="1429"/>
      <c r="H49" s="1060">
        <f t="shared" si="31"/>
        <v>18550000</v>
      </c>
      <c r="I49" s="1060">
        <f t="shared" si="32"/>
        <v>1450000</v>
      </c>
      <c r="J49" s="1430"/>
      <c r="K49" s="1258"/>
      <c r="L49" s="1258"/>
      <c r="M49" s="1113">
        <v>93</v>
      </c>
      <c r="N49" s="1113">
        <v>100</v>
      </c>
      <c r="O49" s="1113">
        <v>93</v>
      </c>
      <c r="P49" s="1113">
        <v>93</v>
      </c>
      <c r="Q49" s="1113">
        <v>100</v>
      </c>
      <c r="R49" s="1113">
        <v>93</v>
      </c>
      <c r="S49" s="1117"/>
      <c r="T49" s="1117"/>
      <c r="U49" s="1117"/>
      <c r="V49" s="1117"/>
      <c r="W49" s="1117"/>
      <c r="X49" s="1117"/>
      <c r="Y49" s="1007">
        <f t="shared" si="33"/>
        <v>20000000</v>
      </c>
      <c r="Z49" s="944"/>
      <c r="AA49" s="1007">
        <f>20000000-18055657-1450000</f>
        <v>494343</v>
      </c>
      <c r="AB49" s="1007">
        <v>18055657</v>
      </c>
      <c r="AC49" s="1007"/>
      <c r="AD49" s="1007"/>
      <c r="AE49" s="1007"/>
      <c r="AF49" s="1007"/>
      <c r="AG49" s="1007"/>
      <c r="AH49" s="1007"/>
      <c r="AI49" s="1007"/>
      <c r="AJ49" s="1007"/>
      <c r="AK49" s="1007"/>
      <c r="AL49" s="1007"/>
      <c r="AM49" s="1007"/>
      <c r="AN49" s="1007"/>
      <c r="AO49" s="1007">
        <v>1450000</v>
      </c>
      <c r="AP49" s="1007"/>
      <c r="AQ49" s="1007"/>
      <c r="AR49" s="1007"/>
      <c r="AS49" s="1007"/>
      <c r="AU49" s="1010">
        <f t="shared" si="3"/>
        <v>1</v>
      </c>
      <c r="AV49" s="1007">
        <f t="shared" si="34"/>
        <v>20000000</v>
      </c>
      <c r="AW49" s="1007"/>
      <c r="AX49" s="1007">
        <v>494343</v>
      </c>
      <c r="AY49" s="1007">
        <v>18055657</v>
      </c>
      <c r="AZ49" s="1007"/>
      <c r="BA49" s="1007"/>
      <c r="BB49" s="1007"/>
      <c r="BC49" s="1007"/>
      <c r="BD49" s="1007"/>
      <c r="BE49" s="1007"/>
      <c r="BF49" s="1007"/>
      <c r="BG49" s="1007"/>
      <c r="BH49" s="1007"/>
      <c r="BI49" s="1007"/>
      <c r="BJ49" s="1007"/>
      <c r="BK49" s="1007"/>
      <c r="BL49" s="1007">
        <f>+'[10]JULIO 2015'!$Y$1386</f>
        <v>1450000</v>
      </c>
      <c r="BM49" s="1007"/>
      <c r="BN49" s="1007"/>
      <c r="BO49" s="1007"/>
      <c r="BP49" s="1007"/>
      <c r="BQ49" s="1010">
        <f t="shared" si="25"/>
        <v>0</v>
      </c>
      <c r="BR49" s="1007">
        <f t="shared" si="35"/>
        <v>0</v>
      </c>
      <c r="BS49" s="1007">
        <f t="shared" si="36"/>
        <v>0</v>
      </c>
      <c r="BT49" s="1007">
        <f t="shared" si="52"/>
        <v>0</v>
      </c>
      <c r="BU49" s="1007">
        <f t="shared" si="37"/>
        <v>0</v>
      </c>
      <c r="BV49" s="1007">
        <f t="shared" si="37"/>
        <v>0</v>
      </c>
      <c r="BW49" s="1007"/>
      <c r="BX49" s="1007">
        <f t="shared" si="38"/>
        <v>0</v>
      </c>
      <c r="BY49" s="1007">
        <f t="shared" si="38"/>
        <v>0</v>
      </c>
      <c r="BZ49" s="1007"/>
      <c r="CA49" s="1007"/>
      <c r="CB49" s="1007">
        <f>+AI49-BF49</f>
        <v>0</v>
      </c>
      <c r="CC49" s="1007"/>
      <c r="CD49" s="1007">
        <f t="shared" si="40"/>
        <v>0</v>
      </c>
      <c r="CE49" s="1007">
        <f t="shared" si="40"/>
        <v>0</v>
      </c>
      <c r="CF49" s="1007">
        <f t="shared" si="40"/>
        <v>0</v>
      </c>
      <c r="CG49" s="1007">
        <f t="shared" si="40"/>
        <v>0</v>
      </c>
      <c r="CH49" s="1007">
        <f t="shared" si="40"/>
        <v>0</v>
      </c>
      <c r="CI49" s="1007">
        <f t="shared" si="40"/>
        <v>0</v>
      </c>
      <c r="CJ49" s="1007"/>
      <c r="CK49" s="1007"/>
      <c r="CL49" s="1007">
        <f t="shared" si="41"/>
        <v>0</v>
      </c>
      <c r="CM49" s="1010">
        <f t="shared" si="13"/>
        <v>0.92749999999999999</v>
      </c>
      <c r="CN49" s="1007">
        <f t="shared" si="42"/>
        <v>18550000</v>
      </c>
      <c r="CO49" s="1007"/>
      <c r="CP49" s="1007">
        <f>20000000-18055657-1450000</f>
        <v>494343</v>
      </c>
      <c r="CQ49" s="1007">
        <v>18055657</v>
      </c>
      <c r="CR49" s="1007"/>
      <c r="CS49" s="1007"/>
      <c r="CT49" s="1007"/>
      <c r="CU49" s="1007"/>
      <c r="CV49" s="1007"/>
      <c r="CW49" s="1007"/>
      <c r="CX49" s="1007"/>
      <c r="CY49" s="1007"/>
      <c r="CZ49" s="1007"/>
      <c r="DA49" s="1007"/>
      <c r="DB49" s="1007"/>
      <c r="DC49" s="1007"/>
      <c r="DD49" s="1007"/>
      <c r="DE49" s="1007"/>
      <c r="DF49" s="1007"/>
      <c r="DG49" s="1007"/>
      <c r="DH49" s="1007"/>
      <c r="DI49" s="1010">
        <f t="shared" si="15"/>
        <v>7.2500000000000009E-2</v>
      </c>
      <c r="DJ49" s="1007">
        <f t="shared" si="43"/>
        <v>1450000</v>
      </c>
      <c r="DK49" s="1007"/>
      <c r="DL49" s="1007">
        <f t="shared" si="53"/>
        <v>0</v>
      </c>
      <c r="DM49" s="1007">
        <f t="shared" si="53"/>
        <v>0</v>
      </c>
      <c r="DN49" s="1007">
        <f t="shared" si="51"/>
        <v>0</v>
      </c>
      <c r="DO49" s="1007"/>
      <c r="DP49" s="1007">
        <f t="shared" si="45"/>
        <v>0</v>
      </c>
      <c r="DQ49" s="1007">
        <f t="shared" si="45"/>
        <v>0</v>
      </c>
      <c r="DR49" s="1007"/>
      <c r="DS49" s="1007">
        <f t="shared" si="46"/>
        <v>0</v>
      </c>
      <c r="DT49" s="1007">
        <f t="shared" si="46"/>
        <v>0</v>
      </c>
      <c r="DU49" s="1007"/>
      <c r="DV49" s="1007">
        <f t="shared" si="47"/>
        <v>0</v>
      </c>
      <c r="DW49" s="1007">
        <f t="shared" si="47"/>
        <v>0</v>
      </c>
      <c r="DX49" s="1007">
        <f t="shared" si="47"/>
        <v>0</v>
      </c>
      <c r="DY49" s="1007">
        <f t="shared" si="48"/>
        <v>0</v>
      </c>
      <c r="DZ49" s="1007">
        <f t="shared" si="48"/>
        <v>1450000</v>
      </c>
      <c r="EA49" s="1007">
        <f t="shared" si="48"/>
        <v>0</v>
      </c>
      <c r="EB49" s="1007">
        <f t="shared" si="48"/>
        <v>0</v>
      </c>
      <c r="EC49" s="1007"/>
      <c r="ED49" s="1007">
        <f t="shared" si="49"/>
        <v>0</v>
      </c>
    </row>
    <row r="50" spans="1:135" ht="44.25" hidden="1" customHeight="1" x14ac:dyDescent="0.25">
      <c r="A50" s="1565"/>
      <c r="B50" s="1018"/>
      <c r="C50" s="1114" t="s">
        <v>4382</v>
      </c>
      <c r="D50" s="1018" t="s">
        <v>4311</v>
      </c>
      <c r="E50" s="1019">
        <v>410</v>
      </c>
      <c r="F50" s="1117" t="s">
        <v>4704</v>
      </c>
      <c r="G50" s="1429"/>
      <c r="H50" s="1060">
        <f t="shared" si="31"/>
        <v>8774500</v>
      </c>
      <c r="I50" s="1060">
        <f t="shared" si="32"/>
        <v>22725500</v>
      </c>
      <c r="J50" s="1428" t="s">
        <v>4813</v>
      </c>
      <c r="K50" s="1257" t="s">
        <v>4814</v>
      </c>
      <c r="L50" s="1257" t="s">
        <v>4813</v>
      </c>
      <c r="M50" s="1113">
        <v>0</v>
      </c>
      <c r="N50" s="1113">
        <v>0</v>
      </c>
      <c r="O50" s="1113">
        <v>0</v>
      </c>
      <c r="P50" s="1113">
        <v>8</v>
      </c>
      <c r="Q50" s="1113">
        <v>0</v>
      </c>
      <c r="R50" s="1113">
        <v>0</v>
      </c>
      <c r="S50" s="1117"/>
      <c r="T50" s="1117"/>
      <c r="U50" s="1117"/>
      <c r="V50" s="1117"/>
      <c r="W50" s="1117"/>
      <c r="X50" s="1117"/>
      <c r="Y50" s="1007">
        <f t="shared" si="33"/>
        <v>31500000</v>
      </c>
      <c r="Z50" s="944"/>
      <c r="AA50" s="1007"/>
      <c r="AB50" s="1007"/>
      <c r="AC50" s="1007"/>
      <c r="AD50" s="1007"/>
      <c r="AE50" s="1007"/>
      <c r="AF50" s="1007"/>
      <c r="AG50" s="1007"/>
      <c r="AH50" s="1007"/>
      <c r="AI50" s="1007"/>
      <c r="AJ50" s="1007"/>
      <c r="AK50" s="1007"/>
      <c r="AL50" s="1007"/>
      <c r="AM50" s="1007"/>
      <c r="AN50" s="1007">
        <f>14000000-10000000</f>
        <v>4000000</v>
      </c>
      <c r="AO50" s="1007"/>
      <c r="AP50" s="1007"/>
      <c r="AQ50" s="1007"/>
      <c r="AR50" s="1007"/>
      <c r="AS50" s="1007">
        <f>5000000+2500000+5000000+15000000</f>
        <v>27500000</v>
      </c>
      <c r="AU50" s="1010">
        <f t="shared" si="3"/>
        <v>0.36507936507936506</v>
      </c>
      <c r="AV50" s="1007">
        <f t="shared" si="34"/>
        <v>11500000</v>
      </c>
      <c r="AW50" s="1007"/>
      <c r="AX50" s="1007"/>
      <c r="AY50" s="1007"/>
      <c r="AZ50" s="1007"/>
      <c r="BA50" s="1007"/>
      <c r="BB50" s="1007"/>
      <c r="BC50" s="1007"/>
      <c r="BD50" s="1007"/>
      <c r="BE50" s="1007"/>
      <c r="BF50" s="1007"/>
      <c r="BG50" s="1007"/>
      <c r="BH50" s="1007"/>
      <c r="BI50" s="1007"/>
      <c r="BJ50" s="1007"/>
      <c r="BK50" s="1007">
        <v>4000000</v>
      </c>
      <c r="BL50" s="1007"/>
      <c r="BM50" s="1007"/>
      <c r="BN50" s="1007"/>
      <c r="BO50" s="1007"/>
      <c r="BP50" s="1007">
        <f>+'[15]FEBRERO 2015'!$AC$565</f>
        <v>7500000</v>
      </c>
      <c r="BQ50" s="1010">
        <f t="shared" si="25"/>
        <v>0.63492063492063489</v>
      </c>
      <c r="BR50" s="1007">
        <f t="shared" si="35"/>
        <v>20000000</v>
      </c>
      <c r="BS50" s="1007">
        <f t="shared" si="36"/>
        <v>0</v>
      </c>
      <c r="BT50" s="1007">
        <f t="shared" si="52"/>
        <v>0</v>
      </c>
      <c r="BU50" s="1007">
        <f t="shared" si="37"/>
        <v>0</v>
      </c>
      <c r="BV50" s="1007">
        <f t="shared" si="37"/>
        <v>0</v>
      </c>
      <c r="BW50" s="1007"/>
      <c r="BX50" s="1007">
        <f t="shared" si="38"/>
        <v>0</v>
      </c>
      <c r="BY50" s="1007">
        <f t="shared" si="38"/>
        <v>0</v>
      </c>
      <c r="BZ50" s="1007"/>
      <c r="CA50" s="1007"/>
      <c r="CB50" s="1007">
        <f>+AI50-BF50</f>
        <v>0</v>
      </c>
      <c r="CC50" s="1007"/>
      <c r="CD50" s="1007">
        <f t="shared" si="40"/>
        <v>0</v>
      </c>
      <c r="CE50" s="1007">
        <f t="shared" si="40"/>
        <v>0</v>
      </c>
      <c r="CF50" s="1007">
        <f t="shared" si="40"/>
        <v>0</v>
      </c>
      <c r="CG50" s="1007">
        <f t="shared" si="40"/>
        <v>0</v>
      </c>
      <c r="CH50" s="1007">
        <f t="shared" si="40"/>
        <v>0</v>
      </c>
      <c r="CI50" s="1007">
        <f t="shared" si="40"/>
        <v>0</v>
      </c>
      <c r="CJ50" s="1007"/>
      <c r="CK50" s="1007"/>
      <c r="CL50" s="1007">
        <f t="shared" si="41"/>
        <v>20000000</v>
      </c>
      <c r="CM50" s="1010">
        <f t="shared" si="13"/>
        <v>0.27855555555555556</v>
      </c>
      <c r="CN50" s="1007">
        <f t="shared" si="42"/>
        <v>8774500</v>
      </c>
      <c r="CO50" s="1007"/>
      <c r="CP50" s="1007"/>
      <c r="CQ50" s="1007"/>
      <c r="CR50" s="1007"/>
      <c r="CS50" s="1007"/>
      <c r="CT50" s="1007"/>
      <c r="CU50" s="1007"/>
      <c r="CV50" s="1007"/>
      <c r="CW50" s="1007"/>
      <c r="CX50" s="1007"/>
      <c r="CY50" s="1007"/>
      <c r="CZ50" s="1007"/>
      <c r="DA50" s="1007"/>
      <c r="DB50" s="1007"/>
      <c r="DC50" s="1007">
        <f>+'[10]JULIO 2015'!$H$1401</f>
        <v>4000000</v>
      </c>
      <c r="DD50" s="1007"/>
      <c r="DE50" s="1007"/>
      <c r="DF50" s="1007"/>
      <c r="DG50" s="1007"/>
      <c r="DH50" s="1007">
        <f>+'[8]SEPTIEMBRE 2015'!$H$1812</f>
        <v>4774500</v>
      </c>
      <c r="DI50" s="1010">
        <f t="shared" si="15"/>
        <v>0.72144444444444444</v>
      </c>
      <c r="DJ50" s="1007">
        <f t="shared" si="43"/>
        <v>22725500</v>
      </c>
      <c r="DK50" s="1007"/>
      <c r="DL50" s="1007"/>
      <c r="DM50" s="1007"/>
      <c r="DN50" s="1007">
        <f t="shared" si="51"/>
        <v>0</v>
      </c>
      <c r="DO50" s="1007"/>
      <c r="DP50" s="1007">
        <f t="shared" si="45"/>
        <v>0</v>
      </c>
      <c r="DQ50" s="1007">
        <f t="shared" si="45"/>
        <v>0</v>
      </c>
      <c r="DR50" s="1007"/>
      <c r="DS50" s="1007">
        <f t="shared" si="46"/>
        <v>0</v>
      </c>
      <c r="DT50" s="1007">
        <f t="shared" si="46"/>
        <v>0</v>
      </c>
      <c r="DU50" s="1007"/>
      <c r="DV50" s="1007">
        <f t="shared" si="47"/>
        <v>0</v>
      </c>
      <c r="DW50" s="1007">
        <f t="shared" si="47"/>
        <v>0</v>
      </c>
      <c r="DX50" s="1007">
        <f t="shared" si="47"/>
        <v>0</v>
      </c>
      <c r="DY50" s="1007">
        <f t="shared" si="48"/>
        <v>0</v>
      </c>
      <c r="DZ50" s="1007">
        <f t="shared" si="48"/>
        <v>0</v>
      </c>
      <c r="EA50" s="1007">
        <f t="shared" si="48"/>
        <v>0</v>
      </c>
      <c r="EB50" s="1007">
        <f t="shared" si="48"/>
        <v>0</v>
      </c>
      <c r="EC50" s="1007"/>
      <c r="ED50" s="1007">
        <f t="shared" si="49"/>
        <v>22725500</v>
      </c>
    </row>
    <row r="51" spans="1:135" ht="36.75" hidden="1" customHeight="1" x14ac:dyDescent="0.25">
      <c r="A51" s="1565"/>
      <c r="B51" s="1018"/>
      <c r="C51" s="1114" t="s">
        <v>4383</v>
      </c>
      <c r="D51" s="1018" t="s">
        <v>4324</v>
      </c>
      <c r="E51" s="1019">
        <v>410</v>
      </c>
      <c r="F51" s="1117" t="s">
        <v>4347</v>
      </c>
      <c r="G51" s="1429"/>
      <c r="H51" s="1060">
        <f t="shared" si="31"/>
        <v>0</v>
      </c>
      <c r="I51" s="1060">
        <f t="shared" si="32"/>
        <v>7000000</v>
      </c>
      <c r="J51" s="1429"/>
      <c r="K51" s="1562"/>
      <c r="L51" s="1562"/>
      <c r="M51" s="1113">
        <v>0</v>
      </c>
      <c r="N51" s="1113">
        <v>0</v>
      </c>
      <c r="O51" s="1113">
        <v>0</v>
      </c>
      <c r="P51" s="1113">
        <v>0</v>
      </c>
      <c r="Q51" s="1113">
        <v>0</v>
      </c>
      <c r="R51" s="1113">
        <v>0</v>
      </c>
      <c r="S51" s="1117"/>
      <c r="T51" s="1117"/>
      <c r="U51" s="1117"/>
      <c r="V51" s="1117"/>
      <c r="W51" s="1117"/>
      <c r="X51" s="1117"/>
      <c r="Y51" s="1007">
        <f t="shared" si="33"/>
        <v>7000000</v>
      </c>
      <c r="Z51" s="944"/>
      <c r="AA51" s="1007"/>
      <c r="AB51" s="1007"/>
      <c r="AC51" s="1007"/>
      <c r="AD51" s="1007"/>
      <c r="AE51" s="1007"/>
      <c r="AF51" s="1007"/>
      <c r="AG51" s="1007"/>
      <c r="AH51" s="1007"/>
      <c r="AI51" s="1007"/>
      <c r="AJ51" s="1007"/>
      <c r="AK51" s="1007"/>
      <c r="AL51" s="1007"/>
      <c r="AM51" s="1007"/>
      <c r="AN51" s="1007"/>
      <c r="AO51" s="1007"/>
      <c r="AP51" s="1007"/>
      <c r="AQ51" s="1007"/>
      <c r="AR51" s="1007"/>
      <c r="AS51" s="1007">
        <f>2000000+5000000</f>
        <v>7000000</v>
      </c>
      <c r="AU51" s="1010">
        <f t="shared" si="3"/>
        <v>0.2857142857142857</v>
      </c>
      <c r="AV51" s="1007">
        <f t="shared" si="34"/>
        <v>2000000</v>
      </c>
      <c r="AW51" s="1007"/>
      <c r="AX51" s="1007"/>
      <c r="AY51" s="1007"/>
      <c r="AZ51" s="1007"/>
      <c r="BA51" s="1007"/>
      <c r="BB51" s="1007"/>
      <c r="BC51" s="1007"/>
      <c r="BD51" s="1007"/>
      <c r="BE51" s="1007"/>
      <c r="BF51" s="1007"/>
      <c r="BG51" s="1007"/>
      <c r="BH51" s="1007"/>
      <c r="BI51" s="1007"/>
      <c r="BJ51" s="1007"/>
      <c r="BK51" s="1007"/>
      <c r="BL51" s="1007"/>
      <c r="BM51" s="1007"/>
      <c r="BN51" s="1007"/>
      <c r="BO51" s="1007"/>
      <c r="BP51" s="1007">
        <f>+'[15]FEBRERO 2015'!$AC$571</f>
        <v>2000000</v>
      </c>
      <c r="BQ51" s="1010">
        <f t="shared" si="25"/>
        <v>0.7142857142857143</v>
      </c>
      <c r="BR51" s="1007">
        <f t="shared" si="35"/>
        <v>5000000</v>
      </c>
      <c r="BS51" s="1007">
        <f t="shared" si="36"/>
        <v>0</v>
      </c>
      <c r="BT51" s="1007">
        <f t="shared" si="52"/>
        <v>0</v>
      </c>
      <c r="BU51" s="1007">
        <f t="shared" si="52"/>
        <v>0</v>
      </c>
      <c r="BV51" s="1007">
        <f t="shared" si="52"/>
        <v>0</v>
      </c>
      <c r="BW51" s="1007"/>
      <c r="BX51" s="1007">
        <f t="shared" si="38"/>
        <v>0</v>
      </c>
      <c r="BY51" s="1007">
        <f t="shared" si="38"/>
        <v>0</v>
      </c>
      <c r="BZ51" s="1007"/>
      <c r="CA51" s="1007"/>
      <c r="CB51" s="1007">
        <f>+AI51-BF51</f>
        <v>0</v>
      </c>
      <c r="CC51" s="1007"/>
      <c r="CD51" s="1007">
        <f t="shared" si="40"/>
        <v>0</v>
      </c>
      <c r="CE51" s="1007">
        <f t="shared" si="40"/>
        <v>0</v>
      </c>
      <c r="CF51" s="1007">
        <f t="shared" si="40"/>
        <v>0</v>
      </c>
      <c r="CG51" s="1007">
        <f t="shared" si="40"/>
        <v>0</v>
      </c>
      <c r="CH51" s="1007">
        <f t="shared" si="40"/>
        <v>0</v>
      </c>
      <c r="CI51" s="1007">
        <f t="shared" si="40"/>
        <v>0</v>
      </c>
      <c r="CJ51" s="1007"/>
      <c r="CK51" s="1007"/>
      <c r="CL51" s="1007">
        <f t="shared" si="41"/>
        <v>5000000</v>
      </c>
      <c r="CM51" s="1010">
        <f t="shared" si="13"/>
        <v>0</v>
      </c>
      <c r="CN51" s="1007">
        <f t="shared" si="42"/>
        <v>0</v>
      </c>
      <c r="CO51" s="1007"/>
      <c r="CP51" s="1007"/>
      <c r="CQ51" s="1007"/>
      <c r="CR51" s="1007"/>
      <c r="CS51" s="1007"/>
      <c r="CT51" s="1007"/>
      <c r="CU51" s="1007"/>
      <c r="CV51" s="1007"/>
      <c r="CW51" s="1007"/>
      <c r="CX51" s="1007"/>
      <c r="CY51" s="1007"/>
      <c r="CZ51" s="1007"/>
      <c r="DA51" s="1007"/>
      <c r="DB51" s="1007"/>
      <c r="DC51" s="1007"/>
      <c r="DD51" s="1007"/>
      <c r="DE51" s="1007"/>
      <c r="DF51" s="1007"/>
      <c r="DG51" s="1007"/>
      <c r="DH51" s="1007"/>
      <c r="DI51" s="1010">
        <f t="shared" si="15"/>
        <v>1</v>
      </c>
      <c r="DJ51" s="1007">
        <f t="shared" si="43"/>
        <v>7000000</v>
      </c>
      <c r="DK51" s="1007"/>
      <c r="DL51" s="1007"/>
      <c r="DM51" s="1007"/>
      <c r="DN51" s="1007">
        <f t="shared" si="51"/>
        <v>0</v>
      </c>
      <c r="DO51" s="1007"/>
      <c r="DP51" s="1007">
        <f t="shared" si="45"/>
        <v>0</v>
      </c>
      <c r="DQ51" s="1007">
        <f t="shared" si="45"/>
        <v>0</v>
      </c>
      <c r="DR51" s="1007"/>
      <c r="DS51" s="1007">
        <f t="shared" si="46"/>
        <v>0</v>
      </c>
      <c r="DT51" s="1007">
        <f t="shared" si="46"/>
        <v>0</v>
      </c>
      <c r="DU51" s="1007"/>
      <c r="DV51" s="1007">
        <f t="shared" si="47"/>
        <v>0</v>
      </c>
      <c r="DW51" s="1007">
        <f t="shared" si="47"/>
        <v>0</v>
      </c>
      <c r="DX51" s="1007">
        <f t="shared" si="47"/>
        <v>0</v>
      </c>
      <c r="DY51" s="1007">
        <f t="shared" si="48"/>
        <v>0</v>
      </c>
      <c r="DZ51" s="1007">
        <f t="shared" si="48"/>
        <v>0</v>
      </c>
      <c r="EA51" s="1007">
        <f t="shared" si="48"/>
        <v>0</v>
      </c>
      <c r="EB51" s="1007">
        <f t="shared" si="48"/>
        <v>0</v>
      </c>
      <c r="EC51" s="1007"/>
      <c r="ED51" s="1007">
        <f t="shared" si="49"/>
        <v>7000000</v>
      </c>
    </row>
    <row r="52" spans="1:135" s="203" customFormat="1" ht="21.75" hidden="1" customHeight="1" x14ac:dyDescent="0.25">
      <c r="A52" s="1565"/>
      <c r="B52" s="1018"/>
      <c r="C52" s="1080" t="s">
        <v>4384</v>
      </c>
      <c r="D52" s="1018" t="s">
        <v>4325</v>
      </c>
      <c r="E52" s="1019">
        <v>410</v>
      </c>
      <c r="F52" s="1117" t="s">
        <v>3350</v>
      </c>
      <c r="G52" s="1430"/>
      <c r="H52" s="1060">
        <f t="shared" si="31"/>
        <v>478086868</v>
      </c>
      <c r="I52" s="1060">
        <f t="shared" si="32"/>
        <v>221913132</v>
      </c>
      <c r="J52" s="1430"/>
      <c r="K52" s="1258"/>
      <c r="L52" s="1258"/>
      <c r="M52" s="1074"/>
      <c r="N52" s="1074"/>
      <c r="O52" s="1074"/>
      <c r="P52" s="1074"/>
      <c r="Q52" s="1074"/>
      <c r="R52" s="1074"/>
      <c r="S52" s="1117"/>
      <c r="T52" s="1117"/>
      <c r="U52" s="1117"/>
      <c r="V52" s="1117"/>
      <c r="W52" s="1117"/>
      <c r="X52" s="1117"/>
      <c r="Y52" s="1066">
        <f t="shared" si="33"/>
        <v>700000000</v>
      </c>
      <c r="Z52" s="149"/>
      <c r="AA52" s="1066"/>
      <c r="AB52" s="1066"/>
      <c r="AC52" s="1066"/>
      <c r="AD52" s="1066"/>
      <c r="AE52" s="1066"/>
      <c r="AF52" s="1066"/>
      <c r="AG52" s="1066"/>
      <c r="AH52" s="1066"/>
      <c r="AI52" s="1066"/>
      <c r="AJ52" s="1066"/>
      <c r="AK52" s="1066"/>
      <c r="AL52" s="1066">
        <v>700000000</v>
      </c>
      <c r="AM52" s="1066"/>
      <c r="AN52" s="1066"/>
      <c r="AO52" s="1066"/>
      <c r="AP52" s="1066"/>
      <c r="AQ52" s="1066"/>
      <c r="AR52" s="1066"/>
      <c r="AS52" s="1066"/>
      <c r="AU52" s="1081">
        <f t="shared" si="3"/>
        <v>0.87039913571428573</v>
      </c>
      <c r="AV52" s="1066">
        <f t="shared" si="34"/>
        <v>609279395</v>
      </c>
      <c r="AW52" s="1066"/>
      <c r="AX52" s="1066"/>
      <c r="AY52" s="1066"/>
      <c r="AZ52" s="1066"/>
      <c r="BA52" s="1066"/>
      <c r="BB52" s="1066"/>
      <c r="BC52" s="1066"/>
      <c r="BD52" s="1066"/>
      <c r="BE52" s="1066"/>
      <c r="BF52" s="1066"/>
      <c r="BG52" s="1066"/>
      <c r="BH52" s="1066"/>
      <c r="BI52" s="1066">
        <v>609279395</v>
      </c>
      <c r="BJ52" s="1066"/>
      <c r="BK52" s="1066"/>
      <c r="BL52" s="1066"/>
      <c r="BM52" s="1066"/>
      <c r="BN52" s="1066"/>
      <c r="BO52" s="1066"/>
      <c r="BP52" s="1066"/>
      <c r="BQ52" s="1081">
        <f t="shared" si="25"/>
        <v>0.12960086428571427</v>
      </c>
      <c r="BR52" s="1066">
        <f t="shared" si="35"/>
        <v>90720605</v>
      </c>
      <c r="BS52" s="1066">
        <f t="shared" si="36"/>
        <v>0</v>
      </c>
      <c r="BT52" s="1066">
        <f t="shared" si="52"/>
        <v>0</v>
      </c>
      <c r="BU52" s="1066">
        <f t="shared" si="52"/>
        <v>0</v>
      </c>
      <c r="BV52" s="1066">
        <f t="shared" si="52"/>
        <v>0</v>
      </c>
      <c r="BW52" s="1066"/>
      <c r="BX52" s="1066">
        <f t="shared" si="38"/>
        <v>0</v>
      </c>
      <c r="BY52" s="1066">
        <f t="shared" si="38"/>
        <v>0</v>
      </c>
      <c r="BZ52" s="1066"/>
      <c r="CA52" s="1066">
        <f>+AH52-BE52</f>
        <v>0</v>
      </c>
      <c r="CB52" s="1066">
        <f>+AI52-BF52</f>
        <v>0</v>
      </c>
      <c r="CC52" s="1066">
        <f>+AJ52-BG52</f>
        <v>0</v>
      </c>
      <c r="CD52" s="1066">
        <f t="shared" si="40"/>
        <v>0</v>
      </c>
      <c r="CE52" s="1066">
        <f t="shared" si="40"/>
        <v>90720605</v>
      </c>
      <c r="CF52" s="1066">
        <f t="shared" si="40"/>
        <v>0</v>
      </c>
      <c r="CG52" s="1066">
        <f t="shared" si="40"/>
        <v>0</v>
      </c>
      <c r="CH52" s="1066">
        <f t="shared" si="40"/>
        <v>0</v>
      </c>
      <c r="CI52" s="1066">
        <f t="shared" si="40"/>
        <v>0</v>
      </c>
      <c r="CJ52" s="1066"/>
      <c r="CK52" s="1066"/>
      <c r="CL52" s="1066">
        <f t="shared" si="41"/>
        <v>0</v>
      </c>
      <c r="CM52" s="1081">
        <f t="shared" si="13"/>
        <v>0.68298124000000004</v>
      </c>
      <c r="CN52" s="1066">
        <f t="shared" si="42"/>
        <v>478086868</v>
      </c>
      <c r="CO52" s="1066"/>
      <c r="CP52" s="1066"/>
      <c r="CQ52" s="1066"/>
      <c r="CR52" s="1066"/>
      <c r="CS52" s="1066"/>
      <c r="CT52" s="1066"/>
      <c r="CU52" s="1066"/>
      <c r="CV52" s="1066"/>
      <c r="CW52" s="1066"/>
      <c r="CX52" s="1066"/>
      <c r="CY52" s="1066"/>
      <c r="CZ52" s="1066"/>
      <c r="DA52" s="1066">
        <f>+'[8]SEPTIEMBRE 2015'!$H$1829</f>
        <v>478086868</v>
      </c>
      <c r="DB52" s="1066"/>
      <c r="DC52" s="1066"/>
      <c r="DD52" s="1066"/>
      <c r="DE52" s="1066"/>
      <c r="DF52" s="1066"/>
      <c r="DG52" s="1066"/>
      <c r="DH52" s="1066"/>
      <c r="DI52" s="1081">
        <f t="shared" si="15"/>
        <v>0.31701875999999996</v>
      </c>
      <c r="DJ52" s="1066">
        <f t="shared" si="43"/>
        <v>221913132</v>
      </c>
      <c r="DK52" s="1066"/>
      <c r="DL52" s="1066"/>
      <c r="DM52" s="1066"/>
      <c r="DN52" s="1066">
        <f t="shared" si="51"/>
        <v>0</v>
      </c>
      <c r="DO52" s="1066"/>
      <c r="DP52" s="1066">
        <f t="shared" si="45"/>
        <v>0</v>
      </c>
      <c r="DQ52" s="1066">
        <f t="shared" si="45"/>
        <v>0</v>
      </c>
      <c r="DR52" s="1066"/>
      <c r="DS52" s="1066">
        <f t="shared" si="46"/>
        <v>0</v>
      </c>
      <c r="DT52" s="1066">
        <f t="shared" si="46"/>
        <v>0</v>
      </c>
      <c r="DU52" s="1066"/>
      <c r="DV52" s="1066">
        <f t="shared" si="47"/>
        <v>0</v>
      </c>
      <c r="DW52" s="1066">
        <f t="shared" si="47"/>
        <v>221913132</v>
      </c>
      <c r="DX52" s="1066">
        <f t="shared" si="47"/>
        <v>0</v>
      </c>
      <c r="DY52" s="1066">
        <f t="shared" si="48"/>
        <v>0</v>
      </c>
      <c r="DZ52" s="1066">
        <f t="shared" si="48"/>
        <v>0</v>
      </c>
      <c r="EA52" s="1066">
        <f t="shared" si="48"/>
        <v>0</v>
      </c>
      <c r="EB52" s="1066">
        <f t="shared" si="48"/>
        <v>0</v>
      </c>
      <c r="EC52" s="1066"/>
      <c r="ED52" s="1066">
        <f t="shared" si="49"/>
        <v>0</v>
      </c>
    </row>
    <row r="53" spans="1:135" ht="53.25" hidden="1" customHeight="1" x14ac:dyDescent="0.25">
      <c r="A53" s="1565"/>
      <c r="B53" s="1018" t="s">
        <v>4312</v>
      </c>
      <c r="C53" s="1114" t="s">
        <v>4385</v>
      </c>
      <c r="D53" s="1018" t="s">
        <v>4327</v>
      </c>
      <c r="E53" s="1019">
        <v>410</v>
      </c>
      <c r="F53" s="1117" t="s">
        <v>4732</v>
      </c>
      <c r="G53" s="1428">
        <v>1104000000</v>
      </c>
      <c r="H53" s="1060">
        <f t="shared" si="31"/>
        <v>237292</v>
      </c>
      <c r="I53" s="1060">
        <f t="shared" si="32"/>
        <v>5762708</v>
      </c>
      <c r="J53" s="1117" t="s">
        <v>4826</v>
      </c>
      <c r="K53" s="1113" t="s">
        <v>4828</v>
      </c>
      <c r="L53" s="1113" t="s">
        <v>4830</v>
      </c>
      <c r="M53" s="1113">
        <v>0</v>
      </c>
      <c r="N53" s="1113">
        <v>0</v>
      </c>
      <c r="O53" s="1113">
        <v>0</v>
      </c>
      <c r="P53" s="1113">
        <v>0</v>
      </c>
      <c r="Q53" s="1113">
        <v>0</v>
      </c>
      <c r="R53" s="1113">
        <v>0</v>
      </c>
      <c r="S53" s="1117"/>
      <c r="T53" s="1117"/>
      <c r="U53" s="1117"/>
      <c r="V53" s="1117"/>
      <c r="W53" s="1117"/>
      <c r="X53" s="1117"/>
      <c r="Y53" s="1007">
        <f t="shared" si="33"/>
        <v>6000000</v>
      </c>
      <c r="Z53" s="944"/>
      <c r="AA53" s="1007"/>
      <c r="AB53" s="1007"/>
      <c r="AC53" s="1007"/>
      <c r="AD53" s="1007"/>
      <c r="AE53" s="1007"/>
      <c r="AF53" s="1007"/>
      <c r="AG53" s="1007"/>
      <c r="AH53" s="1007"/>
      <c r="AI53" s="1007"/>
      <c r="AJ53" s="1007"/>
      <c r="AK53" s="1007"/>
      <c r="AL53" s="1007"/>
      <c r="AM53" s="1007"/>
      <c r="AN53" s="1007"/>
      <c r="AO53" s="1007"/>
      <c r="AP53" s="1007"/>
      <c r="AQ53" s="1007"/>
      <c r="AR53" s="1007"/>
      <c r="AS53" s="1007">
        <f>4000000+2000000</f>
        <v>6000000</v>
      </c>
      <c r="AU53" s="1010">
        <f t="shared" si="3"/>
        <v>1</v>
      </c>
      <c r="AV53" s="1007">
        <f t="shared" si="34"/>
        <v>6000000</v>
      </c>
      <c r="AW53" s="1007"/>
      <c r="AX53" s="1007"/>
      <c r="AY53" s="1007"/>
      <c r="AZ53" s="1007"/>
      <c r="BA53" s="1007"/>
      <c r="BB53" s="1007"/>
      <c r="BC53" s="1007"/>
      <c r="BD53" s="1007"/>
      <c r="BE53" s="1007"/>
      <c r="BF53" s="1007"/>
      <c r="BG53" s="1007"/>
      <c r="BH53" s="1007"/>
      <c r="BI53" s="1007"/>
      <c r="BJ53" s="1007"/>
      <c r="BK53" s="1007"/>
      <c r="BL53" s="1007"/>
      <c r="BM53" s="1007"/>
      <c r="BN53" s="1007"/>
      <c r="BO53" s="1007"/>
      <c r="BP53" s="1007">
        <f>+'[10]JULIO 2015'!$AD$1462</f>
        <v>6000000</v>
      </c>
      <c r="BQ53" s="1010">
        <f t="shared" si="25"/>
        <v>0</v>
      </c>
      <c r="BR53" s="1007">
        <f t="shared" si="35"/>
        <v>0</v>
      </c>
      <c r="BS53" s="1007">
        <f t="shared" si="36"/>
        <v>0</v>
      </c>
      <c r="BT53" s="1007">
        <f t="shared" si="52"/>
        <v>0</v>
      </c>
      <c r="BU53" s="1007">
        <f t="shared" si="52"/>
        <v>0</v>
      </c>
      <c r="BV53" s="1007">
        <f t="shared" si="52"/>
        <v>0</v>
      </c>
      <c r="BW53" s="1007"/>
      <c r="BX53" s="1007">
        <f t="shared" si="38"/>
        <v>0</v>
      </c>
      <c r="BY53" s="1007">
        <f t="shared" si="38"/>
        <v>0</v>
      </c>
      <c r="BZ53" s="1007"/>
      <c r="CA53" s="1007">
        <f>+AH53-BF53</f>
        <v>0</v>
      </c>
      <c r="CB53" s="1007">
        <f>+AI53-BF53</f>
        <v>0</v>
      </c>
      <c r="CC53" s="1007">
        <f>+AJ53-BG53</f>
        <v>0</v>
      </c>
      <c r="CD53" s="1007">
        <f t="shared" si="40"/>
        <v>0</v>
      </c>
      <c r="CE53" s="1007">
        <f t="shared" si="40"/>
        <v>0</v>
      </c>
      <c r="CF53" s="1007">
        <f t="shared" si="40"/>
        <v>0</v>
      </c>
      <c r="CG53" s="1007">
        <f t="shared" si="40"/>
        <v>0</v>
      </c>
      <c r="CH53" s="1007">
        <f t="shared" si="40"/>
        <v>0</v>
      </c>
      <c r="CI53" s="1007">
        <f t="shared" si="40"/>
        <v>0</v>
      </c>
      <c r="CJ53" s="1007">
        <f>+AQ53-BN53</f>
        <v>0</v>
      </c>
      <c r="CK53" s="1007">
        <f>+AR53-BO53</f>
        <v>0</v>
      </c>
      <c r="CL53" s="1007">
        <f t="shared" si="41"/>
        <v>0</v>
      </c>
      <c r="CM53" s="1010">
        <f t="shared" si="13"/>
        <v>3.9548666666666669E-2</v>
      </c>
      <c r="CN53" s="1007">
        <f t="shared" si="42"/>
        <v>237292</v>
      </c>
      <c r="CO53" s="1007"/>
      <c r="CP53" s="1007"/>
      <c r="CQ53" s="1007"/>
      <c r="CR53" s="1007"/>
      <c r="CS53" s="1007"/>
      <c r="CT53" s="1007"/>
      <c r="CU53" s="1007"/>
      <c r="CV53" s="1007"/>
      <c r="CW53" s="1007"/>
      <c r="CX53" s="1007"/>
      <c r="CY53" s="1007"/>
      <c r="CZ53" s="1007"/>
      <c r="DA53" s="1007"/>
      <c r="DB53" s="1007"/>
      <c r="DC53" s="1007"/>
      <c r="DD53" s="1007"/>
      <c r="DE53" s="1007"/>
      <c r="DF53" s="1007"/>
      <c r="DG53" s="1007"/>
      <c r="DH53" s="1007">
        <f>+'[7]AGOSTO 2015'!$H$1644</f>
        <v>237292</v>
      </c>
      <c r="DI53" s="1010">
        <f t="shared" si="15"/>
        <v>0.96045133333333332</v>
      </c>
      <c r="DJ53" s="1007">
        <f t="shared" si="43"/>
        <v>5762708</v>
      </c>
      <c r="DK53" s="1007"/>
      <c r="DL53" s="1007"/>
      <c r="DM53" s="1007"/>
      <c r="DN53" s="1007">
        <f t="shared" si="51"/>
        <v>0</v>
      </c>
      <c r="DO53" s="1007"/>
      <c r="DP53" s="1007">
        <f t="shared" si="45"/>
        <v>0</v>
      </c>
      <c r="DQ53" s="1007">
        <f t="shared" si="45"/>
        <v>0</v>
      </c>
      <c r="DR53" s="1007"/>
      <c r="DS53" s="1007">
        <f t="shared" si="46"/>
        <v>0</v>
      </c>
      <c r="DT53" s="1007">
        <f t="shared" si="46"/>
        <v>0</v>
      </c>
      <c r="DU53" s="1007"/>
      <c r="DV53" s="1007">
        <f t="shared" si="47"/>
        <v>0</v>
      </c>
      <c r="DW53" s="1007">
        <f t="shared" si="47"/>
        <v>0</v>
      </c>
      <c r="DX53" s="1007">
        <f t="shared" si="47"/>
        <v>0</v>
      </c>
      <c r="DY53" s="1007">
        <f t="shared" si="48"/>
        <v>0</v>
      </c>
      <c r="DZ53" s="1007">
        <f t="shared" si="48"/>
        <v>0</v>
      </c>
      <c r="EA53" s="1007">
        <f t="shared" si="48"/>
        <v>0</v>
      </c>
      <c r="EB53" s="1007">
        <f t="shared" si="48"/>
        <v>0</v>
      </c>
      <c r="EC53" s="1007"/>
      <c r="ED53" s="1007">
        <f t="shared" si="49"/>
        <v>5762708</v>
      </c>
    </row>
    <row r="54" spans="1:135" ht="36.75" hidden="1" customHeight="1" x14ac:dyDescent="0.25">
      <c r="A54" s="1565"/>
      <c r="B54" s="1018"/>
      <c r="C54" s="1114" t="s">
        <v>4386</v>
      </c>
      <c r="D54" s="1018" t="s">
        <v>4326</v>
      </c>
      <c r="E54" s="1019">
        <v>410</v>
      </c>
      <c r="F54" s="1117" t="s">
        <v>3350</v>
      </c>
      <c r="G54" s="1429"/>
      <c r="H54" s="1060">
        <f t="shared" si="31"/>
        <v>68304224</v>
      </c>
      <c r="I54" s="1060">
        <f t="shared" si="32"/>
        <v>49135813</v>
      </c>
      <c r="J54" s="1428" t="s">
        <v>4827</v>
      </c>
      <c r="K54" s="1257" t="s">
        <v>4829</v>
      </c>
      <c r="L54" s="1257" t="s">
        <v>4831</v>
      </c>
      <c r="M54" s="1113">
        <v>6</v>
      </c>
      <c r="N54" s="1113">
        <v>400</v>
      </c>
      <c r="O54" s="1113">
        <v>25</v>
      </c>
      <c r="P54" s="1113">
        <v>44</v>
      </c>
      <c r="Q54" s="1113">
        <v>450</v>
      </c>
      <c r="R54" s="1113">
        <v>200</v>
      </c>
      <c r="S54" s="1117"/>
      <c r="T54" s="1117"/>
      <c r="U54" s="1117"/>
      <c r="V54" s="1117"/>
      <c r="W54" s="1117"/>
      <c r="X54" s="1117"/>
      <c r="Y54" s="1007">
        <f t="shared" si="33"/>
        <v>117440037</v>
      </c>
      <c r="Z54" s="944"/>
      <c r="AA54" s="1007">
        <f>400000000-352559963</f>
        <v>47440037</v>
      </c>
      <c r="AB54" s="1007"/>
      <c r="AC54" s="1007"/>
      <c r="AD54" s="1007"/>
      <c r="AE54" s="1007">
        <v>50000000</v>
      </c>
      <c r="AF54" s="1007"/>
      <c r="AG54" s="1007"/>
      <c r="AH54" s="1007"/>
      <c r="AI54" s="1007"/>
      <c r="AJ54" s="1007"/>
      <c r="AK54" s="1007"/>
      <c r="AL54" s="1007"/>
      <c r="AM54" s="1007"/>
      <c r="AN54" s="1007"/>
      <c r="AO54" s="1007">
        <v>20000000</v>
      </c>
      <c r="AP54" s="1007"/>
      <c r="AQ54" s="1007"/>
      <c r="AR54" s="1007"/>
      <c r="AS54" s="1007"/>
      <c r="AU54" s="1010">
        <f t="shared" si="3"/>
        <v>1</v>
      </c>
      <c r="AV54" s="1007">
        <f t="shared" si="34"/>
        <v>117440037</v>
      </c>
      <c r="AW54" s="1007"/>
      <c r="AX54" s="1007">
        <f>+'[13]JUNIO 2015'!$K$1243</f>
        <v>47440037</v>
      </c>
      <c r="AY54" s="1007"/>
      <c r="AZ54" s="1007"/>
      <c r="BA54" s="1007"/>
      <c r="BB54" s="1007">
        <f>+'[13]JUNIO 2015'!$O$1243</f>
        <v>50000000</v>
      </c>
      <c r="BC54" s="1007"/>
      <c r="BD54" s="1007"/>
      <c r="BE54" s="1007"/>
      <c r="BF54" s="1007"/>
      <c r="BG54" s="1007"/>
      <c r="BH54" s="1007"/>
      <c r="BI54" s="1007"/>
      <c r="BJ54" s="1007"/>
      <c r="BK54" s="1007"/>
      <c r="BL54" s="1007">
        <f>+'[10]JULIO 2015'!$Y$1469</f>
        <v>20000000</v>
      </c>
      <c r="BM54" s="1007"/>
      <c r="BN54" s="1007"/>
      <c r="BO54" s="1007"/>
      <c r="BP54" s="1007"/>
      <c r="BQ54" s="1010">
        <f t="shared" si="25"/>
        <v>0</v>
      </c>
      <c r="BR54" s="1007">
        <f t="shared" si="35"/>
        <v>0</v>
      </c>
      <c r="BS54" s="1007">
        <f t="shared" si="36"/>
        <v>0</v>
      </c>
      <c r="BT54" s="1007">
        <f t="shared" si="52"/>
        <v>0</v>
      </c>
      <c r="BU54" s="1007">
        <f t="shared" si="52"/>
        <v>0</v>
      </c>
      <c r="BV54" s="1007">
        <f t="shared" si="52"/>
        <v>0</v>
      </c>
      <c r="BW54" s="1007"/>
      <c r="BX54" s="1007">
        <f t="shared" si="38"/>
        <v>0</v>
      </c>
      <c r="BY54" s="1007">
        <f t="shared" si="38"/>
        <v>0</v>
      </c>
      <c r="BZ54" s="1007"/>
      <c r="CA54" s="1007">
        <f>+AH54-BF54</f>
        <v>0</v>
      </c>
      <c r="CB54" s="1007">
        <f>+AI54-BG54</f>
        <v>0</v>
      </c>
      <c r="CC54" s="1007">
        <f>+AJ54-BH54</f>
        <v>0</v>
      </c>
      <c r="CD54" s="1007">
        <f t="shared" si="40"/>
        <v>0</v>
      </c>
      <c r="CE54" s="1007">
        <f t="shared" si="40"/>
        <v>0</v>
      </c>
      <c r="CF54" s="1007">
        <f t="shared" si="40"/>
        <v>0</v>
      </c>
      <c r="CG54" s="1007">
        <f t="shared" si="40"/>
        <v>0</v>
      </c>
      <c r="CH54" s="1007">
        <f t="shared" si="40"/>
        <v>0</v>
      </c>
      <c r="CI54" s="1007">
        <f t="shared" si="40"/>
        <v>0</v>
      </c>
      <c r="CJ54" s="1007">
        <f>+AQ54-BN54</f>
        <v>0</v>
      </c>
      <c r="CK54" s="1007">
        <f>+AR54-BO54</f>
        <v>0</v>
      </c>
      <c r="CL54" s="1007">
        <f t="shared" si="41"/>
        <v>0</v>
      </c>
      <c r="CM54" s="1010">
        <f t="shared" si="13"/>
        <v>0.58160935354609944</v>
      </c>
      <c r="CN54" s="1007">
        <f t="shared" si="42"/>
        <v>68304224</v>
      </c>
      <c r="CO54" s="1007"/>
      <c r="CP54" s="1007">
        <f>+'[10]JULIO 2015'!$H$1471+'[10]JULIO 2015'!$H$1473+'[10]JULIO 2015'!$H$1477+'[10]JULIO 2015'!$H$1480+'[10]JULIO 2015'!$H$1485+'[10]JULIO 2015'!$H$1490+'[10]JULIO 2015'!$H$1493+'[10]JULIO 2015'!$H$1496+'[10]JULIO 2015'!$H$1502+'[10]JULIO 2015'!$H$1504</f>
        <v>47440037</v>
      </c>
      <c r="CQ54" s="1007"/>
      <c r="CR54" s="1007"/>
      <c r="CS54" s="1007"/>
      <c r="CT54" s="1007">
        <f>+'[10]JULIO 2015'!$H$1506</f>
        <v>14002131</v>
      </c>
      <c r="CU54" s="1007"/>
      <c r="CV54" s="1007"/>
      <c r="CW54" s="1007"/>
      <c r="CX54" s="1007"/>
      <c r="CY54" s="1007"/>
      <c r="CZ54" s="1007"/>
      <c r="DA54" s="1007"/>
      <c r="DB54" s="1007"/>
      <c r="DC54" s="1007"/>
      <c r="DD54" s="1007">
        <f>+'[10]JULIO 2015'!$H$1511</f>
        <v>6862056</v>
      </c>
      <c r="DE54" s="1007"/>
      <c r="DF54" s="1007"/>
      <c r="DG54" s="1007"/>
      <c r="DH54" s="1007"/>
      <c r="DI54" s="1010">
        <f t="shared" si="15"/>
        <v>0.41839064645390056</v>
      </c>
      <c r="DJ54" s="1007">
        <f t="shared" si="43"/>
        <v>49135813</v>
      </c>
      <c r="DK54" s="1007"/>
      <c r="DL54" s="1007">
        <f>AA54-CP54</f>
        <v>0</v>
      </c>
      <c r="DM54" s="1007">
        <f>AB54-CQ54</f>
        <v>0</v>
      </c>
      <c r="DN54" s="1007">
        <f t="shared" si="51"/>
        <v>0</v>
      </c>
      <c r="DO54" s="1007"/>
      <c r="DP54" s="1007">
        <f t="shared" si="45"/>
        <v>35997869</v>
      </c>
      <c r="DQ54" s="1007">
        <f t="shared" si="45"/>
        <v>0</v>
      </c>
      <c r="DR54" s="1007"/>
      <c r="DS54" s="1007">
        <f t="shared" si="46"/>
        <v>0</v>
      </c>
      <c r="DT54" s="1007">
        <f t="shared" si="46"/>
        <v>0</v>
      </c>
      <c r="DU54" s="1007"/>
      <c r="DV54" s="1007">
        <f t="shared" si="47"/>
        <v>0</v>
      </c>
      <c r="DW54" s="1007">
        <f t="shared" si="47"/>
        <v>0</v>
      </c>
      <c r="DX54" s="1007">
        <f t="shared" si="47"/>
        <v>0</v>
      </c>
      <c r="DY54" s="1007">
        <f t="shared" si="48"/>
        <v>0</v>
      </c>
      <c r="DZ54" s="1007">
        <f t="shared" si="48"/>
        <v>13137944</v>
      </c>
      <c r="EA54" s="1007">
        <f t="shared" si="48"/>
        <v>0</v>
      </c>
      <c r="EB54" s="1007">
        <f t="shared" si="48"/>
        <v>0</v>
      </c>
      <c r="EC54" s="1007"/>
      <c r="ED54" s="1007">
        <f t="shared" si="49"/>
        <v>0</v>
      </c>
    </row>
    <row r="55" spans="1:135" ht="20.25" hidden="1" customHeight="1" x14ac:dyDescent="0.25">
      <c r="A55" s="1565"/>
      <c r="B55" s="1018"/>
      <c r="C55" s="1114" t="s">
        <v>4387</v>
      </c>
      <c r="D55" s="1018" t="s">
        <v>4610</v>
      </c>
      <c r="E55" s="1019">
        <v>410</v>
      </c>
      <c r="F55" s="1117" t="s">
        <v>3350</v>
      </c>
      <c r="G55" s="1430"/>
      <c r="H55" s="1060">
        <f t="shared" si="31"/>
        <v>777018788</v>
      </c>
      <c r="I55" s="1060">
        <f t="shared" si="32"/>
        <v>2026994892</v>
      </c>
      <c r="J55" s="1430"/>
      <c r="K55" s="1258"/>
      <c r="L55" s="1258"/>
      <c r="M55" s="1113">
        <v>56</v>
      </c>
      <c r="N55" s="1113">
        <v>150</v>
      </c>
      <c r="O55" s="1113">
        <v>84</v>
      </c>
      <c r="P55" s="1113">
        <v>20</v>
      </c>
      <c r="Q55" s="1113">
        <v>100</v>
      </c>
      <c r="R55" s="1113">
        <v>20</v>
      </c>
      <c r="S55" s="1117"/>
      <c r="T55" s="1117"/>
      <c r="U55" s="1117"/>
      <c r="V55" s="1117"/>
      <c r="W55" s="1117"/>
      <c r="X55" s="1117"/>
      <c r="Y55" s="1007">
        <f t="shared" si="33"/>
        <v>2804013680</v>
      </c>
      <c r="Z55" s="944"/>
      <c r="AA55" s="1007"/>
      <c r="AB55" s="1007"/>
      <c r="AC55" s="1007"/>
      <c r="AD55" s="1007"/>
      <c r="AE55" s="1007"/>
      <c r="AF55" s="1007"/>
      <c r="AG55" s="1007"/>
      <c r="AH55" s="1007"/>
      <c r="AI55" s="1007"/>
      <c r="AJ55" s="1007"/>
      <c r="AK55" s="1007"/>
      <c r="AL55" s="1007">
        <f>700000000+2104013680</f>
        <v>2804013680</v>
      </c>
      <c r="AM55" s="1007"/>
      <c r="AN55" s="1007"/>
      <c r="AO55" s="1007"/>
      <c r="AP55" s="1007"/>
      <c r="AQ55" s="1007"/>
      <c r="AR55" s="1007"/>
      <c r="AS55" s="1007"/>
      <c r="AU55" s="1010">
        <f t="shared" si="3"/>
        <v>0.64077857815586692</v>
      </c>
      <c r="AV55" s="1007">
        <f t="shared" si="34"/>
        <v>1796751899</v>
      </c>
      <c r="AW55" s="1007"/>
      <c r="AX55" s="1007"/>
      <c r="AY55" s="1007"/>
      <c r="AZ55" s="1007"/>
      <c r="BA55" s="1007"/>
      <c r="BB55" s="1007"/>
      <c r="BC55" s="1007"/>
      <c r="BD55" s="1007"/>
      <c r="BE55" s="1007"/>
      <c r="BF55" s="1007"/>
      <c r="BG55" s="1007"/>
      <c r="BH55" s="1007"/>
      <c r="BI55" s="1007">
        <f>+'[8]SEPTIEMBRE 2015'!$V$1941</f>
        <v>1796751899</v>
      </c>
      <c r="BJ55" s="1007"/>
      <c r="BK55" s="1007"/>
      <c r="BL55" s="1007"/>
      <c r="BM55" s="1007"/>
      <c r="BN55" s="1007"/>
      <c r="BO55" s="1007"/>
      <c r="BP55" s="1007"/>
      <c r="BQ55" s="1010">
        <f t="shared" si="25"/>
        <v>0.35922142184413308</v>
      </c>
      <c r="BR55" s="1007">
        <f t="shared" si="35"/>
        <v>1007261781</v>
      </c>
      <c r="BS55" s="1007">
        <f t="shared" si="36"/>
        <v>0</v>
      </c>
      <c r="BT55" s="1007">
        <f t="shared" si="52"/>
        <v>0</v>
      </c>
      <c r="BU55" s="1007">
        <f t="shared" si="52"/>
        <v>0</v>
      </c>
      <c r="BV55" s="1007">
        <f t="shared" si="52"/>
        <v>0</v>
      </c>
      <c r="BW55" s="1007"/>
      <c r="BX55" s="1007">
        <f t="shared" si="38"/>
        <v>0</v>
      </c>
      <c r="BY55" s="1007">
        <f t="shared" si="38"/>
        <v>0</v>
      </c>
      <c r="BZ55" s="1007"/>
      <c r="CA55" s="1007"/>
      <c r="CB55" s="1007">
        <f>+AI55-BG55</f>
        <v>0</v>
      </c>
      <c r="CC55" s="1007"/>
      <c r="CD55" s="1007">
        <f t="shared" ref="CD55:CF58" si="54">+AK55-BH55</f>
        <v>0</v>
      </c>
      <c r="CE55" s="1007">
        <f t="shared" si="54"/>
        <v>1007261781</v>
      </c>
      <c r="CF55" s="1007">
        <f t="shared" si="54"/>
        <v>0</v>
      </c>
      <c r="CG55" s="1007"/>
      <c r="CH55" s="1007">
        <f t="shared" ref="CH55:CI58" si="55">+AO55-BL55</f>
        <v>0</v>
      </c>
      <c r="CI55" s="1007">
        <f t="shared" si="55"/>
        <v>0</v>
      </c>
      <c r="CJ55" s="1007"/>
      <c r="CK55" s="1007"/>
      <c r="CL55" s="1007">
        <f t="shared" si="41"/>
        <v>0</v>
      </c>
      <c r="CM55" s="1010">
        <f t="shared" si="13"/>
        <v>0.27710948542875868</v>
      </c>
      <c r="CN55" s="1007">
        <f t="shared" si="42"/>
        <v>777018788</v>
      </c>
      <c r="CO55" s="1007"/>
      <c r="CP55" s="1007"/>
      <c r="CQ55" s="1007"/>
      <c r="CR55" s="1007"/>
      <c r="CS55" s="1007"/>
      <c r="CT55" s="1007"/>
      <c r="CU55" s="1007"/>
      <c r="CV55" s="1007"/>
      <c r="CW55" s="1007"/>
      <c r="CX55" s="1007"/>
      <c r="CY55" s="1007"/>
      <c r="CZ55" s="1007"/>
      <c r="DA55" s="1007">
        <f>+'[8]SEPTIEMBRE 2015'!$H$1939</f>
        <v>777018788</v>
      </c>
      <c r="DB55" s="1007"/>
      <c r="DC55" s="1007"/>
      <c r="DD55" s="1007"/>
      <c r="DE55" s="1007"/>
      <c r="DF55" s="1007"/>
      <c r="DG55" s="1007"/>
      <c r="DH55" s="1007"/>
      <c r="DI55" s="1010">
        <f t="shared" si="15"/>
        <v>0.72289051457124132</v>
      </c>
      <c r="DJ55" s="1007">
        <f t="shared" si="43"/>
        <v>2026994892</v>
      </c>
      <c r="DK55" s="1007"/>
      <c r="DL55" s="1007"/>
      <c r="DM55" s="1007"/>
      <c r="DN55" s="1007">
        <f t="shared" si="51"/>
        <v>0</v>
      </c>
      <c r="DO55" s="1007"/>
      <c r="DP55" s="1007">
        <f t="shared" si="45"/>
        <v>0</v>
      </c>
      <c r="DQ55" s="1007">
        <f t="shared" si="45"/>
        <v>0</v>
      </c>
      <c r="DR55" s="1007"/>
      <c r="DS55" s="1007">
        <f t="shared" si="46"/>
        <v>0</v>
      </c>
      <c r="DT55" s="1007">
        <f t="shared" si="46"/>
        <v>0</v>
      </c>
      <c r="DU55" s="1007"/>
      <c r="DV55" s="1007">
        <f t="shared" si="47"/>
        <v>0</v>
      </c>
      <c r="DW55" s="1007">
        <f t="shared" si="47"/>
        <v>2026994892</v>
      </c>
      <c r="DX55" s="1007">
        <f t="shared" si="47"/>
        <v>0</v>
      </c>
      <c r="DY55" s="1007">
        <f t="shared" si="48"/>
        <v>0</v>
      </c>
      <c r="DZ55" s="1007">
        <f t="shared" si="48"/>
        <v>0</v>
      </c>
      <c r="EA55" s="1007">
        <f t="shared" si="48"/>
        <v>0</v>
      </c>
      <c r="EB55" s="1007">
        <f t="shared" si="48"/>
        <v>0</v>
      </c>
      <c r="EC55" s="1007"/>
      <c r="ED55" s="1007">
        <f t="shared" si="49"/>
        <v>0</v>
      </c>
    </row>
    <row r="56" spans="1:135" ht="46.5" hidden="1" customHeight="1" x14ac:dyDescent="0.25">
      <c r="A56" s="1565"/>
      <c r="B56" s="1018" t="s">
        <v>4313</v>
      </c>
      <c r="C56" s="1114" t="s">
        <v>4388</v>
      </c>
      <c r="D56" s="1018" t="s">
        <v>4611</v>
      </c>
      <c r="E56" s="1019">
        <v>410</v>
      </c>
      <c r="F56" s="1117" t="s">
        <v>3350</v>
      </c>
      <c r="G56" s="1428">
        <v>50000000</v>
      </c>
      <c r="H56" s="1060">
        <f t="shared" si="31"/>
        <v>35000000</v>
      </c>
      <c r="I56" s="1060">
        <f t="shared" si="32"/>
        <v>0</v>
      </c>
      <c r="J56" s="1117" t="s">
        <v>4832</v>
      </c>
      <c r="K56" s="1113" t="s">
        <v>4833</v>
      </c>
      <c r="L56" s="1113" t="s">
        <v>4834</v>
      </c>
      <c r="M56" s="1113">
        <v>73</v>
      </c>
      <c r="N56" s="1113">
        <v>0</v>
      </c>
      <c r="O56" s="1113">
        <v>0</v>
      </c>
      <c r="P56" s="1113">
        <v>85</v>
      </c>
      <c r="Q56" s="1113">
        <v>50</v>
      </c>
      <c r="R56" s="1113">
        <v>42</v>
      </c>
      <c r="S56" s="1117"/>
      <c r="T56" s="1117"/>
      <c r="U56" s="1117"/>
      <c r="V56" s="1117"/>
      <c r="W56" s="1117"/>
      <c r="X56" s="1117"/>
      <c r="Y56" s="1007">
        <f t="shared" si="33"/>
        <v>35000000</v>
      </c>
      <c r="Z56" s="944"/>
      <c r="AA56" s="1007"/>
      <c r="AB56" s="1007"/>
      <c r="AC56" s="1007"/>
      <c r="AD56" s="1007"/>
      <c r="AE56" s="1007">
        <v>35000000</v>
      </c>
      <c r="AF56" s="1007"/>
      <c r="AG56" s="1007"/>
      <c r="AH56" s="1007"/>
      <c r="AI56" s="1007"/>
      <c r="AJ56" s="1007"/>
      <c r="AK56" s="1007"/>
      <c r="AL56" s="1007"/>
      <c r="AM56" s="1007"/>
      <c r="AN56" s="1007"/>
      <c r="AO56" s="1007"/>
      <c r="AP56" s="1007"/>
      <c r="AQ56" s="1007"/>
      <c r="AR56" s="1007"/>
      <c r="AS56" s="1007"/>
      <c r="AU56" s="1010">
        <f t="shared" si="3"/>
        <v>1</v>
      </c>
      <c r="AV56" s="1007">
        <f t="shared" si="34"/>
        <v>35000000</v>
      </c>
      <c r="AW56" s="1007"/>
      <c r="AX56" s="1007"/>
      <c r="AY56" s="1007"/>
      <c r="AZ56" s="1007"/>
      <c r="BA56" s="1007"/>
      <c r="BB56" s="1007">
        <f>+'[15]FEBRERO 2015'!$N$658</f>
        <v>35000000</v>
      </c>
      <c r="BC56" s="1007"/>
      <c r="BD56" s="1007"/>
      <c r="BE56" s="1007"/>
      <c r="BF56" s="1007"/>
      <c r="BG56" s="1007"/>
      <c r="BH56" s="1007"/>
      <c r="BI56" s="1007"/>
      <c r="BJ56" s="1007"/>
      <c r="BK56" s="1007"/>
      <c r="BL56" s="1007"/>
      <c r="BM56" s="1007"/>
      <c r="BN56" s="1007"/>
      <c r="BO56" s="1007"/>
      <c r="BP56" s="1007"/>
      <c r="BQ56" s="1010">
        <f t="shared" si="25"/>
        <v>0</v>
      </c>
      <c r="BR56" s="1007">
        <f t="shared" si="35"/>
        <v>0</v>
      </c>
      <c r="BS56" s="1007">
        <f t="shared" si="36"/>
        <v>0</v>
      </c>
      <c r="BT56" s="1007">
        <f t="shared" si="52"/>
        <v>0</v>
      </c>
      <c r="BU56" s="1007">
        <f t="shared" si="52"/>
        <v>0</v>
      </c>
      <c r="BV56" s="1007">
        <f t="shared" si="52"/>
        <v>0</v>
      </c>
      <c r="BW56" s="1007"/>
      <c r="BX56" s="1007">
        <f t="shared" si="38"/>
        <v>0</v>
      </c>
      <c r="BY56" s="1007">
        <f t="shared" si="38"/>
        <v>0</v>
      </c>
      <c r="BZ56" s="1007"/>
      <c r="CA56" s="1007">
        <f>+AH56-BE56</f>
        <v>0</v>
      </c>
      <c r="CB56" s="1007">
        <f>+AI56-BF56</f>
        <v>0</v>
      </c>
      <c r="CC56" s="1007">
        <f>+AJ56-BG56</f>
        <v>0</v>
      </c>
      <c r="CD56" s="1007">
        <f t="shared" si="54"/>
        <v>0</v>
      </c>
      <c r="CE56" s="1007">
        <f t="shared" si="54"/>
        <v>0</v>
      </c>
      <c r="CF56" s="1007">
        <f t="shared" si="54"/>
        <v>0</v>
      </c>
      <c r="CG56" s="1007">
        <f>+AN56-BK56</f>
        <v>0</v>
      </c>
      <c r="CH56" s="1007">
        <f t="shared" si="55"/>
        <v>0</v>
      </c>
      <c r="CI56" s="1007">
        <f t="shared" si="55"/>
        <v>0</v>
      </c>
      <c r="CJ56" s="1007">
        <f>+AQ56-BN56</f>
        <v>0</v>
      </c>
      <c r="CK56" s="1007">
        <f>+AR56-BO56</f>
        <v>0</v>
      </c>
      <c r="CL56" s="1007">
        <f t="shared" si="41"/>
        <v>0</v>
      </c>
      <c r="CM56" s="1010">
        <f t="shared" si="13"/>
        <v>1</v>
      </c>
      <c r="CN56" s="1007">
        <f t="shared" si="42"/>
        <v>35000000</v>
      </c>
      <c r="CO56" s="1007"/>
      <c r="CP56" s="1007"/>
      <c r="CQ56" s="1007"/>
      <c r="CR56" s="1007"/>
      <c r="CS56" s="1007"/>
      <c r="CT56" s="1007">
        <f>+'[8]SEPTIEMBRE 2015'!$H$2273</f>
        <v>35000000</v>
      </c>
      <c r="CU56" s="1007"/>
      <c r="CV56" s="1007"/>
      <c r="CW56" s="1007"/>
      <c r="CX56" s="1007"/>
      <c r="CY56" s="1007"/>
      <c r="CZ56" s="1007"/>
      <c r="DA56" s="1007"/>
      <c r="DB56" s="1007"/>
      <c r="DC56" s="1007"/>
      <c r="DD56" s="1007"/>
      <c r="DE56" s="1007"/>
      <c r="DF56" s="1007"/>
      <c r="DG56" s="1007"/>
      <c r="DH56" s="1007"/>
      <c r="DI56" s="1010">
        <f t="shared" si="15"/>
        <v>0</v>
      </c>
      <c r="DJ56" s="1007">
        <f t="shared" si="43"/>
        <v>0</v>
      </c>
      <c r="DK56" s="1007"/>
      <c r="DL56" s="1007"/>
      <c r="DM56" s="1007"/>
      <c r="DN56" s="1007">
        <f t="shared" si="51"/>
        <v>0</v>
      </c>
      <c r="DO56" s="1007"/>
      <c r="DP56" s="1007">
        <f t="shared" si="45"/>
        <v>0</v>
      </c>
      <c r="DQ56" s="1007">
        <f t="shared" si="45"/>
        <v>0</v>
      </c>
      <c r="DR56" s="1007"/>
      <c r="DS56" s="1007">
        <f t="shared" si="46"/>
        <v>0</v>
      </c>
      <c r="DT56" s="1007">
        <f t="shared" si="46"/>
        <v>0</v>
      </c>
      <c r="DU56" s="1007"/>
      <c r="DV56" s="1007">
        <f t="shared" si="47"/>
        <v>0</v>
      </c>
      <c r="DW56" s="1007">
        <f t="shared" si="47"/>
        <v>0</v>
      </c>
      <c r="DX56" s="1007">
        <f t="shared" si="47"/>
        <v>0</v>
      </c>
      <c r="DY56" s="1007">
        <f t="shared" si="48"/>
        <v>0</v>
      </c>
      <c r="DZ56" s="1007">
        <f t="shared" si="48"/>
        <v>0</v>
      </c>
      <c r="EA56" s="1007">
        <f t="shared" si="48"/>
        <v>0</v>
      </c>
      <c r="EB56" s="1007">
        <f t="shared" si="48"/>
        <v>0</v>
      </c>
      <c r="EC56" s="1007"/>
      <c r="ED56" s="1007">
        <f t="shared" si="49"/>
        <v>0</v>
      </c>
    </row>
    <row r="57" spans="1:135" ht="35.25" hidden="1" customHeight="1" x14ac:dyDescent="0.25">
      <c r="A57" s="1565"/>
      <c r="B57" s="1018"/>
      <c r="C57" s="1114" t="s">
        <v>4556</v>
      </c>
      <c r="D57" s="1018" t="s">
        <v>4612</v>
      </c>
      <c r="E57" s="1019">
        <v>410</v>
      </c>
      <c r="F57" s="1117" t="s">
        <v>3350</v>
      </c>
      <c r="G57" s="1430"/>
      <c r="H57" s="1060">
        <f t="shared" si="31"/>
        <v>14594526</v>
      </c>
      <c r="I57" s="1060">
        <f t="shared" si="32"/>
        <v>405474</v>
      </c>
      <c r="J57" s="1117" t="s">
        <v>4832</v>
      </c>
      <c r="K57" s="1113" t="s">
        <v>4833</v>
      </c>
      <c r="L57" s="1113" t="s">
        <v>4834</v>
      </c>
      <c r="M57" s="1113">
        <v>0</v>
      </c>
      <c r="N57" s="1113">
        <v>100</v>
      </c>
      <c r="O57" s="1113">
        <v>0</v>
      </c>
      <c r="P57" s="1113">
        <v>47</v>
      </c>
      <c r="Q57" s="1113">
        <v>50</v>
      </c>
      <c r="R57" s="1113">
        <v>23</v>
      </c>
      <c r="S57" s="1117"/>
      <c r="T57" s="1117"/>
      <c r="U57" s="1117"/>
      <c r="V57" s="1117"/>
      <c r="W57" s="1117"/>
      <c r="X57" s="1117"/>
      <c r="Y57" s="1007">
        <f t="shared" si="33"/>
        <v>15000000</v>
      </c>
      <c r="Z57" s="944"/>
      <c r="AA57" s="1007"/>
      <c r="AB57" s="1007"/>
      <c r="AC57" s="1007"/>
      <c r="AD57" s="1007"/>
      <c r="AE57" s="1007">
        <v>15000000</v>
      </c>
      <c r="AF57" s="1007"/>
      <c r="AG57" s="1007"/>
      <c r="AH57" s="1007"/>
      <c r="AI57" s="1007"/>
      <c r="AJ57" s="1007"/>
      <c r="AK57" s="1007"/>
      <c r="AL57" s="1007"/>
      <c r="AM57" s="1007"/>
      <c r="AN57" s="1007"/>
      <c r="AO57" s="1007"/>
      <c r="AP57" s="1007"/>
      <c r="AQ57" s="1007"/>
      <c r="AR57" s="1007"/>
      <c r="AS57" s="1007"/>
      <c r="AU57" s="1010">
        <f t="shared" si="3"/>
        <v>1</v>
      </c>
      <c r="AV57" s="1007">
        <f t="shared" si="34"/>
        <v>15000000</v>
      </c>
      <c r="AW57" s="1007"/>
      <c r="AX57" s="1007"/>
      <c r="AY57" s="1007"/>
      <c r="AZ57" s="1007"/>
      <c r="BA57" s="1007"/>
      <c r="BB57" s="1007">
        <f>+'[15]FEBRERO 2015'!$G$661</f>
        <v>15000000</v>
      </c>
      <c r="BC57" s="1007"/>
      <c r="BD57" s="1007"/>
      <c r="BE57" s="1007"/>
      <c r="BF57" s="1007"/>
      <c r="BG57" s="1007"/>
      <c r="BH57" s="1007"/>
      <c r="BI57" s="1007"/>
      <c r="BJ57" s="1007"/>
      <c r="BK57" s="1007"/>
      <c r="BL57" s="1007"/>
      <c r="BM57" s="1007"/>
      <c r="BN57" s="1007"/>
      <c r="BO57" s="1007"/>
      <c r="BP57" s="1007"/>
      <c r="BQ57" s="1010">
        <f t="shared" si="25"/>
        <v>0</v>
      </c>
      <c r="BR57" s="1007">
        <f t="shared" si="35"/>
        <v>0</v>
      </c>
      <c r="BS57" s="1007">
        <f t="shared" si="36"/>
        <v>0</v>
      </c>
      <c r="BT57" s="1007"/>
      <c r="BU57" s="1007">
        <f t="shared" si="52"/>
        <v>0</v>
      </c>
      <c r="BV57" s="1007">
        <f t="shared" si="52"/>
        <v>0</v>
      </c>
      <c r="BW57" s="1007"/>
      <c r="BX57" s="1007">
        <f t="shared" si="38"/>
        <v>0</v>
      </c>
      <c r="BY57" s="1007">
        <f t="shared" si="38"/>
        <v>0</v>
      </c>
      <c r="BZ57" s="1007"/>
      <c r="CA57" s="1007"/>
      <c r="CB57" s="1007">
        <f>+AI57-BF57</f>
        <v>0</v>
      </c>
      <c r="CC57" s="1007"/>
      <c r="CD57" s="1007">
        <f t="shared" si="54"/>
        <v>0</v>
      </c>
      <c r="CE57" s="1007">
        <f t="shared" si="54"/>
        <v>0</v>
      </c>
      <c r="CF57" s="1007">
        <f t="shared" si="54"/>
        <v>0</v>
      </c>
      <c r="CG57" s="1007">
        <f>+AN57-BK57</f>
        <v>0</v>
      </c>
      <c r="CH57" s="1007">
        <f t="shared" si="55"/>
        <v>0</v>
      </c>
      <c r="CI57" s="1007">
        <f t="shared" si="55"/>
        <v>0</v>
      </c>
      <c r="CJ57" s="1007"/>
      <c r="CK57" s="1007"/>
      <c r="CL57" s="1007">
        <f t="shared" si="41"/>
        <v>0</v>
      </c>
      <c r="CM57" s="1010">
        <f t="shared" si="13"/>
        <v>0.97296839999999996</v>
      </c>
      <c r="CN57" s="1007">
        <f t="shared" si="42"/>
        <v>14594526</v>
      </c>
      <c r="CO57" s="1007"/>
      <c r="CP57" s="1007"/>
      <c r="CQ57" s="1007"/>
      <c r="CR57" s="1007"/>
      <c r="CS57" s="1007"/>
      <c r="CT57" s="1007">
        <f>+'[8]SEPTIEMBRE 2015'!$H$2283</f>
        <v>14594526</v>
      </c>
      <c r="CU57" s="1007"/>
      <c r="CV57" s="1007"/>
      <c r="CW57" s="1007"/>
      <c r="CX57" s="1007"/>
      <c r="CY57" s="1007"/>
      <c r="CZ57" s="1007"/>
      <c r="DA57" s="1007"/>
      <c r="DB57" s="1007"/>
      <c r="DC57" s="1007"/>
      <c r="DD57" s="1007"/>
      <c r="DE57" s="1007"/>
      <c r="DF57" s="1007"/>
      <c r="DG57" s="1007"/>
      <c r="DH57" s="1007"/>
      <c r="DI57" s="1010">
        <f t="shared" si="15"/>
        <v>2.7031600000000044E-2</v>
      </c>
      <c r="DJ57" s="1007">
        <f t="shared" si="43"/>
        <v>405474</v>
      </c>
      <c r="DK57" s="1007"/>
      <c r="DL57" s="1007"/>
      <c r="DM57" s="1007"/>
      <c r="DN57" s="1007">
        <f t="shared" si="51"/>
        <v>0</v>
      </c>
      <c r="DO57" s="1007"/>
      <c r="DP57" s="1007">
        <f t="shared" si="45"/>
        <v>405474</v>
      </c>
      <c r="DQ57" s="1007">
        <f t="shared" si="45"/>
        <v>0</v>
      </c>
      <c r="DR57" s="1007"/>
      <c r="DS57" s="1007">
        <f t="shared" si="46"/>
        <v>0</v>
      </c>
      <c r="DT57" s="1007">
        <f t="shared" si="46"/>
        <v>0</v>
      </c>
      <c r="DU57" s="1007"/>
      <c r="DV57" s="1007">
        <f t="shared" si="47"/>
        <v>0</v>
      </c>
      <c r="DW57" s="1007">
        <f t="shared" si="47"/>
        <v>0</v>
      </c>
      <c r="DX57" s="1007">
        <f t="shared" si="47"/>
        <v>0</v>
      </c>
      <c r="DY57" s="1007">
        <f t="shared" si="48"/>
        <v>0</v>
      </c>
      <c r="DZ57" s="1007">
        <f t="shared" si="48"/>
        <v>0</v>
      </c>
      <c r="EA57" s="1007">
        <f t="shared" si="48"/>
        <v>0</v>
      </c>
      <c r="EB57" s="1007">
        <f t="shared" si="48"/>
        <v>0</v>
      </c>
      <c r="EC57" s="1007"/>
      <c r="ED57" s="1007">
        <f t="shared" si="49"/>
        <v>0</v>
      </c>
    </row>
    <row r="58" spans="1:135" ht="67.5" hidden="1" customHeight="1" x14ac:dyDescent="0.25">
      <c r="A58" s="1565"/>
      <c r="B58" s="1018" t="s">
        <v>4314</v>
      </c>
      <c r="C58" s="1114" t="s">
        <v>4389</v>
      </c>
      <c r="D58" s="1018" t="s">
        <v>4328</v>
      </c>
      <c r="E58" s="1019">
        <v>410</v>
      </c>
      <c r="F58" s="1117" t="s">
        <v>4590</v>
      </c>
      <c r="G58" s="1428">
        <v>291000000</v>
      </c>
      <c r="H58" s="1060">
        <f t="shared" si="31"/>
        <v>129011140</v>
      </c>
      <c r="I58" s="1060">
        <f t="shared" si="32"/>
        <v>214252150</v>
      </c>
      <c r="J58" s="1428" t="s">
        <v>4835</v>
      </c>
      <c r="K58" s="1257" t="s">
        <v>4836</v>
      </c>
      <c r="L58" s="1257" t="s">
        <v>4837</v>
      </c>
      <c r="M58" s="1113">
        <v>5</v>
      </c>
      <c r="N58" s="1113">
        <v>100</v>
      </c>
      <c r="O58" s="1113">
        <v>5</v>
      </c>
      <c r="P58" s="1113">
        <v>27</v>
      </c>
      <c r="Q58" s="1113">
        <v>300</v>
      </c>
      <c r="R58" s="1113">
        <v>82</v>
      </c>
      <c r="S58" s="1117"/>
      <c r="T58" s="1117"/>
      <c r="U58" s="1117"/>
      <c r="V58" s="1117"/>
      <c r="W58" s="1117"/>
      <c r="X58" s="1117"/>
      <c r="Y58" s="1007">
        <f t="shared" si="33"/>
        <v>343263290</v>
      </c>
      <c r="Z58" s="944"/>
      <c r="AA58" s="1007"/>
      <c r="AB58" s="1007"/>
      <c r="AC58" s="1007">
        <f>181000000-87736710+250000000</f>
        <v>343263290</v>
      </c>
      <c r="AD58" s="1007"/>
      <c r="AE58" s="1007">
        <f>100000000-100000000</f>
        <v>0</v>
      </c>
      <c r="AF58" s="1007"/>
      <c r="AG58" s="1007"/>
      <c r="AH58" s="1007"/>
      <c r="AI58" s="1007"/>
      <c r="AJ58" s="1007"/>
      <c r="AK58" s="1007"/>
      <c r="AL58" s="1007"/>
      <c r="AM58" s="1007"/>
      <c r="AN58" s="1007"/>
      <c r="AO58" s="1007"/>
      <c r="AP58" s="1007"/>
      <c r="AQ58" s="1007"/>
      <c r="AR58" s="1007"/>
      <c r="AS58" s="1007">
        <f>10455882-10455882</f>
        <v>0</v>
      </c>
      <c r="AU58" s="1010">
        <f t="shared" si="3"/>
        <v>1</v>
      </c>
      <c r="AV58" s="1007">
        <f t="shared" si="34"/>
        <v>343263290</v>
      </c>
      <c r="AW58" s="1007"/>
      <c r="AX58" s="1007"/>
      <c r="AY58" s="1007"/>
      <c r="AZ58" s="1007">
        <f>+'[13]JUNIO 2015'!$M$1391</f>
        <v>343263290</v>
      </c>
      <c r="BA58" s="1007"/>
      <c r="BB58" s="1007"/>
      <c r="BC58" s="1007"/>
      <c r="BD58" s="1007"/>
      <c r="BE58" s="1007"/>
      <c r="BF58" s="1007"/>
      <c r="BG58" s="1007"/>
      <c r="BH58" s="1007"/>
      <c r="BI58" s="1007"/>
      <c r="BJ58" s="1007"/>
      <c r="BK58" s="1007"/>
      <c r="BL58" s="1007"/>
      <c r="BM58" s="1007"/>
      <c r="BN58" s="1007"/>
      <c r="BO58" s="1007"/>
      <c r="BP58" s="1007"/>
      <c r="BQ58" s="1010">
        <f t="shared" si="25"/>
        <v>0</v>
      </c>
      <c r="BR58" s="1007">
        <f t="shared" si="35"/>
        <v>0</v>
      </c>
      <c r="BS58" s="1007">
        <f t="shared" si="36"/>
        <v>0</v>
      </c>
      <c r="BT58" s="1007"/>
      <c r="BU58" s="1007">
        <f t="shared" si="52"/>
        <v>0</v>
      </c>
      <c r="BV58" s="1007">
        <f t="shared" si="52"/>
        <v>0</v>
      </c>
      <c r="BW58" s="1007"/>
      <c r="BX58" s="1007">
        <f t="shared" si="38"/>
        <v>0</v>
      </c>
      <c r="BY58" s="1007">
        <f t="shared" si="38"/>
        <v>0</v>
      </c>
      <c r="BZ58" s="1007"/>
      <c r="CA58" s="1007"/>
      <c r="CB58" s="1007">
        <f>+AI58-BF58</f>
        <v>0</v>
      </c>
      <c r="CC58" s="1007"/>
      <c r="CD58" s="1007">
        <f t="shared" si="54"/>
        <v>0</v>
      </c>
      <c r="CE58" s="1007">
        <f t="shared" si="54"/>
        <v>0</v>
      </c>
      <c r="CF58" s="1007">
        <f t="shared" si="54"/>
        <v>0</v>
      </c>
      <c r="CG58" s="1007">
        <f>+AN58-BK58</f>
        <v>0</v>
      </c>
      <c r="CH58" s="1007">
        <f t="shared" si="55"/>
        <v>0</v>
      </c>
      <c r="CI58" s="1007">
        <f t="shared" si="55"/>
        <v>0</v>
      </c>
      <c r="CJ58" s="1007"/>
      <c r="CK58" s="1007"/>
      <c r="CL58" s="1007">
        <f t="shared" si="41"/>
        <v>0</v>
      </c>
      <c r="CM58" s="1010">
        <f t="shared" si="13"/>
        <v>0.37583727639503778</v>
      </c>
      <c r="CN58" s="1007">
        <f t="shared" si="42"/>
        <v>129011140</v>
      </c>
      <c r="CO58" s="1007"/>
      <c r="CP58" s="1007"/>
      <c r="CQ58" s="1007"/>
      <c r="CR58" s="1007">
        <f>+'[8]SEPTIEMBRE 2015'!$H$2288</f>
        <v>129011140</v>
      </c>
      <c r="CS58" s="1007"/>
      <c r="CT58" s="1007"/>
      <c r="CU58" s="1007"/>
      <c r="CV58" s="1007"/>
      <c r="CW58" s="1007"/>
      <c r="CX58" s="1007"/>
      <c r="CY58" s="1007"/>
      <c r="CZ58" s="1007"/>
      <c r="DA58" s="1007"/>
      <c r="DB58" s="1007"/>
      <c r="DC58" s="1007"/>
      <c r="DD58" s="1007"/>
      <c r="DE58" s="1007"/>
      <c r="DF58" s="1007"/>
      <c r="DG58" s="1007"/>
      <c r="DH58" s="1007"/>
      <c r="DI58" s="1010">
        <f t="shared" si="15"/>
        <v>0.62416272360496228</v>
      </c>
      <c r="DJ58" s="1007">
        <f t="shared" si="43"/>
        <v>214252150</v>
      </c>
      <c r="DK58" s="1007"/>
      <c r="DL58" s="1007"/>
      <c r="DM58" s="1007"/>
      <c r="DN58" s="1007">
        <f t="shared" si="51"/>
        <v>214252150</v>
      </c>
      <c r="DO58" s="1007"/>
      <c r="DP58" s="1007">
        <f t="shared" si="45"/>
        <v>0</v>
      </c>
      <c r="DQ58" s="1007">
        <f t="shared" si="45"/>
        <v>0</v>
      </c>
      <c r="DR58" s="1007"/>
      <c r="DS58" s="1007">
        <f t="shared" si="46"/>
        <v>0</v>
      </c>
      <c r="DT58" s="1007">
        <f t="shared" si="46"/>
        <v>0</v>
      </c>
      <c r="DU58" s="1007"/>
      <c r="DV58" s="1007">
        <f t="shared" si="47"/>
        <v>0</v>
      </c>
      <c r="DW58" s="1007">
        <f t="shared" si="47"/>
        <v>0</v>
      </c>
      <c r="DX58" s="1007">
        <f t="shared" si="47"/>
        <v>0</v>
      </c>
      <c r="DY58" s="1007">
        <f t="shared" si="48"/>
        <v>0</v>
      </c>
      <c r="DZ58" s="1007">
        <f t="shared" si="48"/>
        <v>0</v>
      </c>
      <c r="EA58" s="1007">
        <f t="shared" si="48"/>
        <v>0</v>
      </c>
      <c r="EB58" s="1007">
        <f t="shared" si="48"/>
        <v>0</v>
      </c>
      <c r="EC58" s="1007"/>
      <c r="ED58" s="1007">
        <f t="shared" si="49"/>
        <v>0</v>
      </c>
    </row>
    <row r="59" spans="1:135" s="203" customFormat="1" ht="37.5" hidden="1" customHeight="1" x14ac:dyDescent="0.25">
      <c r="A59" s="1565"/>
      <c r="B59" s="1018"/>
      <c r="C59" s="1080" t="s">
        <v>4719</v>
      </c>
      <c r="D59" s="1018" t="s">
        <v>4720</v>
      </c>
      <c r="E59" s="1019">
        <v>410</v>
      </c>
      <c r="F59" s="1117" t="s">
        <v>4670</v>
      </c>
      <c r="G59" s="1430"/>
      <c r="H59" s="1060">
        <f t="shared" si="31"/>
        <v>0</v>
      </c>
      <c r="I59" s="1060">
        <f t="shared" si="32"/>
        <v>2000000</v>
      </c>
      <c r="J59" s="1430"/>
      <c r="K59" s="1258"/>
      <c r="L59" s="1258"/>
      <c r="M59" s="1082"/>
      <c r="N59" s="1082"/>
      <c r="O59" s="1082"/>
      <c r="P59" s="1074"/>
      <c r="Q59" s="1074"/>
      <c r="R59" s="1074"/>
      <c r="S59" s="1117"/>
      <c r="T59" s="1117"/>
      <c r="U59" s="1117"/>
      <c r="V59" s="1117"/>
      <c r="W59" s="1117"/>
      <c r="X59" s="1117"/>
      <c r="Y59" s="1066">
        <f t="shared" si="33"/>
        <v>2000000</v>
      </c>
      <c r="Z59" s="149"/>
      <c r="AA59" s="1083"/>
      <c r="AB59" s="1083"/>
      <c r="AC59" s="1066"/>
      <c r="AD59" s="1066"/>
      <c r="AE59" s="1083"/>
      <c r="AF59" s="1066"/>
      <c r="AG59" s="1066"/>
      <c r="AH59" s="1066"/>
      <c r="AI59" s="1066"/>
      <c r="AJ59" s="1066"/>
      <c r="AK59" s="1066"/>
      <c r="AL59" s="1066"/>
      <c r="AM59" s="1066"/>
      <c r="AN59" s="1066"/>
      <c r="AO59" s="1066"/>
      <c r="AP59" s="1066"/>
      <c r="AQ59" s="1066"/>
      <c r="AR59" s="1066"/>
      <c r="AS59" s="1066">
        <f>2000000</f>
        <v>2000000</v>
      </c>
      <c r="AU59" s="1081">
        <f t="shared" si="3"/>
        <v>1</v>
      </c>
      <c r="AV59" s="1066">
        <f t="shared" si="34"/>
        <v>2000000</v>
      </c>
      <c r="AW59" s="1066"/>
      <c r="AX59" s="1066"/>
      <c r="AY59" s="1066"/>
      <c r="AZ59" s="1066"/>
      <c r="BA59" s="1066"/>
      <c r="BB59" s="1066"/>
      <c r="BC59" s="1066"/>
      <c r="BD59" s="1066"/>
      <c r="BE59" s="1066"/>
      <c r="BF59" s="1066"/>
      <c r="BG59" s="1066"/>
      <c r="BH59" s="1066"/>
      <c r="BI59" s="1066"/>
      <c r="BJ59" s="1066"/>
      <c r="BK59" s="1066"/>
      <c r="BL59" s="1066"/>
      <c r="BM59" s="1066"/>
      <c r="BN59" s="1066"/>
      <c r="BO59" s="1066"/>
      <c r="BP59" s="1066">
        <f>+'[10]JULIO 2015'!$G$1634</f>
        <v>2000000</v>
      </c>
      <c r="BQ59" s="1081">
        <f t="shared" si="25"/>
        <v>0</v>
      </c>
      <c r="BR59" s="1066">
        <f t="shared" si="35"/>
        <v>0</v>
      </c>
      <c r="BS59" s="1066"/>
      <c r="BT59" s="1066"/>
      <c r="BU59" s="1066">
        <f t="shared" si="52"/>
        <v>0</v>
      </c>
      <c r="BV59" s="1066"/>
      <c r="BW59" s="1066"/>
      <c r="BX59" s="1066"/>
      <c r="BY59" s="1066"/>
      <c r="BZ59" s="1066"/>
      <c r="CA59" s="1066"/>
      <c r="CB59" s="1066"/>
      <c r="CC59" s="1066"/>
      <c r="CD59" s="1066"/>
      <c r="CE59" s="1066"/>
      <c r="CF59" s="1066"/>
      <c r="CG59" s="1066"/>
      <c r="CH59" s="1066"/>
      <c r="CI59" s="1066"/>
      <c r="CJ59" s="1066"/>
      <c r="CK59" s="1066"/>
      <c r="CL59" s="1066">
        <f t="shared" si="41"/>
        <v>0</v>
      </c>
      <c r="CM59" s="1081">
        <f t="shared" si="13"/>
        <v>0</v>
      </c>
      <c r="CN59" s="1066">
        <f t="shared" si="42"/>
        <v>0</v>
      </c>
      <c r="CO59" s="1066"/>
      <c r="CP59" s="1066"/>
      <c r="CQ59" s="1066"/>
      <c r="CR59" s="1066"/>
      <c r="CS59" s="1066"/>
      <c r="CT59" s="1066"/>
      <c r="CU59" s="1066"/>
      <c r="CV59" s="1066"/>
      <c r="CW59" s="1066"/>
      <c r="CX59" s="1066"/>
      <c r="CY59" s="1066"/>
      <c r="CZ59" s="1066"/>
      <c r="DA59" s="1066"/>
      <c r="DB59" s="1066"/>
      <c r="DC59" s="1066"/>
      <c r="DD59" s="1066"/>
      <c r="DE59" s="1066"/>
      <c r="DF59" s="1066"/>
      <c r="DG59" s="1066"/>
      <c r="DH59" s="1066"/>
      <c r="DI59" s="1081">
        <f t="shared" si="15"/>
        <v>1</v>
      </c>
      <c r="DJ59" s="1066">
        <f t="shared" si="43"/>
        <v>2000000</v>
      </c>
      <c r="DK59" s="1066"/>
      <c r="DL59" s="1066"/>
      <c r="DM59" s="1066"/>
      <c r="DN59" s="1066"/>
      <c r="DO59" s="1066"/>
      <c r="DP59" s="1066"/>
      <c r="DQ59" s="1066"/>
      <c r="DR59" s="1066"/>
      <c r="DS59" s="1066"/>
      <c r="DT59" s="1066"/>
      <c r="DU59" s="1066"/>
      <c r="DV59" s="1066"/>
      <c r="DW59" s="1066"/>
      <c r="DX59" s="1066"/>
      <c r="DY59" s="1066"/>
      <c r="DZ59" s="1066"/>
      <c r="EA59" s="1066"/>
      <c r="EB59" s="1066"/>
      <c r="EC59" s="1066"/>
      <c r="ED59" s="1066">
        <f t="shared" si="49"/>
        <v>2000000</v>
      </c>
    </row>
    <row r="60" spans="1:135" ht="78" hidden="1" customHeight="1" x14ac:dyDescent="0.25">
      <c r="A60" s="1565"/>
      <c r="B60" s="1018" t="s">
        <v>4315</v>
      </c>
      <c r="C60" s="1114" t="s">
        <v>4390</v>
      </c>
      <c r="D60" s="1018" t="s">
        <v>4329</v>
      </c>
      <c r="E60" s="1019">
        <v>410</v>
      </c>
      <c r="F60" s="1117" t="s">
        <v>3350</v>
      </c>
      <c r="G60" s="1117">
        <v>300000000</v>
      </c>
      <c r="H60" s="1060">
        <f t="shared" si="31"/>
        <v>214914190</v>
      </c>
      <c r="I60" s="1060">
        <f t="shared" si="32"/>
        <v>7904547</v>
      </c>
      <c r="J60" s="1117" t="s">
        <v>4838</v>
      </c>
      <c r="K60" s="1113" t="s">
        <v>4839</v>
      </c>
      <c r="L60" s="1113" t="s">
        <v>4838</v>
      </c>
      <c r="M60" s="1113">
        <v>23</v>
      </c>
      <c r="N60" s="1113">
        <v>100</v>
      </c>
      <c r="O60" s="1113">
        <v>23</v>
      </c>
      <c r="P60" s="1113">
        <v>78</v>
      </c>
      <c r="Q60" s="1113">
        <v>200</v>
      </c>
      <c r="R60" s="1113">
        <v>155</v>
      </c>
      <c r="S60" s="1117"/>
      <c r="T60" s="1117"/>
      <c r="U60" s="1117"/>
      <c r="V60" s="1117"/>
      <c r="W60" s="1117"/>
      <c r="X60" s="1117"/>
      <c r="Y60" s="1007">
        <f t="shared" si="33"/>
        <v>222818737</v>
      </c>
      <c r="Z60" s="944"/>
      <c r="AA60" s="1016">
        <f>55819123-55819123</f>
        <v>0</v>
      </c>
      <c r="AB60" s="1016"/>
      <c r="AC60" s="1007">
        <f>150000000-21362140</f>
        <v>128637860</v>
      </c>
      <c r="AD60" s="1007"/>
      <c r="AE60" s="1016">
        <f>150000000-55819123+20000000-20000000</f>
        <v>94180877</v>
      </c>
      <c r="AF60" s="944"/>
      <c r="AG60" s="944"/>
      <c r="AH60" s="944"/>
      <c r="AI60" s="1007"/>
      <c r="AJ60" s="1007"/>
      <c r="AK60" s="1007"/>
      <c r="AL60" s="1007"/>
      <c r="AM60" s="1007"/>
      <c r="AN60" s="1007"/>
      <c r="AO60" s="1007"/>
      <c r="AP60" s="1007"/>
      <c r="AQ60" s="1007"/>
      <c r="AR60" s="1007"/>
      <c r="AS60" s="1007"/>
      <c r="AU60" s="1010">
        <f t="shared" si="3"/>
        <v>1</v>
      </c>
      <c r="AV60" s="1007">
        <f t="shared" si="34"/>
        <v>222818737</v>
      </c>
      <c r="AW60" s="1007"/>
      <c r="AX60" s="1007"/>
      <c r="AY60" s="1007"/>
      <c r="AZ60" s="1007">
        <f>+'[13]JUNIO 2015'!$M$1412</f>
        <v>128637860</v>
      </c>
      <c r="BA60" s="1007"/>
      <c r="BB60" s="1007">
        <f>+'[13]JUNIO 2015'!$O$1412</f>
        <v>94180877</v>
      </c>
      <c r="BC60" s="1007"/>
      <c r="BD60" s="1007"/>
      <c r="BE60" s="1007"/>
      <c r="BF60" s="1007"/>
      <c r="BG60" s="1007"/>
      <c r="BH60" s="1007"/>
      <c r="BI60" s="1007"/>
      <c r="BJ60" s="1007"/>
      <c r="BK60" s="1007"/>
      <c r="BL60" s="1007"/>
      <c r="BM60" s="1007"/>
      <c r="BN60" s="1007"/>
      <c r="BO60" s="1007"/>
      <c r="BP60" s="1007"/>
      <c r="BQ60" s="1010">
        <f t="shared" si="25"/>
        <v>0</v>
      </c>
      <c r="BR60" s="1007">
        <f t="shared" si="35"/>
        <v>0</v>
      </c>
      <c r="BS60" s="1007">
        <f t="shared" ref="BS60:BS66" si="56">+Z60-AW60</f>
        <v>0</v>
      </c>
      <c r="BT60" s="1007">
        <f>AA60-AX60</f>
        <v>0</v>
      </c>
      <c r="BU60" s="1007">
        <f t="shared" si="52"/>
        <v>0</v>
      </c>
      <c r="BV60" s="1007">
        <f t="shared" si="52"/>
        <v>0</v>
      </c>
      <c r="BW60" s="1007"/>
      <c r="BX60" s="1007">
        <f t="shared" ref="BX60:BY66" si="57">+AE60-BB60</f>
        <v>0</v>
      </c>
      <c r="BY60" s="1007">
        <f t="shared" si="57"/>
        <v>0</v>
      </c>
      <c r="BZ60" s="1007"/>
      <c r="CA60" s="1007"/>
      <c r="CB60" s="1007">
        <f t="shared" ref="CB60:CB66" si="58">+AI60-BF60</f>
        <v>0</v>
      </c>
      <c r="CC60" s="1007"/>
      <c r="CD60" s="1007">
        <f t="shared" ref="CD60:CI66" si="59">+AK60-BH60</f>
        <v>0</v>
      </c>
      <c r="CE60" s="1007">
        <f t="shared" si="59"/>
        <v>0</v>
      </c>
      <c r="CF60" s="1007">
        <f t="shared" si="59"/>
        <v>0</v>
      </c>
      <c r="CG60" s="1007">
        <f t="shared" si="59"/>
        <v>0</v>
      </c>
      <c r="CH60" s="1007">
        <f t="shared" si="59"/>
        <v>0</v>
      </c>
      <c r="CI60" s="1007">
        <f t="shared" si="59"/>
        <v>0</v>
      </c>
      <c r="CJ60" s="1007"/>
      <c r="CK60" s="1007"/>
      <c r="CL60" s="1007">
        <f t="shared" si="41"/>
        <v>0</v>
      </c>
      <c r="CM60" s="1010">
        <f t="shared" si="13"/>
        <v>0.96452476525795938</v>
      </c>
      <c r="CN60" s="1007">
        <f t="shared" si="42"/>
        <v>214914190</v>
      </c>
      <c r="CO60" s="1007"/>
      <c r="CP60" s="1007"/>
      <c r="CQ60" s="1007"/>
      <c r="CR60" s="1007">
        <f>+'[7]AGOSTO 2015'!$H$1852</f>
        <v>128637860</v>
      </c>
      <c r="CS60" s="1007"/>
      <c r="CT60" s="1007">
        <f>+'[8]SEPTIEMBRE 2015'!$H$2314+'[8]SEPTIEMBRE 2015'!$H$2332</f>
        <v>86276330</v>
      </c>
      <c r="CU60" s="1007"/>
      <c r="CV60" s="1007"/>
      <c r="CW60" s="1007"/>
      <c r="CX60" s="1007"/>
      <c r="CY60" s="1007"/>
      <c r="CZ60" s="1007"/>
      <c r="DA60" s="1007"/>
      <c r="DB60" s="1007"/>
      <c r="DC60" s="1007"/>
      <c r="DD60" s="1007"/>
      <c r="DE60" s="1007"/>
      <c r="DF60" s="1007"/>
      <c r="DG60" s="1007"/>
      <c r="DH60" s="1007"/>
      <c r="DI60" s="1010">
        <f t="shared" si="15"/>
        <v>3.5475234742040618E-2</v>
      </c>
      <c r="DJ60" s="1007">
        <f t="shared" si="43"/>
        <v>7904547</v>
      </c>
      <c r="DK60" s="1007"/>
      <c r="DL60" s="1007">
        <f>AA60-CP60</f>
        <v>0</v>
      </c>
      <c r="DM60" s="1007">
        <f>AB60-CQ60</f>
        <v>0</v>
      </c>
      <c r="DN60" s="1007">
        <f>AC60-CR60</f>
        <v>0</v>
      </c>
      <c r="DO60" s="1007"/>
      <c r="DP60" s="1007">
        <f t="shared" ref="DP60:DQ66" si="60">AE60-CT60</f>
        <v>7904547</v>
      </c>
      <c r="DQ60" s="1007">
        <f t="shared" si="60"/>
        <v>0</v>
      </c>
      <c r="DR60" s="1007"/>
      <c r="DS60" s="1007">
        <f t="shared" ref="DS60:DT66" si="61">+AH60-CW60</f>
        <v>0</v>
      </c>
      <c r="DT60" s="1007">
        <f t="shared" si="61"/>
        <v>0</v>
      </c>
      <c r="DU60" s="1007"/>
      <c r="DV60" s="1007">
        <f t="shared" ref="DV60:DX66" si="62">AK60-CZ60</f>
        <v>0</v>
      </c>
      <c r="DW60" s="1007">
        <f t="shared" si="62"/>
        <v>0</v>
      </c>
      <c r="DX60" s="1007">
        <f t="shared" si="62"/>
        <v>0</v>
      </c>
      <c r="DY60" s="1007">
        <f t="shared" ref="DY60:EB66" si="63">+AN60-DC60</f>
        <v>0</v>
      </c>
      <c r="DZ60" s="1007">
        <f t="shared" si="63"/>
        <v>0</v>
      </c>
      <c r="EA60" s="1007">
        <f t="shared" si="63"/>
        <v>0</v>
      </c>
      <c r="EB60" s="1007">
        <f t="shared" si="63"/>
        <v>0</v>
      </c>
      <c r="EC60" s="1007"/>
      <c r="ED60" s="1007">
        <f t="shared" si="49"/>
        <v>0</v>
      </c>
      <c r="EE60" s="948"/>
    </row>
    <row r="61" spans="1:135" ht="61.5" hidden="1" customHeight="1" x14ac:dyDescent="0.25">
      <c r="A61" s="1565"/>
      <c r="B61" s="1018" t="s">
        <v>4316</v>
      </c>
      <c r="C61" s="1114" t="s">
        <v>4391</v>
      </c>
      <c r="D61" s="1018" t="s">
        <v>4330</v>
      </c>
      <c r="E61" s="1019">
        <v>410</v>
      </c>
      <c r="F61" s="1117" t="s">
        <v>4335</v>
      </c>
      <c r="G61" s="1428">
        <v>225000000</v>
      </c>
      <c r="H61" s="1060">
        <f t="shared" si="31"/>
        <v>0</v>
      </c>
      <c r="I61" s="1060">
        <f t="shared" si="32"/>
        <v>5000000</v>
      </c>
      <c r="J61" s="1117" t="s">
        <v>4840</v>
      </c>
      <c r="K61" s="1113" t="s">
        <v>4841</v>
      </c>
      <c r="L61" s="1113" t="s">
        <v>4847</v>
      </c>
      <c r="M61" s="1113">
        <v>0</v>
      </c>
      <c r="N61" s="1113">
        <v>0</v>
      </c>
      <c r="O61" s="1113">
        <v>0</v>
      </c>
      <c r="P61" s="1113">
        <v>0</v>
      </c>
      <c r="Q61" s="1113">
        <v>0</v>
      </c>
      <c r="R61" s="1113">
        <v>0</v>
      </c>
      <c r="S61" s="1117"/>
      <c r="T61" s="1117"/>
      <c r="U61" s="1117"/>
      <c r="V61" s="1117"/>
      <c r="W61" s="1117"/>
      <c r="X61" s="1117"/>
      <c r="Y61" s="1007">
        <f t="shared" si="33"/>
        <v>5000000</v>
      </c>
      <c r="Z61" s="944"/>
      <c r="AA61" s="944"/>
      <c r="AB61" s="944"/>
      <c r="AC61" s="1007"/>
      <c r="AD61" s="1007"/>
      <c r="AE61" s="944"/>
      <c r="AF61" s="944"/>
      <c r="AG61" s="944"/>
      <c r="AH61" s="944"/>
      <c r="AI61" s="1007"/>
      <c r="AJ61" s="1007"/>
      <c r="AK61" s="1007"/>
      <c r="AL61" s="1007"/>
      <c r="AM61" s="1007"/>
      <c r="AN61" s="1007"/>
      <c r="AO61" s="1007"/>
      <c r="AP61" s="1007"/>
      <c r="AQ61" s="1007"/>
      <c r="AR61" s="1007"/>
      <c r="AS61" s="1007">
        <f>5000000</f>
        <v>5000000</v>
      </c>
      <c r="AU61" s="1010">
        <f t="shared" si="3"/>
        <v>1</v>
      </c>
      <c r="AV61" s="1007">
        <f t="shared" si="34"/>
        <v>5000000</v>
      </c>
      <c r="AW61" s="1007"/>
      <c r="AX61" s="1007"/>
      <c r="AY61" s="1007"/>
      <c r="AZ61" s="1007"/>
      <c r="BA61" s="1007"/>
      <c r="BB61" s="1007"/>
      <c r="BC61" s="1007"/>
      <c r="BD61" s="1007"/>
      <c r="BE61" s="1007"/>
      <c r="BF61" s="1007"/>
      <c r="BG61" s="1007"/>
      <c r="BH61" s="1007"/>
      <c r="BI61" s="1007"/>
      <c r="BJ61" s="1007"/>
      <c r="BK61" s="1007"/>
      <c r="BL61" s="1007"/>
      <c r="BM61" s="1007"/>
      <c r="BN61" s="1007"/>
      <c r="BO61" s="1007"/>
      <c r="BP61" s="1007">
        <f>+'[15]FEBRERO 2015'!$AC$685</f>
        <v>5000000</v>
      </c>
      <c r="BQ61" s="1010">
        <f t="shared" si="25"/>
        <v>0</v>
      </c>
      <c r="BR61" s="1007">
        <f t="shared" si="35"/>
        <v>0</v>
      </c>
      <c r="BS61" s="1007">
        <f t="shared" si="56"/>
        <v>0</v>
      </c>
      <c r="BT61" s="1007"/>
      <c r="BU61" s="1007">
        <f t="shared" si="52"/>
        <v>0</v>
      </c>
      <c r="BV61" s="1007">
        <f t="shared" si="52"/>
        <v>0</v>
      </c>
      <c r="BW61" s="1007"/>
      <c r="BX61" s="1007">
        <f t="shared" si="57"/>
        <v>0</v>
      </c>
      <c r="BY61" s="1007">
        <f t="shared" si="57"/>
        <v>0</v>
      </c>
      <c r="BZ61" s="1007"/>
      <c r="CA61" s="1007"/>
      <c r="CB61" s="1007">
        <f t="shared" si="58"/>
        <v>0</v>
      </c>
      <c r="CC61" s="1007"/>
      <c r="CD61" s="1007">
        <f t="shared" si="59"/>
        <v>0</v>
      </c>
      <c r="CE61" s="1007">
        <f t="shared" si="59"/>
        <v>0</v>
      </c>
      <c r="CF61" s="1007">
        <f t="shared" si="59"/>
        <v>0</v>
      </c>
      <c r="CG61" s="1007">
        <f t="shared" si="59"/>
        <v>0</v>
      </c>
      <c r="CH61" s="1007">
        <f t="shared" si="59"/>
        <v>0</v>
      </c>
      <c r="CI61" s="1007">
        <f t="shared" si="59"/>
        <v>0</v>
      </c>
      <c r="CJ61" s="1007"/>
      <c r="CK61" s="1007"/>
      <c r="CL61" s="1007">
        <f t="shared" si="41"/>
        <v>0</v>
      </c>
      <c r="CM61" s="1010">
        <f t="shared" si="13"/>
        <v>0</v>
      </c>
      <c r="CN61" s="1007">
        <f t="shared" si="42"/>
        <v>0</v>
      </c>
      <c r="CO61" s="1007"/>
      <c r="CP61" s="1007"/>
      <c r="CQ61" s="1007"/>
      <c r="CR61" s="1007"/>
      <c r="CS61" s="1007"/>
      <c r="CT61" s="1007"/>
      <c r="CU61" s="1007"/>
      <c r="CV61" s="1007"/>
      <c r="CW61" s="1007"/>
      <c r="CX61" s="1007"/>
      <c r="CY61" s="1007"/>
      <c r="CZ61" s="1007"/>
      <c r="DA61" s="1007"/>
      <c r="DB61" s="1007"/>
      <c r="DC61" s="1007"/>
      <c r="DD61" s="1007"/>
      <c r="DE61" s="1007"/>
      <c r="DF61" s="1007"/>
      <c r="DG61" s="1007"/>
      <c r="DH61" s="1007"/>
      <c r="DI61" s="1010">
        <f t="shared" si="15"/>
        <v>1</v>
      </c>
      <c r="DJ61" s="1007">
        <f t="shared" si="43"/>
        <v>5000000</v>
      </c>
      <c r="DK61" s="1007"/>
      <c r="DL61" s="1007"/>
      <c r="DM61" s="1007"/>
      <c r="DN61" s="1007">
        <f t="shared" ref="DN61:DN66" si="64">AC61-CR61</f>
        <v>0</v>
      </c>
      <c r="DO61" s="1007"/>
      <c r="DP61" s="1007">
        <f t="shared" si="60"/>
        <v>0</v>
      </c>
      <c r="DQ61" s="1007">
        <f t="shared" si="60"/>
        <v>0</v>
      </c>
      <c r="DR61" s="1007"/>
      <c r="DS61" s="1007">
        <f t="shared" si="61"/>
        <v>0</v>
      </c>
      <c r="DT61" s="1007">
        <f t="shared" si="61"/>
        <v>0</v>
      </c>
      <c r="DU61" s="1007"/>
      <c r="DV61" s="1007">
        <f t="shared" si="62"/>
        <v>0</v>
      </c>
      <c r="DW61" s="1007">
        <f t="shared" si="62"/>
        <v>0</v>
      </c>
      <c r="DX61" s="1007">
        <f t="shared" si="62"/>
        <v>0</v>
      </c>
      <c r="DY61" s="1007">
        <f t="shared" si="63"/>
        <v>0</v>
      </c>
      <c r="DZ61" s="1007">
        <f t="shared" si="63"/>
        <v>0</v>
      </c>
      <c r="EA61" s="1007">
        <f t="shared" si="63"/>
        <v>0</v>
      </c>
      <c r="EB61" s="1007">
        <f t="shared" si="63"/>
        <v>0</v>
      </c>
      <c r="EC61" s="1007"/>
      <c r="ED61" s="1007">
        <f t="shared" si="49"/>
        <v>5000000</v>
      </c>
    </row>
    <row r="62" spans="1:135" ht="54.75" hidden="1" customHeight="1" x14ac:dyDescent="0.25">
      <c r="A62" s="1565"/>
      <c r="B62" s="1018"/>
      <c r="C62" s="1114" t="s">
        <v>4392</v>
      </c>
      <c r="D62" s="1018" t="s">
        <v>4337</v>
      </c>
      <c r="E62" s="1019">
        <v>410</v>
      </c>
      <c r="F62" s="1117" t="s">
        <v>4319</v>
      </c>
      <c r="G62" s="1429"/>
      <c r="H62" s="1060">
        <f t="shared" si="31"/>
        <v>46441999</v>
      </c>
      <c r="I62" s="1060">
        <f t="shared" si="32"/>
        <v>43558001</v>
      </c>
      <c r="J62" s="1117" t="s">
        <v>4842</v>
      </c>
      <c r="K62" s="1113" t="s">
        <v>4843</v>
      </c>
      <c r="L62" s="1113" t="s">
        <v>4848</v>
      </c>
      <c r="M62" s="1113">
        <v>13</v>
      </c>
      <c r="N62" s="1113">
        <v>0</v>
      </c>
      <c r="O62" s="1113">
        <v>0</v>
      </c>
      <c r="P62" s="1113">
        <v>18</v>
      </c>
      <c r="Q62" s="1113">
        <v>60</v>
      </c>
      <c r="R62" s="1113">
        <v>11</v>
      </c>
      <c r="S62" s="1117"/>
      <c r="T62" s="1117"/>
      <c r="U62" s="1117"/>
      <c r="V62" s="1117"/>
      <c r="W62" s="1117"/>
      <c r="X62" s="1117"/>
      <c r="Y62" s="1007">
        <f t="shared" si="33"/>
        <v>90000000</v>
      </c>
      <c r="Z62" s="944"/>
      <c r="AA62" s="944"/>
      <c r="AB62" s="944"/>
      <c r="AC62" s="1007"/>
      <c r="AD62" s="1007"/>
      <c r="AE62" s="944"/>
      <c r="AF62" s="944"/>
      <c r="AG62" s="944"/>
      <c r="AH62" s="944"/>
      <c r="AI62" s="1007"/>
      <c r="AJ62" s="1007"/>
      <c r="AK62" s="1007"/>
      <c r="AL62" s="1007"/>
      <c r="AM62" s="1007"/>
      <c r="AN62" s="1007">
        <v>15000000</v>
      </c>
      <c r="AO62" s="1007">
        <f>105000000-30000000</f>
        <v>75000000</v>
      </c>
      <c r="AP62" s="1007"/>
      <c r="AQ62" s="1007"/>
      <c r="AR62" s="1007"/>
      <c r="AS62" s="1007"/>
      <c r="AU62" s="1010">
        <f t="shared" si="3"/>
        <v>0.9302111111111111</v>
      </c>
      <c r="AV62" s="1007">
        <f t="shared" si="34"/>
        <v>83719000</v>
      </c>
      <c r="AW62" s="1007"/>
      <c r="AX62" s="1007"/>
      <c r="AY62" s="1007"/>
      <c r="AZ62" s="1007"/>
      <c r="BA62" s="1007"/>
      <c r="BB62" s="1007"/>
      <c r="BC62" s="1007"/>
      <c r="BD62" s="1007"/>
      <c r="BE62" s="1007"/>
      <c r="BF62" s="1007"/>
      <c r="BG62" s="1007"/>
      <c r="BH62" s="1007"/>
      <c r="BI62" s="1007"/>
      <c r="BJ62" s="1007"/>
      <c r="BK62" s="1007">
        <f>+'[12]FEBRERO 2015'!$W$740</f>
        <v>15000000</v>
      </c>
      <c r="BL62" s="1007">
        <f>+'[8]SEPTIEMBRE 2015'!$Y$2347</f>
        <v>68719000</v>
      </c>
      <c r="BM62" s="1007"/>
      <c r="BN62" s="1007"/>
      <c r="BO62" s="1007"/>
      <c r="BP62" s="1007"/>
      <c r="BQ62" s="1010">
        <f t="shared" si="25"/>
        <v>6.97888888888889E-2</v>
      </c>
      <c r="BR62" s="1007">
        <f t="shared" si="35"/>
        <v>6281000</v>
      </c>
      <c r="BS62" s="1007">
        <f t="shared" si="56"/>
        <v>0</v>
      </c>
      <c r="BT62" s="1007"/>
      <c r="BU62" s="1007">
        <f t="shared" si="52"/>
        <v>0</v>
      </c>
      <c r="BV62" s="1007">
        <f t="shared" si="52"/>
        <v>0</v>
      </c>
      <c r="BW62" s="1007"/>
      <c r="BX62" s="1007">
        <f t="shared" si="57"/>
        <v>0</v>
      </c>
      <c r="BY62" s="1007">
        <f t="shared" si="57"/>
        <v>0</v>
      </c>
      <c r="BZ62" s="1007"/>
      <c r="CA62" s="1007"/>
      <c r="CB62" s="1007">
        <f t="shared" si="58"/>
        <v>0</v>
      </c>
      <c r="CC62" s="1007"/>
      <c r="CD62" s="1007">
        <f t="shared" si="59"/>
        <v>0</v>
      </c>
      <c r="CE62" s="1007">
        <f t="shared" si="59"/>
        <v>0</v>
      </c>
      <c r="CF62" s="1007">
        <f t="shared" si="59"/>
        <v>0</v>
      </c>
      <c r="CG62" s="1007">
        <f t="shared" si="59"/>
        <v>0</v>
      </c>
      <c r="CH62" s="1007">
        <f t="shared" si="59"/>
        <v>6281000</v>
      </c>
      <c r="CI62" s="1007">
        <f t="shared" si="59"/>
        <v>0</v>
      </c>
      <c r="CJ62" s="1007"/>
      <c r="CK62" s="1007"/>
      <c r="CL62" s="1007">
        <f t="shared" si="41"/>
        <v>0</v>
      </c>
      <c r="CM62" s="1010">
        <f t="shared" si="13"/>
        <v>0.51602221111111113</v>
      </c>
      <c r="CN62" s="1007">
        <f t="shared" si="42"/>
        <v>46441999</v>
      </c>
      <c r="CO62" s="1007"/>
      <c r="CP62" s="1007"/>
      <c r="CQ62" s="1007"/>
      <c r="CR62" s="1007"/>
      <c r="CS62" s="1007"/>
      <c r="CT62" s="1007"/>
      <c r="CU62" s="1007"/>
      <c r="CV62" s="1007"/>
      <c r="CW62" s="1007"/>
      <c r="CX62" s="1007"/>
      <c r="CY62" s="1007"/>
      <c r="CZ62" s="1007"/>
      <c r="DA62" s="1007"/>
      <c r="DB62" s="1007"/>
      <c r="DC62" s="1007">
        <f>+'[9]ABRIL 2015'!$H$1101</f>
        <v>15000000</v>
      </c>
      <c r="DD62" s="1007">
        <f>+'[8]SEPTIEMBRE 2015'!$H$2348</f>
        <v>31441999</v>
      </c>
      <c r="DE62" s="1007"/>
      <c r="DF62" s="1007"/>
      <c r="DG62" s="1007"/>
      <c r="DH62" s="1007"/>
      <c r="DI62" s="1010">
        <f t="shared" si="15"/>
        <v>0.48397778888888887</v>
      </c>
      <c r="DJ62" s="1007">
        <f t="shared" si="43"/>
        <v>43558001</v>
      </c>
      <c r="DK62" s="1007"/>
      <c r="DL62" s="1007"/>
      <c r="DM62" s="1007"/>
      <c r="DN62" s="1007">
        <f t="shared" si="64"/>
        <v>0</v>
      </c>
      <c r="DO62" s="1007"/>
      <c r="DP62" s="1007">
        <f t="shared" si="60"/>
        <v>0</v>
      </c>
      <c r="DQ62" s="1007">
        <f t="shared" si="60"/>
        <v>0</v>
      </c>
      <c r="DR62" s="1007"/>
      <c r="DS62" s="1007">
        <f t="shared" si="61"/>
        <v>0</v>
      </c>
      <c r="DT62" s="1007">
        <f t="shared" si="61"/>
        <v>0</v>
      </c>
      <c r="DU62" s="1007"/>
      <c r="DV62" s="1007">
        <f t="shared" si="62"/>
        <v>0</v>
      </c>
      <c r="DW62" s="1007">
        <f t="shared" si="62"/>
        <v>0</v>
      </c>
      <c r="DX62" s="1007">
        <f t="shared" si="62"/>
        <v>0</v>
      </c>
      <c r="DY62" s="1007">
        <f t="shared" si="63"/>
        <v>0</v>
      </c>
      <c r="DZ62" s="1007">
        <f t="shared" si="63"/>
        <v>43558001</v>
      </c>
      <c r="EA62" s="1007">
        <f t="shared" si="63"/>
        <v>0</v>
      </c>
      <c r="EB62" s="1007">
        <f t="shared" si="63"/>
        <v>0</v>
      </c>
      <c r="EC62" s="1007"/>
      <c r="ED62" s="1007">
        <f t="shared" si="49"/>
        <v>0</v>
      </c>
    </row>
    <row r="63" spans="1:135" ht="49.5" hidden="1" customHeight="1" x14ac:dyDescent="0.25">
      <c r="A63" s="1565"/>
      <c r="B63" s="1018"/>
      <c r="C63" s="1114" t="s">
        <v>4393</v>
      </c>
      <c r="D63" s="1018" t="s">
        <v>4331</v>
      </c>
      <c r="E63" s="1019">
        <v>410</v>
      </c>
      <c r="F63" s="1117" t="s">
        <v>4319</v>
      </c>
      <c r="G63" s="1429"/>
      <c r="H63" s="1060">
        <f t="shared" si="31"/>
        <v>3078500</v>
      </c>
      <c r="I63" s="1060">
        <f t="shared" si="32"/>
        <v>1921500</v>
      </c>
      <c r="J63" s="1428" t="s">
        <v>4844</v>
      </c>
      <c r="K63" s="1257" t="s">
        <v>4845</v>
      </c>
      <c r="L63" s="1257" t="s">
        <v>4849</v>
      </c>
      <c r="M63" s="1113">
        <v>62</v>
      </c>
      <c r="N63" s="1113">
        <v>100</v>
      </c>
      <c r="O63" s="1113">
        <v>62</v>
      </c>
      <c r="P63" s="1113">
        <v>62</v>
      </c>
      <c r="Q63" s="1113">
        <v>100</v>
      </c>
      <c r="R63" s="1113">
        <v>62</v>
      </c>
      <c r="S63" s="1117"/>
      <c r="T63" s="1117"/>
      <c r="U63" s="1117"/>
      <c r="V63" s="1117"/>
      <c r="W63" s="1117"/>
      <c r="X63" s="1117"/>
      <c r="Y63" s="1007">
        <f t="shared" si="33"/>
        <v>5000000</v>
      </c>
      <c r="Z63" s="944"/>
      <c r="AA63" s="944"/>
      <c r="AB63" s="944"/>
      <c r="AC63" s="1007"/>
      <c r="AD63" s="1007"/>
      <c r="AE63" s="944"/>
      <c r="AF63" s="944"/>
      <c r="AG63" s="944"/>
      <c r="AH63" s="944"/>
      <c r="AI63" s="1007"/>
      <c r="AJ63" s="1007"/>
      <c r="AK63" s="1007"/>
      <c r="AL63" s="1007"/>
      <c r="AM63" s="1007"/>
      <c r="AN63" s="1007"/>
      <c r="AO63" s="1007">
        <v>5000000</v>
      </c>
      <c r="AP63" s="1007"/>
      <c r="AQ63" s="1007"/>
      <c r="AR63" s="1007"/>
      <c r="AS63" s="1007"/>
      <c r="AU63" s="1010">
        <f t="shared" si="3"/>
        <v>1</v>
      </c>
      <c r="AV63" s="1007">
        <f t="shared" si="34"/>
        <v>5000000</v>
      </c>
      <c r="AW63" s="1007"/>
      <c r="AX63" s="1007"/>
      <c r="AY63" s="1007"/>
      <c r="AZ63" s="1007"/>
      <c r="BA63" s="1007"/>
      <c r="BB63" s="1007"/>
      <c r="BC63" s="1007"/>
      <c r="BD63" s="1007"/>
      <c r="BE63" s="1007"/>
      <c r="BF63" s="1007"/>
      <c r="BG63" s="1007"/>
      <c r="BH63" s="1007"/>
      <c r="BI63" s="1007"/>
      <c r="BJ63" s="1007"/>
      <c r="BK63" s="1007"/>
      <c r="BL63" s="1007">
        <f>+'[15]FEBRERO 2015'!$X$695</f>
        <v>5000000</v>
      </c>
      <c r="BM63" s="1007"/>
      <c r="BN63" s="1007"/>
      <c r="BO63" s="1007"/>
      <c r="BP63" s="1007"/>
      <c r="BQ63" s="1010">
        <f t="shared" si="25"/>
        <v>0</v>
      </c>
      <c r="BR63" s="1007">
        <f t="shared" si="35"/>
        <v>0</v>
      </c>
      <c r="BS63" s="1007">
        <f t="shared" si="56"/>
        <v>0</v>
      </c>
      <c r="BT63" s="1007"/>
      <c r="BU63" s="1007">
        <f t="shared" ref="BU63:BV66" si="65">AB63-AY63</f>
        <v>0</v>
      </c>
      <c r="BV63" s="1007">
        <f t="shared" si="65"/>
        <v>0</v>
      </c>
      <c r="BW63" s="1007"/>
      <c r="BX63" s="1007">
        <f t="shared" si="57"/>
        <v>0</v>
      </c>
      <c r="BY63" s="1007">
        <f t="shared" si="57"/>
        <v>0</v>
      </c>
      <c r="BZ63" s="1007"/>
      <c r="CA63" s="1007"/>
      <c r="CB63" s="1007">
        <f t="shared" si="58"/>
        <v>0</v>
      </c>
      <c r="CC63" s="1007"/>
      <c r="CD63" s="1007">
        <f t="shared" si="59"/>
        <v>0</v>
      </c>
      <c r="CE63" s="1007">
        <f t="shared" si="59"/>
        <v>0</v>
      </c>
      <c r="CF63" s="1007">
        <f t="shared" si="59"/>
        <v>0</v>
      </c>
      <c r="CG63" s="1007">
        <f t="shared" si="59"/>
        <v>0</v>
      </c>
      <c r="CH63" s="1007">
        <f t="shared" si="59"/>
        <v>0</v>
      </c>
      <c r="CI63" s="1007">
        <f t="shared" si="59"/>
        <v>0</v>
      </c>
      <c r="CJ63" s="1007"/>
      <c r="CK63" s="1007"/>
      <c r="CL63" s="1007">
        <f t="shared" si="41"/>
        <v>0</v>
      </c>
      <c r="CM63" s="1010">
        <f t="shared" si="13"/>
        <v>0.61570000000000003</v>
      </c>
      <c r="CN63" s="1007">
        <f t="shared" si="42"/>
        <v>3078500</v>
      </c>
      <c r="CO63" s="1007"/>
      <c r="CP63" s="1007"/>
      <c r="CQ63" s="1007"/>
      <c r="CR63" s="1007"/>
      <c r="CS63" s="1007"/>
      <c r="CT63" s="1007"/>
      <c r="CU63" s="1007"/>
      <c r="CV63" s="1007"/>
      <c r="CW63" s="1007"/>
      <c r="CX63" s="1007"/>
      <c r="CY63" s="1007"/>
      <c r="CZ63" s="1007"/>
      <c r="DA63" s="1007"/>
      <c r="DB63" s="1007"/>
      <c r="DC63" s="1007"/>
      <c r="DD63" s="1007">
        <f>+'[9]ABRIL 2015'!$H$1104</f>
        <v>3078500</v>
      </c>
      <c r="DE63" s="1007"/>
      <c r="DF63" s="1007"/>
      <c r="DG63" s="1007"/>
      <c r="DH63" s="1007"/>
      <c r="DI63" s="1010">
        <f t="shared" si="15"/>
        <v>0.38429999999999997</v>
      </c>
      <c r="DJ63" s="1007">
        <f t="shared" si="43"/>
        <v>1921500</v>
      </c>
      <c r="DK63" s="1007"/>
      <c r="DL63" s="1007"/>
      <c r="DM63" s="1007"/>
      <c r="DN63" s="1007">
        <f t="shared" si="64"/>
        <v>0</v>
      </c>
      <c r="DO63" s="1007"/>
      <c r="DP63" s="1007">
        <f t="shared" si="60"/>
        <v>0</v>
      </c>
      <c r="DQ63" s="1007">
        <f t="shared" si="60"/>
        <v>0</v>
      </c>
      <c r="DR63" s="1007"/>
      <c r="DS63" s="1007">
        <f t="shared" si="61"/>
        <v>0</v>
      </c>
      <c r="DT63" s="1007">
        <f t="shared" si="61"/>
        <v>0</v>
      </c>
      <c r="DU63" s="1007"/>
      <c r="DV63" s="1007">
        <f t="shared" si="62"/>
        <v>0</v>
      </c>
      <c r="DW63" s="1007">
        <f t="shared" si="62"/>
        <v>0</v>
      </c>
      <c r="DX63" s="1007">
        <f t="shared" si="62"/>
        <v>0</v>
      </c>
      <c r="DY63" s="1007">
        <f t="shared" si="63"/>
        <v>0</v>
      </c>
      <c r="DZ63" s="1007">
        <f t="shared" si="63"/>
        <v>1921500</v>
      </c>
      <c r="EA63" s="1007">
        <f t="shared" si="63"/>
        <v>0</v>
      </c>
      <c r="EB63" s="1007">
        <f t="shared" si="63"/>
        <v>0</v>
      </c>
      <c r="EC63" s="1007"/>
      <c r="ED63" s="1007">
        <f t="shared" si="49"/>
        <v>0</v>
      </c>
    </row>
    <row r="64" spans="1:135" ht="51" hidden="1" customHeight="1" x14ac:dyDescent="0.25">
      <c r="A64" s="1565"/>
      <c r="B64" s="1018"/>
      <c r="C64" s="1114" t="s">
        <v>4394</v>
      </c>
      <c r="D64" s="1018" t="s">
        <v>4820</v>
      </c>
      <c r="E64" s="1019">
        <v>410</v>
      </c>
      <c r="F64" s="1117" t="s">
        <v>4733</v>
      </c>
      <c r="G64" s="1429"/>
      <c r="H64" s="1060">
        <f t="shared" si="31"/>
        <v>17499959</v>
      </c>
      <c r="I64" s="1060">
        <f t="shared" si="32"/>
        <v>49774801</v>
      </c>
      <c r="J64" s="1430"/>
      <c r="K64" s="1258"/>
      <c r="L64" s="1258"/>
      <c r="M64" s="1113">
        <v>6</v>
      </c>
      <c r="N64" s="1113">
        <v>0</v>
      </c>
      <c r="O64" s="1113">
        <v>0</v>
      </c>
      <c r="P64" s="1113">
        <v>19</v>
      </c>
      <c r="Q64" s="1113">
        <v>0</v>
      </c>
      <c r="R64" s="1113">
        <v>0</v>
      </c>
      <c r="S64" s="1117"/>
      <c r="T64" s="1117"/>
      <c r="U64" s="1117"/>
      <c r="V64" s="1117"/>
      <c r="W64" s="1117"/>
      <c r="X64" s="1117"/>
      <c r="Y64" s="1007">
        <f t="shared" si="33"/>
        <v>67274760</v>
      </c>
      <c r="Z64" s="944"/>
      <c r="AA64" s="944"/>
      <c r="AB64" s="944"/>
      <c r="AC64" s="944"/>
      <c r="AD64" s="944"/>
      <c r="AE64" s="944"/>
      <c r="AF64" s="944"/>
      <c r="AG64" s="944"/>
      <c r="AH64" s="944"/>
      <c r="AI64" s="1007"/>
      <c r="AJ64" s="1007"/>
      <c r="AK64" s="1007"/>
      <c r="AL64" s="1007"/>
      <c r="AM64" s="1007"/>
      <c r="AN64" s="1007">
        <v>15000000</v>
      </c>
      <c r="AO64" s="1007">
        <f>55000000-10000000</f>
        <v>45000000</v>
      </c>
      <c r="AP64" s="1007"/>
      <c r="AQ64" s="1007"/>
      <c r="AR64" s="1007"/>
      <c r="AS64" s="1007">
        <f>4000000+3274760</f>
        <v>7274760</v>
      </c>
      <c r="AU64" s="1010">
        <f t="shared" si="3"/>
        <v>0.99995540675284456</v>
      </c>
      <c r="AV64" s="1007">
        <f t="shared" si="34"/>
        <v>67271760</v>
      </c>
      <c r="AW64" s="1007"/>
      <c r="AX64" s="1007"/>
      <c r="AY64" s="1007"/>
      <c r="AZ64" s="1007"/>
      <c r="BA64" s="1007"/>
      <c r="BB64" s="1007"/>
      <c r="BC64" s="1007"/>
      <c r="BD64" s="1007"/>
      <c r="BE64" s="1007"/>
      <c r="BF64" s="1007"/>
      <c r="BG64" s="1007"/>
      <c r="BH64" s="1007"/>
      <c r="BI64" s="1007"/>
      <c r="BJ64" s="1007"/>
      <c r="BK64" s="1007">
        <f>+'[12]FEBRERO 2015'!$W$753</f>
        <v>15000000</v>
      </c>
      <c r="BL64" s="1007">
        <f>+'[13]JUNIO 2015'!$Y$1453</f>
        <v>45000000</v>
      </c>
      <c r="BM64" s="1007"/>
      <c r="BN64" s="1007"/>
      <c r="BO64" s="1007"/>
      <c r="BP64" s="1007">
        <f>+'[8]SEPTIEMBRE 2015'!$AD$2368</f>
        <v>7271760</v>
      </c>
      <c r="BQ64" s="1010">
        <f t="shared" si="25"/>
        <v>4.4593247155444438E-5</v>
      </c>
      <c r="BR64" s="1007">
        <f t="shared" si="35"/>
        <v>3000</v>
      </c>
      <c r="BS64" s="1007">
        <f t="shared" si="56"/>
        <v>0</v>
      </c>
      <c r="BT64" s="1007"/>
      <c r="BU64" s="1007">
        <f t="shared" si="65"/>
        <v>0</v>
      </c>
      <c r="BV64" s="1007">
        <f t="shared" si="65"/>
        <v>0</v>
      </c>
      <c r="BW64" s="1007"/>
      <c r="BX64" s="1007">
        <f t="shared" si="57"/>
        <v>0</v>
      </c>
      <c r="BY64" s="1007">
        <f t="shared" si="57"/>
        <v>0</v>
      </c>
      <c r="BZ64" s="1007"/>
      <c r="CA64" s="1007"/>
      <c r="CB64" s="1007">
        <f t="shared" si="58"/>
        <v>0</v>
      </c>
      <c r="CC64" s="1007"/>
      <c r="CD64" s="1007">
        <f t="shared" si="59"/>
        <v>0</v>
      </c>
      <c r="CE64" s="1007">
        <f t="shared" si="59"/>
        <v>0</v>
      </c>
      <c r="CF64" s="1007">
        <f t="shared" si="59"/>
        <v>0</v>
      </c>
      <c r="CG64" s="1007">
        <f t="shared" si="59"/>
        <v>0</v>
      </c>
      <c r="CH64" s="1007">
        <f t="shared" si="59"/>
        <v>0</v>
      </c>
      <c r="CI64" s="1007">
        <f t="shared" si="59"/>
        <v>0</v>
      </c>
      <c r="CJ64" s="1007"/>
      <c r="CK64" s="1007"/>
      <c r="CL64" s="1007">
        <f t="shared" si="41"/>
        <v>3000</v>
      </c>
      <c r="CM64" s="1010">
        <f t="shared" si="13"/>
        <v>0.26012666563210335</v>
      </c>
      <c r="CN64" s="1007">
        <f t="shared" si="42"/>
        <v>17499959</v>
      </c>
      <c r="CO64" s="1007"/>
      <c r="CP64" s="1007"/>
      <c r="CQ64" s="1007"/>
      <c r="CR64" s="1007"/>
      <c r="CS64" s="1007"/>
      <c r="CT64" s="1007"/>
      <c r="CU64" s="1007"/>
      <c r="CV64" s="1007"/>
      <c r="CW64" s="1007"/>
      <c r="CX64" s="1007"/>
      <c r="CY64" s="1007"/>
      <c r="CZ64" s="1007"/>
      <c r="DA64" s="1007"/>
      <c r="DB64" s="1007"/>
      <c r="DC64" s="1007">
        <f>+'[10]JULIO 2015'!$H$1694</f>
        <v>14408959</v>
      </c>
      <c r="DD64" s="1007">
        <f>+'[9]ABRIL 2015'!$H$1115</f>
        <v>3091000</v>
      </c>
      <c r="DE64" s="1007"/>
      <c r="DF64" s="1007"/>
      <c r="DG64" s="1007"/>
      <c r="DH64" s="1007"/>
      <c r="DI64" s="1010">
        <f t="shared" si="15"/>
        <v>0.73987333436789671</v>
      </c>
      <c r="DJ64" s="1007">
        <f t="shared" si="43"/>
        <v>49774801</v>
      </c>
      <c r="DK64" s="1007"/>
      <c r="DL64" s="1007"/>
      <c r="DM64" s="1007"/>
      <c r="DN64" s="1007">
        <f t="shared" si="64"/>
        <v>0</v>
      </c>
      <c r="DO64" s="1007"/>
      <c r="DP64" s="1007">
        <f t="shared" si="60"/>
        <v>0</v>
      </c>
      <c r="DQ64" s="1007">
        <f t="shared" si="60"/>
        <v>0</v>
      </c>
      <c r="DR64" s="1007"/>
      <c r="DS64" s="1007">
        <f t="shared" si="61"/>
        <v>0</v>
      </c>
      <c r="DT64" s="1007">
        <f t="shared" si="61"/>
        <v>0</v>
      </c>
      <c r="DU64" s="1007"/>
      <c r="DV64" s="1007">
        <f t="shared" si="62"/>
        <v>0</v>
      </c>
      <c r="DW64" s="1007">
        <f t="shared" si="62"/>
        <v>0</v>
      </c>
      <c r="DX64" s="1007">
        <f t="shared" si="62"/>
        <v>0</v>
      </c>
      <c r="DY64" s="1007">
        <f t="shared" si="63"/>
        <v>591041</v>
      </c>
      <c r="DZ64" s="1007">
        <f t="shared" si="63"/>
        <v>41909000</v>
      </c>
      <c r="EA64" s="1007">
        <f t="shared" si="63"/>
        <v>0</v>
      </c>
      <c r="EB64" s="1007">
        <f t="shared" si="63"/>
        <v>0</v>
      </c>
      <c r="EC64" s="1007"/>
      <c r="ED64" s="1007">
        <f t="shared" si="49"/>
        <v>7274760</v>
      </c>
    </row>
    <row r="65" spans="1:134" ht="51" hidden="1" customHeight="1" x14ac:dyDescent="0.25">
      <c r="A65" s="1565"/>
      <c r="B65" s="1018"/>
      <c r="C65" s="1114" t="s">
        <v>4395</v>
      </c>
      <c r="D65" s="1018" t="s">
        <v>4332</v>
      </c>
      <c r="E65" s="1019">
        <v>410</v>
      </c>
      <c r="F65" s="1117" t="s">
        <v>4319</v>
      </c>
      <c r="G65" s="1429"/>
      <c r="H65" s="1060">
        <f t="shared" si="31"/>
        <v>24466293</v>
      </c>
      <c r="I65" s="1060">
        <f t="shared" si="32"/>
        <v>15533707</v>
      </c>
      <c r="J65" s="1428" t="s">
        <v>4846</v>
      </c>
      <c r="K65" s="1257" t="s">
        <v>4846</v>
      </c>
      <c r="L65" s="1257" t="s">
        <v>4846</v>
      </c>
      <c r="M65" s="1113">
        <v>37</v>
      </c>
      <c r="N65" s="1113">
        <v>0</v>
      </c>
      <c r="O65" s="1113">
        <v>0</v>
      </c>
      <c r="P65" s="1113">
        <v>49</v>
      </c>
      <c r="Q65" s="1113">
        <v>100</v>
      </c>
      <c r="R65" s="1113">
        <v>49</v>
      </c>
      <c r="S65" s="1117"/>
      <c r="T65" s="1117"/>
      <c r="U65" s="1117"/>
      <c r="V65" s="1117"/>
      <c r="W65" s="1117"/>
      <c r="X65" s="1117"/>
      <c r="Y65" s="1007">
        <f t="shared" si="33"/>
        <v>40000000</v>
      </c>
      <c r="Z65" s="944"/>
      <c r="AA65" s="944"/>
      <c r="AB65" s="944"/>
      <c r="AC65" s="944"/>
      <c r="AD65" s="944"/>
      <c r="AE65" s="944"/>
      <c r="AF65" s="944"/>
      <c r="AG65" s="944"/>
      <c r="AH65" s="944"/>
      <c r="AI65" s="1007"/>
      <c r="AJ65" s="1007"/>
      <c r="AK65" s="1007"/>
      <c r="AL65" s="1007"/>
      <c r="AM65" s="1007">
        <v>21280016</v>
      </c>
      <c r="AN65" s="1007">
        <v>15000000</v>
      </c>
      <c r="AO65" s="1007">
        <f>13719984-10000000</f>
        <v>3719984</v>
      </c>
      <c r="AP65" s="1007"/>
      <c r="AQ65" s="1007"/>
      <c r="AR65" s="1007"/>
      <c r="AS65" s="1007"/>
      <c r="AU65" s="1010">
        <f t="shared" si="3"/>
        <v>0.75</v>
      </c>
      <c r="AV65" s="1007">
        <f t="shared" si="34"/>
        <v>30000000</v>
      </c>
      <c r="AW65" s="1007"/>
      <c r="AX65" s="1007"/>
      <c r="AY65" s="1007"/>
      <c r="AZ65" s="1007"/>
      <c r="BA65" s="1007"/>
      <c r="BB65" s="1007"/>
      <c r="BC65" s="1007"/>
      <c r="BD65" s="1007"/>
      <c r="BE65" s="1007"/>
      <c r="BF65" s="1007"/>
      <c r="BG65" s="1007"/>
      <c r="BH65" s="1007"/>
      <c r="BI65" s="1007"/>
      <c r="BJ65" s="1007">
        <f>+'[13]JUNIO 2015'!$W$1466</f>
        <v>11280016</v>
      </c>
      <c r="BK65" s="1007">
        <f>+'[12]FEBRERO 2015'!$W$759</f>
        <v>15000000</v>
      </c>
      <c r="BL65" s="1007">
        <v>3719984</v>
      </c>
      <c r="BM65" s="1007"/>
      <c r="BN65" s="1007"/>
      <c r="BO65" s="1007"/>
      <c r="BP65" s="1007"/>
      <c r="BQ65" s="1010">
        <f t="shared" si="25"/>
        <v>0.25</v>
      </c>
      <c r="BR65" s="1007">
        <f t="shared" si="35"/>
        <v>10000000</v>
      </c>
      <c r="BS65" s="1007">
        <f t="shared" si="56"/>
        <v>0</v>
      </c>
      <c r="BT65" s="1007"/>
      <c r="BU65" s="1007">
        <f t="shared" si="65"/>
        <v>0</v>
      </c>
      <c r="BV65" s="1007">
        <f t="shared" si="65"/>
        <v>0</v>
      </c>
      <c r="BW65" s="1007"/>
      <c r="BX65" s="1007">
        <f t="shared" si="57"/>
        <v>0</v>
      </c>
      <c r="BY65" s="1007">
        <f t="shared" si="57"/>
        <v>0</v>
      </c>
      <c r="BZ65" s="1007"/>
      <c r="CA65" s="1007"/>
      <c r="CB65" s="1007">
        <f t="shared" si="58"/>
        <v>0</v>
      </c>
      <c r="CC65" s="1007"/>
      <c r="CD65" s="1007">
        <f t="shared" si="59"/>
        <v>0</v>
      </c>
      <c r="CE65" s="1007">
        <f t="shared" si="59"/>
        <v>0</v>
      </c>
      <c r="CF65" s="1007">
        <f t="shared" si="59"/>
        <v>10000000</v>
      </c>
      <c r="CG65" s="1007">
        <f t="shared" si="59"/>
        <v>0</v>
      </c>
      <c r="CH65" s="1007">
        <f t="shared" si="59"/>
        <v>0</v>
      </c>
      <c r="CI65" s="1007">
        <f t="shared" si="59"/>
        <v>0</v>
      </c>
      <c r="CJ65" s="1007"/>
      <c r="CK65" s="1007"/>
      <c r="CL65" s="1007">
        <f t="shared" si="41"/>
        <v>0</v>
      </c>
      <c r="CM65" s="1010">
        <f t="shared" si="13"/>
        <v>0.61165732500000003</v>
      </c>
      <c r="CN65" s="1007">
        <f t="shared" si="42"/>
        <v>24466293</v>
      </c>
      <c r="CO65" s="1007"/>
      <c r="CP65" s="1007"/>
      <c r="CQ65" s="1007"/>
      <c r="CR65" s="1007"/>
      <c r="CS65" s="1007"/>
      <c r="CT65" s="1007"/>
      <c r="CU65" s="1007"/>
      <c r="CV65" s="1007"/>
      <c r="CW65" s="1007"/>
      <c r="CX65" s="1007"/>
      <c r="CY65" s="1007"/>
      <c r="CZ65" s="1007"/>
      <c r="DA65" s="1007"/>
      <c r="DB65" s="1007">
        <f>+'[8]SEPTIEMBRE 2015'!$H$2401</f>
        <v>9466293</v>
      </c>
      <c r="DC65" s="1007">
        <f>+'[8]SEPTIEMBRE 2015'!$H$2405</f>
        <v>15000000</v>
      </c>
      <c r="DD65" s="1007"/>
      <c r="DE65" s="1007"/>
      <c r="DF65" s="1007"/>
      <c r="DG65" s="1007"/>
      <c r="DH65" s="1007"/>
      <c r="DI65" s="1010">
        <f t="shared" si="15"/>
        <v>0.38834267499999997</v>
      </c>
      <c r="DJ65" s="1007">
        <f t="shared" si="43"/>
        <v>15533707</v>
      </c>
      <c r="DK65" s="1007"/>
      <c r="DL65" s="1007"/>
      <c r="DM65" s="1007"/>
      <c r="DN65" s="1007">
        <f t="shared" si="64"/>
        <v>0</v>
      </c>
      <c r="DO65" s="1007"/>
      <c r="DP65" s="1007">
        <f t="shared" si="60"/>
        <v>0</v>
      </c>
      <c r="DQ65" s="1007">
        <f t="shared" si="60"/>
        <v>0</v>
      </c>
      <c r="DR65" s="1007"/>
      <c r="DS65" s="1007">
        <f t="shared" si="61"/>
        <v>0</v>
      </c>
      <c r="DT65" s="1007">
        <f t="shared" si="61"/>
        <v>0</v>
      </c>
      <c r="DU65" s="1007"/>
      <c r="DV65" s="1007">
        <f t="shared" si="62"/>
        <v>0</v>
      </c>
      <c r="DW65" s="1007">
        <f t="shared" si="62"/>
        <v>0</v>
      </c>
      <c r="DX65" s="1007">
        <f t="shared" si="62"/>
        <v>11813723</v>
      </c>
      <c r="DY65" s="1007">
        <f t="shared" si="63"/>
        <v>0</v>
      </c>
      <c r="DZ65" s="1007">
        <f t="shared" si="63"/>
        <v>3719984</v>
      </c>
      <c r="EA65" s="1007">
        <f t="shared" si="63"/>
        <v>0</v>
      </c>
      <c r="EB65" s="1007">
        <f t="shared" si="63"/>
        <v>0</v>
      </c>
      <c r="EC65" s="1007"/>
      <c r="ED65" s="1007">
        <f t="shared" si="49"/>
        <v>0</v>
      </c>
    </row>
    <row r="66" spans="1:134" ht="50.25" hidden="1" customHeight="1" x14ac:dyDescent="0.25">
      <c r="A66" s="1575"/>
      <c r="B66" s="1018"/>
      <c r="C66" s="1114" t="s">
        <v>4396</v>
      </c>
      <c r="D66" s="1018" t="s">
        <v>4333</v>
      </c>
      <c r="E66" s="1019">
        <v>410</v>
      </c>
      <c r="F66" s="1117" t="s">
        <v>4334</v>
      </c>
      <c r="G66" s="1430"/>
      <c r="H66" s="1060">
        <f t="shared" si="31"/>
        <v>14389000</v>
      </c>
      <c r="I66" s="1060">
        <f t="shared" si="32"/>
        <v>2048254</v>
      </c>
      <c r="J66" s="1430"/>
      <c r="K66" s="1258"/>
      <c r="L66" s="1258"/>
      <c r="M66" s="1113">
        <v>39</v>
      </c>
      <c r="N66" s="1113">
        <v>35</v>
      </c>
      <c r="O66" s="1113">
        <v>14</v>
      </c>
      <c r="P66" s="1113">
        <v>49</v>
      </c>
      <c r="Q66" s="1113">
        <v>35</v>
      </c>
      <c r="R66" s="1113">
        <v>17</v>
      </c>
      <c r="S66" s="1117"/>
      <c r="T66" s="1117"/>
      <c r="U66" s="1117"/>
      <c r="V66" s="1117"/>
      <c r="W66" s="1117"/>
      <c r="X66" s="1117"/>
      <c r="Y66" s="1007">
        <f t="shared" si="33"/>
        <v>16437254</v>
      </c>
      <c r="Z66" s="944"/>
      <c r="AA66" s="944"/>
      <c r="AB66" s="944"/>
      <c r="AC66" s="944"/>
      <c r="AD66" s="944"/>
      <c r="AE66" s="944"/>
      <c r="AF66" s="944"/>
      <c r="AG66" s="944"/>
      <c r="AH66" s="944"/>
      <c r="AI66" s="944"/>
      <c r="AJ66" s="944"/>
      <c r="AK66" s="149"/>
      <c r="AL66" s="944"/>
      <c r="AM66" s="944"/>
      <c r="AN66" s="944"/>
      <c r="AO66" s="944"/>
      <c r="AP66" s="944"/>
      <c r="AQ66" s="944"/>
      <c r="AR66" s="944"/>
      <c r="AS66" s="1007">
        <f>20437254-4000000</f>
        <v>16437254</v>
      </c>
      <c r="AU66" s="1010">
        <f t="shared" si="3"/>
        <v>1</v>
      </c>
      <c r="AV66" s="1007">
        <f t="shared" si="34"/>
        <v>16437254</v>
      </c>
      <c r="AW66" s="1007"/>
      <c r="AX66" s="1007"/>
      <c r="AY66" s="1007"/>
      <c r="AZ66" s="1007"/>
      <c r="BA66" s="1007"/>
      <c r="BB66" s="1007"/>
      <c r="BC66" s="1007"/>
      <c r="BD66" s="1007"/>
      <c r="BE66" s="1007"/>
      <c r="BF66" s="1007"/>
      <c r="BG66" s="1007"/>
      <c r="BH66" s="1007"/>
      <c r="BI66" s="1007"/>
      <c r="BJ66" s="1007"/>
      <c r="BK66" s="1007"/>
      <c r="BL66" s="1007"/>
      <c r="BM66" s="1007"/>
      <c r="BN66" s="1007"/>
      <c r="BO66" s="1007"/>
      <c r="BP66" s="1007">
        <v>16437254</v>
      </c>
      <c r="BQ66" s="1010">
        <f t="shared" si="25"/>
        <v>0</v>
      </c>
      <c r="BR66" s="1007">
        <f t="shared" si="35"/>
        <v>0</v>
      </c>
      <c r="BS66" s="1007">
        <f t="shared" si="56"/>
        <v>0</v>
      </c>
      <c r="BT66" s="1007"/>
      <c r="BU66" s="1007">
        <f t="shared" si="65"/>
        <v>0</v>
      </c>
      <c r="BV66" s="1007">
        <f t="shared" si="65"/>
        <v>0</v>
      </c>
      <c r="BW66" s="1007"/>
      <c r="BX66" s="1007">
        <f t="shared" si="57"/>
        <v>0</v>
      </c>
      <c r="BY66" s="1007">
        <f t="shared" si="57"/>
        <v>0</v>
      </c>
      <c r="BZ66" s="1007"/>
      <c r="CA66" s="1007">
        <f>+AH66-BE66</f>
        <v>0</v>
      </c>
      <c r="CB66" s="1007">
        <f t="shared" si="58"/>
        <v>0</v>
      </c>
      <c r="CC66" s="1007">
        <f>+AJ66-BG66</f>
        <v>0</v>
      </c>
      <c r="CD66" s="1007">
        <f t="shared" si="59"/>
        <v>0</v>
      </c>
      <c r="CE66" s="1007">
        <f t="shared" si="59"/>
        <v>0</v>
      </c>
      <c r="CF66" s="1007">
        <f t="shared" si="59"/>
        <v>0</v>
      </c>
      <c r="CG66" s="1007">
        <f t="shared" si="59"/>
        <v>0</v>
      </c>
      <c r="CH66" s="1007">
        <f t="shared" si="59"/>
        <v>0</v>
      </c>
      <c r="CI66" s="1007">
        <f t="shared" si="59"/>
        <v>0</v>
      </c>
      <c r="CJ66" s="1007">
        <f>+AQ66-BN66</f>
        <v>0</v>
      </c>
      <c r="CK66" s="1007">
        <f>+AR66-BO66</f>
        <v>0</v>
      </c>
      <c r="CL66" s="1007">
        <f t="shared" si="41"/>
        <v>0</v>
      </c>
      <c r="CM66" s="1010">
        <f t="shared" si="13"/>
        <v>0.8753895267421189</v>
      </c>
      <c r="CN66" s="1007">
        <f t="shared" si="42"/>
        <v>14389000</v>
      </c>
      <c r="CO66" s="1007"/>
      <c r="CP66" s="1007"/>
      <c r="CQ66" s="1007"/>
      <c r="CR66" s="1007"/>
      <c r="CS66" s="1007"/>
      <c r="CT66" s="1007"/>
      <c r="CU66" s="1007"/>
      <c r="CV66" s="1007"/>
      <c r="CW66" s="1007"/>
      <c r="CX66" s="1007"/>
      <c r="CY66" s="1007"/>
      <c r="CZ66" s="1007"/>
      <c r="DA66" s="1007"/>
      <c r="DB66" s="1007"/>
      <c r="DC66" s="1007"/>
      <c r="DD66" s="1007"/>
      <c r="DE66" s="1007"/>
      <c r="DF66" s="1007"/>
      <c r="DG66" s="1007"/>
      <c r="DH66" s="1007">
        <f>+'[8]SEPTIEMBRE 2015'!$H$2412</f>
        <v>14389000</v>
      </c>
      <c r="DI66" s="1010">
        <f t="shared" si="15"/>
        <v>0.1246104732578811</v>
      </c>
      <c r="DJ66" s="1007">
        <f t="shared" si="43"/>
        <v>2048254</v>
      </c>
      <c r="DK66" s="1007"/>
      <c r="DL66" s="1007">
        <f>AA66-CP66</f>
        <v>0</v>
      </c>
      <c r="DM66" s="1007"/>
      <c r="DN66" s="1007">
        <f t="shared" si="64"/>
        <v>0</v>
      </c>
      <c r="DO66" s="1007"/>
      <c r="DP66" s="1007">
        <f t="shared" si="60"/>
        <v>0</v>
      </c>
      <c r="DQ66" s="1007">
        <f t="shared" si="60"/>
        <v>0</v>
      </c>
      <c r="DR66" s="1007"/>
      <c r="DS66" s="1007">
        <f t="shared" si="61"/>
        <v>0</v>
      </c>
      <c r="DT66" s="1007">
        <f t="shared" si="61"/>
        <v>0</v>
      </c>
      <c r="DU66" s="1007"/>
      <c r="DV66" s="1007">
        <f t="shared" si="62"/>
        <v>0</v>
      </c>
      <c r="DW66" s="1007">
        <f t="shared" si="62"/>
        <v>0</v>
      </c>
      <c r="DX66" s="1007">
        <f t="shared" si="62"/>
        <v>0</v>
      </c>
      <c r="DY66" s="1007">
        <f t="shared" si="63"/>
        <v>0</v>
      </c>
      <c r="DZ66" s="1007">
        <f t="shared" si="63"/>
        <v>0</v>
      </c>
      <c r="EA66" s="1007">
        <f t="shared" si="63"/>
        <v>0</v>
      </c>
      <c r="EB66" s="1007">
        <f t="shared" si="63"/>
        <v>0</v>
      </c>
      <c r="EC66" s="1007"/>
      <c r="ED66" s="1007">
        <f t="shared" si="49"/>
        <v>2048254</v>
      </c>
    </row>
    <row r="67" spans="1:134" s="948" customFormat="1" ht="22.5" customHeight="1" thickTop="1" thickBot="1" x14ac:dyDescent="0.3">
      <c r="A67" s="1055"/>
      <c r="B67" s="1628" t="s">
        <v>4981</v>
      </c>
      <c r="C67" s="1629"/>
      <c r="D67" s="1629"/>
      <c r="E67" s="1630"/>
      <c r="F67" s="1050"/>
      <c r="G67" s="1008">
        <f>SUM(G35:G66)</f>
        <v>4593000000</v>
      </c>
      <c r="H67" s="1008">
        <f>SUM(H35:H66)</f>
        <v>3498022563</v>
      </c>
      <c r="I67" s="1008">
        <f>SUM(I35:I66)</f>
        <v>3037770166</v>
      </c>
      <c r="J67" s="1054"/>
      <c r="K67" s="1078"/>
      <c r="L67" s="1078"/>
      <c r="M67" s="1073"/>
      <c r="N67" s="1073"/>
      <c r="O67" s="1073"/>
      <c r="P67" s="1078"/>
      <c r="Q67" s="1078"/>
      <c r="R67" s="1078"/>
      <c r="S67" s="1054"/>
      <c r="T67" s="1054"/>
      <c r="U67" s="1054"/>
      <c r="V67" s="1054"/>
      <c r="W67" s="1054"/>
      <c r="X67" s="1054"/>
      <c r="Y67" s="1008">
        <f>SUM(Y35:Y66)</f>
        <v>6535792729</v>
      </c>
      <c r="Z67" s="1008">
        <f t="shared" ref="Z67:AS67" si="66">SUM(Z35:Z66)</f>
        <v>0</v>
      </c>
      <c r="AA67" s="1008">
        <f t="shared" si="66"/>
        <v>134533656</v>
      </c>
      <c r="AB67" s="1008">
        <f t="shared" si="66"/>
        <v>396726534</v>
      </c>
      <c r="AC67" s="1008">
        <f t="shared" si="66"/>
        <v>775722031</v>
      </c>
      <c r="AD67" s="1008">
        <f t="shared" si="66"/>
        <v>0</v>
      </c>
      <c r="AE67" s="1008">
        <f t="shared" si="66"/>
        <v>544180877</v>
      </c>
      <c r="AF67" s="1008">
        <f t="shared" si="66"/>
        <v>55000000</v>
      </c>
      <c r="AG67" s="1008">
        <f t="shared" si="66"/>
        <v>102810569</v>
      </c>
      <c r="AH67" s="1008">
        <f t="shared" si="66"/>
        <v>219471348</v>
      </c>
      <c r="AI67" s="1008">
        <f t="shared" si="66"/>
        <v>0</v>
      </c>
      <c r="AJ67" s="1008">
        <f t="shared" si="66"/>
        <v>0</v>
      </c>
      <c r="AK67" s="1008">
        <f t="shared" si="66"/>
        <v>0</v>
      </c>
      <c r="AL67" s="1008">
        <f t="shared" si="66"/>
        <v>3504013680</v>
      </c>
      <c r="AM67" s="1008">
        <f t="shared" si="66"/>
        <v>78609139</v>
      </c>
      <c r="AN67" s="1008">
        <f t="shared" si="66"/>
        <v>251718083</v>
      </c>
      <c r="AO67" s="1008">
        <f t="shared" si="66"/>
        <v>311973650</v>
      </c>
      <c r="AP67" s="1008">
        <f t="shared" si="66"/>
        <v>0</v>
      </c>
      <c r="AQ67" s="1008">
        <f t="shared" si="66"/>
        <v>80844085</v>
      </c>
      <c r="AR67" s="1008">
        <f t="shared" si="66"/>
        <v>0</v>
      </c>
      <c r="AS67" s="1008">
        <f t="shared" si="66"/>
        <v>80189077</v>
      </c>
      <c r="AU67" s="1011">
        <f t="shared" si="3"/>
        <v>0.82290423426920767</v>
      </c>
      <c r="AV67" s="1008">
        <f t="shared" ref="AV67:BP67" si="67">SUM(AV35:AV66)</f>
        <v>5378331511</v>
      </c>
      <c r="AW67" s="1008">
        <f t="shared" si="67"/>
        <v>0</v>
      </c>
      <c r="AX67" s="1008">
        <f t="shared" si="67"/>
        <v>133268976</v>
      </c>
      <c r="AY67" s="1008">
        <f t="shared" si="67"/>
        <v>396726534</v>
      </c>
      <c r="AZ67" s="1008">
        <f t="shared" si="67"/>
        <v>775722031</v>
      </c>
      <c r="BA67" s="1008">
        <f t="shared" si="67"/>
        <v>0</v>
      </c>
      <c r="BB67" s="1008">
        <f t="shared" si="67"/>
        <v>544180877</v>
      </c>
      <c r="BC67" s="1008">
        <f t="shared" si="67"/>
        <v>55000000</v>
      </c>
      <c r="BD67" s="1008">
        <f t="shared" si="67"/>
        <v>102810569</v>
      </c>
      <c r="BE67" s="1008">
        <f t="shared" si="67"/>
        <v>219471348</v>
      </c>
      <c r="BF67" s="1008">
        <f t="shared" si="67"/>
        <v>0</v>
      </c>
      <c r="BG67" s="1008">
        <f t="shared" si="67"/>
        <v>0</v>
      </c>
      <c r="BH67" s="1008">
        <f t="shared" si="67"/>
        <v>0</v>
      </c>
      <c r="BI67" s="1008">
        <f t="shared" si="67"/>
        <v>2406031294</v>
      </c>
      <c r="BJ67" s="1008">
        <f t="shared" si="67"/>
        <v>68609139</v>
      </c>
      <c r="BK67" s="1008">
        <f t="shared" si="67"/>
        <v>235765054</v>
      </c>
      <c r="BL67" s="1008">
        <f t="shared" si="67"/>
        <v>305692590</v>
      </c>
      <c r="BM67" s="1008">
        <f t="shared" si="67"/>
        <v>0</v>
      </c>
      <c r="BN67" s="1008">
        <f t="shared" si="67"/>
        <v>80844085</v>
      </c>
      <c r="BO67" s="1008">
        <f t="shared" si="67"/>
        <v>0</v>
      </c>
      <c r="BP67" s="1008">
        <f t="shared" si="67"/>
        <v>54209014</v>
      </c>
      <c r="BQ67" s="1009">
        <f t="shared" si="25"/>
        <v>0.17709576573079233</v>
      </c>
      <c r="BR67" s="1008">
        <f t="shared" ref="BR67:CL67" si="68">SUM(BR35:BR66)</f>
        <v>1157461218</v>
      </c>
      <c r="BS67" s="1008">
        <f t="shared" si="68"/>
        <v>0</v>
      </c>
      <c r="BT67" s="1008">
        <f t="shared" si="68"/>
        <v>1264680</v>
      </c>
      <c r="BU67" s="1008">
        <f t="shared" si="68"/>
        <v>0</v>
      </c>
      <c r="BV67" s="1008">
        <f t="shared" si="68"/>
        <v>0</v>
      </c>
      <c r="BW67" s="1008">
        <f t="shared" si="68"/>
        <v>0</v>
      </c>
      <c r="BX67" s="1008">
        <f t="shared" si="68"/>
        <v>0</v>
      </c>
      <c r="BY67" s="1008">
        <f t="shared" si="68"/>
        <v>0</v>
      </c>
      <c r="BZ67" s="1008">
        <f t="shared" si="68"/>
        <v>0</v>
      </c>
      <c r="CA67" s="1008">
        <f t="shared" si="68"/>
        <v>0</v>
      </c>
      <c r="CB67" s="1008">
        <f t="shared" si="68"/>
        <v>0</v>
      </c>
      <c r="CC67" s="1008">
        <f t="shared" si="68"/>
        <v>0</v>
      </c>
      <c r="CD67" s="1008">
        <f t="shared" si="68"/>
        <v>0</v>
      </c>
      <c r="CE67" s="1008">
        <f t="shared" si="68"/>
        <v>1097982386</v>
      </c>
      <c r="CF67" s="1008">
        <f t="shared" si="68"/>
        <v>10000000</v>
      </c>
      <c r="CG67" s="1008">
        <f t="shared" si="68"/>
        <v>15953029</v>
      </c>
      <c r="CH67" s="1008">
        <f t="shared" si="68"/>
        <v>6281060</v>
      </c>
      <c r="CI67" s="1008">
        <f t="shared" si="68"/>
        <v>0</v>
      </c>
      <c r="CJ67" s="1008">
        <f t="shared" si="68"/>
        <v>0</v>
      </c>
      <c r="CK67" s="1008">
        <f t="shared" si="68"/>
        <v>0</v>
      </c>
      <c r="CL67" s="1008">
        <f t="shared" si="68"/>
        <v>25980063</v>
      </c>
      <c r="CM67" s="1009">
        <f t="shared" si="13"/>
        <v>0.53521014328971994</v>
      </c>
      <c r="CN67" s="1008">
        <f t="shared" ref="CN67:ED67" si="69">SUM(CN35:CN66)</f>
        <v>3498022563</v>
      </c>
      <c r="CO67" s="1008">
        <f t="shared" si="69"/>
        <v>0</v>
      </c>
      <c r="CP67" s="1008">
        <f t="shared" si="69"/>
        <v>133268976</v>
      </c>
      <c r="CQ67" s="1008">
        <f t="shared" si="69"/>
        <v>396726534</v>
      </c>
      <c r="CR67" s="1008">
        <f t="shared" si="69"/>
        <v>561469881</v>
      </c>
      <c r="CS67" s="1008">
        <f t="shared" si="69"/>
        <v>0</v>
      </c>
      <c r="CT67" s="1008">
        <f t="shared" si="69"/>
        <v>457458840</v>
      </c>
      <c r="CU67" s="1008">
        <f t="shared" si="69"/>
        <v>54911458</v>
      </c>
      <c r="CV67" s="1008">
        <f t="shared" si="69"/>
        <v>102810569</v>
      </c>
      <c r="CW67" s="1008">
        <f t="shared" si="69"/>
        <v>129471348</v>
      </c>
      <c r="CX67" s="1008">
        <f t="shared" si="69"/>
        <v>0</v>
      </c>
      <c r="CY67" s="1008">
        <f t="shared" si="69"/>
        <v>0</v>
      </c>
      <c r="CZ67" s="1008">
        <f t="shared" si="69"/>
        <v>0</v>
      </c>
      <c r="DA67" s="1008">
        <f t="shared" si="69"/>
        <v>1255105656</v>
      </c>
      <c r="DB67" s="1008">
        <f t="shared" si="69"/>
        <v>53706082</v>
      </c>
      <c r="DC67" s="1008">
        <f t="shared" si="69"/>
        <v>173596038</v>
      </c>
      <c r="DD67" s="1008">
        <f t="shared" si="69"/>
        <v>123389828</v>
      </c>
      <c r="DE67" s="1008">
        <f t="shared" si="69"/>
        <v>0</v>
      </c>
      <c r="DF67" s="1008">
        <f t="shared" si="69"/>
        <v>30228561</v>
      </c>
      <c r="DG67" s="1008">
        <f t="shared" si="69"/>
        <v>0</v>
      </c>
      <c r="DH67" s="1008">
        <f t="shared" si="69"/>
        <v>25878792</v>
      </c>
      <c r="DI67" s="1011">
        <f t="shared" ref="DI67:DI104" si="70">1-CM67</f>
        <v>0.46478985671028006</v>
      </c>
      <c r="DJ67" s="1008">
        <f t="shared" si="69"/>
        <v>3037770166</v>
      </c>
      <c r="DK67" s="1008">
        <f t="shared" si="69"/>
        <v>0</v>
      </c>
      <c r="DL67" s="1008">
        <f t="shared" si="69"/>
        <v>1264680</v>
      </c>
      <c r="DM67" s="1008">
        <f t="shared" si="69"/>
        <v>0</v>
      </c>
      <c r="DN67" s="1008">
        <f t="shared" si="69"/>
        <v>214252150</v>
      </c>
      <c r="DO67" s="1008">
        <f t="shared" si="69"/>
        <v>0</v>
      </c>
      <c r="DP67" s="1008">
        <f t="shared" si="69"/>
        <v>86722037</v>
      </c>
      <c r="DQ67" s="1008">
        <f t="shared" si="69"/>
        <v>88542</v>
      </c>
      <c r="DR67" s="1008">
        <f t="shared" si="69"/>
        <v>0</v>
      </c>
      <c r="DS67" s="1008">
        <f t="shared" si="69"/>
        <v>90000000</v>
      </c>
      <c r="DT67" s="1008">
        <f t="shared" si="69"/>
        <v>0</v>
      </c>
      <c r="DU67" s="1008">
        <f t="shared" si="69"/>
        <v>0</v>
      </c>
      <c r="DV67" s="1008">
        <f t="shared" si="69"/>
        <v>0</v>
      </c>
      <c r="DW67" s="1008">
        <f t="shared" si="69"/>
        <v>2248908024</v>
      </c>
      <c r="DX67" s="1008">
        <f t="shared" si="69"/>
        <v>24903057</v>
      </c>
      <c r="DY67" s="1008">
        <f t="shared" si="69"/>
        <v>78122045</v>
      </c>
      <c r="DZ67" s="1008">
        <f t="shared" si="69"/>
        <v>188583822</v>
      </c>
      <c r="EA67" s="1008">
        <f t="shared" si="69"/>
        <v>0</v>
      </c>
      <c r="EB67" s="1008">
        <f t="shared" si="69"/>
        <v>50615524</v>
      </c>
      <c r="EC67" s="1008">
        <f t="shared" si="69"/>
        <v>0</v>
      </c>
      <c r="ED67" s="1043">
        <f t="shared" si="69"/>
        <v>54310285</v>
      </c>
    </row>
    <row r="68" spans="1:134" ht="66.75" hidden="1" customHeight="1" thickTop="1" x14ac:dyDescent="0.3">
      <c r="A68" s="1578" t="s">
        <v>4756</v>
      </c>
      <c r="B68" s="1018" t="s">
        <v>4340</v>
      </c>
      <c r="C68" s="1114" t="s">
        <v>4405</v>
      </c>
      <c r="D68" s="1018" t="s">
        <v>4344</v>
      </c>
      <c r="E68" s="1019">
        <v>520</v>
      </c>
      <c r="F68" s="1117" t="s">
        <v>4732</v>
      </c>
      <c r="G68" s="1576">
        <v>331000000</v>
      </c>
      <c r="H68" s="1060">
        <f t="shared" ref="H68:H103" si="71">+CN68</f>
        <v>1671542</v>
      </c>
      <c r="I68" s="1060">
        <f t="shared" ref="I68:I99" si="72">Y68-H68</f>
        <v>1328458</v>
      </c>
      <c r="J68" s="1117" t="s">
        <v>4850</v>
      </c>
      <c r="K68" s="1113" t="s">
        <v>4854</v>
      </c>
      <c r="L68" s="1113" t="s">
        <v>4860</v>
      </c>
      <c r="M68" s="1113">
        <v>0</v>
      </c>
      <c r="N68" s="1113">
        <v>0</v>
      </c>
      <c r="O68" s="1113">
        <v>0</v>
      </c>
      <c r="P68" s="1113">
        <v>0</v>
      </c>
      <c r="Q68" s="1113">
        <v>0</v>
      </c>
      <c r="R68" s="1113">
        <v>0</v>
      </c>
      <c r="S68" s="1117"/>
      <c r="T68" s="1117"/>
      <c r="U68" s="1117"/>
      <c r="V68" s="1117"/>
      <c r="W68" s="1117"/>
      <c r="X68" s="1117"/>
      <c r="Y68" s="1007">
        <f t="shared" ref="Y68:Y103" si="73">SUM(Z68:AS68)</f>
        <v>3000000</v>
      </c>
      <c r="Z68" s="944"/>
      <c r="AA68" s="1007"/>
      <c r="AB68" s="1007"/>
      <c r="AC68" s="1007"/>
      <c r="AD68" s="1007"/>
      <c r="AE68" s="1007"/>
      <c r="AF68" s="1007"/>
      <c r="AG68" s="1007"/>
      <c r="AH68" s="1007"/>
      <c r="AI68" s="1007"/>
      <c r="AJ68" s="1007"/>
      <c r="AK68" s="1007"/>
      <c r="AL68" s="1007"/>
      <c r="AM68" s="1007"/>
      <c r="AN68" s="1007"/>
      <c r="AO68" s="1007"/>
      <c r="AP68" s="1007"/>
      <c r="AQ68" s="1007"/>
      <c r="AR68" s="1007"/>
      <c r="AS68" s="1007">
        <f>2000000+1000000</f>
        <v>3000000</v>
      </c>
      <c r="AU68" s="1143">
        <f t="shared" ref="AU68:AU104" si="74">+AV68/Y68</f>
        <v>0.66666666666666663</v>
      </c>
      <c r="AV68" s="1007">
        <f t="shared" ref="AV68:AV103" si="75">SUM(AW68:BP68)</f>
        <v>2000000</v>
      </c>
      <c r="AW68" s="1007"/>
      <c r="AX68" s="1007"/>
      <c r="AY68" s="1007"/>
      <c r="AZ68" s="1007"/>
      <c r="BA68" s="1007"/>
      <c r="BB68" s="1007"/>
      <c r="BC68" s="1007"/>
      <c r="BD68" s="1007"/>
      <c r="BE68" s="1007"/>
      <c r="BF68" s="1007"/>
      <c r="BG68" s="1007"/>
      <c r="BH68" s="1007"/>
      <c r="BI68" s="1007"/>
      <c r="BJ68" s="1007"/>
      <c r="BK68" s="1007"/>
      <c r="BL68" s="1007"/>
      <c r="BM68" s="1007"/>
      <c r="BN68" s="1007"/>
      <c r="BO68" s="1007"/>
      <c r="BP68" s="1007">
        <f>+'[8]SEPTIEMBRE 2015'!$G$2914</f>
        <v>2000000</v>
      </c>
      <c r="BQ68" s="1010">
        <f t="shared" si="25"/>
        <v>0.33333333333333337</v>
      </c>
      <c r="BR68" s="1007">
        <f t="shared" ref="BR68:BR103" si="76">SUM(BS68:CL68)</f>
        <v>1000000</v>
      </c>
      <c r="BS68" s="1007">
        <f t="shared" ref="BS68:BS103" si="77">+Z68-AW68</f>
        <v>0</v>
      </c>
      <c r="BT68" s="1007">
        <f t="shared" ref="BT68:BT103" si="78">AA68-AX68</f>
        <v>0</v>
      </c>
      <c r="BU68" s="1007"/>
      <c r="BV68" s="1007">
        <f t="shared" ref="BV68:BV103" si="79">AC68-AZ68</f>
        <v>0</v>
      </c>
      <c r="BW68" s="1007"/>
      <c r="BX68" s="1007">
        <f t="shared" ref="BX68:BY103" si="80">+AE68-BB68</f>
        <v>0</v>
      </c>
      <c r="BY68" s="1007">
        <f t="shared" si="80"/>
        <v>0</v>
      </c>
      <c r="BZ68" s="1007"/>
      <c r="CA68" s="1007">
        <f t="shared" ref="CA68:CI83" si="81">+AH68-BE68</f>
        <v>0</v>
      </c>
      <c r="CB68" s="1007">
        <f t="shared" si="81"/>
        <v>0</v>
      </c>
      <c r="CC68" s="1007">
        <f t="shared" si="81"/>
        <v>0</v>
      </c>
      <c r="CD68" s="1007">
        <f t="shared" si="81"/>
        <v>0</v>
      </c>
      <c r="CE68" s="1007">
        <f t="shared" si="81"/>
        <v>0</v>
      </c>
      <c r="CF68" s="1007">
        <f t="shared" si="81"/>
        <v>0</v>
      </c>
      <c r="CG68" s="1007">
        <f t="shared" si="81"/>
        <v>0</v>
      </c>
      <c r="CH68" s="1007">
        <f t="shared" si="81"/>
        <v>0</v>
      </c>
      <c r="CI68" s="1007">
        <f t="shared" si="81"/>
        <v>0</v>
      </c>
      <c r="CJ68" s="1007"/>
      <c r="CK68" s="1007"/>
      <c r="CL68" s="1007">
        <f t="shared" ref="CL68:CL103" si="82">+AS68-BP68</f>
        <v>1000000</v>
      </c>
      <c r="CM68" s="1010">
        <f t="shared" ref="CM68:CM104" si="83">+CN68/Y68</f>
        <v>0.55718066666666666</v>
      </c>
      <c r="CN68" s="1007">
        <f t="shared" ref="CN68:CN103" si="84">SUM(CO68:DH68)</f>
        <v>1671542</v>
      </c>
      <c r="CO68" s="1007"/>
      <c r="CP68" s="1007"/>
      <c r="CQ68" s="1007"/>
      <c r="CR68" s="1007"/>
      <c r="CS68" s="1007"/>
      <c r="CT68" s="1007"/>
      <c r="CU68" s="1007"/>
      <c r="CV68" s="1007"/>
      <c r="CW68" s="1007"/>
      <c r="CX68" s="1007"/>
      <c r="CY68" s="1007"/>
      <c r="CZ68" s="1007"/>
      <c r="DA68" s="1007"/>
      <c r="DB68" s="1007"/>
      <c r="DC68" s="1007"/>
      <c r="DD68" s="1007"/>
      <c r="DE68" s="1007"/>
      <c r="DF68" s="1007"/>
      <c r="DG68" s="1007"/>
      <c r="DH68" s="1007">
        <f>+'[8]SEPTIEMBRE 2015'!$H$2914</f>
        <v>1671542</v>
      </c>
      <c r="DI68" s="1011">
        <f t="shared" si="70"/>
        <v>0.44281933333333334</v>
      </c>
      <c r="DJ68" s="1007">
        <f t="shared" ref="DJ68:DJ103" si="85">SUM(DK68:ED68)</f>
        <v>1328458</v>
      </c>
      <c r="DK68" s="1007"/>
      <c r="DL68" s="1007"/>
      <c r="DM68" s="1007"/>
      <c r="DN68" s="1007">
        <f t="shared" ref="DN68:DN103" si="86">AC68-CR68</f>
        <v>0</v>
      </c>
      <c r="DO68" s="1007"/>
      <c r="DP68" s="1007">
        <f t="shared" ref="DP68:DQ103" si="87">AE68-CT68</f>
        <v>0</v>
      </c>
      <c r="DQ68" s="1007">
        <f t="shared" si="87"/>
        <v>0</v>
      </c>
      <c r="DR68" s="1007"/>
      <c r="DS68" s="1007">
        <f t="shared" ref="DS68:DT103" si="88">+AH68-CW68</f>
        <v>0</v>
      </c>
      <c r="DT68" s="1007">
        <f t="shared" si="88"/>
        <v>0</v>
      </c>
      <c r="DU68" s="1007"/>
      <c r="DV68" s="1007">
        <f t="shared" ref="DV68:DX103" si="89">AK68-CZ68</f>
        <v>0</v>
      </c>
      <c r="DW68" s="1007">
        <f t="shared" si="89"/>
        <v>0</v>
      </c>
      <c r="DX68" s="1007">
        <f t="shared" si="89"/>
        <v>0</v>
      </c>
      <c r="DY68" s="1007">
        <f t="shared" ref="DY68:EB103" si="90">+AN68-DC68</f>
        <v>0</v>
      </c>
      <c r="DZ68" s="1007">
        <f t="shared" si="90"/>
        <v>0</v>
      </c>
      <c r="EA68" s="1007">
        <f t="shared" si="90"/>
        <v>0</v>
      </c>
      <c r="EB68" s="1007">
        <f t="shared" si="90"/>
        <v>0</v>
      </c>
      <c r="EC68" s="1007"/>
      <c r="ED68" s="1007">
        <f t="shared" ref="ED68:ED103" si="91">+AS68-DH68</f>
        <v>1328458</v>
      </c>
    </row>
    <row r="69" spans="1:134" ht="30.75" hidden="1" customHeight="1" x14ac:dyDescent="0.3">
      <c r="A69" s="1578"/>
      <c r="B69" s="1018"/>
      <c r="C69" s="1114" t="s">
        <v>4406</v>
      </c>
      <c r="D69" s="1018" t="s">
        <v>4341</v>
      </c>
      <c r="E69" s="1019">
        <v>520</v>
      </c>
      <c r="F69" s="1117" t="s">
        <v>3350</v>
      </c>
      <c r="G69" s="1429"/>
      <c r="H69" s="1060">
        <f t="shared" si="71"/>
        <v>18740479</v>
      </c>
      <c r="I69" s="1060">
        <f t="shared" si="72"/>
        <v>11259521</v>
      </c>
      <c r="J69" s="1428" t="s">
        <v>4851</v>
      </c>
      <c r="K69" s="1257" t="s">
        <v>4855</v>
      </c>
      <c r="L69" s="1257" t="s">
        <v>4861</v>
      </c>
      <c r="M69" s="1113">
        <v>13</v>
      </c>
      <c r="N69" s="1113">
        <v>10</v>
      </c>
      <c r="O69" s="1113">
        <v>1</v>
      </c>
      <c r="P69" s="1113">
        <v>24</v>
      </c>
      <c r="Q69" s="1113">
        <v>20</v>
      </c>
      <c r="R69" s="1113">
        <v>5</v>
      </c>
      <c r="S69" s="1117"/>
      <c r="T69" s="1117"/>
      <c r="U69" s="1117"/>
      <c r="V69" s="1117"/>
      <c r="W69" s="1117"/>
      <c r="X69" s="1117"/>
      <c r="Y69" s="1007">
        <f t="shared" si="73"/>
        <v>30000000</v>
      </c>
      <c r="Z69" s="1007"/>
      <c r="AA69" s="1007"/>
      <c r="AB69" s="1007"/>
      <c r="AC69" s="1007"/>
      <c r="AD69" s="1007"/>
      <c r="AE69" s="1007">
        <f>50000000-20000000</f>
        <v>30000000</v>
      </c>
      <c r="AF69" s="1007"/>
      <c r="AG69" s="1007"/>
      <c r="AH69" s="1007"/>
      <c r="AI69" s="1007"/>
      <c r="AJ69" s="1007"/>
      <c r="AK69" s="1007"/>
      <c r="AL69" s="1007"/>
      <c r="AM69" s="1007"/>
      <c r="AN69" s="1007"/>
      <c r="AO69" s="1007"/>
      <c r="AP69" s="1007"/>
      <c r="AQ69" s="1007"/>
      <c r="AR69" s="1007"/>
      <c r="AS69" s="1007"/>
      <c r="AU69" s="1010">
        <f t="shared" si="74"/>
        <v>1</v>
      </c>
      <c r="AV69" s="1007">
        <f t="shared" si="75"/>
        <v>30000000</v>
      </c>
      <c r="AW69" s="1007"/>
      <c r="AX69" s="1007"/>
      <c r="AY69" s="1007"/>
      <c r="AZ69" s="1007"/>
      <c r="BA69" s="1007"/>
      <c r="BB69" s="1007">
        <f>+'[15]FEBRERO 2015'!$N$1017-20000000</f>
        <v>30000000</v>
      </c>
      <c r="BC69" s="1007"/>
      <c r="BD69" s="1007"/>
      <c r="BE69" s="1007"/>
      <c r="BF69" s="1007"/>
      <c r="BG69" s="1007"/>
      <c r="BH69" s="1007"/>
      <c r="BI69" s="1007"/>
      <c r="BJ69" s="1007"/>
      <c r="BK69" s="1007"/>
      <c r="BL69" s="1007"/>
      <c r="BM69" s="1007"/>
      <c r="BN69" s="1007"/>
      <c r="BO69" s="1007"/>
      <c r="BP69" s="1007"/>
      <c r="BQ69" s="1010">
        <f t="shared" si="25"/>
        <v>0</v>
      </c>
      <c r="BR69" s="1007">
        <f t="shared" si="76"/>
        <v>0</v>
      </c>
      <c r="BS69" s="1007">
        <f t="shared" si="77"/>
        <v>0</v>
      </c>
      <c r="BT69" s="1007">
        <f t="shared" si="78"/>
        <v>0</v>
      </c>
      <c r="BU69" s="1007"/>
      <c r="BV69" s="1007">
        <f t="shared" si="79"/>
        <v>0</v>
      </c>
      <c r="BW69" s="1007"/>
      <c r="BX69" s="1007">
        <f t="shared" si="80"/>
        <v>0</v>
      </c>
      <c r="BY69" s="1007">
        <f t="shared" si="80"/>
        <v>0</v>
      </c>
      <c r="BZ69" s="1007"/>
      <c r="CA69" s="1007"/>
      <c r="CB69" s="1007">
        <f t="shared" si="81"/>
        <v>0</v>
      </c>
      <c r="CC69" s="1007"/>
      <c r="CD69" s="1007">
        <f t="shared" si="81"/>
        <v>0</v>
      </c>
      <c r="CE69" s="1007">
        <f t="shared" si="81"/>
        <v>0</v>
      </c>
      <c r="CF69" s="1007">
        <f t="shared" si="81"/>
        <v>0</v>
      </c>
      <c r="CG69" s="1007">
        <f t="shared" si="81"/>
        <v>0</v>
      </c>
      <c r="CH69" s="1007">
        <f t="shared" si="81"/>
        <v>0</v>
      </c>
      <c r="CI69" s="1007">
        <f t="shared" si="81"/>
        <v>0</v>
      </c>
      <c r="CJ69" s="1007"/>
      <c r="CK69" s="1007"/>
      <c r="CL69" s="1007">
        <f t="shared" si="82"/>
        <v>0</v>
      </c>
      <c r="CM69" s="1010">
        <f t="shared" si="83"/>
        <v>0.62468263333333329</v>
      </c>
      <c r="CN69" s="1007">
        <f t="shared" si="84"/>
        <v>18740479</v>
      </c>
      <c r="CO69" s="1007"/>
      <c r="CP69" s="1007"/>
      <c r="CQ69" s="1007"/>
      <c r="CR69" s="1007"/>
      <c r="CS69" s="1007"/>
      <c r="CT69" s="1007">
        <f>+'[8]SEPTIEMBRE 2015'!$H$2922</f>
        <v>18740479</v>
      </c>
      <c r="CU69" s="1007"/>
      <c r="CV69" s="1007"/>
      <c r="CW69" s="1007"/>
      <c r="CX69" s="1007"/>
      <c r="CY69" s="1007"/>
      <c r="CZ69" s="1007"/>
      <c r="DA69" s="1007"/>
      <c r="DB69" s="1007"/>
      <c r="DC69" s="1007"/>
      <c r="DD69" s="1007"/>
      <c r="DE69" s="1007"/>
      <c r="DF69" s="1007"/>
      <c r="DG69" s="1007"/>
      <c r="DH69" s="1007"/>
      <c r="DI69" s="1011">
        <f t="shared" si="70"/>
        <v>0.37531736666666671</v>
      </c>
      <c r="DJ69" s="1007">
        <f t="shared" si="85"/>
        <v>11259521</v>
      </c>
      <c r="DK69" s="1007"/>
      <c r="DL69" s="1007"/>
      <c r="DM69" s="1007"/>
      <c r="DN69" s="1007">
        <f t="shared" si="86"/>
        <v>0</v>
      </c>
      <c r="DO69" s="1007"/>
      <c r="DP69" s="1007">
        <f t="shared" si="87"/>
        <v>11259521</v>
      </c>
      <c r="DQ69" s="1007">
        <f t="shared" si="87"/>
        <v>0</v>
      </c>
      <c r="DR69" s="1007"/>
      <c r="DS69" s="1007">
        <f t="shared" si="88"/>
        <v>0</v>
      </c>
      <c r="DT69" s="1007">
        <f t="shared" si="88"/>
        <v>0</v>
      </c>
      <c r="DU69" s="1007"/>
      <c r="DV69" s="1007">
        <f t="shared" si="89"/>
        <v>0</v>
      </c>
      <c r="DW69" s="1007">
        <f t="shared" si="89"/>
        <v>0</v>
      </c>
      <c r="DX69" s="1007">
        <f t="shared" si="89"/>
        <v>0</v>
      </c>
      <c r="DY69" s="1007">
        <f t="shared" si="90"/>
        <v>0</v>
      </c>
      <c r="DZ69" s="1007">
        <f t="shared" si="90"/>
        <v>0</v>
      </c>
      <c r="EA69" s="1007">
        <f t="shared" si="90"/>
        <v>0</v>
      </c>
      <c r="EB69" s="1007">
        <f t="shared" si="90"/>
        <v>0</v>
      </c>
      <c r="EC69" s="1007"/>
      <c r="ED69" s="1007">
        <f t="shared" si="91"/>
        <v>0</v>
      </c>
    </row>
    <row r="70" spans="1:134" ht="27" hidden="1" customHeight="1" x14ac:dyDescent="0.3">
      <c r="A70" s="1578"/>
      <c r="B70" s="1018"/>
      <c r="C70" s="1114" t="s">
        <v>4407</v>
      </c>
      <c r="D70" s="1018" t="s">
        <v>4342</v>
      </c>
      <c r="E70" s="1019">
        <v>520</v>
      </c>
      <c r="F70" s="1117" t="s">
        <v>3350</v>
      </c>
      <c r="G70" s="1429"/>
      <c r="H70" s="1060">
        <f t="shared" si="71"/>
        <v>15854838</v>
      </c>
      <c r="I70" s="1060">
        <f t="shared" si="72"/>
        <v>4145162</v>
      </c>
      <c r="J70" s="1430"/>
      <c r="K70" s="1258"/>
      <c r="L70" s="1258"/>
      <c r="M70" s="1113">
        <v>0</v>
      </c>
      <c r="N70" s="1113">
        <v>0</v>
      </c>
      <c r="O70" s="1113">
        <v>0</v>
      </c>
      <c r="P70" s="1113">
        <v>0</v>
      </c>
      <c r="Q70" s="1113">
        <v>10</v>
      </c>
      <c r="R70" s="1113">
        <v>0</v>
      </c>
      <c r="S70" s="1117"/>
      <c r="T70" s="1117"/>
      <c r="U70" s="1117"/>
      <c r="V70" s="1117"/>
      <c r="W70" s="1117"/>
      <c r="X70" s="1117"/>
      <c r="Y70" s="1007">
        <f t="shared" si="73"/>
        <v>20000000</v>
      </c>
      <c r="Z70" s="1007"/>
      <c r="AA70" s="1007"/>
      <c r="AB70" s="1007"/>
      <c r="AC70" s="1007"/>
      <c r="AD70" s="1007"/>
      <c r="AE70" s="1007">
        <f>50000000-20000000-20000000</f>
        <v>10000000</v>
      </c>
      <c r="AF70" s="1007"/>
      <c r="AG70" s="1007"/>
      <c r="AH70" s="1007"/>
      <c r="AI70" s="1007"/>
      <c r="AJ70" s="1007"/>
      <c r="AK70" s="1007"/>
      <c r="AL70" s="1007"/>
      <c r="AM70" s="1007"/>
      <c r="AN70" s="1007">
        <v>10000000</v>
      </c>
      <c r="AO70" s="1007"/>
      <c r="AP70" s="1007"/>
      <c r="AQ70" s="1007"/>
      <c r="AR70" s="1007"/>
      <c r="AS70" s="1007"/>
      <c r="AU70" s="1010">
        <f t="shared" si="74"/>
        <v>1</v>
      </c>
      <c r="AV70" s="1007">
        <f t="shared" si="75"/>
        <v>20000000</v>
      </c>
      <c r="AW70" s="1007"/>
      <c r="AX70" s="1007"/>
      <c r="AY70" s="1007"/>
      <c r="AZ70" s="1007"/>
      <c r="BA70" s="1007"/>
      <c r="BB70" s="1007">
        <f>+'[15]FEBRERO 2015'!$N$1024-40000000</f>
        <v>10000000</v>
      </c>
      <c r="BC70" s="1007"/>
      <c r="BD70" s="1007"/>
      <c r="BE70" s="1007"/>
      <c r="BF70" s="1007"/>
      <c r="BG70" s="1007"/>
      <c r="BH70" s="1007"/>
      <c r="BI70" s="1007"/>
      <c r="BJ70" s="1007"/>
      <c r="BK70" s="1007">
        <f>+'[12]FEBRERO 2015'!$W$1086</f>
        <v>10000000</v>
      </c>
      <c r="BL70" s="1007"/>
      <c r="BM70" s="1007"/>
      <c r="BN70" s="1007"/>
      <c r="BO70" s="1007"/>
      <c r="BP70" s="1007"/>
      <c r="BQ70" s="1010">
        <f t="shared" si="25"/>
        <v>0</v>
      </c>
      <c r="BR70" s="1007">
        <f t="shared" si="76"/>
        <v>0</v>
      </c>
      <c r="BS70" s="1007">
        <f t="shared" si="77"/>
        <v>0</v>
      </c>
      <c r="BT70" s="1007">
        <f t="shared" si="78"/>
        <v>0</v>
      </c>
      <c r="BU70" s="1007"/>
      <c r="BV70" s="1007">
        <f t="shared" si="79"/>
        <v>0</v>
      </c>
      <c r="BW70" s="1007"/>
      <c r="BX70" s="1007">
        <f t="shared" si="80"/>
        <v>0</v>
      </c>
      <c r="BY70" s="1007">
        <f t="shared" si="80"/>
        <v>0</v>
      </c>
      <c r="BZ70" s="1007"/>
      <c r="CA70" s="1007"/>
      <c r="CB70" s="1007">
        <f t="shared" si="81"/>
        <v>0</v>
      </c>
      <c r="CC70" s="1007"/>
      <c r="CD70" s="1007">
        <f t="shared" si="81"/>
        <v>0</v>
      </c>
      <c r="CE70" s="1007">
        <f t="shared" si="81"/>
        <v>0</v>
      </c>
      <c r="CF70" s="1007">
        <f t="shared" si="81"/>
        <v>0</v>
      </c>
      <c r="CG70" s="1007">
        <f t="shared" si="81"/>
        <v>0</v>
      </c>
      <c r="CH70" s="1007">
        <f t="shared" si="81"/>
        <v>0</v>
      </c>
      <c r="CI70" s="1007">
        <f t="shared" si="81"/>
        <v>0</v>
      </c>
      <c r="CJ70" s="1007"/>
      <c r="CK70" s="1007"/>
      <c r="CL70" s="1007">
        <f t="shared" si="82"/>
        <v>0</v>
      </c>
      <c r="CM70" s="1010">
        <f t="shared" si="83"/>
        <v>0.7927419</v>
      </c>
      <c r="CN70" s="1007">
        <f t="shared" si="84"/>
        <v>15854838</v>
      </c>
      <c r="CO70" s="1007"/>
      <c r="CP70" s="1007"/>
      <c r="CQ70" s="1007"/>
      <c r="CR70" s="1007"/>
      <c r="CS70" s="1007"/>
      <c r="CT70" s="1007">
        <f>+'[8]SEPTIEMBRE 2015'!$H$2949</f>
        <v>5854838</v>
      </c>
      <c r="CU70" s="1007"/>
      <c r="CV70" s="1007"/>
      <c r="CW70" s="1007"/>
      <c r="CX70" s="1007"/>
      <c r="CY70" s="1007"/>
      <c r="CZ70" s="1007"/>
      <c r="DA70" s="1007"/>
      <c r="DB70" s="1007"/>
      <c r="DC70" s="1007">
        <f>+'[8]SEPTIEMBRE 2015'!$H$2955</f>
        <v>10000000</v>
      </c>
      <c r="DD70" s="1007"/>
      <c r="DE70" s="1007"/>
      <c r="DF70" s="1007"/>
      <c r="DG70" s="1007"/>
      <c r="DH70" s="1007"/>
      <c r="DI70" s="1011">
        <f t="shared" si="70"/>
        <v>0.2072581</v>
      </c>
      <c r="DJ70" s="1007">
        <f t="shared" si="85"/>
        <v>4145162</v>
      </c>
      <c r="DK70" s="1007"/>
      <c r="DL70" s="1007"/>
      <c r="DM70" s="1007"/>
      <c r="DN70" s="1007">
        <f t="shared" si="86"/>
        <v>0</v>
      </c>
      <c r="DO70" s="1007"/>
      <c r="DP70" s="1007">
        <f t="shared" si="87"/>
        <v>4145162</v>
      </c>
      <c r="DQ70" s="1007">
        <f t="shared" si="87"/>
        <v>0</v>
      </c>
      <c r="DR70" s="1007"/>
      <c r="DS70" s="1007">
        <f t="shared" si="88"/>
        <v>0</v>
      </c>
      <c r="DT70" s="1007">
        <f t="shared" si="88"/>
        <v>0</v>
      </c>
      <c r="DU70" s="1007"/>
      <c r="DV70" s="1007">
        <f t="shared" si="89"/>
        <v>0</v>
      </c>
      <c r="DW70" s="1007">
        <f t="shared" si="89"/>
        <v>0</v>
      </c>
      <c r="DX70" s="1007">
        <f t="shared" si="89"/>
        <v>0</v>
      </c>
      <c r="DY70" s="1007">
        <f t="shared" si="90"/>
        <v>0</v>
      </c>
      <c r="DZ70" s="1007">
        <f t="shared" si="90"/>
        <v>0</v>
      </c>
      <c r="EA70" s="1007">
        <f t="shared" si="90"/>
        <v>0</v>
      </c>
      <c r="EB70" s="1007">
        <f t="shared" si="90"/>
        <v>0</v>
      </c>
      <c r="EC70" s="1007"/>
      <c r="ED70" s="1007">
        <f t="shared" si="91"/>
        <v>0</v>
      </c>
    </row>
    <row r="71" spans="1:134" ht="55.5" hidden="1" customHeight="1" x14ac:dyDescent="0.3">
      <c r="A71" s="1578"/>
      <c r="B71" s="1018"/>
      <c r="C71" s="1114" t="s">
        <v>4408</v>
      </c>
      <c r="D71" s="1018" t="s">
        <v>4343</v>
      </c>
      <c r="E71" s="1019">
        <v>520</v>
      </c>
      <c r="F71" s="1117" t="s">
        <v>4734</v>
      </c>
      <c r="G71" s="1429"/>
      <c r="H71" s="1060">
        <f t="shared" si="71"/>
        <v>204763116</v>
      </c>
      <c r="I71" s="1060">
        <f t="shared" si="72"/>
        <v>24736884</v>
      </c>
      <c r="J71" s="1117" t="s">
        <v>4852</v>
      </c>
      <c r="K71" s="1113" t="s">
        <v>4856</v>
      </c>
      <c r="L71" s="1113" t="s">
        <v>4862</v>
      </c>
      <c r="M71" s="1113">
        <v>15</v>
      </c>
      <c r="N71" s="1113">
        <v>67</v>
      </c>
      <c r="O71" s="1113">
        <v>10</v>
      </c>
      <c r="P71" s="1113">
        <v>69</v>
      </c>
      <c r="Q71" s="1113">
        <v>18</v>
      </c>
      <c r="R71" s="1113">
        <v>12</v>
      </c>
      <c r="S71" s="1117"/>
      <c r="T71" s="1117"/>
      <c r="U71" s="1117"/>
      <c r="V71" s="1117"/>
      <c r="W71" s="1117"/>
      <c r="X71" s="1117"/>
      <c r="Y71" s="1007">
        <f t="shared" si="73"/>
        <v>229500000</v>
      </c>
      <c r="Z71" s="944"/>
      <c r="AA71" s="1007"/>
      <c r="AB71" s="1007"/>
      <c r="AC71" s="1007"/>
      <c r="AD71" s="1007"/>
      <c r="AE71" s="1007">
        <v>200000000</v>
      </c>
      <c r="AF71" s="1007"/>
      <c r="AG71" s="1007"/>
      <c r="AH71" s="1007"/>
      <c r="AI71" s="1007"/>
      <c r="AJ71" s="1007"/>
      <c r="AK71" s="1007"/>
      <c r="AL71" s="1007"/>
      <c r="AM71" s="1007"/>
      <c r="AN71" s="1007">
        <f>25000000</f>
        <v>25000000</v>
      </c>
      <c r="AO71" s="1007"/>
      <c r="AP71" s="1007"/>
      <c r="AQ71" s="1007"/>
      <c r="AR71" s="1007"/>
      <c r="AS71" s="1007">
        <f>2000000+2500000</f>
        <v>4500000</v>
      </c>
      <c r="AU71" s="1010">
        <f t="shared" si="74"/>
        <v>0.92096165577342048</v>
      </c>
      <c r="AV71" s="1007">
        <f t="shared" si="75"/>
        <v>211360700</v>
      </c>
      <c r="AW71" s="1007"/>
      <c r="AX71" s="1007"/>
      <c r="AY71" s="1007"/>
      <c r="AZ71" s="1007"/>
      <c r="BA71" s="1007"/>
      <c r="BB71" s="1007">
        <f>+'[15]FEBRERO 2015'!$N$1029</f>
        <v>200000000</v>
      </c>
      <c r="BC71" s="1007"/>
      <c r="BD71" s="1007"/>
      <c r="BE71" s="1007"/>
      <c r="BF71" s="1007"/>
      <c r="BG71" s="1007"/>
      <c r="BH71" s="1007"/>
      <c r="BI71" s="1007"/>
      <c r="BJ71" s="1007"/>
      <c r="BK71" s="1007">
        <f>+'[8]SEPTIEMBRE 2015'!$X$2960</f>
        <v>6860700</v>
      </c>
      <c r="BL71" s="1007"/>
      <c r="BM71" s="1007"/>
      <c r="BN71" s="1007"/>
      <c r="BO71" s="1007"/>
      <c r="BP71" s="1007">
        <f>+'[10]JULIO 2015'!$AD$2168</f>
        <v>4500000</v>
      </c>
      <c r="BQ71" s="1010">
        <f t="shared" si="25"/>
        <v>7.9038344226579516E-2</v>
      </c>
      <c r="BR71" s="1007">
        <f t="shared" si="76"/>
        <v>18139300</v>
      </c>
      <c r="BS71" s="1007">
        <f t="shared" si="77"/>
        <v>0</v>
      </c>
      <c r="BT71" s="1007">
        <f t="shared" si="78"/>
        <v>0</v>
      </c>
      <c r="BU71" s="1007"/>
      <c r="BV71" s="1007">
        <f t="shared" si="79"/>
        <v>0</v>
      </c>
      <c r="BW71" s="1007"/>
      <c r="BX71" s="1007">
        <f t="shared" si="80"/>
        <v>0</v>
      </c>
      <c r="BY71" s="1007">
        <f t="shared" si="80"/>
        <v>0</v>
      </c>
      <c r="BZ71" s="1007"/>
      <c r="CA71" s="1007">
        <f>+AH71-BE71</f>
        <v>0</v>
      </c>
      <c r="CB71" s="1007">
        <f t="shared" si="81"/>
        <v>0</v>
      </c>
      <c r="CC71" s="1007">
        <f t="shared" si="81"/>
        <v>0</v>
      </c>
      <c r="CD71" s="1007">
        <f t="shared" si="81"/>
        <v>0</v>
      </c>
      <c r="CE71" s="1007">
        <f t="shared" si="81"/>
        <v>0</v>
      </c>
      <c r="CF71" s="1007">
        <f t="shared" si="81"/>
        <v>0</v>
      </c>
      <c r="CG71" s="1007">
        <f t="shared" si="81"/>
        <v>18139300</v>
      </c>
      <c r="CH71" s="1007">
        <f t="shared" si="81"/>
        <v>0</v>
      </c>
      <c r="CI71" s="1007">
        <f t="shared" si="81"/>
        <v>0</v>
      </c>
      <c r="CJ71" s="1007"/>
      <c r="CK71" s="1007"/>
      <c r="CL71" s="1007">
        <f t="shared" si="82"/>
        <v>0</v>
      </c>
      <c r="CM71" s="1010">
        <f t="shared" si="83"/>
        <v>0.89221401307189541</v>
      </c>
      <c r="CN71" s="1007">
        <f t="shared" si="84"/>
        <v>204763116</v>
      </c>
      <c r="CO71" s="1007"/>
      <c r="CP71" s="1007"/>
      <c r="CQ71" s="1007"/>
      <c r="CR71" s="1007"/>
      <c r="CS71" s="1007"/>
      <c r="CT71" s="1007">
        <f>+'[8]SEPTIEMBRE 2015'!$H$2966</f>
        <v>196216648</v>
      </c>
      <c r="CU71" s="1007"/>
      <c r="CV71" s="1007"/>
      <c r="CW71" s="1007"/>
      <c r="CX71" s="1007"/>
      <c r="CY71" s="1007"/>
      <c r="CZ71" s="1007"/>
      <c r="DA71" s="1007"/>
      <c r="DB71" s="1007"/>
      <c r="DC71" s="1007">
        <f>+'[8]SEPTIEMBRE 2015'!$H$3040+'[8]SEPTIEMBRE 2015'!$H$3041+'[8]SEPTIEMBRE 2015'!$H$3042+'[8]SEPTIEMBRE 2015'!$H$3043</f>
        <v>6860700</v>
      </c>
      <c r="DD71" s="1007"/>
      <c r="DE71" s="1007"/>
      <c r="DF71" s="1007"/>
      <c r="DG71" s="1007"/>
      <c r="DH71" s="1007">
        <f>+'[8]SEPTIEMBRE 2015'!$H$2961+'[8]SEPTIEMBRE 2015'!$H$3037</f>
        <v>1685768</v>
      </c>
      <c r="DI71" s="1011">
        <f t="shared" si="70"/>
        <v>0.10778598692810459</v>
      </c>
      <c r="DJ71" s="1007">
        <f t="shared" si="85"/>
        <v>24736884</v>
      </c>
      <c r="DK71" s="1007"/>
      <c r="DL71" s="1007"/>
      <c r="DM71" s="1007"/>
      <c r="DN71" s="1007">
        <f t="shared" si="86"/>
        <v>0</v>
      </c>
      <c r="DO71" s="1007"/>
      <c r="DP71" s="1007">
        <f t="shared" si="87"/>
        <v>3783352</v>
      </c>
      <c r="DQ71" s="1007">
        <f t="shared" si="87"/>
        <v>0</v>
      </c>
      <c r="DR71" s="1007"/>
      <c r="DS71" s="1007">
        <f t="shared" si="88"/>
        <v>0</v>
      </c>
      <c r="DT71" s="1007">
        <f t="shared" si="88"/>
        <v>0</v>
      </c>
      <c r="DU71" s="1007"/>
      <c r="DV71" s="1007">
        <f t="shared" si="89"/>
        <v>0</v>
      </c>
      <c r="DW71" s="1007">
        <f t="shared" si="89"/>
        <v>0</v>
      </c>
      <c r="DX71" s="1007">
        <f t="shared" si="89"/>
        <v>0</v>
      </c>
      <c r="DY71" s="1007">
        <f t="shared" si="90"/>
        <v>18139300</v>
      </c>
      <c r="DZ71" s="1007">
        <f t="shared" si="90"/>
        <v>0</v>
      </c>
      <c r="EA71" s="1007">
        <f t="shared" si="90"/>
        <v>0</v>
      </c>
      <c r="EB71" s="1007">
        <f t="shared" si="90"/>
        <v>0</v>
      </c>
      <c r="EC71" s="1007"/>
      <c r="ED71" s="1007">
        <f t="shared" si="91"/>
        <v>2814232</v>
      </c>
    </row>
    <row r="72" spans="1:134" ht="51" hidden="1" customHeight="1" x14ac:dyDescent="0.3">
      <c r="A72" s="1578"/>
      <c r="B72" s="1018"/>
      <c r="C72" s="1114" t="s">
        <v>4409</v>
      </c>
      <c r="D72" s="1018" t="s">
        <v>4346</v>
      </c>
      <c r="E72" s="1019">
        <v>520</v>
      </c>
      <c r="F72" s="1117" t="s">
        <v>4735</v>
      </c>
      <c r="G72" s="1429"/>
      <c r="H72" s="1060">
        <f t="shared" si="71"/>
        <v>28906771</v>
      </c>
      <c r="I72" s="1060">
        <f t="shared" si="72"/>
        <v>17093229</v>
      </c>
      <c r="J72" s="1428" t="s">
        <v>4853</v>
      </c>
      <c r="K72" s="1257" t="s">
        <v>4857</v>
      </c>
      <c r="L72" s="1257" t="s">
        <v>4853</v>
      </c>
      <c r="M72" s="1113">
        <v>39</v>
      </c>
      <c r="N72" s="1113">
        <v>0</v>
      </c>
      <c r="O72" s="1113">
        <v>0</v>
      </c>
      <c r="P72" s="1113">
        <v>21</v>
      </c>
      <c r="Q72" s="1113">
        <v>0</v>
      </c>
      <c r="R72" s="1113">
        <v>0</v>
      </c>
      <c r="S72" s="1117"/>
      <c r="T72" s="1117"/>
      <c r="U72" s="1117"/>
      <c r="V72" s="1117"/>
      <c r="W72" s="1117"/>
      <c r="X72" s="1117"/>
      <c r="Y72" s="1007">
        <f t="shared" si="73"/>
        <v>46000000</v>
      </c>
      <c r="Z72" s="944"/>
      <c r="AA72" s="1007"/>
      <c r="AB72" s="1007"/>
      <c r="AC72" s="1007"/>
      <c r="AD72" s="1007"/>
      <c r="AE72" s="1007"/>
      <c r="AF72" s="1007"/>
      <c r="AG72" s="1007"/>
      <c r="AH72" s="1007"/>
      <c r="AI72" s="1007"/>
      <c r="AJ72" s="1007"/>
      <c r="AK72" s="1007"/>
      <c r="AL72" s="1007"/>
      <c r="AM72" s="1007"/>
      <c r="AN72" s="1007"/>
      <c r="AO72" s="1007"/>
      <c r="AP72" s="1007"/>
      <c r="AQ72" s="1007"/>
      <c r="AR72" s="1007"/>
      <c r="AS72" s="1007">
        <f>25000000+17000000+4000000</f>
        <v>46000000</v>
      </c>
      <c r="AU72" s="1010">
        <f t="shared" si="74"/>
        <v>0.63043478260869568</v>
      </c>
      <c r="AV72" s="1007">
        <f t="shared" si="75"/>
        <v>29000000</v>
      </c>
      <c r="AW72" s="1007"/>
      <c r="AX72" s="1007"/>
      <c r="AY72" s="1007"/>
      <c r="AZ72" s="1007"/>
      <c r="BA72" s="1007"/>
      <c r="BB72" s="1007"/>
      <c r="BC72" s="1007"/>
      <c r="BD72" s="1007"/>
      <c r="BE72" s="1007"/>
      <c r="BF72" s="1007"/>
      <c r="BG72" s="1007"/>
      <c r="BH72" s="1007"/>
      <c r="BI72" s="1007"/>
      <c r="BJ72" s="1007"/>
      <c r="BK72" s="1007"/>
      <c r="BL72" s="1007"/>
      <c r="BM72" s="1007"/>
      <c r="BN72" s="1007"/>
      <c r="BO72" s="1007"/>
      <c r="BP72" s="1007">
        <f>+'[8]SEPTIEMBRE 2015'!$AD$3049</f>
        <v>29000000</v>
      </c>
      <c r="BQ72" s="1010">
        <f t="shared" si="25"/>
        <v>0.36956521739130432</v>
      </c>
      <c r="BR72" s="1007">
        <f t="shared" si="76"/>
        <v>17000000</v>
      </c>
      <c r="BS72" s="1007">
        <f t="shared" si="77"/>
        <v>0</v>
      </c>
      <c r="BT72" s="1007">
        <f t="shared" si="78"/>
        <v>0</v>
      </c>
      <c r="BU72" s="1007"/>
      <c r="BV72" s="1007">
        <f t="shared" si="79"/>
        <v>0</v>
      </c>
      <c r="BW72" s="1007"/>
      <c r="BX72" s="1007">
        <f t="shared" si="80"/>
        <v>0</v>
      </c>
      <c r="BY72" s="1007">
        <f t="shared" si="80"/>
        <v>0</v>
      </c>
      <c r="BZ72" s="1007"/>
      <c r="CA72" s="1007">
        <f>+AH72-BE72</f>
        <v>0</v>
      </c>
      <c r="CB72" s="1007">
        <f t="shared" si="81"/>
        <v>0</v>
      </c>
      <c r="CC72" s="1007">
        <f t="shared" si="81"/>
        <v>0</v>
      </c>
      <c r="CD72" s="1007">
        <f t="shared" si="81"/>
        <v>0</v>
      </c>
      <c r="CE72" s="1007">
        <f t="shared" si="81"/>
        <v>0</v>
      </c>
      <c r="CF72" s="1007">
        <f t="shared" si="81"/>
        <v>0</v>
      </c>
      <c r="CG72" s="1007">
        <f t="shared" si="81"/>
        <v>0</v>
      </c>
      <c r="CH72" s="1007">
        <f t="shared" si="81"/>
        <v>0</v>
      </c>
      <c r="CI72" s="1007">
        <f t="shared" si="81"/>
        <v>0</v>
      </c>
      <c r="CJ72" s="1007">
        <f>+AQ72-BN72</f>
        <v>0</v>
      </c>
      <c r="CK72" s="1007"/>
      <c r="CL72" s="1007">
        <f t="shared" si="82"/>
        <v>17000000</v>
      </c>
      <c r="CM72" s="1010">
        <f t="shared" si="83"/>
        <v>0.62840806521739134</v>
      </c>
      <c r="CN72" s="1007">
        <f t="shared" si="84"/>
        <v>28906771</v>
      </c>
      <c r="CO72" s="1007"/>
      <c r="CP72" s="1007"/>
      <c r="CQ72" s="1007"/>
      <c r="CR72" s="1007"/>
      <c r="CS72" s="1007"/>
      <c r="CT72" s="1007"/>
      <c r="CU72" s="1007"/>
      <c r="CV72" s="1007"/>
      <c r="CW72" s="1007"/>
      <c r="CX72" s="1007"/>
      <c r="CY72" s="1007"/>
      <c r="CZ72" s="1007"/>
      <c r="DA72" s="1007"/>
      <c r="DB72" s="1007"/>
      <c r="DC72" s="1007"/>
      <c r="DD72" s="1007"/>
      <c r="DE72" s="1007"/>
      <c r="DF72" s="1007"/>
      <c r="DG72" s="1007"/>
      <c r="DH72" s="1007">
        <f>+'[8]SEPTIEMBRE 2015'!$H$3047</f>
        <v>28906771</v>
      </c>
      <c r="DI72" s="1011">
        <f t="shared" si="70"/>
        <v>0.37159193478260866</v>
      </c>
      <c r="DJ72" s="1007">
        <f t="shared" si="85"/>
        <v>17093229</v>
      </c>
      <c r="DK72" s="1007"/>
      <c r="DL72" s="1007"/>
      <c r="DM72" s="1007"/>
      <c r="DN72" s="1007">
        <f t="shared" si="86"/>
        <v>0</v>
      </c>
      <c r="DO72" s="1007"/>
      <c r="DP72" s="1007">
        <f t="shared" si="87"/>
        <v>0</v>
      </c>
      <c r="DQ72" s="1007">
        <f t="shared" si="87"/>
        <v>0</v>
      </c>
      <c r="DR72" s="1007"/>
      <c r="DS72" s="1007">
        <f t="shared" si="88"/>
        <v>0</v>
      </c>
      <c r="DT72" s="1007">
        <f t="shared" si="88"/>
        <v>0</v>
      </c>
      <c r="DU72" s="1007"/>
      <c r="DV72" s="1007">
        <f t="shared" si="89"/>
        <v>0</v>
      </c>
      <c r="DW72" s="1007">
        <f t="shared" si="89"/>
        <v>0</v>
      </c>
      <c r="DX72" s="1007">
        <f t="shared" si="89"/>
        <v>0</v>
      </c>
      <c r="DY72" s="1007">
        <f t="shared" si="90"/>
        <v>0</v>
      </c>
      <c r="DZ72" s="1007">
        <f t="shared" si="90"/>
        <v>0</v>
      </c>
      <c r="EA72" s="1007">
        <f t="shared" si="90"/>
        <v>0</v>
      </c>
      <c r="EB72" s="1007">
        <f t="shared" si="90"/>
        <v>0</v>
      </c>
      <c r="EC72" s="1007"/>
      <c r="ED72" s="1007">
        <f t="shared" si="91"/>
        <v>17093229</v>
      </c>
    </row>
    <row r="73" spans="1:134" ht="40.5" hidden="1" customHeight="1" x14ac:dyDescent="0.3">
      <c r="A73" s="1578"/>
      <c r="B73" s="1018"/>
      <c r="C73" s="1114" t="s">
        <v>4410</v>
      </c>
      <c r="D73" s="1018" t="s">
        <v>4613</v>
      </c>
      <c r="E73" s="1019">
        <v>520</v>
      </c>
      <c r="F73" s="1117" t="s">
        <v>4345</v>
      </c>
      <c r="G73" s="1430"/>
      <c r="H73" s="1060">
        <f t="shared" si="71"/>
        <v>1764945</v>
      </c>
      <c r="I73" s="1060">
        <f t="shared" si="72"/>
        <v>1235055</v>
      </c>
      <c r="J73" s="1430"/>
      <c r="K73" s="1258"/>
      <c r="L73" s="1258"/>
      <c r="M73" s="1113">
        <v>81</v>
      </c>
      <c r="N73" s="1113">
        <v>0</v>
      </c>
      <c r="O73" s="1113">
        <v>24</v>
      </c>
      <c r="P73" s="1113">
        <v>59</v>
      </c>
      <c r="Q73" s="1113">
        <v>0</v>
      </c>
      <c r="R73" s="1113">
        <v>0</v>
      </c>
      <c r="S73" s="1117"/>
      <c r="T73" s="1117"/>
      <c r="U73" s="1117"/>
      <c r="V73" s="1117"/>
      <c r="W73" s="1117"/>
      <c r="X73" s="1117"/>
      <c r="Y73" s="1007">
        <f t="shared" si="73"/>
        <v>3000000</v>
      </c>
      <c r="Z73" s="944"/>
      <c r="AA73" s="1007"/>
      <c r="AB73" s="1007"/>
      <c r="AC73" s="1007"/>
      <c r="AD73" s="1007"/>
      <c r="AE73" s="1007"/>
      <c r="AF73" s="1007"/>
      <c r="AG73" s="1007"/>
      <c r="AH73" s="1007"/>
      <c r="AI73" s="1007"/>
      <c r="AJ73" s="1007"/>
      <c r="AK73" s="1007"/>
      <c r="AL73" s="1007"/>
      <c r="AM73" s="1007"/>
      <c r="AN73" s="1007"/>
      <c r="AO73" s="1007"/>
      <c r="AP73" s="1007"/>
      <c r="AQ73" s="1007"/>
      <c r="AR73" s="1007"/>
      <c r="AS73" s="1007">
        <f>2000000+1000000</f>
        <v>3000000</v>
      </c>
      <c r="AU73" s="1010">
        <f t="shared" si="74"/>
        <v>1</v>
      </c>
      <c r="AV73" s="1007">
        <f t="shared" si="75"/>
        <v>3000000</v>
      </c>
      <c r="AW73" s="1007"/>
      <c r="AX73" s="1007"/>
      <c r="AY73" s="1007"/>
      <c r="AZ73" s="1007"/>
      <c r="BA73" s="1007"/>
      <c r="BB73" s="1007"/>
      <c r="BC73" s="1007"/>
      <c r="BD73" s="1007"/>
      <c r="BE73" s="1007"/>
      <c r="BF73" s="1007"/>
      <c r="BG73" s="1007"/>
      <c r="BH73" s="1007"/>
      <c r="BI73" s="1007"/>
      <c r="BJ73" s="1007"/>
      <c r="BK73" s="1007"/>
      <c r="BL73" s="1007"/>
      <c r="BM73" s="1007"/>
      <c r="BN73" s="1007"/>
      <c r="BO73" s="1007"/>
      <c r="BP73" s="1007">
        <f>+'[10]JULIO 2015'!$AD$2253</f>
        <v>3000000</v>
      </c>
      <c r="BQ73" s="1010">
        <f t="shared" si="25"/>
        <v>0</v>
      </c>
      <c r="BR73" s="1007">
        <f t="shared" si="76"/>
        <v>0</v>
      </c>
      <c r="BS73" s="1007">
        <f t="shared" si="77"/>
        <v>0</v>
      </c>
      <c r="BT73" s="1007">
        <f t="shared" si="78"/>
        <v>0</v>
      </c>
      <c r="BU73" s="1007"/>
      <c r="BV73" s="1007">
        <f t="shared" si="79"/>
        <v>0</v>
      </c>
      <c r="BW73" s="1007"/>
      <c r="BX73" s="1007">
        <f t="shared" si="80"/>
        <v>0</v>
      </c>
      <c r="BY73" s="1007">
        <f t="shared" si="80"/>
        <v>0</v>
      </c>
      <c r="BZ73" s="1007"/>
      <c r="CA73" s="1007"/>
      <c r="CB73" s="1007">
        <f t="shared" si="81"/>
        <v>0</v>
      </c>
      <c r="CC73" s="1007">
        <f t="shared" si="81"/>
        <v>0</v>
      </c>
      <c r="CD73" s="1007">
        <f t="shared" si="81"/>
        <v>0</v>
      </c>
      <c r="CE73" s="1007">
        <f t="shared" si="81"/>
        <v>0</v>
      </c>
      <c r="CF73" s="1007">
        <f t="shared" si="81"/>
        <v>0</v>
      </c>
      <c r="CG73" s="1007">
        <f t="shared" si="81"/>
        <v>0</v>
      </c>
      <c r="CH73" s="1007">
        <f t="shared" si="81"/>
        <v>0</v>
      </c>
      <c r="CI73" s="1007">
        <f t="shared" si="81"/>
        <v>0</v>
      </c>
      <c r="CJ73" s="1007"/>
      <c r="CK73" s="1007"/>
      <c r="CL73" s="1007">
        <f t="shared" si="82"/>
        <v>0</v>
      </c>
      <c r="CM73" s="1010">
        <f t="shared" si="83"/>
        <v>0.58831500000000003</v>
      </c>
      <c r="CN73" s="1007">
        <f t="shared" si="84"/>
        <v>1764945</v>
      </c>
      <c r="CO73" s="1007"/>
      <c r="CP73" s="1007"/>
      <c r="CQ73" s="1007"/>
      <c r="CR73" s="1007"/>
      <c r="CS73" s="1007"/>
      <c r="CT73" s="1007"/>
      <c r="CU73" s="1007"/>
      <c r="CV73" s="1007"/>
      <c r="CW73" s="1007"/>
      <c r="CX73" s="1007"/>
      <c r="CY73" s="1007"/>
      <c r="CZ73" s="1007"/>
      <c r="DA73" s="1007"/>
      <c r="DB73" s="1007"/>
      <c r="DC73" s="1007"/>
      <c r="DD73" s="1007"/>
      <c r="DE73" s="1007"/>
      <c r="DF73" s="1007"/>
      <c r="DG73" s="1007"/>
      <c r="DH73" s="1007">
        <f>+'[9]ABRIL 2015'!$H$1527</f>
        <v>1764945</v>
      </c>
      <c r="DI73" s="1011">
        <f t="shared" si="70"/>
        <v>0.41168499999999997</v>
      </c>
      <c r="DJ73" s="1007">
        <f t="shared" si="85"/>
        <v>1235055</v>
      </c>
      <c r="DK73" s="1007"/>
      <c r="DL73" s="1007"/>
      <c r="DM73" s="1007"/>
      <c r="DN73" s="1007">
        <f t="shared" si="86"/>
        <v>0</v>
      </c>
      <c r="DO73" s="1007"/>
      <c r="DP73" s="1007">
        <f t="shared" si="87"/>
        <v>0</v>
      </c>
      <c r="DQ73" s="1007">
        <f t="shared" si="87"/>
        <v>0</v>
      </c>
      <c r="DR73" s="1007"/>
      <c r="DS73" s="1007">
        <f t="shared" si="88"/>
        <v>0</v>
      </c>
      <c r="DT73" s="1007">
        <f t="shared" si="88"/>
        <v>0</v>
      </c>
      <c r="DU73" s="1007"/>
      <c r="DV73" s="1007">
        <f t="shared" si="89"/>
        <v>0</v>
      </c>
      <c r="DW73" s="1007">
        <f t="shared" si="89"/>
        <v>0</v>
      </c>
      <c r="DX73" s="1007">
        <f t="shared" si="89"/>
        <v>0</v>
      </c>
      <c r="DY73" s="1007">
        <f t="shared" si="90"/>
        <v>0</v>
      </c>
      <c r="DZ73" s="1007">
        <f t="shared" si="90"/>
        <v>0</v>
      </c>
      <c r="EA73" s="1007">
        <f t="shared" si="90"/>
        <v>0</v>
      </c>
      <c r="EB73" s="1007">
        <f t="shared" si="90"/>
        <v>0</v>
      </c>
      <c r="EC73" s="1007"/>
      <c r="ED73" s="1007">
        <f t="shared" si="91"/>
        <v>1235055</v>
      </c>
    </row>
    <row r="74" spans="1:134" ht="51.75" hidden="1" customHeight="1" x14ac:dyDescent="0.3">
      <c r="A74" s="1578"/>
      <c r="B74" s="1018" t="s">
        <v>4348</v>
      </c>
      <c r="C74" s="1114" t="s">
        <v>4411</v>
      </c>
      <c r="D74" s="1018" t="s">
        <v>4614</v>
      </c>
      <c r="E74" s="1019">
        <v>520</v>
      </c>
      <c r="F74" s="1117" t="s">
        <v>3350</v>
      </c>
      <c r="G74" s="1428">
        <v>100000000</v>
      </c>
      <c r="H74" s="1060">
        <f t="shared" si="71"/>
        <v>0</v>
      </c>
      <c r="I74" s="1060">
        <f t="shared" si="72"/>
        <v>25000000</v>
      </c>
      <c r="J74" s="1428" t="s">
        <v>4858</v>
      </c>
      <c r="K74" s="1257" t="s">
        <v>4859</v>
      </c>
      <c r="L74" s="1257" t="s">
        <v>4863</v>
      </c>
      <c r="M74" s="1113">
        <v>0</v>
      </c>
      <c r="N74" s="1113">
        <v>0</v>
      </c>
      <c r="O74" s="1113">
        <v>0</v>
      </c>
      <c r="P74" s="1113">
        <v>0</v>
      </c>
      <c r="Q74" s="1113">
        <v>0</v>
      </c>
      <c r="R74" s="1113">
        <v>0</v>
      </c>
      <c r="S74" s="1117"/>
      <c r="T74" s="1117"/>
      <c r="U74" s="1117"/>
      <c r="V74" s="1117"/>
      <c r="W74" s="1117"/>
      <c r="X74" s="1117"/>
      <c r="Y74" s="1007">
        <f t="shared" si="73"/>
        <v>25000000</v>
      </c>
      <c r="Z74" s="944"/>
      <c r="AA74" s="1007"/>
      <c r="AB74" s="1007"/>
      <c r="AC74" s="1007"/>
      <c r="AD74" s="1007"/>
      <c r="AE74" s="1007"/>
      <c r="AF74" s="1007">
        <f>50000000-25000000</f>
        <v>25000000</v>
      </c>
      <c r="AG74" s="1007"/>
      <c r="AH74" s="1007"/>
      <c r="AI74" s="1007"/>
      <c r="AJ74" s="1007"/>
      <c r="AK74" s="1007"/>
      <c r="AL74" s="1007"/>
      <c r="AM74" s="1007"/>
      <c r="AN74" s="1007"/>
      <c r="AO74" s="1007"/>
      <c r="AP74" s="1007"/>
      <c r="AQ74" s="1007"/>
      <c r="AR74" s="1007"/>
      <c r="AS74" s="1007"/>
      <c r="AU74" s="1010">
        <f t="shared" si="74"/>
        <v>0</v>
      </c>
      <c r="AV74" s="1007">
        <f t="shared" si="75"/>
        <v>0</v>
      </c>
      <c r="AW74" s="1007"/>
      <c r="AX74" s="1007"/>
      <c r="AY74" s="1007"/>
      <c r="AZ74" s="1007"/>
      <c r="BA74" s="1007"/>
      <c r="BB74" s="1007"/>
      <c r="BC74" s="1007"/>
      <c r="BD74" s="1007"/>
      <c r="BE74" s="1007"/>
      <c r="BF74" s="1007"/>
      <c r="BG74" s="1007"/>
      <c r="BH74" s="1007"/>
      <c r="BI74" s="1007"/>
      <c r="BJ74" s="1007"/>
      <c r="BK74" s="1007"/>
      <c r="BL74" s="1007"/>
      <c r="BM74" s="1007"/>
      <c r="BN74" s="1007"/>
      <c r="BO74" s="1007"/>
      <c r="BP74" s="1007"/>
      <c r="BQ74" s="1010">
        <f t="shared" si="25"/>
        <v>1</v>
      </c>
      <c r="BR74" s="1007">
        <f t="shared" si="76"/>
        <v>25000000</v>
      </c>
      <c r="BS74" s="1007">
        <f t="shared" si="77"/>
        <v>0</v>
      </c>
      <c r="BT74" s="1007">
        <f t="shared" si="78"/>
        <v>0</v>
      </c>
      <c r="BU74" s="1007"/>
      <c r="BV74" s="1007">
        <f t="shared" si="79"/>
        <v>0</v>
      </c>
      <c r="BW74" s="1007"/>
      <c r="BX74" s="1007">
        <f t="shared" si="80"/>
        <v>0</v>
      </c>
      <c r="BY74" s="1007">
        <f t="shared" si="80"/>
        <v>25000000</v>
      </c>
      <c r="BZ74" s="1007"/>
      <c r="CA74" s="1007">
        <f>+AH74-BE74</f>
        <v>0</v>
      </c>
      <c r="CB74" s="1007">
        <f t="shared" si="81"/>
        <v>0</v>
      </c>
      <c r="CC74" s="1007">
        <f t="shared" si="81"/>
        <v>0</v>
      </c>
      <c r="CD74" s="1007">
        <f t="shared" si="81"/>
        <v>0</v>
      </c>
      <c r="CE74" s="1007">
        <f t="shared" si="81"/>
        <v>0</v>
      </c>
      <c r="CF74" s="1007">
        <f t="shared" si="81"/>
        <v>0</v>
      </c>
      <c r="CG74" s="1007">
        <f t="shared" si="81"/>
        <v>0</v>
      </c>
      <c r="CH74" s="1007">
        <f t="shared" si="81"/>
        <v>0</v>
      </c>
      <c r="CI74" s="1007">
        <f t="shared" si="81"/>
        <v>0</v>
      </c>
      <c r="CJ74" s="1007">
        <f>+AQ74-BN74</f>
        <v>0</v>
      </c>
      <c r="CK74" s="1007"/>
      <c r="CL74" s="1007">
        <f t="shared" si="82"/>
        <v>0</v>
      </c>
      <c r="CM74" s="1010">
        <f t="shared" si="83"/>
        <v>0</v>
      </c>
      <c r="CN74" s="1007">
        <f t="shared" si="84"/>
        <v>0</v>
      </c>
      <c r="CO74" s="1007"/>
      <c r="CP74" s="1007"/>
      <c r="CQ74" s="1007"/>
      <c r="CR74" s="1007"/>
      <c r="CS74" s="1007"/>
      <c r="CT74" s="1007"/>
      <c r="CU74" s="1007"/>
      <c r="CV74" s="1007"/>
      <c r="CW74" s="1007"/>
      <c r="CX74" s="1007"/>
      <c r="CY74" s="1007"/>
      <c r="CZ74" s="1007"/>
      <c r="DA74" s="1007"/>
      <c r="DB74" s="1007"/>
      <c r="DC74" s="1007"/>
      <c r="DD74" s="1007"/>
      <c r="DE74" s="1007"/>
      <c r="DF74" s="1007"/>
      <c r="DG74" s="1007"/>
      <c r="DH74" s="1007"/>
      <c r="DI74" s="1011">
        <f t="shared" si="70"/>
        <v>1</v>
      </c>
      <c r="DJ74" s="1007">
        <f t="shared" si="85"/>
        <v>25000000</v>
      </c>
      <c r="DK74" s="1007"/>
      <c r="DL74" s="1007"/>
      <c r="DM74" s="1007"/>
      <c r="DN74" s="1007">
        <f t="shared" si="86"/>
        <v>0</v>
      </c>
      <c r="DO74" s="1007"/>
      <c r="DP74" s="1007">
        <f t="shared" si="87"/>
        <v>0</v>
      </c>
      <c r="DQ74" s="1007">
        <f t="shared" si="87"/>
        <v>25000000</v>
      </c>
      <c r="DR74" s="1007"/>
      <c r="DS74" s="1007">
        <f t="shared" si="88"/>
        <v>0</v>
      </c>
      <c r="DT74" s="1007">
        <f t="shared" si="88"/>
        <v>0</v>
      </c>
      <c r="DU74" s="1007"/>
      <c r="DV74" s="1007">
        <f t="shared" si="89"/>
        <v>0</v>
      </c>
      <c r="DW74" s="1007">
        <f t="shared" si="89"/>
        <v>0</v>
      </c>
      <c r="DX74" s="1007">
        <f t="shared" si="89"/>
        <v>0</v>
      </c>
      <c r="DY74" s="1007">
        <f t="shared" si="90"/>
        <v>0</v>
      </c>
      <c r="DZ74" s="1007">
        <f t="shared" si="90"/>
        <v>0</v>
      </c>
      <c r="EA74" s="1007">
        <f t="shared" si="90"/>
        <v>0</v>
      </c>
      <c r="EB74" s="1007">
        <f t="shared" si="90"/>
        <v>0</v>
      </c>
      <c r="EC74" s="1007"/>
      <c r="ED74" s="1007">
        <f t="shared" si="91"/>
        <v>0</v>
      </c>
    </row>
    <row r="75" spans="1:134" ht="34.5" hidden="1" customHeight="1" x14ac:dyDescent="0.3">
      <c r="A75" s="1578"/>
      <c r="B75" s="1018"/>
      <c r="C75" s="1114" t="s">
        <v>4412</v>
      </c>
      <c r="D75" s="1018" t="s">
        <v>4615</v>
      </c>
      <c r="E75" s="1019">
        <v>520</v>
      </c>
      <c r="F75" s="1117" t="s">
        <v>3350</v>
      </c>
      <c r="G75" s="1429"/>
      <c r="H75" s="1060">
        <f t="shared" si="71"/>
        <v>27607364</v>
      </c>
      <c r="I75" s="1060">
        <f t="shared" si="72"/>
        <v>2392636</v>
      </c>
      <c r="J75" s="1429"/>
      <c r="K75" s="1562"/>
      <c r="L75" s="1562"/>
      <c r="M75" s="1113">
        <v>66</v>
      </c>
      <c r="N75" s="1113">
        <v>50</v>
      </c>
      <c r="O75" s="1113">
        <v>33</v>
      </c>
      <c r="P75" s="1113">
        <v>79</v>
      </c>
      <c r="Q75" s="1113">
        <v>100</v>
      </c>
      <c r="R75" s="1113">
        <v>79</v>
      </c>
      <c r="S75" s="1117"/>
      <c r="T75" s="1117"/>
      <c r="U75" s="1117"/>
      <c r="V75" s="1117"/>
      <c r="W75" s="1117"/>
      <c r="X75" s="1117"/>
      <c r="Y75" s="1007">
        <f t="shared" si="73"/>
        <v>30000000</v>
      </c>
      <c r="Z75" s="944"/>
      <c r="AA75" s="1007"/>
      <c r="AB75" s="1007"/>
      <c r="AC75" s="1007"/>
      <c r="AD75" s="1007"/>
      <c r="AE75" s="1007">
        <v>20000000</v>
      </c>
      <c r="AF75" s="1007"/>
      <c r="AG75" s="1007"/>
      <c r="AH75" s="1007"/>
      <c r="AI75" s="1007"/>
      <c r="AJ75" s="1007"/>
      <c r="AK75" s="1007"/>
      <c r="AL75" s="1007"/>
      <c r="AM75" s="1007"/>
      <c r="AN75" s="1007">
        <v>10000000</v>
      </c>
      <c r="AO75" s="1007"/>
      <c r="AP75" s="1007"/>
      <c r="AQ75" s="1007"/>
      <c r="AR75" s="1007"/>
      <c r="AS75" s="1007"/>
      <c r="AU75" s="1010">
        <f t="shared" si="74"/>
        <v>1</v>
      </c>
      <c r="AV75" s="1007">
        <f t="shared" si="75"/>
        <v>30000000</v>
      </c>
      <c r="AW75" s="1007"/>
      <c r="AX75" s="1007"/>
      <c r="AY75" s="1007"/>
      <c r="AZ75" s="1007"/>
      <c r="BA75" s="1007"/>
      <c r="BB75" s="1007">
        <f>+'[16]ENERO 2015'!$L$922</f>
        <v>20000000</v>
      </c>
      <c r="BC75" s="1007"/>
      <c r="BD75" s="1007"/>
      <c r="BE75" s="1007"/>
      <c r="BF75" s="1007"/>
      <c r="BG75" s="1007"/>
      <c r="BH75" s="1007"/>
      <c r="BI75" s="1007"/>
      <c r="BJ75" s="1007"/>
      <c r="BK75" s="1007">
        <f>+'[12]FEBRERO 2015'!$W$1134</f>
        <v>10000000</v>
      </c>
      <c r="BL75" s="1007"/>
      <c r="BM75" s="1007"/>
      <c r="BN75" s="1007"/>
      <c r="BO75" s="1007"/>
      <c r="BP75" s="1007"/>
      <c r="BQ75" s="1010">
        <f t="shared" si="25"/>
        <v>0</v>
      </c>
      <c r="BR75" s="1007">
        <f t="shared" si="76"/>
        <v>0</v>
      </c>
      <c r="BS75" s="1007">
        <f t="shared" si="77"/>
        <v>0</v>
      </c>
      <c r="BT75" s="1007">
        <f t="shared" si="78"/>
        <v>0</v>
      </c>
      <c r="BU75" s="1007"/>
      <c r="BV75" s="1007">
        <f t="shared" si="79"/>
        <v>0</v>
      </c>
      <c r="BW75" s="1007"/>
      <c r="BX75" s="1007">
        <f t="shared" si="80"/>
        <v>0</v>
      </c>
      <c r="BY75" s="1007">
        <f t="shared" si="80"/>
        <v>0</v>
      </c>
      <c r="BZ75" s="1007"/>
      <c r="CA75" s="1007">
        <f>+AH75-BE75</f>
        <v>0</v>
      </c>
      <c r="CB75" s="1007">
        <f t="shared" si="81"/>
        <v>0</v>
      </c>
      <c r="CC75" s="1007">
        <f t="shared" si="81"/>
        <v>0</v>
      </c>
      <c r="CD75" s="1007">
        <f t="shared" si="81"/>
        <v>0</v>
      </c>
      <c r="CE75" s="1007">
        <f t="shared" si="81"/>
        <v>0</v>
      </c>
      <c r="CF75" s="1007">
        <f t="shared" si="81"/>
        <v>0</v>
      </c>
      <c r="CG75" s="1007">
        <f t="shared" si="81"/>
        <v>0</v>
      </c>
      <c r="CH75" s="1007">
        <f t="shared" si="81"/>
        <v>0</v>
      </c>
      <c r="CI75" s="1007">
        <f t="shared" si="81"/>
        <v>0</v>
      </c>
      <c r="CJ75" s="1007">
        <f>+AQ75-BN75</f>
        <v>0</v>
      </c>
      <c r="CK75" s="1007"/>
      <c r="CL75" s="1007">
        <f t="shared" si="82"/>
        <v>0</v>
      </c>
      <c r="CM75" s="1010">
        <f t="shared" si="83"/>
        <v>0.92024546666666662</v>
      </c>
      <c r="CN75" s="1007">
        <f t="shared" si="84"/>
        <v>27607364</v>
      </c>
      <c r="CO75" s="1007"/>
      <c r="CP75" s="1007"/>
      <c r="CQ75" s="1007"/>
      <c r="CR75" s="1007"/>
      <c r="CS75" s="1007"/>
      <c r="CT75" s="1007">
        <f>+'[8]SEPTIEMBRE 2015'!$H$3080</f>
        <v>20000000</v>
      </c>
      <c r="CU75" s="1007"/>
      <c r="CV75" s="1007"/>
      <c r="CW75" s="1007"/>
      <c r="CX75" s="1007"/>
      <c r="CY75" s="1007"/>
      <c r="CZ75" s="1007"/>
      <c r="DA75" s="1007"/>
      <c r="DB75" s="1007"/>
      <c r="DC75" s="1007">
        <f>+'[8]SEPTIEMBRE 2015'!$H$3083</f>
        <v>7607364</v>
      </c>
      <c r="DD75" s="1007"/>
      <c r="DE75" s="1007"/>
      <c r="DF75" s="1007"/>
      <c r="DG75" s="1007"/>
      <c r="DH75" s="1007"/>
      <c r="DI75" s="1011">
        <f t="shared" si="70"/>
        <v>7.9754533333333377E-2</v>
      </c>
      <c r="DJ75" s="1007">
        <f t="shared" si="85"/>
        <v>2392636</v>
      </c>
      <c r="DK75" s="1007"/>
      <c r="DL75" s="1007"/>
      <c r="DM75" s="1007"/>
      <c r="DN75" s="1007">
        <f t="shared" si="86"/>
        <v>0</v>
      </c>
      <c r="DO75" s="1007"/>
      <c r="DP75" s="1007">
        <f t="shared" si="87"/>
        <v>0</v>
      </c>
      <c r="DQ75" s="1007">
        <f t="shared" si="87"/>
        <v>0</v>
      </c>
      <c r="DR75" s="1007"/>
      <c r="DS75" s="1007">
        <f t="shared" si="88"/>
        <v>0</v>
      </c>
      <c r="DT75" s="1007">
        <f t="shared" si="88"/>
        <v>0</v>
      </c>
      <c r="DU75" s="1007"/>
      <c r="DV75" s="1007">
        <f t="shared" si="89"/>
        <v>0</v>
      </c>
      <c r="DW75" s="1007">
        <f t="shared" si="89"/>
        <v>0</v>
      </c>
      <c r="DX75" s="1007">
        <f t="shared" si="89"/>
        <v>0</v>
      </c>
      <c r="DY75" s="1007">
        <f t="shared" si="90"/>
        <v>2392636</v>
      </c>
      <c r="DZ75" s="1007">
        <f t="shared" si="90"/>
        <v>0</v>
      </c>
      <c r="EA75" s="1007">
        <f t="shared" si="90"/>
        <v>0</v>
      </c>
      <c r="EB75" s="1007">
        <f t="shared" si="90"/>
        <v>0</v>
      </c>
      <c r="EC75" s="1007"/>
      <c r="ED75" s="1007">
        <f t="shared" si="91"/>
        <v>0</v>
      </c>
    </row>
    <row r="76" spans="1:134" ht="51" hidden="1" customHeight="1" x14ac:dyDescent="0.3">
      <c r="A76" s="1578"/>
      <c r="B76" s="1018"/>
      <c r="C76" s="1114" t="s">
        <v>4413</v>
      </c>
      <c r="D76" s="1018" t="s">
        <v>4349</v>
      </c>
      <c r="E76" s="1019">
        <v>520</v>
      </c>
      <c r="F76" s="1117" t="s">
        <v>3350</v>
      </c>
      <c r="G76" s="1430"/>
      <c r="H76" s="1060">
        <f t="shared" si="71"/>
        <v>12228000</v>
      </c>
      <c r="I76" s="1060">
        <f t="shared" si="72"/>
        <v>17772000</v>
      </c>
      <c r="J76" s="1430"/>
      <c r="K76" s="1258"/>
      <c r="L76" s="1258"/>
      <c r="M76" s="1113">
        <v>7</v>
      </c>
      <c r="N76" s="1113">
        <v>30</v>
      </c>
      <c r="O76" s="1113">
        <v>2</v>
      </c>
      <c r="P76" s="1113">
        <v>41</v>
      </c>
      <c r="Q76" s="1113">
        <v>100</v>
      </c>
      <c r="R76" s="1113">
        <v>41</v>
      </c>
      <c r="S76" s="1117"/>
      <c r="T76" s="1117"/>
      <c r="U76" s="1117"/>
      <c r="V76" s="1117"/>
      <c r="W76" s="1117"/>
      <c r="X76" s="1117"/>
      <c r="Y76" s="1007">
        <f t="shared" si="73"/>
        <v>30000000</v>
      </c>
      <c r="Z76" s="944"/>
      <c r="AA76" s="1007"/>
      <c r="AB76" s="1007"/>
      <c r="AC76" s="1007"/>
      <c r="AD76" s="1007"/>
      <c r="AE76" s="1007">
        <v>30000000</v>
      </c>
      <c r="AF76" s="1007"/>
      <c r="AG76" s="1007"/>
      <c r="AH76" s="1007"/>
      <c r="AI76" s="1007"/>
      <c r="AJ76" s="1007"/>
      <c r="AK76" s="1007"/>
      <c r="AL76" s="1007"/>
      <c r="AM76" s="1007"/>
      <c r="AN76" s="1007"/>
      <c r="AO76" s="1007"/>
      <c r="AP76" s="1007"/>
      <c r="AQ76" s="1007"/>
      <c r="AR76" s="1007"/>
      <c r="AS76" s="1007"/>
      <c r="AU76" s="1010">
        <f t="shared" si="74"/>
        <v>1</v>
      </c>
      <c r="AV76" s="1007">
        <f t="shared" si="75"/>
        <v>30000000</v>
      </c>
      <c r="AW76" s="1007"/>
      <c r="AX76" s="1007"/>
      <c r="AY76" s="1007"/>
      <c r="AZ76" s="1007"/>
      <c r="BA76" s="1007"/>
      <c r="BB76" s="1007">
        <f>+'[15]FEBRERO 2015'!$N$1070</f>
        <v>30000000</v>
      </c>
      <c r="BC76" s="1007"/>
      <c r="BD76" s="1007"/>
      <c r="BE76" s="1007"/>
      <c r="BF76" s="1007"/>
      <c r="BG76" s="1007"/>
      <c r="BH76" s="1007"/>
      <c r="BI76" s="1007"/>
      <c r="BJ76" s="1007"/>
      <c r="BK76" s="1007"/>
      <c r="BL76" s="1007"/>
      <c r="BM76" s="1007"/>
      <c r="BN76" s="1007"/>
      <c r="BO76" s="1007"/>
      <c r="BP76" s="1007"/>
      <c r="BQ76" s="1010">
        <f t="shared" si="25"/>
        <v>0</v>
      </c>
      <c r="BR76" s="1007">
        <f t="shared" si="76"/>
        <v>0</v>
      </c>
      <c r="BS76" s="1007">
        <f t="shared" si="77"/>
        <v>0</v>
      </c>
      <c r="BT76" s="1007">
        <f t="shared" si="78"/>
        <v>0</v>
      </c>
      <c r="BU76" s="1007"/>
      <c r="BV76" s="1007">
        <f t="shared" si="79"/>
        <v>0</v>
      </c>
      <c r="BW76" s="1007"/>
      <c r="BX76" s="1007">
        <f t="shared" si="80"/>
        <v>0</v>
      </c>
      <c r="BY76" s="1007">
        <f t="shared" si="80"/>
        <v>0</v>
      </c>
      <c r="BZ76" s="1007"/>
      <c r="CA76" s="1007">
        <f>AH76-BE76</f>
        <v>0</v>
      </c>
      <c r="CB76" s="1007">
        <f t="shared" si="81"/>
        <v>0</v>
      </c>
      <c r="CC76" s="1007">
        <f t="shared" si="81"/>
        <v>0</v>
      </c>
      <c r="CD76" s="1007">
        <f t="shared" si="81"/>
        <v>0</v>
      </c>
      <c r="CE76" s="1007">
        <f t="shared" si="81"/>
        <v>0</v>
      </c>
      <c r="CF76" s="1007">
        <f t="shared" si="81"/>
        <v>0</v>
      </c>
      <c r="CG76" s="1007">
        <f>AN76-BK76</f>
        <v>0</v>
      </c>
      <c r="CH76" s="1007">
        <f t="shared" si="81"/>
        <v>0</v>
      </c>
      <c r="CI76" s="1007">
        <f t="shared" si="81"/>
        <v>0</v>
      </c>
      <c r="CJ76" s="1007">
        <f>+AQ76-BN76</f>
        <v>0</v>
      </c>
      <c r="CK76" s="1007"/>
      <c r="CL76" s="1007">
        <f t="shared" si="82"/>
        <v>0</v>
      </c>
      <c r="CM76" s="1010">
        <f t="shared" si="83"/>
        <v>0.40760000000000002</v>
      </c>
      <c r="CN76" s="1007">
        <f t="shared" si="84"/>
        <v>12228000</v>
      </c>
      <c r="CO76" s="1007"/>
      <c r="CP76" s="1007"/>
      <c r="CQ76" s="1007"/>
      <c r="CR76" s="1007"/>
      <c r="CS76" s="1007"/>
      <c r="CT76" s="1007">
        <f>+'[13]JUNIO 2015'!$H$1939</f>
        <v>12228000</v>
      </c>
      <c r="CU76" s="1007"/>
      <c r="CV76" s="1007"/>
      <c r="CW76" s="1007"/>
      <c r="CX76" s="1007"/>
      <c r="CY76" s="1007"/>
      <c r="CZ76" s="1007"/>
      <c r="DA76" s="1007"/>
      <c r="DB76" s="1007"/>
      <c r="DC76" s="1007"/>
      <c r="DD76" s="1007"/>
      <c r="DE76" s="1007"/>
      <c r="DF76" s="1007"/>
      <c r="DG76" s="1007"/>
      <c r="DH76" s="1007"/>
      <c r="DI76" s="1011">
        <f t="shared" si="70"/>
        <v>0.59240000000000004</v>
      </c>
      <c r="DJ76" s="1007">
        <f t="shared" si="85"/>
        <v>17772000</v>
      </c>
      <c r="DK76" s="1007"/>
      <c r="DL76" s="1007"/>
      <c r="DM76" s="1007"/>
      <c r="DN76" s="1007">
        <f t="shared" si="86"/>
        <v>0</v>
      </c>
      <c r="DO76" s="1007"/>
      <c r="DP76" s="1007">
        <f t="shared" si="87"/>
        <v>17772000</v>
      </c>
      <c r="DQ76" s="1007">
        <f t="shared" si="87"/>
        <v>0</v>
      </c>
      <c r="DR76" s="1007"/>
      <c r="DS76" s="1007">
        <f t="shared" si="88"/>
        <v>0</v>
      </c>
      <c r="DT76" s="1007">
        <f t="shared" si="88"/>
        <v>0</v>
      </c>
      <c r="DU76" s="1007"/>
      <c r="DV76" s="1007">
        <f t="shared" si="89"/>
        <v>0</v>
      </c>
      <c r="DW76" s="1007">
        <f t="shared" si="89"/>
        <v>0</v>
      </c>
      <c r="DX76" s="1007">
        <f t="shared" si="89"/>
        <v>0</v>
      </c>
      <c r="DY76" s="1007">
        <f t="shared" si="90"/>
        <v>0</v>
      </c>
      <c r="DZ76" s="1007">
        <f t="shared" si="90"/>
        <v>0</v>
      </c>
      <c r="EA76" s="1007">
        <f t="shared" si="90"/>
        <v>0</v>
      </c>
      <c r="EB76" s="1007">
        <f t="shared" si="90"/>
        <v>0</v>
      </c>
      <c r="EC76" s="1007"/>
      <c r="ED76" s="1007">
        <f t="shared" si="91"/>
        <v>0</v>
      </c>
    </row>
    <row r="77" spans="1:134" ht="30" hidden="1" customHeight="1" x14ac:dyDescent="0.3">
      <c r="A77" s="1578"/>
      <c r="B77" s="1018" t="s">
        <v>4350</v>
      </c>
      <c r="C77" s="1114" t="s">
        <v>4414</v>
      </c>
      <c r="D77" s="1018" t="s">
        <v>4351</v>
      </c>
      <c r="E77" s="1019">
        <v>520</v>
      </c>
      <c r="F77" s="1117" t="s">
        <v>4736</v>
      </c>
      <c r="G77" s="1428">
        <v>1710000000</v>
      </c>
      <c r="H77" s="1060">
        <f t="shared" si="71"/>
        <v>0</v>
      </c>
      <c r="I77" s="1060">
        <f t="shared" si="72"/>
        <v>2898900</v>
      </c>
      <c r="J77" s="1428" t="s">
        <v>4864</v>
      </c>
      <c r="K77" s="1257" t="s">
        <v>4870</v>
      </c>
      <c r="L77" s="1257" t="s">
        <v>4877</v>
      </c>
      <c r="M77" s="1113">
        <v>0</v>
      </c>
      <c r="N77" s="1113">
        <v>0</v>
      </c>
      <c r="O77" s="1113">
        <v>0</v>
      </c>
      <c r="P77" s="1113">
        <v>0</v>
      </c>
      <c r="Q77" s="1113">
        <v>0</v>
      </c>
      <c r="R77" s="1113">
        <v>0</v>
      </c>
      <c r="S77" s="1117"/>
      <c r="T77" s="1117"/>
      <c r="U77" s="1117"/>
      <c r="V77" s="1117"/>
      <c r="W77" s="1117"/>
      <c r="X77" s="1117"/>
      <c r="Y77" s="1007">
        <f t="shared" si="73"/>
        <v>2898900</v>
      </c>
      <c r="Z77" s="944"/>
      <c r="AA77" s="944"/>
      <c r="AB77" s="944"/>
      <c r="AC77" s="944"/>
      <c r="AD77" s="944"/>
      <c r="AE77" s="944"/>
      <c r="AF77" s="1007"/>
      <c r="AG77" s="1007"/>
      <c r="AH77" s="1007"/>
      <c r="AI77" s="1007"/>
      <c r="AJ77" s="1007"/>
      <c r="AK77" s="1007"/>
      <c r="AL77" s="1007"/>
      <c r="AM77" s="1007"/>
      <c r="AN77" s="1007"/>
      <c r="AO77" s="1007"/>
      <c r="AP77" s="1007"/>
      <c r="AQ77" s="1007"/>
      <c r="AR77" s="1007"/>
      <c r="AS77" s="1007">
        <f>2500000+398900</f>
        <v>2898900</v>
      </c>
      <c r="AU77" s="1010">
        <f t="shared" si="74"/>
        <v>1</v>
      </c>
      <c r="AV77" s="1007">
        <f t="shared" si="75"/>
        <v>2898900</v>
      </c>
      <c r="AW77" s="1007"/>
      <c r="AX77" s="1007"/>
      <c r="AY77" s="1007"/>
      <c r="AZ77" s="1007"/>
      <c r="BA77" s="1007"/>
      <c r="BB77" s="1007"/>
      <c r="BC77" s="1007"/>
      <c r="BD77" s="1007"/>
      <c r="BE77" s="1007"/>
      <c r="BF77" s="1007"/>
      <c r="BG77" s="1007"/>
      <c r="BH77" s="1007"/>
      <c r="BI77" s="1007"/>
      <c r="BJ77" s="1007"/>
      <c r="BK77" s="1007"/>
      <c r="BL77" s="1007"/>
      <c r="BM77" s="1007"/>
      <c r="BN77" s="1007"/>
      <c r="BO77" s="1007"/>
      <c r="BP77" s="1007">
        <f>+'[10]JULIO 2015'!$AD$2291</f>
        <v>2898900</v>
      </c>
      <c r="BQ77" s="1010">
        <f t="shared" si="25"/>
        <v>0</v>
      </c>
      <c r="BR77" s="1007">
        <f t="shared" si="76"/>
        <v>0</v>
      </c>
      <c r="BS77" s="1007">
        <f t="shared" si="77"/>
        <v>0</v>
      </c>
      <c r="BT77" s="1007">
        <f t="shared" si="78"/>
        <v>0</v>
      </c>
      <c r="BU77" s="1007"/>
      <c r="BV77" s="1007">
        <f t="shared" si="79"/>
        <v>0</v>
      </c>
      <c r="BW77" s="1007"/>
      <c r="BX77" s="1007">
        <f t="shared" si="80"/>
        <v>0</v>
      </c>
      <c r="BY77" s="1007">
        <f t="shared" si="80"/>
        <v>0</v>
      </c>
      <c r="BZ77" s="1007"/>
      <c r="CA77" s="1007">
        <f>AH77-BE77</f>
        <v>0</v>
      </c>
      <c r="CB77" s="1007">
        <f t="shared" si="81"/>
        <v>0</v>
      </c>
      <c r="CC77" s="1007">
        <f t="shared" si="81"/>
        <v>0</v>
      </c>
      <c r="CD77" s="1007">
        <f t="shared" si="81"/>
        <v>0</v>
      </c>
      <c r="CE77" s="1007">
        <f t="shared" si="81"/>
        <v>0</v>
      </c>
      <c r="CF77" s="1007">
        <f t="shared" si="81"/>
        <v>0</v>
      </c>
      <c r="CG77" s="1007">
        <f>AN77-BK77</f>
        <v>0</v>
      </c>
      <c r="CH77" s="1007">
        <f t="shared" si="81"/>
        <v>0</v>
      </c>
      <c r="CI77" s="1007">
        <f t="shared" si="81"/>
        <v>0</v>
      </c>
      <c r="CJ77" s="1007"/>
      <c r="CK77" s="1007"/>
      <c r="CL77" s="1007">
        <f t="shared" si="82"/>
        <v>0</v>
      </c>
      <c r="CM77" s="1010">
        <f t="shared" si="83"/>
        <v>0</v>
      </c>
      <c r="CN77" s="1007">
        <f t="shared" si="84"/>
        <v>0</v>
      </c>
      <c r="CO77" s="1007"/>
      <c r="CP77" s="1007"/>
      <c r="CQ77" s="1007"/>
      <c r="CR77" s="1007"/>
      <c r="CS77" s="1007"/>
      <c r="CT77" s="1007"/>
      <c r="CU77" s="1007"/>
      <c r="CV77" s="1007"/>
      <c r="CW77" s="1007"/>
      <c r="CX77" s="1007"/>
      <c r="CY77" s="1007"/>
      <c r="CZ77" s="1007"/>
      <c r="DA77" s="1007"/>
      <c r="DB77" s="1007"/>
      <c r="DC77" s="1007"/>
      <c r="DD77" s="1007"/>
      <c r="DE77" s="1007"/>
      <c r="DF77" s="1007"/>
      <c r="DG77" s="1007"/>
      <c r="DH77" s="1007"/>
      <c r="DI77" s="1011">
        <f t="shared" si="70"/>
        <v>1</v>
      </c>
      <c r="DJ77" s="1007">
        <f t="shared" si="85"/>
        <v>2898900</v>
      </c>
      <c r="DK77" s="1007"/>
      <c r="DL77" s="1007"/>
      <c r="DM77" s="1007"/>
      <c r="DN77" s="1007">
        <f t="shared" si="86"/>
        <v>0</v>
      </c>
      <c r="DO77" s="1007"/>
      <c r="DP77" s="1007">
        <f t="shared" si="87"/>
        <v>0</v>
      </c>
      <c r="DQ77" s="1007">
        <f t="shared" si="87"/>
        <v>0</v>
      </c>
      <c r="DR77" s="1007"/>
      <c r="DS77" s="1007">
        <f t="shared" si="88"/>
        <v>0</v>
      </c>
      <c r="DT77" s="1007">
        <f t="shared" si="88"/>
        <v>0</v>
      </c>
      <c r="DU77" s="1007"/>
      <c r="DV77" s="1007">
        <f t="shared" si="89"/>
        <v>0</v>
      </c>
      <c r="DW77" s="1007">
        <f t="shared" si="89"/>
        <v>0</v>
      </c>
      <c r="DX77" s="1007">
        <f t="shared" si="89"/>
        <v>0</v>
      </c>
      <c r="DY77" s="1007">
        <f t="shared" si="90"/>
        <v>0</v>
      </c>
      <c r="DZ77" s="1007">
        <f t="shared" si="90"/>
        <v>0</v>
      </c>
      <c r="EA77" s="1007">
        <f t="shared" si="90"/>
        <v>0</v>
      </c>
      <c r="EB77" s="1007">
        <f t="shared" si="90"/>
        <v>0</v>
      </c>
      <c r="EC77" s="1007"/>
      <c r="ED77" s="1007">
        <f t="shared" si="91"/>
        <v>2898900</v>
      </c>
    </row>
    <row r="78" spans="1:134" ht="24.75" hidden="1" customHeight="1" x14ac:dyDescent="0.3">
      <c r="A78" s="1578"/>
      <c r="B78" s="1018"/>
      <c r="C78" s="1114" t="s">
        <v>4415</v>
      </c>
      <c r="D78" s="1018" t="s">
        <v>4651</v>
      </c>
      <c r="E78" s="1019">
        <v>520</v>
      </c>
      <c r="F78" s="1117" t="s">
        <v>4319</v>
      </c>
      <c r="G78" s="1429"/>
      <c r="H78" s="1060">
        <f t="shared" si="71"/>
        <v>266382870</v>
      </c>
      <c r="I78" s="1060">
        <f t="shared" si="72"/>
        <v>8617130</v>
      </c>
      <c r="J78" s="1430"/>
      <c r="K78" s="1258"/>
      <c r="L78" s="1258"/>
      <c r="M78" s="1113">
        <v>11</v>
      </c>
      <c r="N78" s="1113">
        <v>140</v>
      </c>
      <c r="O78" s="1113">
        <v>15</v>
      </c>
      <c r="P78" s="1113">
        <v>72</v>
      </c>
      <c r="Q78" s="1113">
        <v>160</v>
      </c>
      <c r="R78" s="1113">
        <v>116</v>
      </c>
      <c r="S78" s="1117"/>
      <c r="T78" s="1117"/>
      <c r="U78" s="1117"/>
      <c r="V78" s="1117"/>
      <c r="W78" s="1117"/>
      <c r="X78" s="1117"/>
      <c r="Y78" s="1007">
        <f t="shared" si="73"/>
        <v>275000000</v>
      </c>
      <c r="Z78" s="944"/>
      <c r="AA78" s="1016">
        <f>300000000-300000000</f>
        <v>0</v>
      </c>
      <c r="AB78" s="1016"/>
      <c r="AC78" s="944"/>
      <c r="AD78" s="944"/>
      <c r="AE78" s="944"/>
      <c r="AF78" s="1007">
        <f>300000000-25000000</f>
        <v>275000000</v>
      </c>
      <c r="AG78" s="1007"/>
      <c r="AH78" s="1007"/>
      <c r="AI78" s="1007"/>
      <c r="AJ78" s="1007"/>
      <c r="AK78" s="1007"/>
      <c r="AL78" s="1007"/>
      <c r="AM78" s="1007"/>
      <c r="AN78" s="1007"/>
      <c r="AO78" s="1007"/>
      <c r="AP78" s="1007"/>
      <c r="AQ78" s="1007"/>
      <c r="AR78" s="1007"/>
      <c r="AS78" s="1007"/>
      <c r="AU78" s="1010">
        <f t="shared" si="74"/>
        <v>1</v>
      </c>
      <c r="AV78" s="1007">
        <f t="shared" si="75"/>
        <v>275000000</v>
      </c>
      <c r="AW78" s="1007"/>
      <c r="AX78" s="1007"/>
      <c r="AY78" s="1007"/>
      <c r="AZ78" s="1007"/>
      <c r="BA78" s="1007"/>
      <c r="BB78" s="1007"/>
      <c r="BC78" s="1007">
        <f>+'[12]FEBRERO 2015'!$O$1154-25000000</f>
        <v>275000000</v>
      </c>
      <c r="BD78" s="1007"/>
      <c r="BE78" s="1007"/>
      <c r="BF78" s="1007"/>
      <c r="BG78" s="1007"/>
      <c r="BH78" s="1007"/>
      <c r="BI78" s="1007"/>
      <c r="BJ78" s="1007"/>
      <c r="BK78" s="1007"/>
      <c r="BL78" s="1007"/>
      <c r="BM78" s="1007"/>
      <c r="BN78" s="1007"/>
      <c r="BO78" s="1007"/>
      <c r="BP78" s="1007"/>
      <c r="BQ78" s="1010">
        <f t="shared" si="25"/>
        <v>0</v>
      </c>
      <c r="BR78" s="1007">
        <f t="shared" si="76"/>
        <v>0</v>
      </c>
      <c r="BS78" s="1007">
        <f t="shared" si="77"/>
        <v>0</v>
      </c>
      <c r="BT78" s="1007">
        <f t="shared" si="78"/>
        <v>0</v>
      </c>
      <c r="BU78" s="1007"/>
      <c r="BV78" s="1007">
        <f t="shared" si="79"/>
        <v>0</v>
      </c>
      <c r="BW78" s="1007"/>
      <c r="BX78" s="1007">
        <f t="shared" si="80"/>
        <v>0</v>
      </c>
      <c r="BY78" s="1007">
        <f t="shared" si="80"/>
        <v>0</v>
      </c>
      <c r="BZ78" s="1007"/>
      <c r="CA78" s="1007">
        <f>AH78-BE78</f>
        <v>0</v>
      </c>
      <c r="CB78" s="1007">
        <f t="shared" si="81"/>
        <v>0</v>
      </c>
      <c r="CC78" s="1007">
        <f t="shared" si="81"/>
        <v>0</v>
      </c>
      <c r="CD78" s="1007">
        <f t="shared" si="81"/>
        <v>0</v>
      </c>
      <c r="CE78" s="1007">
        <f t="shared" si="81"/>
        <v>0</v>
      </c>
      <c r="CF78" s="1007">
        <f t="shared" si="81"/>
        <v>0</v>
      </c>
      <c r="CG78" s="1007">
        <f>AN78-BK78</f>
        <v>0</v>
      </c>
      <c r="CH78" s="1007">
        <f t="shared" si="81"/>
        <v>0</v>
      </c>
      <c r="CI78" s="1007">
        <f t="shared" si="81"/>
        <v>0</v>
      </c>
      <c r="CJ78" s="1007"/>
      <c r="CK78" s="1007"/>
      <c r="CL78" s="1007">
        <f t="shared" si="82"/>
        <v>0</v>
      </c>
      <c r="CM78" s="1010">
        <f t="shared" si="83"/>
        <v>0.96866498181818184</v>
      </c>
      <c r="CN78" s="1007">
        <f t="shared" si="84"/>
        <v>266382870</v>
      </c>
      <c r="CO78" s="1007"/>
      <c r="CP78" s="1007"/>
      <c r="CQ78" s="1007"/>
      <c r="CR78" s="1007"/>
      <c r="CS78" s="1007"/>
      <c r="CT78" s="1007"/>
      <c r="CU78" s="1007">
        <f>+'[8]SEPTIEMBRE 2015'!$H$3110</f>
        <v>266382870</v>
      </c>
      <c r="CV78" s="1007"/>
      <c r="CW78" s="1007"/>
      <c r="CX78" s="1007"/>
      <c r="CY78" s="1007"/>
      <c r="CZ78" s="1007"/>
      <c r="DA78" s="1007"/>
      <c r="DB78" s="1007"/>
      <c r="DC78" s="1007"/>
      <c r="DD78" s="1007"/>
      <c r="DE78" s="1007"/>
      <c r="DF78" s="1007"/>
      <c r="DG78" s="1007"/>
      <c r="DH78" s="1007"/>
      <c r="DI78" s="1011">
        <f t="shared" si="70"/>
        <v>3.1335018181818164E-2</v>
      </c>
      <c r="DJ78" s="1007">
        <f t="shared" si="85"/>
        <v>8617130</v>
      </c>
      <c r="DK78" s="1007"/>
      <c r="DL78" s="1007">
        <f>AA78-CP78</f>
        <v>0</v>
      </c>
      <c r="DM78" s="1007">
        <f>AB78-CQ78</f>
        <v>0</v>
      </c>
      <c r="DN78" s="1007">
        <f t="shared" si="86"/>
        <v>0</v>
      </c>
      <c r="DO78" s="1007"/>
      <c r="DP78" s="1007">
        <f t="shared" si="87"/>
        <v>0</v>
      </c>
      <c r="DQ78" s="1007">
        <f t="shared" si="87"/>
        <v>8617130</v>
      </c>
      <c r="DR78" s="1007"/>
      <c r="DS78" s="1007">
        <f t="shared" si="88"/>
        <v>0</v>
      </c>
      <c r="DT78" s="1007">
        <f t="shared" si="88"/>
        <v>0</v>
      </c>
      <c r="DU78" s="1007"/>
      <c r="DV78" s="1007">
        <f t="shared" si="89"/>
        <v>0</v>
      </c>
      <c r="DW78" s="1007">
        <f t="shared" si="89"/>
        <v>0</v>
      </c>
      <c r="DX78" s="1007">
        <f t="shared" si="89"/>
        <v>0</v>
      </c>
      <c r="DY78" s="1007">
        <f t="shared" si="90"/>
        <v>0</v>
      </c>
      <c r="DZ78" s="1007">
        <f t="shared" si="90"/>
        <v>0</v>
      </c>
      <c r="EA78" s="1007">
        <f t="shared" si="90"/>
        <v>0</v>
      </c>
      <c r="EB78" s="1007">
        <f t="shared" si="90"/>
        <v>0</v>
      </c>
      <c r="EC78" s="1007"/>
      <c r="ED78" s="1007">
        <f t="shared" si="91"/>
        <v>0</v>
      </c>
    </row>
    <row r="79" spans="1:134" ht="46.5" hidden="1" customHeight="1" x14ac:dyDescent="0.3">
      <c r="A79" s="1578"/>
      <c r="B79" s="1018"/>
      <c r="C79" s="1114" t="s">
        <v>4416</v>
      </c>
      <c r="D79" s="1018" t="s">
        <v>4352</v>
      </c>
      <c r="E79" s="1019">
        <v>520</v>
      </c>
      <c r="F79" s="1117" t="s">
        <v>4347</v>
      </c>
      <c r="G79" s="1429"/>
      <c r="H79" s="1060">
        <f t="shared" si="71"/>
        <v>770398</v>
      </c>
      <c r="I79" s="1060">
        <f t="shared" si="72"/>
        <v>13396003</v>
      </c>
      <c r="J79" s="1117" t="s">
        <v>4865</v>
      </c>
      <c r="K79" s="1113" t="s">
        <v>4871</v>
      </c>
      <c r="L79" s="1113" t="s">
        <v>4878</v>
      </c>
      <c r="M79" s="1113">
        <v>10</v>
      </c>
      <c r="N79" s="1113">
        <v>0</v>
      </c>
      <c r="O79" s="1113">
        <v>0</v>
      </c>
      <c r="P79" s="1113">
        <v>5</v>
      </c>
      <c r="Q79" s="1113">
        <v>0</v>
      </c>
      <c r="R79" s="1113">
        <v>0</v>
      </c>
      <c r="S79" s="1117"/>
      <c r="T79" s="1117"/>
      <c r="U79" s="1117"/>
      <c r="V79" s="1117"/>
      <c r="W79" s="1117"/>
      <c r="X79" s="1117"/>
      <c r="Y79" s="1007">
        <f t="shared" si="73"/>
        <v>14166401</v>
      </c>
      <c r="Z79" s="944"/>
      <c r="AA79" s="944"/>
      <c r="AB79" s="944"/>
      <c r="AC79" s="944"/>
      <c r="AD79" s="944"/>
      <c r="AE79" s="944"/>
      <c r="AF79" s="1007"/>
      <c r="AG79" s="1007"/>
      <c r="AH79" s="1007"/>
      <c r="AI79" s="1007"/>
      <c r="AJ79" s="1007"/>
      <c r="AK79" s="1007"/>
      <c r="AL79" s="1007"/>
      <c r="AM79" s="1007"/>
      <c r="AN79" s="1007"/>
      <c r="AO79" s="1007"/>
      <c r="AP79" s="1007"/>
      <c r="AQ79" s="1007"/>
      <c r="AR79" s="1007"/>
      <c r="AS79" s="1007">
        <f>5000000+3000000+6166401</f>
        <v>14166401</v>
      </c>
      <c r="AU79" s="1010">
        <f t="shared" si="74"/>
        <v>0.3529477952798315</v>
      </c>
      <c r="AV79" s="1007">
        <f t="shared" si="75"/>
        <v>5000000</v>
      </c>
      <c r="AW79" s="1007"/>
      <c r="AX79" s="1007"/>
      <c r="AY79" s="1007"/>
      <c r="AZ79" s="1007"/>
      <c r="BA79" s="1007"/>
      <c r="BB79" s="1007"/>
      <c r="BC79" s="1007"/>
      <c r="BD79" s="1007"/>
      <c r="BE79" s="1007"/>
      <c r="BF79" s="1007"/>
      <c r="BG79" s="1007"/>
      <c r="BH79" s="1007"/>
      <c r="BI79" s="1007"/>
      <c r="BJ79" s="1007"/>
      <c r="BK79" s="1007"/>
      <c r="BL79" s="1007"/>
      <c r="BM79" s="1007"/>
      <c r="BN79" s="1007"/>
      <c r="BO79" s="1007"/>
      <c r="BP79" s="1007">
        <f>+'[15]FEBRERO 2015'!$AC$1088</f>
        <v>5000000</v>
      </c>
      <c r="BQ79" s="1010">
        <f t="shared" si="25"/>
        <v>0.64705220472016856</v>
      </c>
      <c r="BR79" s="1007">
        <f t="shared" si="76"/>
        <v>9166401</v>
      </c>
      <c r="BS79" s="1007">
        <f t="shared" si="77"/>
        <v>0</v>
      </c>
      <c r="BT79" s="1007">
        <f t="shared" si="78"/>
        <v>0</v>
      </c>
      <c r="BU79" s="1007"/>
      <c r="BV79" s="1007">
        <f t="shared" si="79"/>
        <v>0</v>
      </c>
      <c r="BW79" s="1007"/>
      <c r="BX79" s="1007">
        <f t="shared" si="80"/>
        <v>0</v>
      </c>
      <c r="BY79" s="1007">
        <f t="shared" si="80"/>
        <v>0</v>
      </c>
      <c r="BZ79" s="1007"/>
      <c r="CA79" s="1007">
        <f>AH79-BE79</f>
        <v>0</v>
      </c>
      <c r="CB79" s="1007">
        <f t="shared" si="81"/>
        <v>0</v>
      </c>
      <c r="CC79" s="1007">
        <f t="shared" si="81"/>
        <v>0</v>
      </c>
      <c r="CD79" s="1007">
        <f t="shared" si="81"/>
        <v>0</v>
      </c>
      <c r="CE79" s="1007">
        <f t="shared" si="81"/>
        <v>0</v>
      </c>
      <c r="CF79" s="1007">
        <f t="shared" si="81"/>
        <v>0</v>
      </c>
      <c r="CG79" s="1007">
        <f>AN79-BK79</f>
        <v>0</v>
      </c>
      <c r="CH79" s="1007">
        <f t="shared" si="81"/>
        <v>0</v>
      </c>
      <c r="CI79" s="1007">
        <f t="shared" si="81"/>
        <v>0</v>
      </c>
      <c r="CJ79" s="1007"/>
      <c r="CK79" s="1007"/>
      <c r="CL79" s="1007">
        <f t="shared" si="82"/>
        <v>9166401</v>
      </c>
      <c r="CM79" s="1010">
        <f t="shared" si="83"/>
        <v>5.4382055117598325E-2</v>
      </c>
      <c r="CN79" s="1007">
        <f t="shared" si="84"/>
        <v>770398</v>
      </c>
      <c r="CO79" s="1007"/>
      <c r="CP79" s="1007"/>
      <c r="CQ79" s="1007"/>
      <c r="CR79" s="1007"/>
      <c r="CS79" s="1007"/>
      <c r="CT79" s="1007"/>
      <c r="CU79" s="1007"/>
      <c r="CV79" s="1007"/>
      <c r="CW79" s="1007"/>
      <c r="CX79" s="1007"/>
      <c r="CY79" s="1007"/>
      <c r="CZ79" s="1007"/>
      <c r="DA79" s="1007"/>
      <c r="DB79" s="1007"/>
      <c r="DC79" s="1007"/>
      <c r="DD79" s="1007"/>
      <c r="DE79" s="1007"/>
      <c r="DF79" s="1007"/>
      <c r="DG79" s="1007"/>
      <c r="DH79" s="1007">
        <f>+'[15]FEBRERO 2015'!$H$1086</f>
        <v>770398</v>
      </c>
      <c r="DI79" s="1011">
        <f t="shared" si="70"/>
        <v>0.9456179448824017</v>
      </c>
      <c r="DJ79" s="1007">
        <f t="shared" si="85"/>
        <v>13396003</v>
      </c>
      <c r="DK79" s="1007"/>
      <c r="DL79" s="1007"/>
      <c r="DM79" s="1007"/>
      <c r="DN79" s="1007">
        <f t="shared" si="86"/>
        <v>0</v>
      </c>
      <c r="DO79" s="1007"/>
      <c r="DP79" s="1007">
        <f t="shared" si="87"/>
        <v>0</v>
      </c>
      <c r="DQ79" s="1007">
        <f t="shared" si="87"/>
        <v>0</v>
      </c>
      <c r="DR79" s="1007"/>
      <c r="DS79" s="1007">
        <f t="shared" si="88"/>
        <v>0</v>
      </c>
      <c r="DT79" s="1007">
        <f t="shared" si="88"/>
        <v>0</v>
      </c>
      <c r="DU79" s="1007"/>
      <c r="DV79" s="1007">
        <f t="shared" si="89"/>
        <v>0</v>
      </c>
      <c r="DW79" s="1007">
        <f t="shared" si="89"/>
        <v>0</v>
      </c>
      <c r="DX79" s="1007">
        <f t="shared" si="89"/>
        <v>0</v>
      </c>
      <c r="DY79" s="1007">
        <f t="shared" si="90"/>
        <v>0</v>
      </c>
      <c r="DZ79" s="1007">
        <f t="shared" si="90"/>
        <v>0</v>
      </c>
      <c r="EA79" s="1007">
        <f t="shared" si="90"/>
        <v>0</v>
      </c>
      <c r="EB79" s="1007">
        <f t="shared" si="90"/>
        <v>0</v>
      </c>
      <c r="EC79" s="1007"/>
      <c r="ED79" s="1007">
        <f t="shared" si="91"/>
        <v>13396003</v>
      </c>
    </row>
    <row r="80" spans="1:134" ht="37.5" hidden="1" customHeight="1" x14ac:dyDescent="0.3">
      <c r="A80" s="1578"/>
      <c r="B80" s="1018"/>
      <c r="C80" s="1114" t="s">
        <v>4417</v>
      </c>
      <c r="D80" s="1018" t="s">
        <v>4355</v>
      </c>
      <c r="E80" s="1019">
        <v>520</v>
      </c>
      <c r="F80" s="1117" t="s">
        <v>4670</v>
      </c>
      <c r="G80" s="1429"/>
      <c r="H80" s="1060">
        <f t="shared" si="71"/>
        <v>4550000</v>
      </c>
      <c r="I80" s="1060">
        <f t="shared" si="72"/>
        <v>0</v>
      </c>
      <c r="J80" s="1117" t="s">
        <v>4866</v>
      </c>
      <c r="K80" s="1113" t="s">
        <v>4872</v>
      </c>
      <c r="L80" s="1113" t="s">
        <v>4879</v>
      </c>
      <c r="M80" s="1113">
        <v>0</v>
      </c>
      <c r="N80" s="1113">
        <v>0</v>
      </c>
      <c r="O80" s="1113">
        <v>0</v>
      </c>
      <c r="P80" s="1113">
        <v>46</v>
      </c>
      <c r="Q80" s="1113">
        <v>50</v>
      </c>
      <c r="R80" s="1113">
        <v>23</v>
      </c>
      <c r="S80" s="1117"/>
      <c r="T80" s="1117"/>
      <c r="U80" s="1117"/>
      <c r="V80" s="1117"/>
      <c r="W80" s="1117"/>
      <c r="X80" s="1117"/>
      <c r="Y80" s="1007">
        <f t="shared" si="73"/>
        <v>4550000</v>
      </c>
      <c r="Z80" s="944"/>
      <c r="AA80" s="944"/>
      <c r="AB80" s="944"/>
      <c r="AC80" s="944"/>
      <c r="AD80" s="944"/>
      <c r="AE80" s="944"/>
      <c r="AF80" s="1007"/>
      <c r="AG80" s="1007"/>
      <c r="AH80" s="1007"/>
      <c r="AI80" s="1007"/>
      <c r="AJ80" s="1007"/>
      <c r="AK80" s="1007"/>
      <c r="AL80" s="1007"/>
      <c r="AM80" s="1007"/>
      <c r="AN80" s="1007"/>
      <c r="AO80" s="1007"/>
      <c r="AP80" s="1007"/>
      <c r="AQ80" s="1007"/>
      <c r="AR80" s="1007"/>
      <c r="AS80" s="1007">
        <f>5000000+5000000-5450000</f>
        <v>4550000</v>
      </c>
      <c r="AU80" s="1010">
        <f t="shared" si="74"/>
        <v>1</v>
      </c>
      <c r="AV80" s="1007">
        <f t="shared" si="75"/>
        <v>4550000</v>
      </c>
      <c r="AW80" s="1007"/>
      <c r="AX80" s="1007"/>
      <c r="AY80" s="1007"/>
      <c r="AZ80" s="1007"/>
      <c r="BA80" s="1007"/>
      <c r="BB80" s="1007"/>
      <c r="BC80" s="1007"/>
      <c r="BD80" s="1007"/>
      <c r="BE80" s="1007"/>
      <c r="BF80" s="1007"/>
      <c r="BG80" s="1007"/>
      <c r="BH80" s="1007"/>
      <c r="BI80" s="1007"/>
      <c r="BJ80" s="1007"/>
      <c r="BK80" s="1007"/>
      <c r="BL80" s="1007"/>
      <c r="BM80" s="1007"/>
      <c r="BN80" s="1007"/>
      <c r="BO80" s="1007"/>
      <c r="BP80" s="1007">
        <f>+'[7]AGOSTO 2015'!$AD$2654</f>
        <v>4550000</v>
      </c>
      <c r="BQ80" s="1010">
        <f t="shared" si="25"/>
        <v>0</v>
      </c>
      <c r="BR80" s="1007">
        <f t="shared" si="76"/>
        <v>0</v>
      </c>
      <c r="BS80" s="1007">
        <f t="shared" si="77"/>
        <v>0</v>
      </c>
      <c r="BT80" s="1007">
        <f t="shared" si="78"/>
        <v>0</v>
      </c>
      <c r="BU80" s="1007"/>
      <c r="BV80" s="1007">
        <f t="shared" si="79"/>
        <v>0</v>
      </c>
      <c r="BW80" s="1007"/>
      <c r="BX80" s="1007">
        <f t="shared" si="80"/>
        <v>0</v>
      </c>
      <c r="BY80" s="1007">
        <f t="shared" si="80"/>
        <v>0</v>
      </c>
      <c r="BZ80" s="1007"/>
      <c r="CA80" s="1007">
        <f>AH80-BE80</f>
        <v>0</v>
      </c>
      <c r="CB80" s="1007">
        <f t="shared" si="81"/>
        <v>0</v>
      </c>
      <c r="CC80" s="1007"/>
      <c r="CD80" s="1007">
        <f t="shared" si="81"/>
        <v>0</v>
      </c>
      <c r="CE80" s="1007">
        <f t="shared" si="81"/>
        <v>0</v>
      </c>
      <c r="CF80" s="1007">
        <f t="shared" si="81"/>
        <v>0</v>
      </c>
      <c r="CG80" s="1007">
        <f>AN80-BK80</f>
        <v>0</v>
      </c>
      <c r="CH80" s="1007">
        <f t="shared" si="81"/>
        <v>0</v>
      </c>
      <c r="CI80" s="1007">
        <f t="shared" si="81"/>
        <v>0</v>
      </c>
      <c r="CJ80" s="1007"/>
      <c r="CK80" s="1007"/>
      <c r="CL80" s="1007">
        <f t="shared" si="82"/>
        <v>0</v>
      </c>
      <c r="CM80" s="1010">
        <f t="shared" si="83"/>
        <v>1</v>
      </c>
      <c r="CN80" s="1007">
        <f t="shared" si="84"/>
        <v>4550000</v>
      </c>
      <c r="CO80" s="1007"/>
      <c r="CP80" s="1007"/>
      <c r="CQ80" s="1007"/>
      <c r="CR80" s="1007"/>
      <c r="CS80" s="1007"/>
      <c r="CT80" s="1007"/>
      <c r="CU80" s="1007"/>
      <c r="CV80" s="1007"/>
      <c r="CW80" s="1007"/>
      <c r="CX80" s="1007"/>
      <c r="CY80" s="1007"/>
      <c r="CZ80" s="1007"/>
      <c r="DA80" s="1007"/>
      <c r="DB80" s="1007"/>
      <c r="DC80" s="1007"/>
      <c r="DD80" s="1007"/>
      <c r="DE80" s="1007"/>
      <c r="DF80" s="1007"/>
      <c r="DG80" s="1007"/>
      <c r="DH80" s="1007">
        <f>+'[13]JUNIO 2015'!$H$2022</f>
        <v>4550000</v>
      </c>
      <c r="DI80" s="1011">
        <f t="shared" si="70"/>
        <v>0</v>
      </c>
      <c r="DJ80" s="1007">
        <f t="shared" si="85"/>
        <v>0</v>
      </c>
      <c r="DK80" s="1007"/>
      <c r="DL80" s="1007"/>
      <c r="DM80" s="1007"/>
      <c r="DN80" s="1007">
        <f t="shared" si="86"/>
        <v>0</v>
      </c>
      <c r="DO80" s="1007"/>
      <c r="DP80" s="1007">
        <f t="shared" si="87"/>
        <v>0</v>
      </c>
      <c r="DQ80" s="1007">
        <f t="shared" si="87"/>
        <v>0</v>
      </c>
      <c r="DR80" s="1007"/>
      <c r="DS80" s="1007">
        <f t="shared" si="88"/>
        <v>0</v>
      </c>
      <c r="DT80" s="1007">
        <f t="shared" si="88"/>
        <v>0</v>
      </c>
      <c r="DU80" s="1007"/>
      <c r="DV80" s="1007">
        <f t="shared" si="89"/>
        <v>0</v>
      </c>
      <c r="DW80" s="1007">
        <f t="shared" si="89"/>
        <v>0</v>
      </c>
      <c r="DX80" s="1007">
        <f t="shared" si="89"/>
        <v>0</v>
      </c>
      <c r="DY80" s="1007">
        <f t="shared" si="90"/>
        <v>0</v>
      </c>
      <c r="DZ80" s="1007">
        <f t="shared" si="90"/>
        <v>0</v>
      </c>
      <c r="EA80" s="1007">
        <f t="shared" si="90"/>
        <v>0</v>
      </c>
      <c r="EB80" s="1007">
        <f t="shared" si="90"/>
        <v>0</v>
      </c>
      <c r="EC80" s="1007"/>
      <c r="ED80" s="1007">
        <f t="shared" si="91"/>
        <v>0</v>
      </c>
    </row>
    <row r="81" spans="1:134" ht="33" hidden="1" customHeight="1" x14ac:dyDescent="0.3">
      <c r="A81" s="1578"/>
      <c r="B81" s="1018"/>
      <c r="C81" s="1114" t="s">
        <v>4418</v>
      </c>
      <c r="D81" s="1018" t="s">
        <v>4353</v>
      </c>
      <c r="E81" s="1019">
        <v>520</v>
      </c>
      <c r="F81" s="1117" t="s">
        <v>3350</v>
      </c>
      <c r="G81" s="1429"/>
      <c r="H81" s="1060">
        <f t="shared" si="71"/>
        <v>241855029</v>
      </c>
      <c r="I81" s="1060">
        <f t="shared" si="72"/>
        <v>108144971</v>
      </c>
      <c r="J81" s="1283" t="s">
        <v>4867</v>
      </c>
      <c r="K81" s="1198" t="s">
        <v>4873</v>
      </c>
      <c r="L81" s="1257" t="s">
        <v>4800</v>
      </c>
      <c r="M81" s="1113">
        <v>16</v>
      </c>
      <c r="N81" s="1113">
        <v>67</v>
      </c>
      <c r="O81" s="1113">
        <v>11</v>
      </c>
      <c r="P81" s="1113">
        <v>42</v>
      </c>
      <c r="Q81" s="1113">
        <v>67</v>
      </c>
      <c r="R81" s="1113">
        <v>28</v>
      </c>
      <c r="S81" s="1117"/>
      <c r="T81" s="1117"/>
      <c r="U81" s="1117"/>
      <c r="V81" s="1117"/>
      <c r="W81" s="1117"/>
      <c r="X81" s="1117"/>
      <c r="Y81" s="1007">
        <f t="shared" si="73"/>
        <v>350000000</v>
      </c>
      <c r="Z81" s="944"/>
      <c r="AA81" s="944"/>
      <c r="AB81" s="944"/>
      <c r="AC81" s="944"/>
      <c r="AD81" s="944"/>
      <c r="AE81" s="944"/>
      <c r="AF81" s="1007">
        <f>400000000-30000000-20000000</f>
        <v>350000000</v>
      </c>
      <c r="AG81" s="1007"/>
      <c r="AH81" s="1007"/>
      <c r="AI81" s="1007"/>
      <c r="AJ81" s="1007"/>
      <c r="AK81" s="1007"/>
      <c r="AL81" s="1007"/>
      <c r="AM81" s="1007"/>
      <c r="AN81" s="1007"/>
      <c r="AO81" s="1007"/>
      <c r="AP81" s="1007"/>
      <c r="AQ81" s="1007"/>
      <c r="AR81" s="1007"/>
      <c r="AS81" s="1007"/>
      <c r="AT81" s="203"/>
      <c r="AU81" s="1010">
        <f t="shared" si="74"/>
        <v>1</v>
      </c>
      <c r="AV81" s="1007">
        <f t="shared" si="75"/>
        <v>350000000</v>
      </c>
      <c r="AW81" s="1007"/>
      <c r="AX81" s="1007"/>
      <c r="AY81" s="1007"/>
      <c r="AZ81" s="1007"/>
      <c r="BA81" s="1007"/>
      <c r="BB81" s="1007"/>
      <c r="BC81" s="1007">
        <f>+'[11]MARZO 2015'!$O$1360-20000000</f>
        <v>350000000</v>
      </c>
      <c r="BD81" s="1007"/>
      <c r="BE81" s="1007"/>
      <c r="BF81" s="1007"/>
      <c r="BG81" s="1007"/>
      <c r="BH81" s="1007"/>
      <c r="BI81" s="1007"/>
      <c r="BJ81" s="1007"/>
      <c r="BK81" s="1007"/>
      <c r="BL81" s="1007"/>
      <c r="BM81" s="1007"/>
      <c r="BN81" s="1007"/>
      <c r="BO81" s="1007"/>
      <c r="BP81" s="1007"/>
      <c r="BQ81" s="1010">
        <f t="shared" si="25"/>
        <v>0</v>
      </c>
      <c r="BR81" s="1007">
        <f t="shared" si="76"/>
        <v>0</v>
      </c>
      <c r="BS81" s="1007">
        <f t="shared" si="77"/>
        <v>0</v>
      </c>
      <c r="BT81" s="1007">
        <f t="shared" si="78"/>
        <v>0</v>
      </c>
      <c r="BU81" s="1007"/>
      <c r="BV81" s="1007">
        <f t="shared" si="79"/>
        <v>0</v>
      </c>
      <c r="BW81" s="1007"/>
      <c r="BX81" s="1007">
        <f t="shared" si="80"/>
        <v>0</v>
      </c>
      <c r="BY81" s="1007">
        <f t="shared" si="80"/>
        <v>0</v>
      </c>
      <c r="BZ81" s="1007"/>
      <c r="CA81" s="1007">
        <f t="shared" ref="CA81:CB103" si="92">+AH81-BE81</f>
        <v>0</v>
      </c>
      <c r="CB81" s="1007">
        <f t="shared" si="81"/>
        <v>0</v>
      </c>
      <c r="CC81" s="1007">
        <f>+AJ81-BG81</f>
        <v>0</v>
      </c>
      <c r="CD81" s="1007">
        <f t="shared" si="81"/>
        <v>0</v>
      </c>
      <c r="CE81" s="1007">
        <f t="shared" si="81"/>
        <v>0</v>
      </c>
      <c r="CF81" s="1007">
        <f t="shared" si="81"/>
        <v>0</v>
      </c>
      <c r="CG81" s="1007">
        <f t="shared" si="81"/>
        <v>0</v>
      </c>
      <c r="CH81" s="1007">
        <f t="shared" si="81"/>
        <v>0</v>
      </c>
      <c r="CI81" s="1007">
        <f t="shared" si="81"/>
        <v>0</v>
      </c>
      <c r="CJ81" s="1007">
        <f>+AQ81-BN81</f>
        <v>0</v>
      </c>
      <c r="CK81" s="1007"/>
      <c r="CL81" s="1007">
        <f t="shared" si="82"/>
        <v>0</v>
      </c>
      <c r="CM81" s="1010">
        <f t="shared" si="83"/>
        <v>0.69101436857142862</v>
      </c>
      <c r="CN81" s="1007">
        <f t="shared" si="84"/>
        <v>241855029</v>
      </c>
      <c r="CO81" s="1007"/>
      <c r="CP81" s="1007"/>
      <c r="CQ81" s="1007"/>
      <c r="CR81" s="1007"/>
      <c r="CS81" s="1007"/>
      <c r="CT81" s="1007"/>
      <c r="CU81" s="1007">
        <f>+'[8]SEPTIEMBRE 2015'!$H$3212</f>
        <v>241855029</v>
      </c>
      <c r="CV81" s="1007"/>
      <c r="CW81" s="1007"/>
      <c r="CX81" s="1007"/>
      <c r="CY81" s="1007"/>
      <c r="CZ81" s="1007"/>
      <c r="DA81" s="1007"/>
      <c r="DB81" s="1007"/>
      <c r="DC81" s="1007"/>
      <c r="DD81" s="1007"/>
      <c r="DE81" s="1007"/>
      <c r="DF81" s="1007"/>
      <c r="DG81" s="1007"/>
      <c r="DH81" s="1007"/>
      <c r="DI81" s="1011">
        <f t="shared" si="70"/>
        <v>0.30898563142857138</v>
      </c>
      <c r="DJ81" s="1007">
        <f t="shared" si="85"/>
        <v>108144971</v>
      </c>
      <c r="DK81" s="1007"/>
      <c r="DL81" s="1007"/>
      <c r="DM81" s="1007"/>
      <c r="DN81" s="1007">
        <f t="shared" si="86"/>
        <v>0</v>
      </c>
      <c r="DO81" s="1007"/>
      <c r="DP81" s="1007">
        <f t="shared" si="87"/>
        <v>0</v>
      </c>
      <c r="DQ81" s="1007">
        <f t="shared" si="87"/>
        <v>108144971</v>
      </c>
      <c r="DR81" s="1007"/>
      <c r="DS81" s="1007">
        <f t="shared" si="88"/>
        <v>0</v>
      </c>
      <c r="DT81" s="1007">
        <f t="shared" si="88"/>
        <v>0</v>
      </c>
      <c r="DU81" s="1007"/>
      <c r="DV81" s="1007">
        <f t="shared" si="89"/>
        <v>0</v>
      </c>
      <c r="DW81" s="1007">
        <f t="shared" si="89"/>
        <v>0</v>
      </c>
      <c r="DX81" s="1007">
        <f t="shared" si="89"/>
        <v>0</v>
      </c>
      <c r="DY81" s="1007">
        <f t="shared" si="90"/>
        <v>0</v>
      </c>
      <c r="DZ81" s="1007">
        <f t="shared" si="90"/>
        <v>0</v>
      </c>
      <c r="EA81" s="1007">
        <f t="shared" si="90"/>
        <v>0</v>
      </c>
      <c r="EB81" s="1007">
        <f t="shared" si="90"/>
        <v>0</v>
      </c>
      <c r="EC81" s="1007"/>
      <c r="ED81" s="1007">
        <f t="shared" si="91"/>
        <v>0</v>
      </c>
    </row>
    <row r="82" spans="1:134" ht="49.5" hidden="1" customHeight="1" x14ac:dyDescent="0.3">
      <c r="A82" s="1578"/>
      <c r="B82" s="1018"/>
      <c r="C82" s="1114" t="s">
        <v>4419</v>
      </c>
      <c r="D82" s="1018" t="s">
        <v>4354</v>
      </c>
      <c r="E82" s="1019">
        <v>520</v>
      </c>
      <c r="F82" s="1117" t="s">
        <v>4670</v>
      </c>
      <c r="G82" s="1429"/>
      <c r="H82" s="1060">
        <f t="shared" si="71"/>
        <v>4697418</v>
      </c>
      <c r="I82" s="1060">
        <f t="shared" si="72"/>
        <v>5702083</v>
      </c>
      <c r="J82" s="1283"/>
      <c r="K82" s="1198"/>
      <c r="L82" s="1258"/>
      <c r="M82" s="1113">
        <v>6</v>
      </c>
      <c r="N82" s="1113">
        <v>5</v>
      </c>
      <c r="O82" s="1113">
        <v>0</v>
      </c>
      <c r="P82" s="1113">
        <v>61</v>
      </c>
      <c r="Q82" s="1113">
        <v>35</v>
      </c>
      <c r="R82" s="1113">
        <v>21</v>
      </c>
      <c r="S82" s="1117"/>
      <c r="T82" s="1117"/>
      <c r="U82" s="1117"/>
      <c r="V82" s="1117"/>
      <c r="W82" s="1117"/>
      <c r="X82" s="1117"/>
      <c r="Y82" s="1007">
        <f t="shared" si="73"/>
        <v>10399501</v>
      </c>
      <c r="Z82" s="944"/>
      <c r="AA82" s="944"/>
      <c r="AB82" s="944"/>
      <c r="AC82" s="944"/>
      <c r="AD82" s="944"/>
      <c r="AE82" s="944"/>
      <c r="AF82" s="1007"/>
      <c r="AG82" s="1007"/>
      <c r="AH82" s="1007"/>
      <c r="AI82" s="1007"/>
      <c r="AJ82" s="1007"/>
      <c r="AK82" s="1007"/>
      <c r="AL82" s="1007"/>
      <c r="AM82" s="1007"/>
      <c r="AN82" s="1007"/>
      <c r="AO82" s="1007"/>
      <c r="AP82" s="1007"/>
      <c r="AQ82" s="1007"/>
      <c r="AR82" s="1007"/>
      <c r="AS82" s="1007">
        <f>4000000+2500000+3899501</f>
        <v>10399501</v>
      </c>
      <c r="AT82" s="203"/>
      <c r="AU82" s="1010">
        <f t="shared" si="74"/>
        <v>1</v>
      </c>
      <c r="AV82" s="1007">
        <f t="shared" si="75"/>
        <v>10399501</v>
      </c>
      <c r="AW82" s="1007"/>
      <c r="AX82" s="1007"/>
      <c r="AY82" s="1007"/>
      <c r="AZ82" s="1007"/>
      <c r="BA82" s="1007"/>
      <c r="BB82" s="1007"/>
      <c r="BC82" s="1007"/>
      <c r="BD82" s="1007"/>
      <c r="BE82" s="1007"/>
      <c r="BF82" s="1007"/>
      <c r="BG82" s="1007"/>
      <c r="BH82" s="1007"/>
      <c r="BI82" s="1007"/>
      <c r="BJ82" s="1007"/>
      <c r="BK82" s="1007"/>
      <c r="BL82" s="1007"/>
      <c r="BM82" s="1007"/>
      <c r="BN82" s="1007"/>
      <c r="BO82" s="1007"/>
      <c r="BP82" s="1007">
        <f>+'[8]SEPTIEMBRE 2015'!$AD$3327</f>
        <v>10399501</v>
      </c>
      <c r="BQ82" s="1010">
        <f t="shared" si="25"/>
        <v>0</v>
      </c>
      <c r="BR82" s="1007">
        <f t="shared" si="76"/>
        <v>0</v>
      </c>
      <c r="BS82" s="1007">
        <f t="shared" si="77"/>
        <v>0</v>
      </c>
      <c r="BT82" s="1007">
        <f t="shared" si="78"/>
        <v>0</v>
      </c>
      <c r="BU82" s="1007"/>
      <c r="BV82" s="1007">
        <f t="shared" si="79"/>
        <v>0</v>
      </c>
      <c r="BW82" s="1007"/>
      <c r="BX82" s="1007">
        <f t="shared" si="80"/>
        <v>0</v>
      </c>
      <c r="BY82" s="1007">
        <f t="shared" si="80"/>
        <v>0</v>
      </c>
      <c r="BZ82" s="1007"/>
      <c r="CA82" s="1007">
        <f t="shared" si="92"/>
        <v>0</v>
      </c>
      <c r="CB82" s="1007">
        <f t="shared" si="81"/>
        <v>0</v>
      </c>
      <c r="CC82" s="1007">
        <f>+AJ82-BG82</f>
        <v>0</v>
      </c>
      <c r="CD82" s="1007">
        <f t="shared" si="81"/>
        <v>0</v>
      </c>
      <c r="CE82" s="1007">
        <f t="shared" si="81"/>
        <v>0</v>
      </c>
      <c r="CF82" s="1007">
        <f t="shared" si="81"/>
        <v>0</v>
      </c>
      <c r="CG82" s="1007">
        <f t="shared" si="81"/>
        <v>0</v>
      </c>
      <c r="CH82" s="1007">
        <f t="shared" si="81"/>
        <v>0</v>
      </c>
      <c r="CI82" s="1007">
        <f t="shared" si="81"/>
        <v>0</v>
      </c>
      <c r="CJ82" s="1007"/>
      <c r="CK82" s="1007"/>
      <c r="CL82" s="1007">
        <f t="shared" si="82"/>
        <v>0</v>
      </c>
      <c r="CM82" s="1010">
        <f t="shared" si="83"/>
        <v>0.45169648043689786</v>
      </c>
      <c r="CN82" s="1007">
        <f t="shared" si="84"/>
        <v>4697418</v>
      </c>
      <c r="CO82" s="1007"/>
      <c r="CP82" s="1007"/>
      <c r="CQ82" s="1007"/>
      <c r="CR82" s="1007"/>
      <c r="CS82" s="1007"/>
      <c r="CT82" s="1007"/>
      <c r="CU82" s="1007"/>
      <c r="CV82" s="1007"/>
      <c r="CW82" s="1007"/>
      <c r="CX82" s="1007"/>
      <c r="CY82" s="1007"/>
      <c r="CZ82" s="1007"/>
      <c r="DA82" s="1007"/>
      <c r="DB82" s="1007"/>
      <c r="DC82" s="1007"/>
      <c r="DD82" s="1007"/>
      <c r="DE82" s="1007"/>
      <c r="DF82" s="1007"/>
      <c r="DG82" s="1007"/>
      <c r="DH82" s="1007">
        <f>+'[7]AGOSTO 2015'!$H$2737</f>
        <v>4697418</v>
      </c>
      <c r="DI82" s="1011">
        <f t="shared" si="70"/>
        <v>0.54830351956310208</v>
      </c>
      <c r="DJ82" s="1007">
        <f t="shared" si="85"/>
        <v>5702083</v>
      </c>
      <c r="DK82" s="1007"/>
      <c r="DL82" s="1007"/>
      <c r="DM82" s="1007"/>
      <c r="DN82" s="1007">
        <f t="shared" si="86"/>
        <v>0</v>
      </c>
      <c r="DO82" s="1007"/>
      <c r="DP82" s="1007">
        <f t="shared" si="87"/>
        <v>0</v>
      </c>
      <c r="DQ82" s="1007">
        <f t="shared" si="87"/>
        <v>0</v>
      </c>
      <c r="DR82" s="1007"/>
      <c r="DS82" s="1007">
        <f t="shared" si="88"/>
        <v>0</v>
      </c>
      <c r="DT82" s="1007">
        <f t="shared" si="88"/>
        <v>0</v>
      </c>
      <c r="DU82" s="1007"/>
      <c r="DV82" s="1007">
        <f t="shared" si="89"/>
        <v>0</v>
      </c>
      <c r="DW82" s="1007">
        <f t="shared" si="89"/>
        <v>0</v>
      </c>
      <c r="DX82" s="1007">
        <f t="shared" si="89"/>
        <v>0</v>
      </c>
      <c r="DY82" s="1007">
        <f t="shared" si="90"/>
        <v>0</v>
      </c>
      <c r="DZ82" s="1007">
        <f t="shared" si="90"/>
        <v>0</v>
      </c>
      <c r="EA82" s="1007">
        <f t="shared" si="90"/>
        <v>0</v>
      </c>
      <c r="EB82" s="1007">
        <f t="shared" si="90"/>
        <v>0</v>
      </c>
      <c r="EC82" s="1007"/>
      <c r="ED82" s="1007">
        <f t="shared" si="91"/>
        <v>5702083</v>
      </c>
    </row>
    <row r="83" spans="1:134" ht="36" hidden="1" customHeight="1" x14ac:dyDescent="0.3">
      <c r="A83" s="1578"/>
      <c r="B83" s="1026"/>
      <c r="C83" s="1114" t="s">
        <v>4420</v>
      </c>
      <c r="D83" s="1018" t="s">
        <v>4616</v>
      </c>
      <c r="E83" s="1130">
        <v>520</v>
      </c>
      <c r="F83" s="1117" t="s">
        <v>3350</v>
      </c>
      <c r="G83" s="1429"/>
      <c r="H83" s="1060">
        <f t="shared" si="71"/>
        <v>43517759</v>
      </c>
      <c r="I83" s="1060">
        <f t="shared" si="72"/>
        <v>56482241</v>
      </c>
      <c r="J83" s="1283" t="s">
        <v>4848</v>
      </c>
      <c r="K83" s="1198" t="s">
        <v>4874</v>
      </c>
      <c r="L83" s="1257" t="s">
        <v>4880</v>
      </c>
      <c r="M83" s="1113">
        <v>7</v>
      </c>
      <c r="N83" s="1113">
        <v>31</v>
      </c>
      <c r="O83" s="1113">
        <v>2</v>
      </c>
      <c r="P83" s="1113">
        <v>22</v>
      </c>
      <c r="Q83" s="1113">
        <v>31</v>
      </c>
      <c r="R83" s="1113">
        <v>7</v>
      </c>
      <c r="S83" s="1117"/>
      <c r="T83" s="1117"/>
      <c r="U83" s="1117"/>
      <c r="V83" s="1117"/>
      <c r="W83" s="1117"/>
      <c r="X83" s="1117"/>
      <c r="Y83" s="1007">
        <f t="shared" si="73"/>
        <v>100000000</v>
      </c>
      <c r="Z83" s="991"/>
      <c r="AA83" s="1016">
        <f>100000000-100000000</f>
        <v>0</v>
      </c>
      <c r="AB83" s="1016"/>
      <c r="AC83" s="991"/>
      <c r="AD83" s="991"/>
      <c r="AE83" s="991"/>
      <c r="AF83" s="1007">
        <v>100000000</v>
      </c>
      <c r="AG83" s="1007"/>
      <c r="AH83" s="1007"/>
      <c r="AI83" s="1007"/>
      <c r="AJ83" s="1007"/>
      <c r="AK83" s="1007"/>
      <c r="AL83" s="1007"/>
      <c r="AM83" s="1007"/>
      <c r="AN83" s="1007"/>
      <c r="AO83" s="1007"/>
      <c r="AP83" s="1007"/>
      <c r="AQ83" s="1007"/>
      <c r="AR83" s="1007"/>
      <c r="AS83" s="1007"/>
      <c r="AT83" s="203"/>
      <c r="AU83" s="1010">
        <f t="shared" si="74"/>
        <v>1</v>
      </c>
      <c r="AV83" s="1007">
        <f t="shared" si="75"/>
        <v>100000000</v>
      </c>
      <c r="AW83" s="1007"/>
      <c r="AX83" s="1007"/>
      <c r="AY83" s="1007"/>
      <c r="AZ83" s="1007"/>
      <c r="BA83" s="1007"/>
      <c r="BB83" s="1007"/>
      <c r="BC83" s="1007">
        <f>+'[12]FEBRERO 2015'!$O$1182</f>
        <v>100000000</v>
      </c>
      <c r="BD83" s="1007"/>
      <c r="BE83" s="1007"/>
      <c r="BF83" s="1007"/>
      <c r="BG83" s="1007"/>
      <c r="BH83" s="1007"/>
      <c r="BI83" s="1007"/>
      <c r="BJ83" s="1007"/>
      <c r="BK83" s="1007"/>
      <c r="BL83" s="1007"/>
      <c r="BM83" s="1007"/>
      <c r="BN83" s="1007"/>
      <c r="BO83" s="1007"/>
      <c r="BP83" s="1007"/>
      <c r="BQ83" s="1010">
        <f t="shared" si="25"/>
        <v>0</v>
      </c>
      <c r="BR83" s="1007">
        <f t="shared" si="76"/>
        <v>0</v>
      </c>
      <c r="BS83" s="1007">
        <f t="shared" si="77"/>
        <v>0</v>
      </c>
      <c r="BT83" s="1007">
        <f t="shared" si="78"/>
        <v>0</v>
      </c>
      <c r="BU83" s="1007"/>
      <c r="BV83" s="1007">
        <f t="shared" si="79"/>
        <v>0</v>
      </c>
      <c r="BW83" s="1007"/>
      <c r="BX83" s="1007">
        <f t="shared" si="80"/>
        <v>0</v>
      </c>
      <c r="BY83" s="1007">
        <f t="shared" si="80"/>
        <v>0</v>
      </c>
      <c r="BZ83" s="1007"/>
      <c r="CA83" s="1007">
        <f t="shared" si="92"/>
        <v>0</v>
      </c>
      <c r="CB83" s="1007">
        <f t="shared" si="81"/>
        <v>0</v>
      </c>
      <c r="CC83" s="1007">
        <f>+AJ83-BG83</f>
        <v>0</v>
      </c>
      <c r="CD83" s="1007">
        <f t="shared" si="81"/>
        <v>0</v>
      </c>
      <c r="CE83" s="1007">
        <f t="shared" si="81"/>
        <v>0</v>
      </c>
      <c r="CF83" s="1007">
        <f t="shared" si="81"/>
        <v>0</v>
      </c>
      <c r="CG83" s="1007">
        <f t="shared" si="81"/>
        <v>0</v>
      </c>
      <c r="CH83" s="1007">
        <f t="shared" si="81"/>
        <v>0</v>
      </c>
      <c r="CI83" s="1007">
        <f t="shared" si="81"/>
        <v>0</v>
      </c>
      <c r="CJ83" s="1007"/>
      <c r="CK83" s="1007"/>
      <c r="CL83" s="1007">
        <f t="shared" si="82"/>
        <v>0</v>
      </c>
      <c r="CM83" s="1010">
        <f t="shared" si="83"/>
        <v>0.43517759</v>
      </c>
      <c r="CN83" s="1007">
        <f t="shared" si="84"/>
        <v>43517759</v>
      </c>
      <c r="CO83" s="1007"/>
      <c r="CP83" s="1007"/>
      <c r="CQ83" s="1007"/>
      <c r="CR83" s="1007"/>
      <c r="CS83" s="1007"/>
      <c r="CT83" s="1007"/>
      <c r="CU83" s="1007">
        <f>+'[8]SEPTIEMBRE 2015'!$H$3344</f>
        <v>43517759</v>
      </c>
      <c r="CV83" s="1007"/>
      <c r="CW83" s="1007"/>
      <c r="CX83" s="1007"/>
      <c r="CY83" s="1007"/>
      <c r="CZ83" s="1007"/>
      <c r="DA83" s="1007"/>
      <c r="DB83" s="1007"/>
      <c r="DC83" s="1007"/>
      <c r="DD83" s="1007"/>
      <c r="DE83" s="1007"/>
      <c r="DF83" s="1007"/>
      <c r="DG83" s="1007"/>
      <c r="DH83" s="1007"/>
      <c r="DI83" s="1011">
        <f t="shared" si="70"/>
        <v>0.56482241</v>
      </c>
      <c r="DJ83" s="1007">
        <f t="shared" si="85"/>
        <v>56482241</v>
      </c>
      <c r="DK83" s="1007"/>
      <c r="DL83" s="1007">
        <f>AA83-CP83</f>
        <v>0</v>
      </c>
      <c r="DM83" s="1007">
        <f>AB83-CQ83</f>
        <v>0</v>
      </c>
      <c r="DN83" s="1007">
        <f t="shared" si="86"/>
        <v>0</v>
      </c>
      <c r="DO83" s="1007"/>
      <c r="DP83" s="1007">
        <f t="shared" si="87"/>
        <v>0</v>
      </c>
      <c r="DQ83" s="1007">
        <f t="shared" si="87"/>
        <v>56482241</v>
      </c>
      <c r="DR83" s="1007"/>
      <c r="DS83" s="1007">
        <f t="shared" si="88"/>
        <v>0</v>
      </c>
      <c r="DT83" s="1007">
        <f t="shared" si="88"/>
        <v>0</v>
      </c>
      <c r="DU83" s="1007"/>
      <c r="DV83" s="1007">
        <f t="shared" si="89"/>
        <v>0</v>
      </c>
      <c r="DW83" s="1007">
        <f t="shared" si="89"/>
        <v>0</v>
      </c>
      <c r="DX83" s="1007">
        <f t="shared" si="89"/>
        <v>0</v>
      </c>
      <c r="DY83" s="1007">
        <f t="shared" si="90"/>
        <v>0</v>
      </c>
      <c r="DZ83" s="1007">
        <f t="shared" si="90"/>
        <v>0</v>
      </c>
      <c r="EA83" s="1007">
        <f t="shared" si="90"/>
        <v>0</v>
      </c>
      <c r="EB83" s="1007">
        <f t="shared" si="90"/>
        <v>0</v>
      </c>
      <c r="EC83" s="1007"/>
      <c r="ED83" s="1007">
        <f t="shared" si="91"/>
        <v>0</v>
      </c>
    </row>
    <row r="84" spans="1:134" ht="33" hidden="1" customHeight="1" x14ac:dyDescent="0.3">
      <c r="A84" s="1578"/>
      <c r="B84" s="1018"/>
      <c r="C84" s="1114" t="s">
        <v>4421</v>
      </c>
      <c r="D84" s="1018" t="s">
        <v>4617</v>
      </c>
      <c r="E84" s="1019">
        <v>520</v>
      </c>
      <c r="F84" s="1117" t="s">
        <v>3350</v>
      </c>
      <c r="G84" s="1429"/>
      <c r="H84" s="1060">
        <f t="shared" si="71"/>
        <v>82284884</v>
      </c>
      <c r="I84" s="1060">
        <f t="shared" si="72"/>
        <v>47715116</v>
      </c>
      <c r="J84" s="1283"/>
      <c r="K84" s="1198"/>
      <c r="L84" s="1258"/>
      <c r="M84" s="1113">
        <v>7</v>
      </c>
      <c r="N84" s="1113">
        <v>11</v>
      </c>
      <c r="O84" s="1113">
        <v>1</v>
      </c>
      <c r="P84" s="1113">
        <v>38</v>
      </c>
      <c r="Q84" s="1113">
        <v>116</v>
      </c>
      <c r="R84" s="1113">
        <v>44</v>
      </c>
      <c r="S84" s="1117"/>
      <c r="T84" s="1117"/>
      <c r="U84" s="1117"/>
      <c r="V84" s="1117"/>
      <c r="W84" s="1117"/>
      <c r="X84" s="1117"/>
      <c r="Y84" s="1007">
        <f t="shared" si="73"/>
        <v>130000000</v>
      </c>
      <c r="Z84" s="944"/>
      <c r="AA84" s="1016">
        <f>200000000-200000000</f>
        <v>0</v>
      </c>
      <c r="AB84" s="1016"/>
      <c r="AC84" s="944"/>
      <c r="AD84" s="944"/>
      <c r="AE84" s="944"/>
      <c r="AF84" s="1007">
        <f>200000000-60000000-10000000</f>
        <v>130000000</v>
      </c>
      <c r="AG84" s="1007"/>
      <c r="AH84" s="1007"/>
      <c r="AI84" s="1007"/>
      <c r="AJ84" s="1007"/>
      <c r="AK84" s="1007"/>
      <c r="AL84" s="1007"/>
      <c r="AM84" s="1007"/>
      <c r="AN84" s="1007"/>
      <c r="AO84" s="1007"/>
      <c r="AP84" s="1007"/>
      <c r="AQ84" s="1007"/>
      <c r="AR84" s="1007"/>
      <c r="AS84" s="1007"/>
      <c r="AT84" s="203"/>
      <c r="AU84" s="1010">
        <f t="shared" si="74"/>
        <v>1</v>
      </c>
      <c r="AV84" s="1007">
        <f t="shared" si="75"/>
        <v>130000000</v>
      </c>
      <c r="AW84" s="1007"/>
      <c r="AX84" s="1007"/>
      <c r="AY84" s="1007"/>
      <c r="AZ84" s="1007"/>
      <c r="BA84" s="1007"/>
      <c r="BB84" s="1007"/>
      <c r="BC84" s="1007">
        <f>+'[9]ABRIL 2015'!$O$1649-10000000</f>
        <v>130000000</v>
      </c>
      <c r="BD84" s="1007"/>
      <c r="BE84" s="1007"/>
      <c r="BF84" s="1007"/>
      <c r="BG84" s="1007"/>
      <c r="BH84" s="1007"/>
      <c r="BI84" s="1007"/>
      <c r="BJ84" s="1007"/>
      <c r="BK84" s="1007"/>
      <c r="BL84" s="1007"/>
      <c r="BM84" s="1007"/>
      <c r="BN84" s="1007"/>
      <c r="BO84" s="1007"/>
      <c r="BP84" s="1007"/>
      <c r="BQ84" s="1010">
        <f t="shared" si="25"/>
        <v>0</v>
      </c>
      <c r="BR84" s="1007">
        <f t="shared" si="76"/>
        <v>0</v>
      </c>
      <c r="BS84" s="1007">
        <f t="shared" si="77"/>
        <v>0</v>
      </c>
      <c r="BT84" s="1007">
        <f t="shared" si="78"/>
        <v>0</v>
      </c>
      <c r="BU84" s="1007"/>
      <c r="BV84" s="1007">
        <f t="shared" si="79"/>
        <v>0</v>
      </c>
      <c r="BW84" s="1007"/>
      <c r="BX84" s="1007">
        <f t="shared" si="80"/>
        <v>0</v>
      </c>
      <c r="BY84" s="1007">
        <f t="shared" si="80"/>
        <v>0</v>
      </c>
      <c r="BZ84" s="1007"/>
      <c r="CA84" s="1007">
        <f t="shared" si="92"/>
        <v>0</v>
      </c>
      <c r="CB84" s="1007">
        <f t="shared" si="92"/>
        <v>0</v>
      </c>
      <c r="CC84" s="1007">
        <f>+AJ84-BG84</f>
        <v>0</v>
      </c>
      <c r="CD84" s="1007">
        <f t="shared" ref="CD84:CI103" si="93">+AK84-BH84</f>
        <v>0</v>
      </c>
      <c r="CE84" s="1007">
        <f t="shared" si="93"/>
        <v>0</v>
      </c>
      <c r="CF84" s="1007">
        <f t="shared" si="93"/>
        <v>0</v>
      </c>
      <c r="CG84" s="1007">
        <f t="shared" si="93"/>
        <v>0</v>
      </c>
      <c r="CH84" s="1007">
        <f t="shared" si="93"/>
        <v>0</v>
      </c>
      <c r="CI84" s="1007">
        <f t="shared" si="93"/>
        <v>0</v>
      </c>
      <c r="CJ84" s="1007"/>
      <c r="CK84" s="1007"/>
      <c r="CL84" s="1007">
        <f t="shared" si="82"/>
        <v>0</v>
      </c>
      <c r="CM84" s="1010">
        <f t="shared" si="83"/>
        <v>0.63296064615384617</v>
      </c>
      <c r="CN84" s="1007">
        <f t="shared" si="84"/>
        <v>82284884</v>
      </c>
      <c r="CO84" s="1007"/>
      <c r="CP84" s="1007"/>
      <c r="CQ84" s="1007"/>
      <c r="CR84" s="1007"/>
      <c r="CS84" s="1007"/>
      <c r="CT84" s="1007"/>
      <c r="CU84" s="1007">
        <f>+'[8]SEPTIEMBRE 2015'!$H$3406</f>
        <v>82284884</v>
      </c>
      <c r="CV84" s="1007"/>
      <c r="CW84" s="1007"/>
      <c r="CX84" s="1007"/>
      <c r="CY84" s="1007"/>
      <c r="CZ84" s="1007"/>
      <c r="DA84" s="1007"/>
      <c r="DB84" s="1007"/>
      <c r="DC84" s="1007"/>
      <c r="DD84" s="1007"/>
      <c r="DE84" s="1007"/>
      <c r="DF84" s="1007"/>
      <c r="DG84" s="1007"/>
      <c r="DH84" s="1007"/>
      <c r="DI84" s="1011">
        <f t="shared" si="70"/>
        <v>0.36703935384615383</v>
      </c>
      <c r="DJ84" s="1007">
        <f t="shared" si="85"/>
        <v>47715116</v>
      </c>
      <c r="DK84" s="1007"/>
      <c r="DL84" s="1007">
        <f>AA84-CP84</f>
        <v>0</v>
      </c>
      <c r="DM84" s="1007">
        <f>AB84-CQ84</f>
        <v>0</v>
      </c>
      <c r="DN84" s="1007">
        <f t="shared" si="86"/>
        <v>0</v>
      </c>
      <c r="DO84" s="1007"/>
      <c r="DP84" s="1007">
        <f t="shared" si="87"/>
        <v>0</v>
      </c>
      <c r="DQ84" s="1007">
        <f t="shared" si="87"/>
        <v>47715116</v>
      </c>
      <c r="DR84" s="1007"/>
      <c r="DS84" s="1007">
        <f t="shared" si="88"/>
        <v>0</v>
      </c>
      <c r="DT84" s="1007">
        <f t="shared" si="88"/>
        <v>0</v>
      </c>
      <c r="DU84" s="1007"/>
      <c r="DV84" s="1007">
        <f t="shared" si="89"/>
        <v>0</v>
      </c>
      <c r="DW84" s="1007">
        <f t="shared" si="89"/>
        <v>0</v>
      </c>
      <c r="DX84" s="1007">
        <f t="shared" si="89"/>
        <v>0</v>
      </c>
      <c r="DY84" s="1007">
        <f t="shared" si="90"/>
        <v>0</v>
      </c>
      <c r="DZ84" s="1007">
        <f t="shared" si="90"/>
        <v>0</v>
      </c>
      <c r="EA84" s="1007">
        <f t="shared" si="90"/>
        <v>0</v>
      </c>
      <c r="EB84" s="1007">
        <f t="shared" si="90"/>
        <v>0</v>
      </c>
      <c r="EC84" s="1007"/>
      <c r="ED84" s="1007">
        <f t="shared" si="91"/>
        <v>0</v>
      </c>
    </row>
    <row r="85" spans="1:134" ht="57.75" hidden="1" customHeight="1" x14ac:dyDescent="0.3">
      <c r="A85" s="1578"/>
      <c r="B85" s="1026"/>
      <c r="C85" s="1114" t="s">
        <v>4422</v>
      </c>
      <c r="D85" s="1018" t="s">
        <v>4356</v>
      </c>
      <c r="E85" s="1130">
        <v>520</v>
      </c>
      <c r="F85" s="1117" t="s">
        <v>4674</v>
      </c>
      <c r="G85" s="1429"/>
      <c r="H85" s="1060">
        <f t="shared" si="71"/>
        <v>417668313</v>
      </c>
      <c r="I85" s="1060">
        <f t="shared" si="72"/>
        <v>29325520</v>
      </c>
      <c r="J85" s="1428" t="s">
        <v>4868</v>
      </c>
      <c r="K85" s="1257" t="s">
        <v>4875</v>
      </c>
      <c r="L85" s="1257" t="s">
        <v>4881</v>
      </c>
      <c r="M85" s="1113">
        <v>78</v>
      </c>
      <c r="N85" s="1113">
        <v>45</v>
      </c>
      <c r="O85" s="1113">
        <v>35</v>
      </c>
      <c r="P85" s="1113">
        <v>50</v>
      </c>
      <c r="Q85" s="1113">
        <v>60</v>
      </c>
      <c r="R85" s="1113">
        <v>30</v>
      </c>
      <c r="S85" s="1117"/>
      <c r="T85" s="1117"/>
      <c r="U85" s="1117"/>
      <c r="V85" s="1117"/>
      <c r="W85" s="1117"/>
      <c r="X85" s="1117"/>
      <c r="Y85" s="1007">
        <f t="shared" si="73"/>
        <v>446993833</v>
      </c>
      <c r="Z85" s="991"/>
      <c r="AA85" s="991"/>
      <c r="AB85" s="991"/>
      <c r="AC85" s="991"/>
      <c r="AD85" s="991"/>
      <c r="AE85" s="991"/>
      <c r="AF85" s="1007"/>
      <c r="AG85" s="1007"/>
      <c r="AH85" s="1007"/>
      <c r="AI85" s="1007"/>
      <c r="AJ85" s="1007"/>
      <c r="AK85" s="1007"/>
      <c r="AL85" s="1007"/>
      <c r="AM85" s="1007"/>
      <c r="AN85" s="1007"/>
      <c r="AO85" s="1007"/>
      <c r="AP85" s="1007"/>
      <c r="AQ85" s="1007"/>
      <c r="AR85" s="1007"/>
      <c r="AS85" s="1007">
        <f>111000000+41000000+32000000+9000000+19000000+17271328+15000000+191272505+6000000+5450000</f>
        <v>446993833</v>
      </c>
      <c r="AT85" s="203"/>
      <c r="AU85" s="1010">
        <f t="shared" si="74"/>
        <v>1</v>
      </c>
      <c r="AV85" s="1007">
        <f t="shared" si="75"/>
        <v>446993833</v>
      </c>
      <c r="AW85" s="1007"/>
      <c r="AX85" s="1007"/>
      <c r="AY85" s="1007"/>
      <c r="AZ85" s="1007"/>
      <c r="BA85" s="1007"/>
      <c r="BB85" s="1007"/>
      <c r="BC85" s="1007"/>
      <c r="BD85" s="1007"/>
      <c r="BE85" s="1007"/>
      <c r="BF85" s="1007"/>
      <c r="BG85" s="1007"/>
      <c r="BH85" s="1007"/>
      <c r="BI85" s="1007"/>
      <c r="BJ85" s="1007"/>
      <c r="BK85" s="1007"/>
      <c r="BL85" s="1007"/>
      <c r="BM85" s="1007"/>
      <c r="BN85" s="1007"/>
      <c r="BO85" s="1007"/>
      <c r="BP85" s="1007">
        <f>+'[8]SEPTIEMBRE 2015'!$AD$3491</f>
        <v>446993833</v>
      </c>
      <c r="BQ85" s="1010">
        <f t="shared" si="25"/>
        <v>0</v>
      </c>
      <c r="BR85" s="1007">
        <f t="shared" si="76"/>
        <v>0</v>
      </c>
      <c r="BS85" s="1007">
        <f t="shared" si="77"/>
        <v>0</v>
      </c>
      <c r="BT85" s="1007">
        <f t="shared" si="78"/>
        <v>0</v>
      </c>
      <c r="BU85" s="1007"/>
      <c r="BV85" s="1007">
        <f t="shared" si="79"/>
        <v>0</v>
      </c>
      <c r="BW85" s="1007"/>
      <c r="BX85" s="1007">
        <f t="shared" si="80"/>
        <v>0</v>
      </c>
      <c r="BY85" s="1007">
        <f t="shared" si="80"/>
        <v>0</v>
      </c>
      <c r="BZ85" s="1007"/>
      <c r="CA85" s="1007">
        <f t="shared" si="92"/>
        <v>0</v>
      </c>
      <c r="CB85" s="1007">
        <f t="shared" si="92"/>
        <v>0</v>
      </c>
      <c r="CC85" s="1007"/>
      <c r="CD85" s="1007">
        <f t="shared" si="93"/>
        <v>0</v>
      </c>
      <c r="CE85" s="1007">
        <f t="shared" si="93"/>
        <v>0</v>
      </c>
      <c r="CF85" s="1007">
        <f t="shared" si="93"/>
        <v>0</v>
      </c>
      <c r="CG85" s="1007">
        <f t="shared" si="93"/>
        <v>0</v>
      </c>
      <c r="CH85" s="1007">
        <f t="shared" si="93"/>
        <v>0</v>
      </c>
      <c r="CI85" s="1007">
        <f t="shared" si="93"/>
        <v>0</v>
      </c>
      <c r="CJ85" s="1007"/>
      <c r="CK85" s="1007"/>
      <c r="CL85" s="1007">
        <f t="shared" si="82"/>
        <v>0</v>
      </c>
      <c r="CM85" s="1010">
        <f t="shared" si="83"/>
        <v>0.93439390471411721</v>
      </c>
      <c r="CN85" s="1007">
        <f t="shared" si="84"/>
        <v>417668313</v>
      </c>
      <c r="CO85" s="1007"/>
      <c r="CP85" s="1007"/>
      <c r="CQ85" s="1007"/>
      <c r="CR85" s="1007"/>
      <c r="CS85" s="1007"/>
      <c r="CT85" s="1007"/>
      <c r="CU85" s="1007"/>
      <c r="CV85" s="1007"/>
      <c r="CW85" s="1007"/>
      <c r="CX85" s="1007"/>
      <c r="CY85" s="1007"/>
      <c r="CZ85" s="1007"/>
      <c r="DA85" s="1007"/>
      <c r="DB85" s="1007"/>
      <c r="DC85" s="1007"/>
      <c r="DD85" s="1007"/>
      <c r="DE85" s="1007"/>
      <c r="DF85" s="1007"/>
      <c r="DG85" s="1007"/>
      <c r="DH85" s="1007">
        <f>+'[8]SEPTIEMBRE 2015'!$H$3489</f>
        <v>417668313</v>
      </c>
      <c r="DI85" s="1011">
        <f t="shared" si="70"/>
        <v>6.5606095285882793E-2</v>
      </c>
      <c r="DJ85" s="1007">
        <f t="shared" si="85"/>
        <v>29325520</v>
      </c>
      <c r="DK85" s="1007"/>
      <c r="DL85" s="1007"/>
      <c r="DM85" s="1007"/>
      <c r="DN85" s="1007">
        <f t="shared" si="86"/>
        <v>0</v>
      </c>
      <c r="DO85" s="1007"/>
      <c r="DP85" s="1007">
        <f t="shared" si="87"/>
        <v>0</v>
      </c>
      <c r="DQ85" s="1007">
        <f t="shared" si="87"/>
        <v>0</v>
      </c>
      <c r="DR85" s="1007"/>
      <c r="DS85" s="1007">
        <f t="shared" si="88"/>
        <v>0</v>
      </c>
      <c r="DT85" s="1007">
        <f t="shared" si="88"/>
        <v>0</v>
      </c>
      <c r="DU85" s="1007"/>
      <c r="DV85" s="1007">
        <f t="shared" si="89"/>
        <v>0</v>
      </c>
      <c r="DW85" s="1007">
        <f t="shared" si="89"/>
        <v>0</v>
      </c>
      <c r="DX85" s="1007">
        <f t="shared" si="89"/>
        <v>0</v>
      </c>
      <c r="DY85" s="1007">
        <f t="shared" si="90"/>
        <v>0</v>
      </c>
      <c r="DZ85" s="1007">
        <f t="shared" si="90"/>
        <v>0</v>
      </c>
      <c r="EA85" s="1007">
        <f t="shared" si="90"/>
        <v>0</v>
      </c>
      <c r="EB85" s="1007">
        <f t="shared" si="90"/>
        <v>0</v>
      </c>
      <c r="EC85" s="1007"/>
      <c r="ED85" s="1007">
        <f t="shared" si="91"/>
        <v>29325520</v>
      </c>
    </row>
    <row r="86" spans="1:134" ht="46.5" hidden="1" customHeight="1" x14ac:dyDescent="0.3">
      <c r="A86" s="1578"/>
      <c r="B86" s="1018"/>
      <c r="C86" s="1114" t="s">
        <v>4423</v>
      </c>
      <c r="D86" s="1018" t="s">
        <v>4357</v>
      </c>
      <c r="E86" s="1019">
        <v>520</v>
      </c>
      <c r="F86" s="1117" t="s">
        <v>4737</v>
      </c>
      <c r="G86" s="1429"/>
      <c r="H86" s="1060">
        <f t="shared" si="71"/>
        <v>3547686</v>
      </c>
      <c r="I86" s="1060">
        <f t="shared" si="72"/>
        <v>21008011</v>
      </c>
      <c r="J86" s="1430"/>
      <c r="K86" s="1258"/>
      <c r="L86" s="1258"/>
      <c r="M86" s="1113">
        <v>0</v>
      </c>
      <c r="N86" s="1113">
        <v>0</v>
      </c>
      <c r="O86" s="1113">
        <v>0</v>
      </c>
      <c r="P86" s="1113">
        <v>6</v>
      </c>
      <c r="Q86" s="1113">
        <v>7</v>
      </c>
      <c r="R86" s="1113">
        <v>0</v>
      </c>
      <c r="S86" s="1117"/>
      <c r="T86" s="1117"/>
      <c r="U86" s="1117"/>
      <c r="V86" s="1117"/>
      <c r="W86" s="1117"/>
      <c r="X86" s="1117"/>
      <c r="Y86" s="1007">
        <f t="shared" si="73"/>
        <v>24555697</v>
      </c>
      <c r="Z86" s="944"/>
      <c r="AA86" s="944"/>
      <c r="AB86" s="944"/>
      <c r="AC86" s="944"/>
      <c r="AD86" s="944"/>
      <c r="AE86" s="944"/>
      <c r="AF86" s="1007"/>
      <c r="AG86" s="1007"/>
      <c r="AH86" s="1007"/>
      <c r="AI86" s="1007"/>
      <c r="AJ86" s="1007"/>
      <c r="AK86" s="1007"/>
      <c r="AL86" s="1007"/>
      <c r="AM86" s="1007"/>
      <c r="AN86" s="1007"/>
      <c r="AO86" s="1007"/>
      <c r="AP86" s="1007"/>
      <c r="AQ86" s="1007"/>
      <c r="AR86" s="1007"/>
      <c r="AS86" s="1007">
        <f>3000000+5000000+15055697+1500000</f>
        <v>24555697</v>
      </c>
      <c r="AT86" s="203"/>
      <c r="AU86" s="1010">
        <f t="shared" si="74"/>
        <v>0.3306320321512356</v>
      </c>
      <c r="AV86" s="1007">
        <f t="shared" si="75"/>
        <v>8118900</v>
      </c>
      <c r="AW86" s="1007"/>
      <c r="AX86" s="1007"/>
      <c r="AY86" s="1007"/>
      <c r="AZ86" s="1007"/>
      <c r="BA86" s="1007"/>
      <c r="BB86" s="1007"/>
      <c r="BC86" s="1007"/>
      <c r="BD86" s="1007"/>
      <c r="BE86" s="1007"/>
      <c r="BF86" s="1007"/>
      <c r="BG86" s="1007"/>
      <c r="BH86" s="1007"/>
      <c r="BI86" s="1007"/>
      <c r="BJ86" s="1007"/>
      <c r="BK86" s="1007"/>
      <c r="BL86" s="1007"/>
      <c r="BM86" s="1007"/>
      <c r="BN86" s="1007"/>
      <c r="BO86" s="1007"/>
      <c r="BP86" s="1007">
        <f>+'[8]SEPTIEMBRE 2015'!$AD$3573</f>
        <v>8118900</v>
      </c>
      <c r="BQ86" s="1010">
        <f t="shared" si="25"/>
        <v>0.6693679678487644</v>
      </c>
      <c r="BR86" s="1007">
        <f t="shared" si="76"/>
        <v>16436797</v>
      </c>
      <c r="BS86" s="1007">
        <f t="shared" si="77"/>
        <v>0</v>
      </c>
      <c r="BT86" s="1007">
        <f t="shared" si="78"/>
        <v>0</v>
      </c>
      <c r="BU86" s="1007"/>
      <c r="BV86" s="1007">
        <f t="shared" si="79"/>
        <v>0</v>
      </c>
      <c r="BW86" s="1007"/>
      <c r="BX86" s="1007">
        <f t="shared" si="80"/>
        <v>0</v>
      </c>
      <c r="BY86" s="1007">
        <f t="shared" si="80"/>
        <v>0</v>
      </c>
      <c r="BZ86" s="1007"/>
      <c r="CA86" s="1007">
        <f t="shared" si="92"/>
        <v>0</v>
      </c>
      <c r="CB86" s="1007">
        <f t="shared" si="92"/>
        <v>0</v>
      </c>
      <c r="CC86" s="1007"/>
      <c r="CD86" s="1007">
        <f t="shared" si="93"/>
        <v>0</v>
      </c>
      <c r="CE86" s="1007">
        <f t="shared" si="93"/>
        <v>0</v>
      </c>
      <c r="CF86" s="1007">
        <f t="shared" si="93"/>
        <v>0</v>
      </c>
      <c r="CG86" s="1007">
        <f t="shared" si="93"/>
        <v>0</v>
      </c>
      <c r="CH86" s="1007">
        <f t="shared" si="93"/>
        <v>0</v>
      </c>
      <c r="CI86" s="1007">
        <f t="shared" si="93"/>
        <v>0</v>
      </c>
      <c r="CJ86" s="1007"/>
      <c r="CK86" s="1007"/>
      <c r="CL86" s="1007">
        <f t="shared" si="82"/>
        <v>16436797</v>
      </c>
      <c r="CM86" s="1010">
        <f t="shared" si="83"/>
        <v>0.14447506824994624</v>
      </c>
      <c r="CN86" s="1007">
        <f t="shared" si="84"/>
        <v>3547686</v>
      </c>
      <c r="CO86" s="1007"/>
      <c r="CP86" s="1007"/>
      <c r="CQ86" s="1007"/>
      <c r="CR86" s="1007"/>
      <c r="CS86" s="1007"/>
      <c r="CT86" s="1007"/>
      <c r="CU86" s="1007"/>
      <c r="CV86" s="1007"/>
      <c r="CW86" s="1007"/>
      <c r="CX86" s="1007"/>
      <c r="CY86" s="1007"/>
      <c r="CZ86" s="1007"/>
      <c r="DA86" s="1007"/>
      <c r="DB86" s="1007"/>
      <c r="DC86" s="1007"/>
      <c r="DD86" s="1007"/>
      <c r="DE86" s="1007"/>
      <c r="DF86" s="1007"/>
      <c r="DG86" s="1007"/>
      <c r="DH86" s="1007">
        <f>+'[7]AGOSTO 2015'!$H$2909</f>
        <v>3547686</v>
      </c>
      <c r="DI86" s="1011">
        <f t="shared" si="70"/>
        <v>0.85552493175005373</v>
      </c>
      <c r="DJ86" s="1007">
        <f t="shared" si="85"/>
        <v>21008011</v>
      </c>
      <c r="DK86" s="1007"/>
      <c r="DL86" s="1007"/>
      <c r="DM86" s="1007"/>
      <c r="DN86" s="1007">
        <f t="shared" si="86"/>
        <v>0</v>
      </c>
      <c r="DO86" s="1007"/>
      <c r="DP86" s="1007">
        <f t="shared" si="87"/>
        <v>0</v>
      </c>
      <c r="DQ86" s="1007">
        <f t="shared" si="87"/>
        <v>0</v>
      </c>
      <c r="DR86" s="1007"/>
      <c r="DS86" s="1007">
        <f t="shared" si="88"/>
        <v>0</v>
      </c>
      <c r="DT86" s="1007">
        <f t="shared" si="88"/>
        <v>0</v>
      </c>
      <c r="DU86" s="1007"/>
      <c r="DV86" s="1007">
        <f t="shared" si="89"/>
        <v>0</v>
      </c>
      <c r="DW86" s="1007">
        <f t="shared" si="89"/>
        <v>0</v>
      </c>
      <c r="DX86" s="1007">
        <f t="shared" si="89"/>
        <v>0</v>
      </c>
      <c r="DY86" s="1007">
        <f t="shared" si="90"/>
        <v>0</v>
      </c>
      <c r="DZ86" s="1007">
        <f t="shared" si="90"/>
        <v>0</v>
      </c>
      <c r="EA86" s="1007">
        <f t="shared" si="90"/>
        <v>0</v>
      </c>
      <c r="EB86" s="1007">
        <f t="shared" si="90"/>
        <v>0</v>
      </c>
      <c r="EC86" s="1007"/>
      <c r="ED86" s="1007">
        <f t="shared" si="91"/>
        <v>21008011</v>
      </c>
    </row>
    <row r="87" spans="1:134" ht="36" hidden="1" customHeight="1" x14ac:dyDescent="0.3">
      <c r="A87" s="1578"/>
      <c r="B87" s="1018"/>
      <c r="C87" s="1114" t="s">
        <v>4424</v>
      </c>
      <c r="D87" s="1018" t="s">
        <v>4358</v>
      </c>
      <c r="E87" s="1019">
        <v>520</v>
      </c>
      <c r="F87" s="1117" t="s">
        <v>3350</v>
      </c>
      <c r="G87" s="1429"/>
      <c r="H87" s="1060">
        <f t="shared" si="71"/>
        <v>144717838</v>
      </c>
      <c r="I87" s="1060">
        <f t="shared" si="72"/>
        <v>466146597</v>
      </c>
      <c r="J87" s="1428" t="s">
        <v>4869</v>
      </c>
      <c r="K87" s="1257" t="s">
        <v>4876</v>
      </c>
      <c r="L87" s="1257" t="s">
        <v>4882</v>
      </c>
      <c r="M87" s="1113">
        <v>0</v>
      </c>
      <c r="N87" s="1113">
        <v>8</v>
      </c>
      <c r="O87" s="1113">
        <v>0</v>
      </c>
      <c r="P87" s="1113">
        <v>0</v>
      </c>
      <c r="Q87" s="1113">
        <v>0</v>
      </c>
      <c r="R87" s="1113">
        <v>0</v>
      </c>
      <c r="S87" s="1117"/>
      <c r="T87" s="1117"/>
      <c r="U87" s="1117"/>
      <c r="V87" s="1117"/>
      <c r="W87" s="1117"/>
      <c r="X87" s="1117"/>
      <c r="Y87" s="1007">
        <f t="shared" si="73"/>
        <v>610864435</v>
      </c>
      <c r="Z87" s="944"/>
      <c r="AA87" s="944"/>
      <c r="AB87" s="944"/>
      <c r="AC87" s="944"/>
      <c r="AD87" s="944"/>
      <c r="AE87" s="944"/>
      <c r="AF87" s="1007"/>
      <c r="AG87" s="1007"/>
      <c r="AH87" s="1007"/>
      <c r="AI87" s="1007"/>
      <c r="AJ87" s="1007"/>
      <c r="AK87" s="1007"/>
      <c r="AL87" s="1007">
        <f>450000000+160864435</f>
        <v>610864435</v>
      </c>
      <c r="AM87" s="1007"/>
      <c r="AN87" s="1007"/>
      <c r="AO87" s="1007"/>
      <c r="AP87" s="1007"/>
      <c r="AQ87" s="1007"/>
      <c r="AR87" s="1007"/>
      <c r="AS87" s="1007"/>
      <c r="AT87" s="203"/>
      <c r="AU87" s="1010">
        <f t="shared" si="74"/>
        <v>0.39234765075167621</v>
      </c>
      <c r="AV87" s="1007">
        <f t="shared" si="75"/>
        <v>239671226</v>
      </c>
      <c r="AW87" s="1007"/>
      <c r="AX87" s="1007"/>
      <c r="AY87" s="1007"/>
      <c r="AZ87" s="1007"/>
      <c r="BA87" s="1007"/>
      <c r="BB87" s="1007"/>
      <c r="BC87" s="1007"/>
      <c r="BD87" s="1007"/>
      <c r="BE87" s="1007"/>
      <c r="BF87" s="1007"/>
      <c r="BG87" s="1007"/>
      <c r="BH87" s="1007"/>
      <c r="BI87" s="1007">
        <f>+'[8]SEPTIEMBRE 2015'!$V$3585</f>
        <v>239671226</v>
      </c>
      <c r="BJ87" s="1007"/>
      <c r="BK87" s="1007"/>
      <c r="BL87" s="1007"/>
      <c r="BM87" s="1007"/>
      <c r="BN87" s="1007"/>
      <c r="BO87" s="1007"/>
      <c r="BP87" s="1007"/>
      <c r="BQ87" s="1010">
        <f t="shared" si="25"/>
        <v>0.60765234924832379</v>
      </c>
      <c r="BR87" s="1007">
        <f t="shared" si="76"/>
        <v>371193209</v>
      </c>
      <c r="BS87" s="1007">
        <f t="shared" si="77"/>
        <v>0</v>
      </c>
      <c r="BT87" s="1007">
        <f t="shared" si="78"/>
        <v>0</v>
      </c>
      <c r="BU87" s="1007"/>
      <c r="BV87" s="1007">
        <f t="shared" si="79"/>
        <v>0</v>
      </c>
      <c r="BW87" s="1007"/>
      <c r="BX87" s="1007">
        <f t="shared" si="80"/>
        <v>0</v>
      </c>
      <c r="BY87" s="1007">
        <f t="shared" si="80"/>
        <v>0</v>
      </c>
      <c r="BZ87" s="1007"/>
      <c r="CA87" s="1007">
        <f t="shared" si="92"/>
        <v>0</v>
      </c>
      <c r="CB87" s="1007">
        <f t="shared" si="92"/>
        <v>0</v>
      </c>
      <c r="CC87" s="1007"/>
      <c r="CD87" s="1007">
        <f t="shared" si="93"/>
        <v>0</v>
      </c>
      <c r="CE87" s="1007">
        <f t="shared" si="93"/>
        <v>371193209</v>
      </c>
      <c r="CF87" s="1007">
        <f t="shared" si="93"/>
        <v>0</v>
      </c>
      <c r="CG87" s="1007">
        <f t="shared" si="93"/>
        <v>0</v>
      </c>
      <c r="CH87" s="1007">
        <f t="shared" si="93"/>
        <v>0</v>
      </c>
      <c r="CI87" s="1007">
        <f t="shared" si="93"/>
        <v>0</v>
      </c>
      <c r="CJ87" s="1007"/>
      <c r="CK87" s="1007"/>
      <c r="CL87" s="1007">
        <f t="shared" si="82"/>
        <v>0</v>
      </c>
      <c r="CM87" s="1010">
        <f t="shared" si="83"/>
        <v>0.23690663543049451</v>
      </c>
      <c r="CN87" s="1007">
        <f t="shared" si="84"/>
        <v>144717838</v>
      </c>
      <c r="CO87" s="1007"/>
      <c r="CP87" s="1007"/>
      <c r="CQ87" s="1007"/>
      <c r="CR87" s="1007"/>
      <c r="CS87" s="1007"/>
      <c r="CT87" s="1007"/>
      <c r="CU87" s="1007"/>
      <c r="CV87" s="1007"/>
      <c r="CW87" s="1007"/>
      <c r="CX87" s="1007"/>
      <c r="CY87" s="1007"/>
      <c r="CZ87" s="1007"/>
      <c r="DA87" s="1007">
        <f>+'[8]SEPTIEMBRE 2015'!$H$3583</f>
        <v>144717838</v>
      </c>
      <c r="DB87" s="1007"/>
      <c r="DC87" s="1007"/>
      <c r="DD87" s="1007"/>
      <c r="DE87" s="1007"/>
      <c r="DF87" s="1007"/>
      <c r="DG87" s="1007"/>
      <c r="DH87" s="1007"/>
      <c r="DI87" s="1011">
        <f t="shared" si="70"/>
        <v>0.76309336456950549</v>
      </c>
      <c r="DJ87" s="1007">
        <f t="shared" si="85"/>
        <v>466146597</v>
      </c>
      <c r="DK87" s="1007"/>
      <c r="DL87" s="1007"/>
      <c r="DM87" s="1007"/>
      <c r="DN87" s="1007">
        <f t="shared" si="86"/>
        <v>0</v>
      </c>
      <c r="DO87" s="1007"/>
      <c r="DP87" s="1007">
        <f t="shared" si="87"/>
        <v>0</v>
      </c>
      <c r="DQ87" s="1007">
        <f t="shared" si="87"/>
        <v>0</v>
      </c>
      <c r="DR87" s="1007"/>
      <c r="DS87" s="1007">
        <f t="shared" si="88"/>
        <v>0</v>
      </c>
      <c r="DT87" s="1007">
        <f t="shared" si="88"/>
        <v>0</v>
      </c>
      <c r="DU87" s="1007"/>
      <c r="DV87" s="1007">
        <f t="shared" si="89"/>
        <v>0</v>
      </c>
      <c r="DW87" s="1007">
        <f t="shared" si="89"/>
        <v>466146597</v>
      </c>
      <c r="DX87" s="1007">
        <f t="shared" si="89"/>
        <v>0</v>
      </c>
      <c r="DY87" s="1007">
        <f t="shared" si="90"/>
        <v>0</v>
      </c>
      <c r="DZ87" s="1007">
        <f t="shared" si="90"/>
        <v>0</v>
      </c>
      <c r="EA87" s="1007">
        <f t="shared" si="90"/>
        <v>0</v>
      </c>
      <c r="EB87" s="1007">
        <f t="shared" si="90"/>
        <v>0</v>
      </c>
      <c r="EC87" s="1007"/>
      <c r="ED87" s="1007">
        <f t="shared" si="91"/>
        <v>0</v>
      </c>
    </row>
    <row r="88" spans="1:134" ht="33" hidden="1" customHeight="1" x14ac:dyDescent="0.3">
      <c r="A88" s="1578"/>
      <c r="B88" s="1018"/>
      <c r="C88" s="1114" t="s">
        <v>4425</v>
      </c>
      <c r="D88" s="1018" t="s">
        <v>4618</v>
      </c>
      <c r="E88" s="1019">
        <v>520</v>
      </c>
      <c r="F88" s="1117" t="s">
        <v>3350</v>
      </c>
      <c r="G88" s="1430"/>
      <c r="H88" s="1060">
        <f t="shared" si="71"/>
        <v>0</v>
      </c>
      <c r="I88" s="1060">
        <f t="shared" si="72"/>
        <v>23014856</v>
      </c>
      <c r="J88" s="1430"/>
      <c r="K88" s="1258"/>
      <c r="L88" s="1258"/>
      <c r="M88" s="1113">
        <v>0</v>
      </c>
      <c r="N88" s="1113">
        <v>0</v>
      </c>
      <c r="O88" s="1113">
        <v>0</v>
      </c>
      <c r="P88" s="1113">
        <v>0</v>
      </c>
      <c r="Q88" s="1113">
        <v>40</v>
      </c>
      <c r="R88" s="1113">
        <v>0</v>
      </c>
      <c r="S88" s="1117"/>
      <c r="T88" s="1117"/>
      <c r="U88" s="1117"/>
      <c r="V88" s="1117"/>
      <c r="W88" s="1117"/>
      <c r="X88" s="1117"/>
      <c r="Y88" s="1007">
        <f t="shared" si="73"/>
        <v>23014856</v>
      </c>
      <c r="Z88" s="944"/>
      <c r="AA88" s="1016">
        <f>23014856-23014856</f>
        <v>0</v>
      </c>
      <c r="AB88" s="1016"/>
      <c r="AC88" s="944"/>
      <c r="AD88" s="944"/>
      <c r="AE88" s="944"/>
      <c r="AF88" s="1007">
        <v>23014856</v>
      </c>
      <c r="AG88" s="1007"/>
      <c r="AH88" s="1007"/>
      <c r="AI88" s="1007"/>
      <c r="AJ88" s="1007"/>
      <c r="AK88" s="1007"/>
      <c r="AL88" s="1007"/>
      <c r="AM88" s="1007"/>
      <c r="AN88" s="1007"/>
      <c r="AO88" s="1007"/>
      <c r="AP88" s="1007"/>
      <c r="AQ88" s="1007"/>
      <c r="AR88" s="1007"/>
      <c r="AS88" s="1007"/>
      <c r="AT88" s="203"/>
      <c r="AU88" s="1010">
        <f t="shared" si="74"/>
        <v>1</v>
      </c>
      <c r="AV88" s="1007">
        <f t="shared" si="75"/>
        <v>23014856</v>
      </c>
      <c r="AW88" s="1007"/>
      <c r="AX88" s="1007"/>
      <c r="AY88" s="1007"/>
      <c r="AZ88" s="1007"/>
      <c r="BA88" s="1007"/>
      <c r="BB88" s="1007"/>
      <c r="BC88" s="1007">
        <f>+'[12]FEBRERO 2015'!$O$1235</f>
        <v>23014856</v>
      </c>
      <c r="BD88" s="1007"/>
      <c r="BE88" s="1007"/>
      <c r="BF88" s="1007"/>
      <c r="BG88" s="1007"/>
      <c r="BH88" s="1007"/>
      <c r="BI88" s="1007"/>
      <c r="BJ88" s="1007"/>
      <c r="BK88" s="1007"/>
      <c r="BL88" s="1007"/>
      <c r="BM88" s="1007"/>
      <c r="BN88" s="1007"/>
      <c r="BO88" s="1007"/>
      <c r="BP88" s="1007"/>
      <c r="BQ88" s="1010">
        <f t="shared" ref="BQ88:BQ104" si="94">1-AU88</f>
        <v>0</v>
      </c>
      <c r="BR88" s="1007">
        <f t="shared" si="76"/>
        <v>0</v>
      </c>
      <c r="BS88" s="1007">
        <f t="shared" si="77"/>
        <v>0</v>
      </c>
      <c r="BT88" s="1007">
        <f t="shared" si="78"/>
        <v>0</v>
      </c>
      <c r="BU88" s="1007"/>
      <c r="BV88" s="1007">
        <f t="shared" si="79"/>
        <v>0</v>
      </c>
      <c r="BW88" s="1007"/>
      <c r="BX88" s="1007">
        <f t="shared" si="80"/>
        <v>0</v>
      </c>
      <c r="BY88" s="1007">
        <f t="shared" si="80"/>
        <v>0</v>
      </c>
      <c r="BZ88" s="1007"/>
      <c r="CA88" s="1007">
        <f t="shared" si="92"/>
        <v>0</v>
      </c>
      <c r="CB88" s="1007">
        <f t="shared" si="92"/>
        <v>0</v>
      </c>
      <c r="CC88" s="1007"/>
      <c r="CD88" s="1007">
        <f t="shared" si="93"/>
        <v>0</v>
      </c>
      <c r="CE88" s="1007">
        <f t="shared" si="93"/>
        <v>0</v>
      </c>
      <c r="CF88" s="1007">
        <f t="shared" si="93"/>
        <v>0</v>
      </c>
      <c r="CG88" s="1007">
        <f t="shared" si="93"/>
        <v>0</v>
      </c>
      <c r="CH88" s="1007">
        <f t="shared" si="93"/>
        <v>0</v>
      </c>
      <c r="CI88" s="1007">
        <f t="shared" si="93"/>
        <v>0</v>
      </c>
      <c r="CJ88" s="1007"/>
      <c r="CK88" s="1007"/>
      <c r="CL88" s="1007">
        <f t="shared" si="82"/>
        <v>0</v>
      </c>
      <c r="CM88" s="1010">
        <f t="shared" si="83"/>
        <v>0</v>
      </c>
      <c r="CN88" s="1007">
        <f t="shared" si="84"/>
        <v>0</v>
      </c>
      <c r="CO88" s="1007"/>
      <c r="CP88" s="1007"/>
      <c r="CQ88" s="1007"/>
      <c r="CR88" s="1007"/>
      <c r="CS88" s="1007"/>
      <c r="CT88" s="1007"/>
      <c r="CU88" s="1007"/>
      <c r="CV88" s="1007"/>
      <c r="CW88" s="1007"/>
      <c r="CX88" s="1007"/>
      <c r="CY88" s="1007"/>
      <c r="CZ88" s="1007"/>
      <c r="DA88" s="1007"/>
      <c r="DB88" s="1007"/>
      <c r="DC88" s="1007"/>
      <c r="DD88" s="1007"/>
      <c r="DE88" s="1007"/>
      <c r="DF88" s="1007"/>
      <c r="DG88" s="1007"/>
      <c r="DH88" s="1007"/>
      <c r="DI88" s="1011">
        <f t="shared" si="70"/>
        <v>1</v>
      </c>
      <c r="DJ88" s="1007">
        <f t="shared" si="85"/>
        <v>23014856</v>
      </c>
      <c r="DK88" s="1007"/>
      <c r="DL88" s="1007">
        <f>AA88-CP88</f>
        <v>0</v>
      </c>
      <c r="DM88" s="1007">
        <f>AB88-CQ88</f>
        <v>0</v>
      </c>
      <c r="DN88" s="1007">
        <f t="shared" si="86"/>
        <v>0</v>
      </c>
      <c r="DO88" s="1007"/>
      <c r="DP88" s="1007">
        <f t="shared" si="87"/>
        <v>0</v>
      </c>
      <c r="DQ88" s="1007">
        <f t="shared" si="87"/>
        <v>23014856</v>
      </c>
      <c r="DR88" s="1007"/>
      <c r="DS88" s="1007">
        <f t="shared" si="88"/>
        <v>0</v>
      </c>
      <c r="DT88" s="1007">
        <f t="shared" si="88"/>
        <v>0</v>
      </c>
      <c r="DU88" s="1007"/>
      <c r="DV88" s="1007">
        <f t="shared" si="89"/>
        <v>0</v>
      </c>
      <c r="DW88" s="1007">
        <f t="shared" si="89"/>
        <v>0</v>
      </c>
      <c r="DX88" s="1007">
        <f t="shared" si="89"/>
        <v>0</v>
      </c>
      <c r="DY88" s="1007">
        <f t="shared" si="90"/>
        <v>0</v>
      </c>
      <c r="DZ88" s="1007">
        <f t="shared" si="90"/>
        <v>0</v>
      </c>
      <c r="EA88" s="1007">
        <f t="shared" si="90"/>
        <v>0</v>
      </c>
      <c r="EB88" s="1007">
        <f t="shared" si="90"/>
        <v>0</v>
      </c>
      <c r="EC88" s="1007"/>
      <c r="ED88" s="1007">
        <f t="shared" si="91"/>
        <v>0</v>
      </c>
    </row>
    <row r="89" spans="1:134" ht="77.25" hidden="1" customHeight="1" x14ac:dyDescent="0.3">
      <c r="A89" s="1578"/>
      <c r="B89" s="1018" t="s">
        <v>4359</v>
      </c>
      <c r="C89" s="1114" t="s">
        <v>4426</v>
      </c>
      <c r="D89" s="1018" t="s">
        <v>4725</v>
      </c>
      <c r="E89" s="1019">
        <v>520</v>
      </c>
      <c r="F89" s="1117" t="s">
        <v>4360</v>
      </c>
      <c r="G89" s="1428">
        <v>150000000</v>
      </c>
      <c r="H89" s="1060">
        <f t="shared" si="71"/>
        <v>0</v>
      </c>
      <c r="I89" s="1060">
        <f t="shared" si="72"/>
        <v>40000000</v>
      </c>
      <c r="J89" s="1428" t="s">
        <v>4771</v>
      </c>
      <c r="K89" s="1257" t="s">
        <v>4883</v>
      </c>
      <c r="L89" s="1257" t="s">
        <v>4884</v>
      </c>
      <c r="M89" s="1113">
        <v>0</v>
      </c>
      <c r="N89" s="1113">
        <v>0</v>
      </c>
      <c r="O89" s="1113">
        <v>0</v>
      </c>
      <c r="P89" s="1113">
        <v>0</v>
      </c>
      <c r="Q89" s="1113">
        <v>0</v>
      </c>
      <c r="R89" s="1113">
        <v>0</v>
      </c>
      <c r="S89" s="1117"/>
      <c r="T89" s="1117"/>
      <c r="U89" s="1117"/>
      <c r="V89" s="1117"/>
      <c r="W89" s="1117"/>
      <c r="X89" s="1117"/>
      <c r="Y89" s="1007">
        <f t="shared" si="73"/>
        <v>40000000</v>
      </c>
      <c r="Z89" s="944"/>
      <c r="AA89" s="944"/>
      <c r="AB89" s="944"/>
      <c r="AC89" s="1007">
        <f>10000000-10000000</f>
        <v>0</v>
      </c>
      <c r="AD89" s="1007"/>
      <c r="AE89" s="1007">
        <v>30000000</v>
      </c>
      <c r="AF89" s="1007"/>
      <c r="AG89" s="1007"/>
      <c r="AH89" s="1007"/>
      <c r="AI89" s="1007"/>
      <c r="AJ89" s="1007"/>
      <c r="AK89" s="1007"/>
      <c r="AL89" s="1007"/>
      <c r="AM89" s="1007"/>
      <c r="AN89" s="1007">
        <v>10000000</v>
      </c>
      <c r="AO89" s="1007"/>
      <c r="AP89" s="1007"/>
      <c r="AQ89" s="1007"/>
      <c r="AR89" s="1007"/>
      <c r="AS89" s="1007"/>
      <c r="AT89" s="203"/>
      <c r="AU89" s="1010">
        <f t="shared" si="74"/>
        <v>1</v>
      </c>
      <c r="AV89" s="1007">
        <f t="shared" si="75"/>
        <v>40000000</v>
      </c>
      <c r="AW89" s="1007"/>
      <c r="AX89" s="1007"/>
      <c r="AY89" s="1007"/>
      <c r="AZ89" s="1007"/>
      <c r="BA89" s="1007"/>
      <c r="BB89" s="1007">
        <f>+'[15]FEBRERO 2015'!$N$1172</f>
        <v>30000000</v>
      </c>
      <c r="BC89" s="1007"/>
      <c r="BD89" s="1007"/>
      <c r="BE89" s="1007"/>
      <c r="BF89" s="1007"/>
      <c r="BG89" s="1007"/>
      <c r="BH89" s="1007"/>
      <c r="BI89" s="1007"/>
      <c r="BJ89" s="1007"/>
      <c r="BK89" s="1007">
        <f>+'[12]FEBRERO 2015'!$W$1245</f>
        <v>10000000</v>
      </c>
      <c r="BL89" s="1007"/>
      <c r="BM89" s="1007"/>
      <c r="BN89" s="1007"/>
      <c r="BO89" s="1007"/>
      <c r="BP89" s="1007"/>
      <c r="BQ89" s="1010">
        <f t="shared" si="94"/>
        <v>0</v>
      </c>
      <c r="BR89" s="1007">
        <f t="shared" si="76"/>
        <v>0</v>
      </c>
      <c r="BS89" s="1007">
        <f t="shared" si="77"/>
        <v>0</v>
      </c>
      <c r="BT89" s="1007">
        <f t="shared" si="78"/>
        <v>0</v>
      </c>
      <c r="BU89" s="1007"/>
      <c r="BV89" s="1007">
        <f t="shared" si="79"/>
        <v>0</v>
      </c>
      <c r="BW89" s="1007"/>
      <c r="BX89" s="1007">
        <f t="shared" si="80"/>
        <v>0</v>
      </c>
      <c r="BY89" s="1007">
        <f t="shared" si="80"/>
        <v>0</v>
      </c>
      <c r="BZ89" s="1007"/>
      <c r="CA89" s="1007">
        <f t="shared" si="92"/>
        <v>0</v>
      </c>
      <c r="CB89" s="1007">
        <f t="shared" si="92"/>
        <v>0</v>
      </c>
      <c r="CC89" s="1007"/>
      <c r="CD89" s="1007">
        <f t="shared" si="93"/>
        <v>0</v>
      </c>
      <c r="CE89" s="1007">
        <f t="shared" si="93"/>
        <v>0</v>
      </c>
      <c r="CF89" s="1007">
        <f t="shared" si="93"/>
        <v>0</v>
      </c>
      <c r="CG89" s="1007">
        <f t="shared" si="93"/>
        <v>0</v>
      </c>
      <c r="CH89" s="1007">
        <f t="shared" si="93"/>
        <v>0</v>
      </c>
      <c r="CI89" s="1007">
        <f t="shared" si="93"/>
        <v>0</v>
      </c>
      <c r="CJ89" s="1007"/>
      <c r="CK89" s="1007"/>
      <c r="CL89" s="1007">
        <f t="shared" si="82"/>
        <v>0</v>
      </c>
      <c r="CM89" s="1010">
        <f t="shared" si="83"/>
        <v>0</v>
      </c>
      <c r="CN89" s="1007">
        <f t="shared" si="84"/>
        <v>0</v>
      </c>
      <c r="CO89" s="1007"/>
      <c r="CP89" s="1007"/>
      <c r="CQ89" s="1007"/>
      <c r="CR89" s="1007"/>
      <c r="CS89" s="1007"/>
      <c r="CT89" s="1007"/>
      <c r="CU89" s="1007"/>
      <c r="CV89" s="1007"/>
      <c r="CW89" s="1007"/>
      <c r="CX89" s="1007"/>
      <c r="CY89" s="1007"/>
      <c r="CZ89" s="1007"/>
      <c r="DA89" s="1007"/>
      <c r="DB89" s="1007"/>
      <c r="DC89" s="1007"/>
      <c r="DD89" s="1007"/>
      <c r="DE89" s="1007"/>
      <c r="DF89" s="1007"/>
      <c r="DG89" s="1007"/>
      <c r="DH89" s="1007"/>
      <c r="DI89" s="1011">
        <f t="shared" si="70"/>
        <v>1</v>
      </c>
      <c r="DJ89" s="1007">
        <f t="shared" si="85"/>
        <v>40000000</v>
      </c>
      <c r="DK89" s="1007"/>
      <c r="DL89" s="1007"/>
      <c r="DM89" s="1007"/>
      <c r="DN89" s="1007">
        <f t="shared" si="86"/>
        <v>0</v>
      </c>
      <c r="DO89" s="1007"/>
      <c r="DP89" s="1007">
        <f t="shared" si="87"/>
        <v>30000000</v>
      </c>
      <c r="DQ89" s="1007">
        <f t="shared" si="87"/>
        <v>0</v>
      </c>
      <c r="DR89" s="1007"/>
      <c r="DS89" s="1007">
        <f t="shared" si="88"/>
        <v>0</v>
      </c>
      <c r="DT89" s="1007">
        <f t="shared" si="88"/>
        <v>0</v>
      </c>
      <c r="DU89" s="1007"/>
      <c r="DV89" s="1007">
        <f t="shared" si="89"/>
        <v>0</v>
      </c>
      <c r="DW89" s="1007">
        <f t="shared" si="89"/>
        <v>0</v>
      </c>
      <c r="DX89" s="1007">
        <f t="shared" si="89"/>
        <v>0</v>
      </c>
      <c r="DY89" s="1007">
        <f t="shared" si="90"/>
        <v>10000000</v>
      </c>
      <c r="DZ89" s="1007">
        <f t="shared" si="90"/>
        <v>0</v>
      </c>
      <c r="EA89" s="1007">
        <f t="shared" si="90"/>
        <v>0</v>
      </c>
      <c r="EB89" s="1007">
        <f t="shared" si="90"/>
        <v>0</v>
      </c>
      <c r="EC89" s="1007"/>
      <c r="ED89" s="1007">
        <f t="shared" si="91"/>
        <v>0</v>
      </c>
    </row>
    <row r="90" spans="1:134" ht="24" hidden="1" customHeight="1" x14ac:dyDescent="0.3">
      <c r="A90" s="1578"/>
      <c r="B90" s="1028"/>
      <c r="C90" s="1114" t="s">
        <v>4427</v>
      </c>
      <c r="D90" s="1018" t="s">
        <v>4619</v>
      </c>
      <c r="E90" s="1019">
        <v>520</v>
      </c>
      <c r="F90" s="1117" t="s">
        <v>3350</v>
      </c>
      <c r="G90" s="1429"/>
      <c r="H90" s="1060">
        <f t="shared" si="71"/>
        <v>48739200</v>
      </c>
      <c r="I90" s="1060">
        <f t="shared" si="72"/>
        <v>1260800</v>
      </c>
      <c r="J90" s="1429"/>
      <c r="K90" s="1562"/>
      <c r="L90" s="1562"/>
      <c r="M90" s="1113">
        <v>0</v>
      </c>
      <c r="N90" s="1113">
        <v>0</v>
      </c>
      <c r="O90" s="1113">
        <v>0</v>
      </c>
      <c r="P90" s="1113">
        <v>90</v>
      </c>
      <c r="Q90" s="1113">
        <v>80</v>
      </c>
      <c r="R90" s="1113">
        <v>72</v>
      </c>
      <c r="S90" s="1117"/>
      <c r="T90" s="1117"/>
      <c r="U90" s="1117"/>
      <c r="V90" s="1117"/>
      <c r="W90" s="1117"/>
      <c r="X90" s="1117"/>
      <c r="Y90" s="1007">
        <f t="shared" si="73"/>
        <v>50000000</v>
      </c>
      <c r="Z90" s="944"/>
      <c r="AA90" s="944"/>
      <c r="AB90" s="944"/>
      <c r="AC90" s="1007">
        <v>40000000</v>
      </c>
      <c r="AD90" s="1007"/>
      <c r="AE90" s="1007"/>
      <c r="AF90" s="1007"/>
      <c r="AG90" s="1007"/>
      <c r="AH90" s="1007"/>
      <c r="AI90" s="1007"/>
      <c r="AJ90" s="1007"/>
      <c r="AK90" s="1007"/>
      <c r="AL90" s="1007"/>
      <c r="AM90" s="1007"/>
      <c r="AN90" s="1007">
        <v>10000000</v>
      </c>
      <c r="AO90" s="1007"/>
      <c r="AP90" s="1007"/>
      <c r="AQ90" s="1007"/>
      <c r="AR90" s="1007"/>
      <c r="AS90" s="1007"/>
      <c r="AT90" s="203"/>
      <c r="AU90" s="1010">
        <f t="shared" si="74"/>
        <v>1</v>
      </c>
      <c r="AV90" s="1007">
        <f t="shared" si="75"/>
        <v>50000000</v>
      </c>
      <c r="AW90" s="1007"/>
      <c r="AX90" s="1007"/>
      <c r="AY90" s="1007"/>
      <c r="AZ90" s="1007">
        <f>+'[9]ABRIL 2015'!$L$1730</f>
        <v>40000000</v>
      </c>
      <c r="BA90" s="1007"/>
      <c r="BB90" s="1007"/>
      <c r="BC90" s="1007"/>
      <c r="BD90" s="1007"/>
      <c r="BE90" s="1007"/>
      <c r="BF90" s="1007"/>
      <c r="BG90" s="1007"/>
      <c r="BH90" s="1007"/>
      <c r="BI90" s="1007"/>
      <c r="BJ90" s="1007"/>
      <c r="BK90" s="1007">
        <f>+'[13]JUNIO 2015'!$X$2249</f>
        <v>10000000</v>
      </c>
      <c r="BL90" s="1007"/>
      <c r="BM90" s="1007"/>
      <c r="BN90" s="1007"/>
      <c r="BO90" s="1007"/>
      <c r="BP90" s="1007"/>
      <c r="BQ90" s="1010">
        <f t="shared" si="94"/>
        <v>0</v>
      </c>
      <c r="BR90" s="1007">
        <f t="shared" si="76"/>
        <v>0</v>
      </c>
      <c r="BS90" s="1007">
        <f t="shared" si="77"/>
        <v>0</v>
      </c>
      <c r="BT90" s="1007">
        <f t="shared" si="78"/>
        <v>0</v>
      </c>
      <c r="BU90" s="1007"/>
      <c r="BV90" s="1007">
        <f t="shared" si="79"/>
        <v>0</v>
      </c>
      <c r="BW90" s="1007"/>
      <c r="BX90" s="1007">
        <f t="shared" si="80"/>
        <v>0</v>
      </c>
      <c r="BY90" s="1007">
        <f t="shared" si="80"/>
        <v>0</v>
      </c>
      <c r="BZ90" s="1007"/>
      <c r="CA90" s="1007">
        <f t="shared" si="92"/>
        <v>0</v>
      </c>
      <c r="CB90" s="1007">
        <f t="shared" si="92"/>
        <v>0</v>
      </c>
      <c r="CC90" s="1007"/>
      <c r="CD90" s="1007">
        <f t="shared" si="93"/>
        <v>0</v>
      </c>
      <c r="CE90" s="1007">
        <f t="shared" si="93"/>
        <v>0</v>
      </c>
      <c r="CF90" s="1007">
        <f t="shared" si="93"/>
        <v>0</v>
      </c>
      <c r="CG90" s="1007">
        <f t="shared" si="93"/>
        <v>0</v>
      </c>
      <c r="CH90" s="1007">
        <f t="shared" si="93"/>
        <v>0</v>
      </c>
      <c r="CI90" s="1007">
        <f t="shared" si="93"/>
        <v>0</v>
      </c>
      <c r="CJ90" s="1007"/>
      <c r="CK90" s="1007"/>
      <c r="CL90" s="1007">
        <f t="shared" si="82"/>
        <v>0</v>
      </c>
      <c r="CM90" s="1010">
        <f t="shared" si="83"/>
        <v>0.97478399999999998</v>
      </c>
      <c r="CN90" s="1007">
        <f t="shared" si="84"/>
        <v>48739200</v>
      </c>
      <c r="CO90" s="1007"/>
      <c r="CP90" s="1007"/>
      <c r="CQ90" s="1007"/>
      <c r="CR90" s="1007">
        <f>+'[13]JUNIO 2015'!$H$2252</f>
        <v>40000000</v>
      </c>
      <c r="CS90" s="1007"/>
      <c r="CT90" s="1007"/>
      <c r="CU90" s="1007"/>
      <c r="CV90" s="1007"/>
      <c r="CW90" s="1007"/>
      <c r="CX90" s="1007"/>
      <c r="CY90" s="1007"/>
      <c r="CZ90" s="1007"/>
      <c r="DA90" s="1007"/>
      <c r="DB90" s="1007"/>
      <c r="DC90" s="1007">
        <f>+'[10]JULIO 2015'!$H$2631</f>
        <v>8739200</v>
      </c>
      <c r="DD90" s="1007"/>
      <c r="DE90" s="1007"/>
      <c r="DF90" s="1007"/>
      <c r="DG90" s="1007"/>
      <c r="DH90" s="1007"/>
      <c r="DI90" s="1011">
        <f t="shared" si="70"/>
        <v>2.5216000000000016E-2</v>
      </c>
      <c r="DJ90" s="1007">
        <f t="shared" si="85"/>
        <v>1260800</v>
      </c>
      <c r="DK90" s="1007"/>
      <c r="DL90" s="1007"/>
      <c r="DM90" s="1007"/>
      <c r="DN90" s="1007">
        <f t="shared" si="86"/>
        <v>0</v>
      </c>
      <c r="DO90" s="1007"/>
      <c r="DP90" s="1007">
        <f t="shared" si="87"/>
        <v>0</v>
      </c>
      <c r="DQ90" s="1007">
        <f t="shared" si="87"/>
        <v>0</v>
      </c>
      <c r="DR90" s="1007"/>
      <c r="DS90" s="1007">
        <f t="shared" si="88"/>
        <v>0</v>
      </c>
      <c r="DT90" s="1007">
        <f t="shared" si="88"/>
        <v>0</v>
      </c>
      <c r="DU90" s="1007"/>
      <c r="DV90" s="1007">
        <f t="shared" si="89"/>
        <v>0</v>
      </c>
      <c r="DW90" s="1007">
        <f t="shared" si="89"/>
        <v>0</v>
      </c>
      <c r="DX90" s="1007">
        <f t="shared" si="89"/>
        <v>0</v>
      </c>
      <c r="DY90" s="1007">
        <f t="shared" si="90"/>
        <v>1260800</v>
      </c>
      <c r="DZ90" s="1007">
        <f t="shared" si="90"/>
        <v>0</v>
      </c>
      <c r="EA90" s="1007">
        <f t="shared" si="90"/>
        <v>0</v>
      </c>
      <c r="EB90" s="1007">
        <f t="shared" si="90"/>
        <v>0</v>
      </c>
      <c r="EC90" s="1007"/>
      <c r="ED90" s="1007">
        <f t="shared" si="91"/>
        <v>0</v>
      </c>
    </row>
    <row r="91" spans="1:134" ht="31.5" hidden="1" customHeight="1" x14ac:dyDescent="0.3">
      <c r="A91" s="1578"/>
      <c r="B91" s="1028"/>
      <c r="C91" s="1114" t="s">
        <v>4428</v>
      </c>
      <c r="D91" s="1018" t="s">
        <v>4620</v>
      </c>
      <c r="E91" s="1019">
        <v>520</v>
      </c>
      <c r="F91" s="1117" t="s">
        <v>3350</v>
      </c>
      <c r="G91" s="1429"/>
      <c r="H91" s="1060">
        <f t="shared" si="71"/>
        <v>20000000</v>
      </c>
      <c r="I91" s="1060">
        <f t="shared" si="72"/>
        <v>0</v>
      </c>
      <c r="J91" s="1429"/>
      <c r="K91" s="1562"/>
      <c r="L91" s="1562"/>
      <c r="M91" s="1113">
        <v>100</v>
      </c>
      <c r="N91" s="1113">
        <v>100</v>
      </c>
      <c r="O91" s="1113">
        <v>100</v>
      </c>
      <c r="P91" s="1113">
        <v>100</v>
      </c>
      <c r="Q91" s="1113">
        <v>100</v>
      </c>
      <c r="R91" s="1113">
        <v>100</v>
      </c>
      <c r="S91" s="1117"/>
      <c r="T91" s="1117"/>
      <c r="U91" s="1117"/>
      <c r="V91" s="1117"/>
      <c r="W91" s="1117"/>
      <c r="X91" s="1117"/>
      <c r="Y91" s="1007">
        <f t="shared" si="73"/>
        <v>20000000</v>
      </c>
      <c r="Z91" s="944"/>
      <c r="AA91" s="944"/>
      <c r="AB91" s="944"/>
      <c r="AC91" s="1007"/>
      <c r="AD91" s="1007"/>
      <c r="AE91" s="1007"/>
      <c r="AF91" s="1007">
        <f>30000000-10000000</f>
        <v>20000000</v>
      </c>
      <c r="AG91" s="1007"/>
      <c r="AH91" s="1007"/>
      <c r="AI91" s="1007"/>
      <c r="AJ91" s="1007"/>
      <c r="AK91" s="1007"/>
      <c r="AL91" s="1007"/>
      <c r="AM91" s="1007"/>
      <c r="AN91" s="1007"/>
      <c r="AO91" s="1007"/>
      <c r="AP91" s="1007"/>
      <c r="AQ91" s="1007"/>
      <c r="AR91" s="1007"/>
      <c r="AS91" s="1007"/>
      <c r="AT91" s="203"/>
      <c r="AU91" s="1010">
        <f t="shared" si="74"/>
        <v>1</v>
      </c>
      <c r="AV91" s="1007">
        <f t="shared" si="75"/>
        <v>20000000</v>
      </c>
      <c r="AW91" s="1007"/>
      <c r="AX91" s="1007"/>
      <c r="AY91" s="1007"/>
      <c r="AZ91" s="1007"/>
      <c r="BA91" s="1007"/>
      <c r="BB91" s="1007"/>
      <c r="BC91" s="1007">
        <f>+'[11]MARZO 2015'!$O$1462</f>
        <v>20000000</v>
      </c>
      <c r="BD91" s="1007"/>
      <c r="BE91" s="1007"/>
      <c r="BF91" s="1007"/>
      <c r="BG91" s="1007"/>
      <c r="BH91" s="1007"/>
      <c r="BI91" s="1007"/>
      <c r="BJ91" s="1007"/>
      <c r="BK91" s="1007"/>
      <c r="BL91" s="1007"/>
      <c r="BM91" s="1007"/>
      <c r="BN91" s="1007"/>
      <c r="BO91" s="1007"/>
      <c r="BP91" s="1007"/>
      <c r="BQ91" s="1010">
        <f t="shared" si="94"/>
        <v>0</v>
      </c>
      <c r="BR91" s="1007">
        <f t="shared" si="76"/>
        <v>0</v>
      </c>
      <c r="BS91" s="1007">
        <f t="shared" si="77"/>
        <v>0</v>
      </c>
      <c r="BT91" s="1007">
        <f t="shared" si="78"/>
        <v>0</v>
      </c>
      <c r="BU91" s="1007"/>
      <c r="BV91" s="1007">
        <f t="shared" si="79"/>
        <v>0</v>
      </c>
      <c r="BW91" s="1007"/>
      <c r="BX91" s="1007">
        <f t="shared" si="80"/>
        <v>0</v>
      </c>
      <c r="BY91" s="1007">
        <f t="shared" si="80"/>
        <v>0</v>
      </c>
      <c r="BZ91" s="1007"/>
      <c r="CA91" s="1007">
        <f t="shared" si="92"/>
        <v>0</v>
      </c>
      <c r="CB91" s="1007">
        <f t="shared" si="92"/>
        <v>0</v>
      </c>
      <c r="CC91" s="1007"/>
      <c r="CD91" s="1007">
        <f t="shared" si="93"/>
        <v>0</v>
      </c>
      <c r="CE91" s="1007">
        <f t="shared" si="93"/>
        <v>0</v>
      </c>
      <c r="CF91" s="1007">
        <f t="shared" si="93"/>
        <v>0</v>
      </c>
      <c r="CG91" s="1007">
        <f t="shared" si="93"/>
        <v>0</v>
      </c>
      <c r="CH91" s="1007">
        <f t="shared" si="93"/>
        <v>0</v>
      </c>
      <c r="CI91" s="1007">
        <f t="shared" si="93"/>
        <v>0</v>
      </c>
      <c r="CJ91" s="1007"/>
      <c r="CK91" s="1007"/>
      <c r="CL91" s="1007">
        <f t="shared" si="82"/>
        <v>0</v>
      </c>
      <c r="CM91" s="1010">
        <f t="shared" si="83"/>
        <v>1</v>
      </c>
      <c r="CN91" s="1007">
        <f t="shared" si="84"/>
        <v>20000000</v>
      </c>
      <c r="CO91" s="1007"/>
      <c r="CP91" s="1007"/>
      <c r="CQ91" s="1007"/>
      <c r="CR91" s="1007"/>
      <c r="CS91" s="1007"/>
      <c r="CT91" s="1007"/>
      <c r="CU91" s="1007">
        <f>+'[11]MARZO 2015'!$O$1463</f>
        <v>20000000</v>
      </c>
      <c r="CV91" s="1007"/>
      <c r="CW91" s="1007"/>
      <c r="CX91" s="1007"/>
      <c r="CY91" s="1007"/>
      <c r="CZ91" s="1007"/>
      <c r="DA91" s="1007"/>
      <c r="DB91" s="1007"/>
      <c r="DC91" s="1007"/>
      <c r="DD91" s="1007"/>
      <c r="DE91" s="1007"/>
      <c r="DF91" s="1007"/>
      <c r="DG91" s="1007"/>
      <c r="DH91" s="1007"/>
      <c r="DI91" s="1011">
        <f t="shared" si="70"/>
        <v>0</v>
      </c>
      <c r="DJ91" s="1007">
        <f t="shared" si="85"/>
        <v>0</v>
      </c>
      <c r="DK91" s="1007"/>
      <c r="DL91" s="1007"/>
      <c r="DM91" s="1007"/>
      <c r="DN91" s="1007">
        <f t="shared" si="86"/>
        <v>0</v>
      </c>
      <c r="DO91" s="1007"/>
      <c r="DP91" s="1007">
        <f t="shared" si="87"/>
        <v>0</v>
      </c>
      <c r="DQ91" s="1007">
        <f t="shared" si="87"/>
        <v>0</v>
      </c>
      <c r="DR91" s="1007"/>
      <c r="DS91" s="1007">
        <f t="shared" si="88"/>
        <v>0</v>
      </c>
      <c r="DT91" s="1007">
        <f t="shared" si="88"/>
        <v>0</v>
      </c>
      <c r="DU91" s="1007"/>
      <c r="DV91" s="1007">
        <f t="shared" si="89"/>
        <v>0</v>
      </c>
      <c r="DW91" s="1007">
        <f t="shared" si="89"/>
        <v>0</v>
      </c>
      <c r="DX91" s="1007">
        <f t="shared" si="89"/>
        <v>0</v>
      </c>
      <c r="DY91" s="1007">
        <f t="shared" si="90"/>
        <v>0</v>
      </c>
      <c r="DZ91" s="1007">
        <f t="shared" si="90"/>
        <v>0</v>
      </c>
      <c r="EA91" s="1007">
        <f t="shared" si="90"/>
        <v>0</v>
      </c>
      <c r="EB91" s="1007">
        <f t="shared" si="90"/>
        <v>0</v>
      </c>
      <c r="EC91" s="1007"/>
      <c r="ED91" s="1007">
        <f t="shared" si="91"/>
        <v>0</v>
      </c>
    </row>
    <row r="92" spans="1:134" ht="30.75" hidden="1" customHeight="1" x14ac:dyDescent="0.3">
      <c r="A92" s="1578"/>
      <c r="B92" s="1028"/>
      <c r="C92" s="1114" t="s">
        <v>4429</v>
      </c>
      <c r="D92" s="1018" t="s">
        <v>4621</v>
      </c>
      <c r="E92" s="1019">
        <v>520</v>
      </c>
      <c r="F92" s="1117" t="s">
        <v>3350</v>
      </c>
      <c r="G92" s="1430"/>
      <c r="H92" s="1060">
        <f t="shared" si="71"/>
        <v>13269163</v>
      </c>
      <c r="I92" s="1060">
        <f t="shared" si="72"/>
        <v>26730837</v>
      </c>
      <c r="J92" s="1430"/>
      <c r="K92" s="1258"/>
      <c r="L92" s="1258"/>
      <c r="M92" s="1113">
        <v>0</v>
      </c>
      <c r="N92" s="1113">
        <v>0</v>
      </c>
      <c r="O92" s="1113">
        <v>0</v>
      </c>
      <c r="P92" s="1113">
        <v>22</v>
      </c>
      <c r="Q92" s="1113">
        <v>0</v>
      </c>
      <c r="R92" s="1113">
        <v>0</v>
      </c>
      <c r="S92" s="1117"/>
      <c r="T92" s="1117"/>
      <c r="U92" s="1117"/>
      <c r="V92" s="1117"/>
      <c r="W92" s="1117"/>
      <c r="X92" s="1117"/>
      <c r="Y92" s="1007">
        <f t="shared" si="73"/>
        <v>40000000</v>
      </c>
      <c r="Z92" s="944"/>
      <c r="AA92" s="944"/>
      <c r="AB92" s="944"/>
      <c r="AC92" s="1007">
        <v>10000000</v>
      </c>
      <c r="AD92" s="1007"/>
      <c r="AE92" s="1007">
        <v>30000000</v>
      </c>
      <c r="AF92" s="1007">
        <f>10000000-10000000</f>
        <v>0</v>
      </c>
      <c r="AG92" s="1007"/>
      <c r="AH92" s="1007"/>
      <c r="AI92" s="1007"/>
      <c r="AJ92" s="1007"/>
      <c r="AK92" s="1007"/>
      <c r="AL92" s="1007"/>
      <c r="AM92" s="1007"/>
      <c r="AN92" s="1007"/>
      <c r="AO92" s="1007"/>
      <c r="AP92" s="1007"/>
      <c r="AQ92" s="1007"/>
      <c r="AR92" s="1007"/>
      <c r="AS92" s="1007"/>
      <c r="AT92" s="203"/>
      <c r="AU92" s="1010">
        <f t="shared" si="74"/>
        <v>1</v>
      </c>
      <c r="AV92" s="1007">
        <f t="shared" si="75"/>
        <v>40000000</v>
      </c>
      <c r="AW92" s="1007"/>
      <c r="AX92" s="1007"/>
      <c r="AY92" s="1007"/>
      <c r="AZ92" s="1007">
        <f>+'[9]ABRIL 2015'!$L$1744</f>
        <v>10000000</v>
      </c>
      <c r="BA92" s="1007"/>
      <c r="BB92" s="1007">
        <f>+'[15]FEBRERO 2015'!$N$1187</f>
        <v>30000000</v>
      </c>
      <c r="BC92" s="1007"/>
      <c r="BD92" s="1007"/>
      <c r="BE92" s="1007"/>
      <c r="BF92" s="1007"/>
      <c r="BG92" s="1007"/>
      <c r="BH92" s="1007"/>
      <c r="BI92" s="1007"/>
      <c r="BJ92" s="1007"/>
      <c r="BK92" s="1007"/>
      <c r="BL92" s="1007"/>
      <c r="BM92" s="1007"/>
      <c r="BN92" s="1007"/>
      <c r="BO92" s="1007"/>
      <c r="BP92" s="1007"/>
      <c r="BQ92" s="1010">
        <f t="shared" si="94"/>
        <v>0</v>
      </c>
      <c r="BR92" s="1007">
        <f t="shared" si="76"/>
        <v>0</v>
      </c>
      <c r="BS92" s="1007">
        <f t="shared" si="77"/>
        <v>0</v>
      </c>
      <c r="BT92" s="1007">
        <f t="shared" si="78"/>
        <v>0</v>
      </c>
      <c r="BU92" s="1007"/>
      <c r="BV92" s="1007">
        <f t="shared" si="79"/>
        <v>0</v>
      </c>
      <c r="BW92" s="1007"/>
      <c r="BX92" s="1007">
        <f t="shared" si="80"/>
        <v>0</v>
      </c>
      <c r="BY92" s="1007">
        <f t="shared" si="80"/>
        <v>0</v>
      </c>
      <c r="BZ92" s="1007"/>
      <c r="CA92" s="1007">
        <f t="shared" si="92"/>
        <v>0</v>
      </c>
      <c r="CB92" s="1007">
        <f t="shared" si="92"/>
        <v>0</v>
      </c>
      <c r="CC92" s="1007"/>
      <c r="CD92" s="1007">
        <f t="shared" si="93"/>
        <v>0</v>
      </c>
      <c r="CE92" s="1007">
        <f t="shared" si="93"/>
        <v>0</v>
      </c>
      <c r="CF92" s="1007">
        <f t="shared" si="93"/>
        <v>0</v>
      </c>
      <c r="CG92" s="1007">
        <f t="shared" si="93"/>
        <v>0</v>
      </c>
      <c r="CH92" s="1007">
        <f t="shared" si="93"/>
        <v>0</v>
      </c>
      <c r="CI92" s="1007">
        <f t="shared" si="93"/>
        <v>0</v>
      </c>
      <c r="CJ92" s="1007"/>
      <c r="CK92" s="1007"/>
      <c r="CL92" s="1007">
        <f t="shared" si="82"/>
        <v>0</v>
      </c>
      <c r="CM92" s="1010">
        <f t="shared" si="83"/>
        <v>0.33172907499999998</v>
      </c>
      <c r="CN92" s="1007">
        <f t="shared" si="84"/>
        <v>13269163</v>
      </c>
      <c r="CO92" s="1007"/>
      <c r="CP92" s="1007"/>
      <c r="CQ92" s="1007"/>
      <c r="CR92" s="1007"/>
      <c r="CS92" s="1007"/>
      <c r="CT92" s="1007">
        <f>+'[8]SEPTIEMBRE 2015'!$H$3661</f>
        <v>13269163</v>
      </c>
      <c r="CU92" s="1007"/>
      <c r="CV92" s="1007"/>
      <c r="CW92" s="1007"/>
      <c r="CX92" s="1007"/>
      <c r="CY92" s="1007"/>
      <c r="CZ92" s="1007"/>
      <c r="DA92" s="1007"/>
      <c r="DB92" s="1007"/>
      <c r="DC92" s="1007"/>
      <c r="DD92" s="1007"/>
      <c r="DE92" s="1007"/>
      <c r="DF92" s="1007"/>
      <c r="DG92" s="1007"/>
      <c r="DH92" s="1007"/>
      <c r="DI92" s="1011">
        <f t="shared" si="70"/>
        <v>0.66827092500000007</v>
      </c>
      <c r="DJ92" s="1007">
        <f t="shared" si="85"/>
        <v>26730837</v>
      </c>
      <c r="DK92" s="1007"/>
      <c r="DL92" s="1007"/>
      <c r="DM92" s="1007"/>
      <c r="DN92" s="1007">
        <f t="shared" si="86"/>
        <v>10000000</v>
      </c>
      <c r="DO92" s="1007"/>
      <c r="DP92" s="1007">
        <f t="shared" si="87"/>
        <v>16730837</v>
      </c>
      <c r="DQ92" s="1007">
        <f t="shared" si="87"/>
        <v>0</v>
      </c>
      <c r="DR92" s="1007"/>
      <c r="DS92" s="1007">
        <f t="shared" si="88"/>
        <v>0</v>
      </c>
      <c r="DT92" s="1007">
        <f t="shared" si="88"/>
        <v>0</v>
      </c>
      <c r="DU92" s="1007"/>
      <c r="DV92" s="1007">
        <f t="shared" si="89"/>
        <v>0</v>
      </c>
      <c r="DW92" s="1007">
        <f t="shared" si="89"/>
        <v>0</v>
      </c>
      <c r="DX92" s="1007">
        <f t="shared" si="89"/>
        <v>0</v>
      </c>
      <c r="DY92" s="1007">
        <f t="shared" si="90"/>
        <v>0</v>
      </c>
      <c r="DZ92" s="1007">
        <f t="shared" si="90"/>
        <v>0</v>
      </c>
      <c r="EA92" s="1007">
        <f t="shared" si="90"/>
        <v>0</v>
      </c>
      <c r="EB92" s="1007">
        <f t="shared" si="90"/>
        <v>0</v>
      </c>
      <c r="EC92" s="1007"/>
      <c r="ED92" s="1007">
        <f t="shared" si="91"/>
        <v>0</v>
      </c>
    </row>
    <row r="93" spans="1:134" ht="61.5" hidden="1" customHeight="1" x14ac:dyDescent="0.3">
      <c r="A93" s="1578"/>
      <c r="B93" s="1018" t="s">
        <v>4361</v>
      </c>
      <c r="C93" s="1114" t="s">
        <v>4430</v>
      </c>
      <c r="D93" s="1018" t="s">
        <v>4622</v>
      </c>
      <c r="E93" s="1019">
        <v>520</v>
      </c>
      <c r="F93" s="1117" t="s">
        <v>3350</v>
      </c>
      <c r="G93" s="1428">
        <v>20000000</v>
      </c>
      <c r="H93" s="1060">
        <f t="shared" si="71"/>
        <v>7792400</v>
      </c>
      <c r="I93" s="1060">
        <f t="shared" si="72"/>
        <v>2207600</v>
      </c>
      <c r="J93" s="1117" t="s">
        <v>4885</v>
      </c>
      <c r="K93" s="1113" t="s">
        <v>4886</v>
      </c>
      <c r="L93" s="1113" t="s">
        <v>4826</v>
      </c>
      <c r="M93" s="1113">
        <v>0</v>
      </c>
      <c r="N93" s="1113">
        <v>0</v>
      </c>
      <c r="O93" s="1113">
        <v>0</v>
      </c>
      <c r="P93" s="1113">
        <v>0</v>
      </c>
      <c r="Q93" s="1113">
        <v>0</v>
      </c>
      <c r="R93" s="1113">
        <v>0</v>
      </c>
      <c r="S93" s="1117"/>
      <c r="T93" s="1117"/>
      <c r="U93" s="1117"/>
      <c r="V93" s="1117"/>
      <c r="W93" s="1117"/>
      <c r="X93" s="1117"/>
      <c r="Y93" s="1007">
        <f t="shared" si="73"/>
        <v>10000000</v>
      </c>
      <c r="Z93" s="944"/>
      <c r="AA93" s="944"/>
      <c r="AB93" s="944"/>
      <c r="AC93" s="1007"/>
      <c r="AD93" s="1007"/>
      <c r="AE93" s="1007">
        <v>10000000</v>
      </c>
      <c r="AF93" s="1007"/>
      <c r="AG93" s="1007"/>
      <c r="AH93" s="1007"/>
      <c r="AI93" s="1007"/>
      <c r="AJ93" s="1007"/>
      <c r="AK93" s="1007"/>
      <c r="AL93" s="1007"/>
      <c r="AM93" s="1007"/>
      <c r="AN93" s="1007"/>
      <c r="AO93" s="1007"/>
      <c r="AP93" s="1007"/>
      <c r="AQ93" s="1007"/>
      <c r="AR93" s="1007"/>
      <c r="AS93" s="1007"/>
      <c r="AT93" s="203"/>
      <c r="AU93" s="1010">
        <f t="shared" si="74"/>
        <v>1</v>
      </c>
      <c r="AV93" s="1007">
        <f t="shared" si="75"/>
        <v>10000000</v>
      </c>
      <c r="AW93" s="1007"/>
      <c r="AX93" s="1007"/>
      <c r="AY93" s="1007"/>
      <c r="AZ93" s="1007"/>
      <c r="BA93" s="1007"/>
      <c r="BB93" s="1007">
        <f>+'[15]FEBRERO 2015'!$G$1192</f>
        <v>10000000</v>
      </c>
      <c r="BC93" s="1007"/>
      <c r="BD93" s="1007"/>
      <c r="BE93" s="1007"/>
      <c r="BF93" s="1007"/>
      <c r="BG93" s="1007"/>
      <c r="BH93" s="1007"/>
      <c r="BI93" s="1007"/>
      <c r="BJ93" s="1007"/>
      <c r="BK93" s="1007"/>
      <c r="BL93" s="1007"/>
      <c r="BM93" s="1007"/>
      <c r="BN93" s="1007"/>
      <c r="BO93" s="1007"/>
      <c r="BP93" s="1007"/>
      <c r="BQ93" s="1010">
        <f t="shared" si="94"/>
        <v>0</v>
      </c>
      <c r="BR93" s="1007">
        <f t="shared" si="76"/>
        <v>0</v>
      </c>
      <c r="BS93" s="1007">
        <f t="shared" si="77"/>
        <v>0</v>
      </c>
      <c r="BT93" s="1007">
        <f t="shared" si="78"/>
        <v>0</v>
      </c>
      <c r="BU93" s="1007"/>
      <c r="BV93" s="1007">
        <f t="shared" si="79"/>
        <v>0</v>
      </c>
      <c r="BW93" s="1007"/>
      <c r="BX93" s="1007">
        <f t="shared" si="80"/>
        <v>0</v>
      </c>
      <c r="BY93" s="1007">
        <f t="shared" si="80"/>
        <v>0</v>
      </c>
      <c r="BZ93" s="1007"/>
      <c r="CA93" s="1007">
        <f t="shared" si="92"/>
        <v>0</v>
      </c>
      <c r="CB93" s="1007">
        <f t="shared" si="92"/>
        <v>0</v>
      </c>
      <c r="CC93" s="1007"/>
      <c r="CD93" s="1007">
        <f t="shared" si="93"/>
        <v>0</v>
      </c>
      <c r="CE93" s="1007">
        <f t="shared" si="93"/>
        <v>0</v>
      </c>
      <c r="CF93" s="1007">
        <f t="shared" si="93"/>
        <v>0</v>
      </c>
      <c r="CG93" s="1007">
        <f t="shared" si="93"/>
        <v>0</v>
      </c>
      <c r="CH93" s="1007">
        <f t="shared" si="93"/>
        <v>0</v>
      </c>
      <c r="CI93" s="1007">
        <f t="shared" si="93"/>
        <v>0</v>
      </c>
      <c r="CJ93" s="1007"/>
      <c r="CK93" s="1007"/>
      <c r="CL93" s="1007">
        <f t="shared" si="82"/>
        <v>0</v>
      </c>
      <c r="CM93" s="1010">
        <f t="shared" si="83"/>
        <v>0.77924000000000004</v>
      </c>
      <c r="CN93" s="1007">
        <f t="shared" si="84"/>
        <v>7792400</v>
      </c>
      <c r="CO93" s="1007"/>
      <c r="CP93" s="1007"/>
      <c r="CQ93" s="1007"/>
      <c r="CR93" s="1007"/>
      <c r="CS93" s="1007"/>
      <c r="CT93" s="1007">
        <f>+'[10]JULIO 2015'!$H$2656</f>
        <v>7792400</v>
      </c>
      <c r="CU93" s="1007"/>
      <c r="CV93" s="1007"/>
      <c r="CW93" s="1007"/>
      <c r="CX93" s="1007"/>
      <c r="CY93" s="1007"/>
      <c r="CZ93" s="1007"/>
      <c r="DA93" s="1007"/>
      <c r="DB93" s="1007"/>
      <c r="DC93" s="1007"/>
      <c r="DD93" s="1007"/>
      <c r="DE93" s="1007"/>
      <c r="DF93" s="1007"/>
      <c r="DG93" s="1007"/>
      <c r="DH93" s="1007"/>
      <c r="DI93" s="1011">
        <f t="shared" si="70"/>
        <v>0.22075999999999996</v>
      </c>
      <c r="DJ93" s="1007">
        <f t="shared" si="85"/>
        <v>2207600</v>
      </c>
      <c r="DK93" s="1007"/>
      <c r="DL93" s="1007"/>
      <c r="DM93" s="1007"/>
      <c r="DN93" s="1007">
        <f t="shared" si="86"/>
        <v>0</v>
      </c>
      <c r="DO93" s="1007"/>
      <c r="DP93" s="1007">
        <f t="shared" si="87"/>
        <v>2207600</v>
      </c>
      <c r="DQ93" s="1007">
        <f t="shared" si="87"/>
        <v>0</v>
      </c>
      <c r="DR93" s="1007"/>
      <c r="DS93" s="1007">
        <f t="shared" si="88"/>
        <v>0</v>
      </c>
      <c r="DT93" s="1007">
        <f t="shared" si="88"/>
        <v>0</v>
      </c>
      <c r="DU93" s="1007"/>
      <c r="DV93" s="1007">
        <f t="shared" si="89"/>
        <v>0</v>
      </c>
      <c r="DW93" s="1007">
        <f t="shared" si="89"/>
        <v>0</v>
      </c>
      <c r="DX93" s="1007">
        <f t="shared" si="89"/>
        <v>0</v>
      </c>
      <c r="DY93" s="1007">
        <f t="shared" si="90"/>
        <v>0</v>
      </c>
      <c r="DZ93" s="1007">
        <f t="shared" si="90"/>
        <v>0</v>
      </c>
      <c r="EA93" s="1007">
        <f t="shared" si="90"/>
        <v>0</v>
      </c>
      <c r="EB93" s="1007">
        <f t="shared" si="90"/>
        <v>0</v>
      </c>
      <c r="EC93" s="1007"/>
      <c r="ED93" s="1007">
        <f t="shared" si="91"/>
        <v>0</v>
      </c>
    </row>
    <row r="94" spans="1:134" ht="29.25" hidden="1" customHeight="1" x14ac:dyDescent="0.3">
      <c r="A94" s="1578"/>
      <c r="B94" s="1018"/>
      <c r="C94" s="1114" t="s">
        <v>4431</v>
      </c>
      <c r="D94" s="1018" t="s">
        <v>4623</v>
      </c>
      <c r="E94" s="1019">
        <v>520</v>
      </c>
      <c r="F94" s="1117" t="s">
        <v>3350</v>
      </c>
      <c r="G94" s="1430"/>
      <c r="H94" s="1060">
        <f t="shared" si="71"/>
        <v>0</v>
      </c>
      <c r="I94" s="1060">
        <f t="shared" si="72"/>
        <v>10000000</v>
      </c>
      <c r="J94" s="1117" t="s">
        <v>4885</v>
      </c>
      <c r="K94" s="1113" t="s">
        <v>4826</v>
      </c>
      <c r="L94" s="1113" t="s">
        <v>4826</v>
      </c>
      <c r="M94" s="1113">
        <v>0</v>
      </c>
      <c r="N94" s="1113">
        <v>0</v>
      </c>
      <c r="O94" s="1113">
        <v>0</v>
      </c>
      <c r="P94" s="1113">
        <v>0</v>
      </c>
      <c r="Q94" s="1113">
        <v>0</v>
      </c>
      <c r="R94" s="1113">
        <v>0</v>
      </c>
      <c r="S94" s="1117"/>
      <c r="T94" s="1117"/>
      <c r="U94" s="1117"/>
      <c r="V94" s="1117"/>
      <c r="W94" s="1117"/>
      <c r="X94" s="1117"/>
      <c r="Y94" s="1007">
        <f t="shared" si="73"/>
        <v>10000000</v>
      </c>
      <c r="Z94" s="944"/>
      <c r="AA94" s="944"/>
      <c r="AB94" s="944"/>
      <c r="AC94" s="944"/>
      <c r="AD94" s="944"/>
      <c r="AE94" s="1007">
        <v>10000000</v>
      </c>
      <c r="AF94" s="944"/>
      <c r="AG94" s="944"/>
      <c r="AH94" s="944"/>
      <c r="AI94" s="944"/>
      <c r="AJ94" s="944"/>
      <c r="AK94" s="149"/>
      <c r="AL94" s="944"/>
      <c r="AM94" s="944"/>
      <c r="AN94" s="944"/>
      <c r="AO94" s="944"/>
      <c r="AP94" s="944"/>
      <c r="AQ94" s="944"/>
      <c r="AR94" s="944"/>
      <c r="AS94" s="985"/>
      <c r="AT94" s="203"/>
      <c r="AU94" s="1010">
        <f t="shared" si="74"/>
        <v>1</v>
      </c>
      <c r="AV94" s="1007">
        <f t="shared" si="75"/>
        <v>10000000</v>
      </c>
      <c r="AW94" s="1007"/>
      <c r="AX94" s="1007"/>
      <c r="AY94" s="1007"/>
      <c r="AZ94" s="1007"/>
      <c r="BA94" s="1007"/>
      <c r="BB94" s="1007">
        <f>+'[15]FEBRERO 2015'!$N$1199</f>
        <v>10000000</v>
      </c>
      <c r="BC94" s="1007"/>
      <c r="BD94" s="1007"/>
      <c r="BE94" s="1007"/>
      <c r="BF94" s="1007"/>
      <c r="BG94" s="1007"/>
      <c r="BH94" s="1007"/>
      <c r="BI94" s="1007"/>
      <c r="BJ94" s="1007"/>
      <c r="BK94" s="1007"/>
      <c r="BL94" s="1007"/>
      <c r="BM94" s="1007"/>
      <c r="BN94" s="1007"/>
      <c r="BO94" s="1007"/>
      <c r="BP94" s="1007"/>
      <c r="BQ94" s="1010">
        <f t="shared" si="94"/>
        <v>0</v>
      </c>
      <c r="BR94" s="1007">
        <f t="shared" si="76"/>
        <v>0</v>
      </c>
      <c r="BS94" s="1007">
        <f t="shared" si="77"/>
        <v>0</v>
      </c>
      <c r="BT94" s="1007">
        <f t="shared" si="78"/>
        <v>0</v>
      </c>
      <c r="BU94" s="1007"/>
      <c r="BV94" s="1007">
        <f t="shared" si="79"/>
        <v>0</v>
      </c>
      <c r="BW94" s="1007"/>
      <c r="BX94" s="1007">
        <f t="shared" si="80"/>
        <v>0</v>
      </c>
      <c r="BY94" s="1007">
        <f t="shared" si="80"/>
        <v>0</v>
      </c>
      <c r="BZ94" s="1007"/>
      <c r="CA94" s="1007">
        <f t="shared" si="92"/>
        <v>0</v>
      </c>
      <c r="CB94" s="1007">
        <f t="shared" si="92"/>
        <v>0</v>
      </c>
      <c r="CC94" s="1007"/>
      <c r="CD94" s="1007">
        <f t="shared" si="93"/>
        <v>0</v>
      </c>
      <c r="CE94" s="1007">
        <f t="shared" si="93"/>
        <v>0</v>
      </c>
      <c r="CF94" s="1007">
        <f t="shared" si="93"/>
        <v>0</v>
      </c>
      <c r="CG94" s="1007">
        <f t="shared" si="93"/>
        <v>0</v>
      </c>
      <c r="CH94" s="1007">
        <f t="shared" si="93"/>
        <v>0</v>
      </c>
      <c r="CI94" s="1007">
        <f t="shared" si="93"/>
        <v>0</v>
      </c>
      <c r="CJ94" s="1007"/>
      <c r="CK94" s="1007"/>
      <c r="CL94" s="1007">
        <f t="shared" si="82"/>
        <v>0</v>
      </c>
      <c r="CM94" s="1010">
        <f t="shared" si="83"/>
        <v>0</v>
      </c>
      <c r="CN94" s="1007">
        <f t="shared" si="84"/>
        <v>0</v>
      </c>
      <c r="CO94" s="1007"/>
      <c r="CP94" s="1007"/>
      <c r="CQ94" s="1007"/>
      <c r="CR94" s="1007"/>
      <c r="CS94" s="1007"/>
      <c r="CT94" s="1007"/>
      <c r="CU94" s="1007"/>
      <c r="CV94" s="1007"/>
      <c r="CW94" s="1007"/>
      <c r="CX94" s="1007"/>
      <c r="CY94" s="1007"/>
      <c r="CZ94" s="1007"/>
      <c r="DA94" s="1007"/>
      <c r="DB94" s="1007"/>
      <c r="DC94" s="1007"/>
      <c r="DD94" s="1007"/>
      <c r="DE94" s="1007"/>
      <c r="DF94" s="1007"/>
      <c r="DG94" s="1007"/>
      <c r="DH94" s="1007"/>
      <c r="DI94" s="1011">
        <f t="shared" si="70"/>
        <v>1</v>
      </c>
      <c r="DJ94" s="1007">
        <f t="shared" si="85"/>
        <v>10000000</v>
      </c>
      <c r="DK94" s="1007"/>
      <c r="DL94" s="1007"/>
      <c r="DM94" s="1007"/>
      <c r="DN94" s="1007">
        <f t="shared" si="86"/>
        <v>0</v>
      </c>
      <c r="DO94" s="1007"/>
      <c r="DP94" s="1007">
        <f t="shared" si="87"/>
        <v>10000000</v>
      </c>
      <c r="DQ94" s="1007">
        <f t="shared" si="87"/>
        <v>0</v>
      </c>
      <c r="DR94" s="1007"/>
      <c r="DS94" s="1007">
        <f t="shared" si="88"/>
        <v>0</v>
      </c>
      <c r="DT94" s="1007">
        <f t="shared" si="88"/>
        <v>0</v>
      </c>
      <c r="DU94" s="1007"/>
      <c r="DV94" s="1007">
        <f t="shared" si="89"/>
        <v>0</v>
      </c>
      <c r="DW94" s="1007">
        <f t="shared" si="89"/>
        <v>0</v>
      </c>
      <c r="DX94" s="1007">
        <f t="shared" si="89"/>
        <v>0</v>
      </c>
      <c r="DY94" s="1007">
        <f t="shared" si="90"/>
        <v>0</v>
      </c>
      <c r="DZ94" s="1007">
        <f t="shared" si="90"/>
        <v>0</v>
      </c>
      <c r="EA94" s="1007">
        <f t="shared" si="90"/>
        <v>0</v>
      </c>
      <c r="EB94" s="1007">
        <f t="shared" si="90"/>
        <v>0</v>
      </c>
      <c r="EC94" s="1007"/>
      <c r="ED94" s="1007">
        <f t="shared" si="91"/>
        <v>0</v>
      </c>
    </row>
    <row r="95" spans="1:134" ht="43.5" hidden="1" customHeight="1" x14ac:dyDescent="0.3">
      <c r="A95" s="1578"/>
      <c r="B95" s="1018" t="s">
        <v>4362</v>
      </c>
      <c r="C95" s="1114" t="s">
        <v>4432</v>
      </c>
      <c r="D95" s="1018" t="s">
        <v>4624</v>
      </c>
      <c r="E95" s="1019">
        <v>520</v>
      </c>
      <c r="F95" s="1117" t="s">
        <v>3350</v>
      </c>
      <c r="G95" s="1428">
        <v>150000000</v>
      </c>
      <c r="H95" s="1060">
        <f t="shared" si="71"/>
        <v>1000000</v>
      </c>
      <c r="I95" s="1060">
        <f t="shared" si="72"/>
        <v>14000000</v>
      </c>
      <c r="J95" s="1117" t="s">
        <v>4887</v>
      </c>
      <c r="K95" s="1113" t="s">
        <v>4889</v>
      </c>
      <c r="L95" s="1113" t="s">
        <v>4892</v>
      </c>
      <c r="M95" s="1113">
        <v>0</v>
      </c>
      <c r="N95" s="1113">
        <v>0</v>
      </c>
      <c r="O95" s="1113">
        <v>0</v>
      </c>
      <c r="P95" s="1113">
        <v>0</v>
      </c>
      <c r="Q95" s="1113">
        <v>0</v>
      </c>
      <c r="R95" s="1113">
        <v>0</v>
      </c>
      <c r="S95" s="1117"/>
      <c r="T95" s="1117"/>
      <c r="U95" s="1117"/>
      <c r="V95" s="1117"/>
      <c r="W95" s="1117"/>
      <c r="X95" s="1117"/>
      <c r="Y95" s="1007">
        <f t="shared" si="73"/>
        <v>15000000</v>
      </c>
      <c r="Z95" s="944"/>
      <c r="AA95" s="944">
        <f>15000000-15000000</f>
        <v>0</v>
      </c>
      <c r="AB95" s="944"/>
      <c r="AC95" s="944"/>
      <c r="AD95" s="944"/>
      <c r="AE95" s="1016">
        <f>15000000</f>
        <v>15000000</v>
      </c>
      <c r="AF95" s="944"/>
      <c r="AG95" s="944"/>
      <c r="AH95" s="944"/>
      <c r="AI95" s="944"/>
      <c r="AJ95" s="944"/>
      <c r="AK95" s="149"/>
      <c r="AL95" s="944"/>
      <c r="AM95" s="944"/>
      <c r="AN95" s="944"/>
      <c r="AO95" s="944"/>
      <c r="AP95" s="944"/>
      <c r="AQ95" s="944"/>
      <c r="AR95" s="944"/>
      <c r="AS95" s="985"/>
      <c r="AT95" s="203"/>
      <c r="AU95" s="1010">
        <f t="shared" si="74"/>
        <v>1</v>
      </c>
      <c r="AV95" s="1007">
        <f t="shared" si="75"/>
        <v>15000000</v>
      </c>
      <c r="AW95" s="1007"/>
      <c r="AX95" s="1007"/>
      <c r="AY95" s="1007"/>
      <c r="AZ95" s="1007"/>
      <c r="BA95" s="1007"/>
      <c r="BB95" s="1007">
        <f>+'[12]FEBRERO 2015'!$N$1280</f>
        <v>15000000</v>
      </c>
      <c r="BC95" s="1007"/>
      <c r="BD95" s="1007"/>
      <c r="BE95" s="1007"/>
      <c r="BF95" s="1007"/>
      <c r="BG95" s="1007"/>
      <c r="BH95" s="1007"/>
      <c r="BI95" s="1007"/>
      <c r="BJ95" s="1007"/>
      <c r="BK95" s="1007"/>
      <c r="BL95" s="1007"/>
      <c r="BM95" s="1007"/>
      <c r="BN95" s="1007"/>
      <c r="BO95" s="1007"/>
      <c r="BP95" s="1007"/>
      <c r="BQ95" s="1010">
        <f t="shared" si="94"/>
        <v>0</v>
      </c>
      <c r="BR95" s="1007">
        <f t="shared" si="76"/>
        <v>0</v>
      </c>
      <c r="BS95" s="1007">
        <f t="shared" si="77"/>
        <v>0</v>
      </c>
      <c r="BT95" s="1007">
        <f t="shared" si="78"/>
        <v>0</v>
      </c>
      <c r="BU95" s="1007"/>
      <c r="BV95" s="1007">
        <f t="shared" si="79"/>
        <v>0</v>
      </c>
      <c r="BW95" s="1007"/>
      <c r="BX95" s="1007">
        <f t="shared" si="80"/>
        <v>0</v>
      </c>
      <c r="BY95" s="1007">
        <f t="shared" si="80"/>
        <v>0</v>
      </c>
      <c r="BZ95" s="1007"/>
      <c r="CA95" s="1007">
        <f t="shared" si="92"/>
        <v>0</v>
      </c>
      <c r="CB95" s="1007">
        <f t="shared" si="92"/>
        <v>0</v>
      </c>
      <c r="CC95" s="1007"/>
      <c r="CD95" s="1007">
        <f t="shared" si="93"/>
        <v>0</v>
      </c>
      <c r="CE95" s="1007">
        <f t="shared" si="93"/>
        <v>0</v>
      </c>
      <c r="CF95" s="1007">
        <f t="shared" si="93"/>
        <v>0</v>
      </c>
      <c r="CG95" s="1007">
        <f t="shared" si="93"/>
        <v>0</v>
      </c>
      <c r="CH95" s="1007">
        <f t="shared" si="93"/>
        <v>0</v>
      </c>
      <c r="CI95" s="1007">
        <f t="shared" si="93"/>
        <v>0</v>
      </c>
      <c r="CJ95" s="1007"/>
      <c r="CK95" s="1007"/>
      <c r="CL95" s="1007">
        <f t="shared" si="82"/>
        <v>0</v>
      </c>
      <c r="CM95" s="1010">
        <f t="shared" si="83"/>
        <v>6.6666666666666666E-2</v>
      </c>
      <c r="CN95" s="1007">
        <f t="shared" si="84"/>
        <v>1000000</v>
      </c>
      <c r="CO95" s="1007"/>
      <c r="CP95" s="1007"/>
      <c r="CQ95" s="1007"/>
      <c r="CR95" s="1007"/>
      <c r="CS95" s="1007"/>
      <c r="CT95" s="1007">
        <f>+'[8]SEPTIEMBRE 2015'!$H$3686</f>
        <v>1000000</v>
      </c>
      <c r="CU95" s="1007"/>
      <c r="CV95" s="1007"/>
      <c r="CW95" s="1007"/>
      <c r="CX95" s="1007"/>
      <c r="CY95" s="1007"/>
      <c r="CZ95" s="1007"/>
      <c r="DA95" s="1007"/>
      <c r="DB95" s="1007"/>
      <c r="DC95" s="1007"/>
      <c r="DD95" s="1007"/>
      <c r="DE95" s="1007"/>
      <c r="DF95" s="1007"/>
      <c r="DG95" s="1007"/>
      <c r="DH95" s="1007"/>
      <c r="DI95" s="1011">
        <f t="shared" si="70"/>
        <v>0.93333333333333335</v>
      </c>
      <c r="DJ95" s="1007">
        <f t="shared" si="85"/>
        <v>14000000</v>
      </c>
      <c r="DK95" s="1007"/>
      <c r="DL95" s="1007">
        <f>AA95-CP95</f>
        <v>0</v>
      </c>
      <c r="DM95" s="1007">
        <f>AB95-CQ95</f>
        <v>0</v>
      </c>
      <c r="DN95" s="1007">
        <f t="shared" si="86"/>
        <v>0</v>
      </c>
      <c r="DO95" s="1007"/>
      <c r="DP95" s="1007">
        <f t="shared" si="87"/>
        <v>14000000</v>
      </c>
      <c r="DQ95" s="1007">
        <f t="shared" si="87"/>
        <v>0</v>
      </c>
      <c r="DR95" s="1007"/>
      <c r="DS95" s="1007">
        <f t="shared" si="88"/>
        <v>0</v>
      </c>
      <c r="DT95" s="1007">
        <f t="shared" si="88"/>
        <v>0</v>
      </c>
      <c r="DU95" s="1007"/>
      <c r="DV95" s="1007">
        <f t="shared" si="89"/>
        <v>0</v>
      </c>
      <c r="DW95" s="1007">
        <f t="shared" si="89"/>
        <v>0</v>
      </c>
      <c r="DX95" s="1007">
        <f t="shared" si="89"/>
        <v>0</v>
      </c>
      <c r="DY95" s="1007">
        <f t="shared" si="90"/>
        <v>0</v>
      </c>
      <c r="DZ95" s="1007">
        <f t="shared" si="90"/>
        <v>0</v>
      </c>
      <c r="EA95" s="1007">
        <f t="shared" si="90"/>
        <v>0</v>
      </c>
      <c r="EB95" s="1007">
        <f t="shared" si="90"/>
        <v>0</v>
      </c>
      <c r="EC95" s="1007"/>
      <c r="ED95" s="1007">
        <f t="shared" si="91"/>
        <v>0</v>
      </c>
    </row>
    <row r="96" spans="1:134" ht="48" hidden="1" customHeight="1" x14ac:dyDescent="0.3">
      <c r="A96" s="1578"/>
      <c r="B96" s="1018"/>
      <c r="C96" s="1114" t="s">
        <v>4433</v>
      </c>
      <c r="D96" s="1018" t="s">
        <v>4625</v>
      </c>
      <c r="E96" s="1019">
        <v>520</v>
      </c>
      <c r="F96" s="1117" t="s">
        <v>3350</v>
      </c>
      <c r="G96" s="1429"/>
      <c r="H96" s="1060">
        <f t="shared" si="71"/>
        <v>21818596</v>
      </c>
      <c r="I96" s="1060">
        <f t="shared" si="72"/>
        <v>8181404</v>
      </c>
      <c r="J96" s="1117" t="s">
        <v>4888</v>
      </c>
      <c r="K96" s="1113" t="s">
        <v>4890</v>
      </c>
      <c r="L96" s="1113" t="s">
        <v>4893</v>
      </c>
      <c r="M96" s="1113">
        <v>0</v>
      </c>
      <c r="N96" s="1113">
        <v>0</v>
      </c>
      <c r="O96" s="1113">
        <v>0</v>
      </c>
      <c r="P96" s="1113">
        <v>45</v>
      </c>
      <c r="Q96" s="1113">
        <v>0</v>
      </c>
      <c r="R96" s="1113">
        <v>0</v>
      </c>
      <c r="S96" s="1117"/>
      <c r="T96" s="1117"/>
      <c r="U96" s="1117"/>
      <c r="V96" s="1117"/>
      <c r="W96" s="1117"/>
      <c r="X96" s="1117"/>
      <c r="Y96" s="1007">
        <f t="shared" si="73"/>
        <v>30000000</v>
      </c>
      <c r="Z96" s="944"/>
      <c r="AA96" s="944">
        <f>30000000-30000000</f>
        <v>0</v>
      </c>
      <c r="AB96" s="944"/>
      <c r="AC96" s="944"/>
      <c r="AD96" s="944"/>
      <c r="AE96" s="1016">
        <v>30000000</v>
      </c>
      <c r="AF96" s="944"/>
      <c r="AG96" s="944"/>
      <c r="AH96" s="944"/>
      <c r="AI96" s="944"/>
      <c r="AJ96" s="944"/>
      <c r="AK96" s="149"/>
      <c r="AL96" s="944"/>
      <c r="AM96" s="944"/>
      <c r="AN96" s="944"/>
      <c r="AO96" s="944"/>
      <c r="AP96" s="944"/>
      <c r="AQ96" s="944"/>
      <c r="AR96" s="944"/>
      <c r="AS96" s="985"/>
      <c r="AT96" s="203"/>
      <c r="AU96" s="1010">
        <f t="shared" si="74"/>
        <v>1</v>
      </c>
      <c r="AV96" s="1007">
        <f t="shared" si="75"/>
        <v>30000000</v>
      </c>
      <c r="AW96" s="1007"/>
      <c r="AX96" s="1007"/>
      <c r="AY96" s="1007"/>
      <c r="AZ96" s="1007"/>
      <c r="BA96" s="1007"/>
      <c r="BB96" s="1007">
        <f>+'[12]FEBRERO 2015'!$N$1285</f>
        <v>30000000</v>
      </c>
      <c r="BC96" s="1007"/>
      <c r="BD96" s="1007"/>
      <c r="BE96" s="1007"/>
      <c r="BF96" s="1007"/>
      <c r="BG96" s="1007"/>
      <c r="BH96" s="1007"/>
      <c r="BI96" s="1007"/>
      <c r="BJ96" s="1007"/>
      <c r="BK96" s="1007"/>
      <c r="BL96" s="1007"/>
      <c r="BM96" s="1007"/>
      <c r="BN96" s="1007"/>
      <c r="BO96" s="1007"/>
      <c r="BP96" s="1007"/>
      <c r="BQ96" s="1010">
        <f t="shared" si="94"/>
        <v>0</v>
      </c>
      <c r="BR96" s="1007">
        <f t="shared" si="76"/>
        <v>0</v>
      </c>
      <c r="BS96" s="1007">
        <f t="shared" si="77"/>
        <v>0</v>
      </c>
      <c r="BT96" s="1007">
        <f t="shared" si="78"/>
        <v>0</v>
      </c>
      <c r="BU96" s="1007"/>
      <c r="BV96" s="1007">
        <f t="shared" si="79"/>
        <v>0</v>
      </c>
      <c r="BW96" s="1007"/>
      <c r="BX96" s="1007">
        <f t="shared" si="80"/>
        <v>0</v>
      </c>
      <c r="BY96" s="1007">
        <f t="shared" si="80"/>
        <v>0</v>
      </c>
      <c r="BZ96" s="1007"/>
      <c r="CA96" s="1007">
        <f t="shared" si="92"/>
        <v>0</v>
      </c>
      <c r="CB96" s="1007">
        <f t="shared" si="92"/>
        <v>0</v>
      </c>
      <c r="CC96" s="1007"/>
      <c r="CD96" s="1007">
        <f t="shared" si="93"/>
        <v>0</v>
      </c>
      <c r="CE96" s="1007">
        <f t="shared" si="93"/>
        <v>0</v>
      </c>
      <c r="CF96" s="1007">
        <f t="shared" si="93"/>
        <v>0</v>
      </c>
      <c r="CG96" s="1007">
        <f t="shared" si="93"/>
        <v>0</v>
      </c>
      <c r="CH96" s="1007">
        <f t="shared" si="93"/>
        <v>0</v>
      </c>
      <c r="CI96" s="1007">
        <f t="shared" si="93"/>
        <v>0</v>
      </c>
      <c r="CJ96" s="1007"/>
      <c r="CK96" s="1007"/>
      <c r="CL96" s="1007">
        <f t="shared" si="82"/>
        <v>0</v>
      </c>
      <c r="CM96" s="1010">
        <f t="shared" si="83"/>
        <v>0.72728653333333337</v>
      </c>
      <c r="CN96" s="1007">
        <f t="shared" si="84"/>
        <v>21818596</v>
      </c>
      <c r="CO96" s="1007"/>
      <c r="CP96" s="1007"/>
      <c r="CQ96" s="1007"/>
      <c r="CR96" s="1007"/>
      <c r="CS96" s="1007"/>
      <c r="CT96" s="1007">
        <f>+'[8]SEPTIEMBRE 2015'!$H$3692</f>
        <v>21818596</v>
      </c>
      <c r="CU96" s="1007"/>
      <c r="CV96" s="1007"/>
      <c r="CW96" s="1007"/>
      <c r="CX96" s="1007"/>
      <c r="CY96" s="1007"/>
      <c r="CZ96" s="1007"/>
      <c r="DA96" s="1007"/>
      <c r="DB96" s="1007"/>
      <c r="DC96" s="1007"/>
      <c r="DD96" s="1007"/>
      <c r="DE96" s="1007"/>
      <c r="DF96" s="1007"/>
      <c r="DG96" s="1007"/>
      <c r="DH96" s="1007"/>
      <c r="DI96" s="1011">
        <f t="shared" si="70"/>
        <v>0.27271346666666663</v>
      </c>
      <c r="DJ96" s="1007">
        <f t="shared" si="85"/>
        <v>8181404</v>
      </c>
      <c r="DK96" s="1007"/>
      <c r="DL96" s="1007">
        <f>AA96-CP96</f>
        <v>0</v>
      </c>
      <c r="DM96" s="1007">
        <f>AB96-CQ96</f>
        <v>0</v>
      </c>
      <c r="DN96" s="1007">
        <f t="shared" si="86"/>
        <v>0</v>
      </c>
      <c r="DO96" s="1007"/>
      <c r="DP96" s="1007">
        <f t="shared" si="87"/>
        <v>8181404</v>
      </c>
      <c r="DQ96" s="1007">
        <f t="shared" si="87"/>
        <v>0</v>
      </c>
      <c r="DR96" s="1007"/>
      <c r="DS96" s="1007">
        <f t="shared" si="88"/>
        <v>0</v>
      </c>
      <c r="DT96" s="1007">
        <f t="shared" si="88"/>
        <v>0</v>
      </c>
      <c r="DU96" s="1007"/>
      <c r="DV96" s="1007">
        <f t="shared" si="89"/>
        <v>0</v>
      </c>
      <c r="DW96" s="1007">
        <f t="shared" si="89"/>
        <v>0</v>
      </c>
      <c r="DX96" s="1007">
        <f t="shared" si="89"/>
        <v>0</v>
      </c>
      <c r="DY96" s="1007">
        <f t="shared" si="90"/>
        <v>0</v>
      </c>
      <c r="DZ96" s="1007">
        <f t="shared" si="90"/>
        <v>0</v>
      </c>
      <c r="EA96" s="1007">
        <f t="shared" si="90"/>
        <v>0</v>
      </c>
      <c r="EB96" s="1007">
        <f t="shared" si="90"/>
        <v>0</v>
      </c>
      <c r="EC96" s="1007"/>
      <c r="ED96" s="1007">
        <f t="shared" si="91"/>
        <v>0</v>
      </c>
    </row>
    <row r="97" spans="1:134" ht="34.5" hidden="1" customHeight="1" x14ac:dyDescent="0.3">
      <c r="A97" s="1578"/>
      <c r="B97" s="1018"/>
      <c r="C97" s="1114" t="s">
        <v>4434</v>
      </c>
      <c r="D97" s="1018" t="s">
        <v>4626</v>
      </c>
      <c r="E97" s="1019">
        <v>520</v>
      </c>
      <c r="F97" s="1117" t="s">
        <v>3350</v>
      </c>
      <c r="G97" s="1429"/>
      <c r="H97" s="1060">
        <f t="shared" si="71"/>
        <v>0</v>
      </c>
      <c r="I97" s="1060">
        <f t="shared" si="72"/>
        <v>20000000</v>
      </c>
      <c r="J97" s="1428" t="s">
        <v>4885</v>
      </c>
      <c r="K97" s="1257" t="s">
        <v>4891</v>
      </c>
      <c r="L97" s="1257" t="s">
        <v>4894</v>
      </c>
      <c r="M97" s="1113">
        <v>0</v>
      </c>
      <c r="N97" s="1113">
        <v>0</v>
      </c>
      <c r="O97" s="1113">
        <v>0</v>
      </c>
      <c r="P97" s="1113">
        <v>0</v>
      </c>
      <c r="Q97" s="1113">
        <v>0</v>
      </c>
      <c r="R97" s="1113">
        <v>0</v>
      </c>
      <c r="S97" s="1117"/>
      <c r="T97" s="1117"/>
      <c r="U97" s="1117"/>
      <c r="V97" s="1117"/>
      <c r="W97" s="1117"/>
      <c r="X97" s="1117"/>
      <c r="Y97" s="1007">
        <f t="shared" si="73"/>
        <v>20000000</v>
      </c>
      <c r="Z97" s="944"/>
      <c r="AA97" s="944"/>
      <c r="AB97" s="944"/>
      <c r="AC97" s="944"/>
      <c r="AD97" s="944"/>
      <c r="AE97" s="1007">
        <f>50000000-30000000</f>
        <v>20000000</v>
      </c>
      <c r="AF97" s="944"/>
      <c r="AG97" s="944"/>
      <c r="AH97" s="944"/>
      <c r="AI97" s="944"/>
      <c r="AJ97" s="944"/>
      <c r="AK97" s="149"/>
      <c r="AL97" s="944"/>
      <c r="AM97" s="944"/>
      <c r="AN97" s="944"/>
      <c r="AO97" s="944"/>
      <c r="AP97" s="944"/>
      <c r="AQ97" s="944"/>
      <c r="AR97" s="944"/>
      <c r="AS97" s="985"/>
      <c r="AT97" s="203"/>
      <c r="AU97" s="1010">
        <f t="shared" si="74"/>
        <v>1</v>
      </c>
      <c r="AV97" s="1007">
        <f t="shared" si="75"/>
        <v>20000000</v>
      </c>
      <c r="AW97" s="1007"/>
      <c r="AX97" s="1007"/>
      <c r="AY97" s="1007"/>
      <c r="AZ97" s="1007"/>
      <c r="BA97" s="1007"/>
      <c r="BB97" s="1007">
        <f>+'[15]FEBRERO 2015'!$N$1216-30000000</f>
        <v>20000000</v>
      </c>
      <c r="BC97" s="1007"/>
      <c r="BD97" s="1007"/>
      <c r="BE97" s="1007"/>
      <c r="BF97" s="1007"/>
      <c r="BG97" s="1007"/>
      <c r="BH97" s="1007"/>
      <c r="BI97" s="1007"/>
      <c r="BJ97" s="1007"/>
      <c r="BK97" s="1007"/>
      <c r="BL97" s="1007"/>
      <c r="BM97" s="1007"/>
      <c r="BN97" s="1007"/>
      <c r="BO97" s="1007"/>
      <c r="BP97" s="1007"/>
      <c r="BQ97" s="1010">
        <f t="shared" si="94"/>
        <v>0</v>
      </c>
      <c r="BR97" s="1007">
        <f t="shared" si="76"/>
        <v>0</v>
      </c>
      <c r="BS97" s="1007">
        <f t="shared" si="77"/>
        <v>0</v>
      </c>
      <c r="BT97" s="1007">
        <f t="shared" si="78"/>
        <v>0</v>
      </c>
      <c r="BU97" s="1007"/>
      <c r="BV97" s="1007">
        <f t="shared" si="79"/>
        <v>0</v>
      </c>
      <c r="BW97" s="1007"/>
      <c r="BX97" s="1007">
        <f t="shared" si="80"/>
        <v>0</v>
      </c>
      <c r="BY97" s="1007">
        <f t="shared" si="80"/>
        <v>0</v>
      </c>
      <c r="BZ97" s="1007"/>
      <c r="CA97" s="1007">
        <f t="shared" si="92"/>
        <v>0</v>
      </c>
      <c r="CB97" s="1007">
        <f t="shared" si="92"/>
        <v>0</v>
      </c>
      <c r="CC97" s="1007"/>
      <c r="CD97" s="1007">
        <f t="shared" si="93"/>
        <v>0</v>
      </c>
      <c r="CE97" s="1007">
        <f t="shared" si="93"/>
        <v>0</v>
      </c>
      <c r="CF97" s="1007">
        <f t="shared" si="93"/>
        <v>0</v>
      </c>
      <c r="CG97" s="1007">
        <f t="shared" si="93"/>
        <v>0</v>
      </c>
      <c r="CH97" s="1007">
        <f t="shared" si="93"/>
        <v>0</v>
      </c>
      <c r="CI97" s="1007">
        <f t="shared" si="93"/>
        <v>0</v>
      </c>
      <c r="CJ97" s="1007"/>
      <c r="CK97" s="1007"/>
      <c r="CL97" s="1007">
        <f t="shared" si="82"/>
        <v>0</v>
      </c>
      <c r="CM97" s="1010">
        <f t="shared" si="83"/>
        <v>0</v>
      </c>
      <c r="CN97" s="1007">
        <f t="shared" si="84"/>
        <v>0</v>
      </c>
      <c r="CO97" s="1007"/>
      <c r="CP97" s="1007"/>
      <c r="CQ97" s="1007"/>
      <c r="CR97" s="1007"/>
      <c r="CS97" s="1007"/>
      <c r="CT97" s="1007"/>
      <c r="CU97" s="1007"/>
      <c r="CV97" s="1007"/>
      <c r="CW97" s="1007"/>
      <c r="CX97" s="1007"/>
      <c r="CY97" s="1007"/>
      <c r="CZ97" s="1007"/>
      <c r="DA97" s="1007"/>
      <c r="DB97" s="1007"/>
      <c r="DC97" s="1007"/>
      <c r="DD97" s="1007"/>
      <c r="DE97" s="1007"/>
      <c r="DF97" s="1007"/>
      <c r="DG97" s="1007"/>
      <c r="DH97" s="1007"/>
      <c r="DI97" s="1011">
        <f t="shared" si="70"/>
        <v>1</v>
      </c>
      <c r="DJ97" s="1007">
        <f t="shared" si="85"/>
        <v>20000000</v>
      </c>
      <c r="DK97" s="1007"/>
      <c r="DL97" s="1007"/>
      <c r="DM97" s="1007"/>
      <c r="DN97" s="1007">
        <f t="shared" si="86"/>
        <v>0</v>
      </c>
      <c r="DO97" s="1007"/>
      <c r="DP97" s="1007">
        <f t="shared" si="87"/>
        <v>20000000</v>
      </c>
      <c r="DQ97" s="1007">
        <f t="shared" si="87"/>
        <v>0</v>
      </c>
      <c r="DR97" s="1007"/>
      <c r="DS97" s="1007">
        <f t="shared" si="88"/>
        <v>0</v>
      </c>
      <c r="DT97" s="1007">
        <f t="shared" si="88"/>
        <v>0</v>
      </c>
      <c r="DU97" s="1007"/>
      <c r="DV97" s="1007">
        <f t="shared" si="89"/>
        <v>0</v>
      </c>
      <c r="DW97" s="1007">
        <f t="shared" si="89"/>
        <v>0</v>
      </c>
      <c r="DX97" s="1007">
        <f t="shared" si="89"/>
        <v>0</v>
      </c>
      <c r="DY97" s="1007">
        <f t="shared" si="90"/>
        <v>0</v>
      </c>
      <c r="DZ97" s="1007">
        <f t="shared" si="90"/>
        <v>0</v>
      </c>
      <c r="EA97" s="1007">
        <f t="shared" si="90"/>
        <v>0</v>
      </c>
      <c r="EB97" s="1007">
        <f t="shared" si="90"/>
        <v>0</v>
      </c>
      <c r="EC97" s="1007"/>
      <c r="ED97" s="1007">
        <f t="shared" si="91"/>
        <v>0</v>
      </c>
    </row>
    <row r="98" spans="1:134" ht="33.75" hidden="1" customHeight="1" x14ac:dyDescent="0.3">
      <c r="A98" s="1578"/>
      <c r="B98" s="1018"/>
      <c r="C98" s="1114" t="s">
        <v>4435</v>
      </c>
      <c r="D98" s="1018" t="s">
        <v>4627</v>
      </c>
      <c r="E98" s="1019">
        <v>520</v>
      </c>
      <c r="F98" s="1117" t="s">
        <v>3350</v>
      </c>
      <c r="G98" s="1430"/>
      <c r="H98" s="1060">
        <f t="shared" si="71"/>
        <v>646074</v>
      </c>
      <c r="I98" s="1060">
        <f t="shared" si="72"/>
        <v>24353926</v>
      </c>
      <c r="J98" s="1430"/>
      <c r="K98" s="1258"/>
      <c r="L98" s="1258"/>
      <c r="M98" s="1113">
        <v>0</v>
      </c>
      <c r="N98" s="1113">
        <v>0</v>
      </c>
      <c r="O98" s="1113">
        <v>0</v>
      </c>
      <c r="P98" s="1113">
        <v>0</v>
      </c>
      <c r="Q98" s="1113">
        <v>0</v>
      </c>
      <c r="R98" s="1113">
        <v>0</v>
      </c>
      <c r="S98" s="1117"/>
      <c r="T98" s="1117"/>
      <c r="U98" s="1117"/>
      <c r="V98" s="1117"/>
      <c r="W98" s="1117"/>
      <c r="X98" s="1117"/>
      <c r="Y98" s="1007">
        <f t="shared" si="73"/>
        <v>25000000</v>
      </c>
      <c r="Z98" s="944"/>
      <c r="AA98" s="944">
        <f>10819123-10819123</f>
        <v>0</v>
      </c>
      <c r="AB98" s="944"/>
      <c r="AC98" s="944"/>
      <c r="AD98" s="944"/>
      <c r="AE98" s="1016">
        <f>44180877+10819123-30000000</f>
        <v>25000000</v>
      </c>
      <c r="AF98" s="944"/>
      <c r="AG98" s="944"/>
      <c r="AH98" s="944"/>
      <c r="AI98" s="944"/>
      <c r="AJ98" s="944"/>
      <c r="AK98" s="149"/>
      <c r="AL98" s="944"/>
      <c r="AM98" s="944"/>
      <c r="AN98" s="1007"/>
      <c r="AO98" s="1007"/>
      <c r="AP98" s="1007"/>
      <c r="AQ98" s="1007"/>
      <c r="AR98" s="1007"/>
      <c r="AS98" s="1007"/>
      <c r="AT98" s="203"/>
      <c r="AU98" s="1010">
        <f t="shared" si="74"/>
        <v>0.56723508</v>
      </c>
      <c r="AV98" s="1007">
        <f t="shared" si="75"/>
        <v>14180877</v>
      </c>
      <c r="AW98" s="1007"/>
      <c r="AX98" s="1007"/>
      <c r="AY98" s="1007"/>
      <c r="AZ98" s="1007"/>
      <c r="BA98" s="1007"/>
      <c r="BB98" s="1007">
        <f>+'[15]FEBRERO 2015'!$N$1221-30000000</f>
        <v>14180877</v>
      </c>
      <c r="BC98" s="1007"/>
      <c r="BD98" s="1007"/>
      <c r="BE98" s="1007"/>
      <c r="BF98" s="1007"/>
      <c r="BG98" s="1007"/>
      <c r="BH98" s="1007"/>
      <c r="BI98" s="1007"/>
      <c r="BJ98" s="1007"/>
      <c r="BK98" s="1007"/>
      <c r="BL98" s="1007"/>
      <c r="BM98" s="1007"/>
      <c r="BN98" s="1007"/>
      <c r="BO98" s="1007"/>
      <c r="BP98" s="1007"/>
      <c r="BQ98" s="1010">
        <f t="shared" si="94"/>
        <v>0.43276492</v>
      </c>
      <c r="BR98" s="1007">
        <f t="shared" si="76"/>
        <v>10819123</v>
      </c>
      <c r="BS98" s="1007">
        <f t="shared" si="77"/>
        <v>0</v>
      </c>
      <c r="BT98" s="1007">
        <f t="shared" si="78"/>
        <v>0</v>
      </c>
      <c r="BU98" s="1007"/>
      <c r="BV98" s="1007">
        <f t="shared" si="79"/>
        <v>0</v>
      </c>
      <c r="BW98" s="1007"/>
      <c r="BX98" s="1007">
        <f t="shared" si="80"/>
        <v>10819123</v>
      </c>
      <c r="BY98" s="1007">
        <f t="shared" si="80"/>
        <v>0</v>
      </c>
      <c r="BZ98" s="1007"/>
      <c r="CA98" s="1007">
        <f t="shared" si="92"/>
        <v>0</v>
      </c>
      <c r="CB98" s="1007">
        <f t="shared" si="92"/>
        <v>0</v>
      </c>
      <c r="CC98" s="1007"/>
      <c r="CD98" s="1007">
        <f t="shared" si="93"/>
        <v>0</v>
      </c>
      <c r="CE98" s="1007">
        <f t="shared" si="93"/>
        <v>0</v>
      </c>
      <c r="CF98" s="1007">
        <f t="shared" si="93"/>
        <v>0</v>
      </c>
      <c r="CG98" s="1007">
        <f t="shared" si="93"/>
        <v>0</v>
      </c>
      <c r="CH98" s="1007">
        <f t="shared" si="93"/>
        <v>0</v>
      </c>
      <c r="CI98" s="1007">
        <f t="shared" si="93"/>
        <v>0</v>
      </c>
      <c r="CJ98" s="1007"/>
      <c r="CK98" s="1007"/>
      <c r="CL98" s="1007">
        <f t="shared" si="82"/>
        <v>0</v>
      </c>
      <c r="CM98" s="1010">
        <f t="shared" si="83"/>
        <v>2.5842960000000002E-2</v>
      </c>
      <c r="CN98" s="1007">
        <f t="shared" si="84"/>
        <v>646074</v>
      </c>
      <c r="CO98" s="1007"/>
      <c r="CP98" s="1007"/>
      <c r="CQ98" s="1007"/>
      <c r="CR98" s="1007"/>
      <c r="CS98" s="1007"/>
      <c r="CT98" s="1007">
        <f>+'[7]AGOSTO 2015'!$H$3027</f>
        <v>646074</v>
      </c>
      <c r="CU98" s="1007"/>
      <c r="CV98" s="1007"/>
      <c r="CW98" s="1007"/>
      <c r="CX98" s="1007"/>
      <c r="CY98" s="1007"/>
      <c r="CZ98" s="1007"/>
      <c r="DA98" s="1007"/>
      <c r="DB98" s="1007"/>
      <c r="DC98" s="1007"/>
      <c r="DD98" s="1007"/>
      <c r="DE98" s="1007"/>
      <c r="DF98" s="1007"/>
      <c r="DG98" s="1007"/>
      <c r="DH98" s="1007"/>
      <c r="DI98" s="1011">
        <f t="shared" si="70"/>
        <v>0.97415704000000003</v>
      </c>
      <c r="DJ98" s="1007">
        <f t="shared" si="85"/>
        <v>24353926</v>
      </c>
      <c r="DK98" s="1007"/>
      <c r="DL98" s="1007">
        <f>AA98-CP98</f>
        <v>0</v>
      </c>
      <c r="DM98" s="1007">
        <f>AB98-CQ98</f>
        <v>0</v>
      </c>
      <c r="DN98" s="1007">
        <f t="shared" si="86"/>
        <v>0</v>
      </c>
      <c r="DO98" s="1007"/>
      <c r="DP98" s="1007">
        <f t="shared" si="87"/>
        <v>24353926</v>
      </c>
      <c r="DQ98" s="1007">
        <f t="shared" si="87"/>
        <v>0</v>
      </c>
      <c r="DR98" s="1007"/>
      <c r="DS98" s="1007">
        <f t="shared" si="88"/>
        <v>0</v>
      </c>
      <c r="DT98" s="1007">
        <f t="shared" si="88"/>
        <v>0</v>
      </c>
      <c r="DU98" s="1007"/>
      <c r="DV98" s="1007">
        <f t="shared" si="89"/>
        <v>0</v>
      </c>
      <c r="DW98" s="1007">
        <f t="shared" si="89"/>
        <v>0</v>
      </c>
      <c r="DX98" s="1007">
        <f t="shared" si="89"/>
        <v>0</v>
      </c>
      <c r="DY98" s="1007">
        <f t="shared" si="90"/>
        <v>0</v>
      </c>
      <c r="DZ98" s="1007">
        <f t="shared" si="90"/>
        <v>0</v>
      </c>
      <c r="EA98" s="1007">
        <f t="shared" si="90"/>
        <v>0</v>
      </c>
      <c r="EB98" s="1007">
        <f t="shared" si="90"/>
        <v>0</v>
      </c>
      <c r="EC98" s="1007"/>
      <c r="ED98" s="1007">
        <f t="shared" si="91"/>
        <v>0</v>
      </c>
    </row>
    <row r="99" spans="1:134" s="203" customFormat="1" ht="62.25" hidden="1" customHeight="1" x14ac:dyDescent="0.3">
      <c r="A99" s="1578"/>
      <c r="B99" s="1579" t="s">
        <v>4363</v>
      </c>
      <c r="C99" s="1581" t="s">
        <v>4436</v>
      </c>
      <c r="D99" s="1579" t="s">
        <v>4628</v>
      </c>
      <c r="E99" s="1579">
        <v>520</v>
      </c>
      <c r="F99" s="1428" t="s">
        <v>3350</v>
      </c>
      <c r="G99" s="1428">
        <v>10000000</v>
      </c>
      <c r="H99" s="1060">
        <f t="shared" si="71"/>
        <v>0</v>
      </c>
      <c r="I99" s="1060">
        <f t="shared" si="72"/>
        <v>0</v>
      </c>
      <c r="J99" s="1117" t="s">
        <v>4929</v>
      </c>
      <c r="K99" s="1113" t="s">
        <v>4931</v>
      </c>
      <c r="L99" s="1113" t="s">
        <v>4931</v>
      </c>
      <c r="M99" s="1074">
        <v>0</v>
      </c>
      <c r="N99" s="1074">
        <v>0</v>
      </c>
      <c r="O99" s="1074">
        <v>0</v>
      </c>
      <c r="P99" s="1074"/>
      <c r="Q99" s="1074"/>
      <c r="R99" s="1074"/>
      <c r="S99" s="1117"/>
      <c r="T99" s="1117"/>
      <c r="U99" s="1117"/>
      <c r="V99" s="1117"/>
      <c r="W99" s="1117"/>
      <c r="X99" s="1117"/>
      <c r="Y99" s="1066">
        <f t="shared" si="73"/>
        <v>0</v>
      </c>
      <c r="Z99" s="149"/>
      <c r="AA99" s="149"/>
      <c r="AB99" s="149"/>
      <c r="AC99" s="149"/>
      <c r="AD99" s="149"/>
      <c r="AE99" s="1066">
        <f>10000000-10000000</f>
        <v>0</v>
      </c>
      <c r="AF99" s="149"/>
      <c r="AG99" s="149"/>
      <c r="AH99" s="149"/>
      <c r="AI99" s="149"/>
      <c r="AJ99" s="149"/>
      <c r="AK99" s="149"/>
      <c r="AL99" s="149"/>
      <c r="AM99" s="149"/>
      <c r="AN99" s="1066">
        <f>10000000-10000000</f>
        <v>0</v>
      </c>
      <c r="AO99" s="1066"/>
      <c r="AP99" s="1066"/>
      <c r="AQ99" s="1066"/>
      <c r="AR99" s="1066"/>
      <c r="AS99" s="1066"/>
      <c r="AU99" s="1081" t="e">
        <f t="shared" si="74"/>
        <v>#DIV/0!</v>
      </c>
      <c r="AV99" s="1066">
        <f t="shared" si="75"/>
        <v>0</v>
      </c>
      <c r="AW99" s="1066"/>
      <c r="AX99" s="1066"/>
      <c r="AY99" s="1066"/>
      <c r="AZ99" s="1066"/>
      <c r="BA99" s="1066"/>
      <c r="BB99" s="1066">
        <f>+'[15]FEBRERO 2015'!$N$1228-10000000</f>
        <v>0</v>
      </c>
      <c r="BC99" s="1066"/>
      <c r="BD99" s="1066"/>
      <c r="BE99" s="1066"/>
      <c r="BF99" s="1066"/>
      <c r="BG99" s="1066"/>
      <c r="BH99" s="1066"/>
      <c r="BI99" s="1066"/>
      <c r="BJ99" s="1066"/>
      <c r="BK99" s="1066">
        <f>+'[12]FEBRERO 2015'!$W$1302-10000000</f>
        <v>0</v>
      </c>
      <c r="BL99" s="1066"/>
      <c r="BM99" s="1066"/>
      <c r="BN99" s="1066"/>
      <c r="BO99" s="1066"/>
      <c r="BP99" s="1066"/>
      <c r="BQ99" s="1081" t="e">
        <f t="shared" si="94"/>
        <v>#DIV/0!</v>
      </c>
      <c r="BR99" s="1066">
        <f t="shared" si="76"/>
        <v>0</v>
      </c>
      <c r="BS99" s="1066">
        <f t="shared" si="77"/>
        <v>0</v>
      </c>
      <c r="BT99" s="1066">
        <f t="shared" si="78"/>
        <v>0</v>
      </c>
      <c r="BU99" s="1066"/>
      <c r="BV99" s="1066">
        <f t="shared" si="79"/>
        <v>0</v>
      </c>
      <c r="BW99" s="1066"/>
      <c r="BX99" s="1066">
        <f t="shared" si="80"/>
        <v>0</v>
      </c>
      <c r="BY99" s="1066">
        <f t="shared" si="80"/>
        <v>0</v>
      </c>
      <c r="BZ99" s="1066"/>
      <c r="CA99" s="1066">
        <f t="shared" si="92"/>
        <v>0</v>
      </c>
      <c r="CB99" s="1066">
        <f t="shared" si="92"/>
        <v>0</v>
      </c>
      <c r="CC99" s="1066"/>
      <c r="CD99" s="1066">
        <f t="shared" si="93"/>
        <v>0</v>
      </c>
      <c r="CE99" s="1066">
        <f t="shared" si="93"/>
        <v>0</v>
      </c>
      <c r="CF99" s="1066">
        <f t="shared" si="93"/>
        <v>0</v>
      </c>
      <c r="CG99" s="1066">
        <f t="shared" si="93"/>
        <v>0</v>
      </c>
      <c r="CH99" s="1066">
        <f t="shared" si="93"/>
        <v>0</v>
      </c>
      <c r="CI99" s="1066">
        <f t="shared" si="93"/>
        <v>0</v>
      </c>
      <c r="CJ99" s="1066"/>
      <c r="CK99" s="1066"/>
      <c r="CL99" s="1066">
        <f t="shared" si="82"/>
        <v>0</v>
      </c>
      <c r="CM99" s="1081" t="e">
        <f t="shared" si="83"/>
        <v>#DIV/0!</v>
      </c>
      <c r="CN99" s="1066">
        <f t="shared" si="84"/>
        <v>0</v>
      </c>
      <c r="CO99" s="1066"/>
      <c r="CP99" s="1066"/>
      <c r="CQ99" s="1066"/>
      <c r="CR99" s="1066"/>
      <c r="CS99" s="1066"/>
      <c r="CT99" s="1066"/>
      <c r="CU99" s="1066"/>
      <c r="CV99" s="1066"/>
      <c r="CW99" s="1066"/>
      <c r="CX99" s="1066"/>
      <c r="CY99" s="1066"/>
      <c r="CZ99" s="1066"/>
      <c r="DA99" s="1066"/>
      <c r="DB99" s="1066"/>
      <c r="DC99" s="1066"/>
      <c r="DD99" s="1066"/>
      <c r="DE99" s="1066"/>
      <c r="DF99" s="1066"/>
      <c r="DG99" s="1066"/>
      <c r="DH99" s="1066"/>
      <c r="DI99" s="1011" t="e">
        <f t="shared" si="70"/>
        <v>#DIV/0!</v>
      </c>
      <c r="DJ99" s="1066">
        <f t="shared" si="85"/>
        <v>0</v>
      </c>
      <c r="DK99" s="1066"/>
      <c r="DL99" s="1066"/>
      <c r="DM99" s="1066"/>
      <c r="DN99" s="1066">
        <f t="shared" si="86"/>
        <v>0</v>
      </c>
      <c r="DO99" s="1066"/>
      <c r="DP99" s="1066">
        <f t="shared" si="87"/>
        <v>0</v>
      </c>
      <c r="DQ99" s="1066">
        <f t="shared" si="87"/>
        <v>0</v>
      </c>
      <c r="DR99" s="1066"/>
      <c r="DS99" s="1066">
        <f t="shared" si="88"/>
        <v>0</v>
      </c>
      <c r="DT99" s="1066">
        <f t="shared" si="88"/>
        <v>0</v>
      </c>
      <c r="DU99" s="1066"/>
      <c r="DV99" s="1066">
        <f t="shared" si="89"/>
        <v>0</v>
      </c>
      <c r="DW99" s="1066">
        <f t="shared" si="89"/>
        <v>0</v>
      </c>
      <c r="DX99" s="1066">
        <f t="shared" si="89"/>
        <v>0</v>
      </c>
      <c r="DY99" s="1066">
        <f t="shared" si="90"/>
        <v>0</v>
      </c>
      <c r="DZ99" s="1066">
        <f t="shared" si="90"/>
        <v>0</v>
      </c>
      <c r="EA99" s="1066">
        <f t="shared" si="90"/>
        <v>0</v>
      </c>
      <c r="EB99" s="1066">
        <f t="shared" si="90"/>
        <v>0</v>
      </c>
      <c r="EC99" s="1066"/>
      <c r="ED99" s="1066">
        <f t="shared" si="91"/>
        <v>0</v>
      </c>
    </row>
    <row r="100" spans="1:134" s="203" customFormat="1" ht="25.5" hidden="1" customHeight="1" x14ac:dyDescent="0.3">
      <c r="A100" s="1578"/>
      <c r="B100" s="1580"/>
      <c r="C100" s="1582"/>
      <c r="D100" s="1580"/>
      <c r="E100" s="1580"/>
      <c r="F100" s="1430"/>
      <c r="G100" s="1430"/>
      <c r="H100" s="1060"/>
      <c r="I100" s="1060"/>
      <c r="J100" s="1117" t="s">
        <v>4930</v>
      </c>
      <c r="K100" s="1113" t="s">
        <v>4932</v>
      </c>
      <c r="L100" s="1113" t="s">
        <v>4932</v>
      </c>
      <c r="M100" s="1074">
        <v>0</v>
      </c>
      <c r="N100" s="1074">
        <v>0</v>
      </c>
      <c r="O100" s="1074">
        <v>0</v>
      </c>
      <c r="P100" s="1074"/>
      <c r="Q100" s="1074"/>
      <c r="R100" s="1074"/>
      <c r="S100" s="1117"/>
      <c r="T100" s="1117"/>
      <c r="U100" s="1117"/>
      <c r="V100" s="1117"/>
      <c r="W100" s="1117"/>
      <c r="X100" s="1117"/>
      <c r="Y100" s="1066"/>
      <c r="Z100" s="149"/>
      <c r="AA100" s="149"/>
      <c r="AB100" s="149"/>
      <c r="AC100" s="149"/>
      <c r="AD100" s="149"/>
      <c r="AE100" s="1083"/>
      <c r="AF100" s="149"/>
      <c r="AG100" s="149"/>
      <c r="AH100" s="149"/>
      <c r="AI100" s="149"/>
      <c r="AJ100" s="149"/>
      <c r="AK100" s="149"/>
      <c r="AL100" s="149"/>
      <c r="AM100" s="149"/>
      <c r="AN100" s="1066"/>
      <c r="AO100" s="1066"/>
      <c r="AP100" s="1066"/>
      <c r="AQ100" s="1066"/>
      <c r="AR100" s="1066"/>
      <c r="AS100" s="1066"/>
      <c r="AU100" s="1081"/>
      <c r="AV100" s="1066"/>
      <c r="AW100" s="1066"/>
      <c r="AX100" s="1066"/>
      <c r="AY100" s="1066"/>
      <c r="AZ100" s="1066"/>
      <c r="BA100" s="1066"/>
      <c r="BB100" s="1066"/>
      <c r="BC100" s="1066"/>
      <c r="BD100" s="1066"/>
      <c r="BE100" s="1066"/>
      <c r="BF100" s="1066"/>
      <c r="BG100" s="1066"/>
      <c r="BH100" s="1066"/>
      <c r="BI100" s="1066"/>
      <c r="BJ100" s="1066"/>
      <c r="BK100" s="1066"/>
      <c r="BL100" s="1066"/>
      <c r="BM100" s="1066"/>
      <c r="BN100" s="1066"/>
      <c r="BO100" s="1066"/>
      <c r="BP100" s="1066"/>
      <c r="BQ100" s="1081"/>
      <c r="BR100" s="1066"/>
      <c r="BS100" s="1066"/>
      <c r="BT100" s="1066"/>
      <c r="BU100" s="1066"/>
      <c r="BV100" s="1066"/>
      <c r="BW100" s="1066"/>
      <c r="BX100" s="1066"/>
      <c r="BY100" s="1066"/>
      <c r="BZ100" s="1066"/>
      <c r="CA100" s="1066"/>
      <c r="CB100" s="1066"/>
      <c r="CC100" s="1066"/>
      <c r="CD100" s="1066"/>
      <c r="CE100" s="1066"/>
      <c r="CF100" s="1066"/>
      <c r="CG100" s="1066"/>
      <c r="CH100" s="1066"/>
      <c r="CI100" s="1066"/>
      <c r="CJ100" s="1066"/>
      <c r="CK100" s="1066"/>
      <c r="CL100" s="1066"/>
      <c r="CM100" s="1081"/>
      <c r="CN100" s="1066"/>
      <c r="CO100" s="1066"/>
      <c r="CP100" s="1066"/>
      <c r="CQ100" s="1066"/>
      <c r="CR100" s="1066"/>
      <c r="CS100" s="1066"/>
      <c r="CT100" s="1066"/>
      <c r="CU100" s="1066"/>
      <c r="CV100" s="1066"/>
      <c r="CW100" s="1066"/>
      <c r="CX100" s="1066"/>
      <c r="CY100" s="1066"/>
      <c r="CZ100" s="1066"/>
      <c r="DA100" s="1066"/>
      <c r="DB100" s="1066"/>
      <c r="DC100" s="1066"/>
      <c r="DD100" s="1066"/>
      <c r="DE100" s="1066"/>
      <c r="DF100" s="1066"/>
      <c r="DG100" s="1066"/>
      <c r="DH100" s="1066"/>
      <c r="DI100" s="1011">
        <f t="shared" si="70"/>
        <v>1</v>
      </c>
      <c r="DJ100" s="1066"/>
      <c r="DK100" s="1066"/>
      <c r="DL100" s="1066"/>
      <c r="DM100" s="1066"/>
      <c r="DN100" s="1066"/>
      <c r="DO100" s="1066"/>
      <c r="DP100" s="1066"/>
      <c r="DQ100" s="1066"/>
      <c r="DR100" s="1066"/>
      <c r="DS100" s="1066"/>
      <c r="DT100" s="1066"/>
      <c r="DU100" s="1066"/>
      <c r="DV100" s="1066"/>
      <c r="DW100" s="1066"/>
      <c r="DX100" s="1066"/>
      <c r="DY100" s="1066"/>
      <c r="DZ100" s="1066"/>
      <c r="EA100" s="1066"/>
      <c r="EB100" s="1066"/>
      <c r="EC100" s="1066"/>
      <c r="ED100" s="1066"/>
    </row>
    <row r="101" spans="1:134" ht="46.5" hidden="1" customHeight="1" x14ac:dyDescent="0.3">
      <c r="A101" s="1578"/>
      <c r="B101" s="1018" t="s">
        <v>4364</v>
      </c>
      <c r="C101" s="1114" t="s">
        <v>4437</v>
      </c>
      <c r="D101" s="1018" t="s">
        <v>4629</v>
      </c>
      <c r="E101" s="1019">
        <v>520</v>
      </c>
      <c r="F101" s="1117" t="s">
        <v>3350</v>
      </c>
      <c r="G101" s="1428">
        <v>361000000</v>
      </c>
      <c r="H101" s="1060">
        <f t="shared" si="71"/>
        <v>93970657</v>
      </c>
      <c r="I101" s="1060">
        <f>Y101-H101</f>
        <v>78180550</v>
      </c>
      <c r="J101" s="1123" t="s">
        <v>4895</v>
      </c>
      <c r="K101" s="1128" t="s">
        <v>4899</v>
      </c>
      <c r="L101" s="1128" t="s">
        <v>4901</v>
      </c>
      <c r="M101" s="1113">
        <v>24</v>
      </c>
      <c r="N101" s="1113">
        <v>0</v>
      </c>
      <c r="O101" s="1113">
        <v>0</v>
      </c>
      <c r="P101" s="1113">
        <v>54</v>
      </c>
      <c r="Q101" s="1113">
        <v>50</v>
      </c>
      <c r="R101" s="1113">
        <v>27</v>
      </c>
      <c r="S101" s="1117"/>
      <c r="T101" s="1117"/>
      <c r="U101" s="1117"/>
      <c r="V101" s="1117"/>
      <c r="W101" s="1117"/>
      <c r="X101" s="1117"/>
      <c r="Y101" s="1007">
        <f t="shared" si="73"/>
        <v>172151207</v>
      </c>
      <c r="Z101" s="944"/>
      <c r="AA101" s="944"/>
      <c r="AB101" s="944"/>
      <c r="AC101" s="1007">
        <f>80000000-72884540-7115460</f>
        <v>0</v>
      </c>
      <c r="AD101" s="1007">
        <v>72884540</v>
      </c>
      <c r="AE101" s="1016">
        <f>170000000-80733333</f>
        <v>89266667</v>
      </c>
      <c r="AF101" s="944"/>
      <c r="AG101" s="944"/>
      <c r="AH101" s="944"/>
      <c r="AI101" s="944"/>
      <c r="AJ101" s="944"/>
      <c r="AK101" s="149"/>
      <c r="AL101" s="944"/>
      <c r="AM101" s="944"/>
      <c r="AN101" s="1007">
        <v>10000000</v>
      </c>
      <c r="AO101" s="1007"/>
      <c r="AP101" s="1007"/>
      <c r="AQ101" s="1007"/>
      <c r="AR101" s="1007"/>
      <c r="AS101" s="1007"/>
      <c r="AT101" s="203"/>
      <c r="AU101" s="1010">
        <f t="shared" si="74"/>
        <v>0.57662486792787926</v>
      </c>
      <c r="AV101" s="1007">
        <f t="shared" si="75"/>
        <v>99266667</v>
      </c>
      <c r="AW101" s="1007"/>
      <c r="AX101" s="1007"/>
      <c r="AY101" s="1007"/>
      <c r="AZ101" s="1007"/>
      <c r="BA101" s="1007"/>
      <c r="BB101" s="1007">
        <f>+'[12]FEBRERO 2015'!$N$1309</f>
        <v>89266667</v>
      </c>
      <c r="BC101" s="1007"/>
      <c r="BD101" s="1007"/>
      <c r="BE101" s="1007"/>
      <c r="BF101" s="1007"/>
      <c r="BG101" s="1007"/>
      <c r="BH101" s="1007"/>
      <c r="BI101" s="1007"/>
      <c r="BJ101" s="1007"/>
      <c r="BK101" s="1007">
        <f>+'[12]FEBRERO 2015'!$W$1309</f>
        <v>10000000</v>
      </c>
      <c r="BL101" s="1007"/>
      <c r="BM101" s="1007"/>
      <c r="BN101" s="1007"/>
      <c r="BO101" s="1007"/>
      <c r="BP101" s="1007"/>
      <c r="BQ101" s="1010">
        <f t="shared" si="94"/>
        <v>0.42337513207212074</v>
      </c>
      <c r="BR101" s="1007">
        <f t="shared" si="76"/>
        <v>72884540</v>
      </c>
      <c r="BS101" s="1007">
        <f t="shared" si="77"/>
        <v>0</v>
      </c>
      <c r="BT101" s="1007">
        <f t="shared" si="78"/>
        <v>0</v>
      </c>
      <c r="BU101" s="1007"/>
      <c r="BV101" s="1007">
        <f t="shared" si="79"/>
        <v>0</v>
      </c>
      <c r="BW101" s="1007">
        <f>AD101-BA101</f>
        <v>72884540</v>
      </c>
      <c r="BX101" s="1007">
        <f t="shared" si="80"/>
        <v>0</v>
      </c>
      <c r="BY101" s="1007">
        <f t="shared" si="80"/>
        <v>0</v>
      </c>
      <c r="BZ101" s="1007"/>
      <c r="CA101" s="1007">
        <f t="shared" si="92"/>
        <v>0</v>
      </c>
      <c r="CB101" s="1007">
        <f t="shared" si="92"/>
        <v>0</v>
      </c>
      <c r="CC101" s="1007"/>
      <c r="CD101" s="1007">
        <f t="shared" si="93"/>
        <v>0</v>
      </c>
      <c r="CE101" s="1007">
        <f t="shared" si="93"/>
        <v>0</v>
      </c>
      <c r="CF101" s="1007">
        <f t="shared" si="93"/>
        <v>0</v>
      </c>
      <c r="CG101" s="1007">
        <f t="shared" si="93"/>
        <v>0</v>
      </c>
      <c r="CH101" s="1007">
        <f t="shared" si="93"/>
        <v>0</v>
      </c>
      <c r="CI101" s="1007">
        <f t="shared" si="93"/>
        <v>0</v>
      </c>
      <c r="CJ101" s="1007"/>
      <c r="CK101" s="1007"/>
      <c r="CL101" s="1007">
        <f t="shared" si="82"/>
        <v>0</v>
      </c>
      <c r="CM101" s="1010">
        <f t="shared" si="83"/>
        <v>0.54586115681431147</v>
      </c>
      <c r="CN101" s="1007">
        <f t="shared" si="84"/>
        <v>93970657</v>
      </c>
      <c r="CO101" s="1007"/>
      <c r="CP101" s="1007"/>
      <c r="CQ101" s="1007"/>
      <c r="CR101" s="1007"/>
      <c r="CS101" s="1007"/>
      <c r="CT101" s="1007">
        <f>+'[7]AGOSTO 2015'!$H$3044+'[7]AGOSTO 2015'!$H$3050</f>
        <v>83970657</v>
      </c>
      <c r="CU101" s="1007"/>
      <c r="CV101" s="1007"/>
      <c r="CW101" s="1007"/>
      <c r="CX101" s="1007"/>
      <c r="CY101" s="1007"/>
      <c r="CZ101" s="1007"/>
      <c r="DA101" s="1007"/>
      <c r="DB101" s="1007"/>
      <c r="DC101" s="1007">
        <f>+'[13]JUNIO 2015'!$H$2333</f>
        <v>10000000</v>
      </c>
      <c r="DD101" s="1007"/>
      <c r="DE101" s="1007"/>
      <c r="DF101" s="1007"/>
      <c r="DG101" s="1007"/>
      <c r="DH101" s="1007"/>
      <c r="DI101" s="1011">
        <f t="shared" si="70"/>
        <v>0.45413884318568853</v>
      </c>
      <c r="DJ101" s="1007">
        <f t="shared" si="85"/>
        <v>78180550</v>
      </c>
      <c r="DK101" s="1007"/>
      <c r="DL101" s="1007"/>
      <c r="DM101" s="1007"/>
      <c r="DN101" s="1007">
        <f t="shared" si="86"/>
        <v>0</v>
      </c>
      <c r="DO101" s="1007">
        <f>AD101-CS101</f>
        <v>72884540</v>
      </c>
      <c r="DP101" s="1007">
        <f t="shared" si="87"/>
        <v>5296010</v>
      </c>
      <c r="DQ101" s="1007">
        <f t="shared" si="87"/>
        <v>0</v>
      </c>
      <c r="DR101" s="1007"/>
      <c r="DS101" s="1007">
        <f t="shared" si="88"/>
        <v>0</v>
      </c>
      <c r="DT101" s="1007">
        <f t="shared" si="88"/>
        <v>0</v>
      </c>
      <c r="DU101" s="1007"/>
      <c r="DV101" s="1007">
        <f t="shared" si="89"/>
        <v>0</v>
      </c>
      <c r="DW101" s="1007">
        <f t="shared" si="89"/>
        <v>0</v>
      </c>
      <c r="DX101" s="1007">
        <f t="shared" si="89"/>
        <v>0</v>
      </c>
      <c r="DY101" s="1007">
        <f t="shared" si="90"/>
        <v>0</v>
      </c>
      <c r="DZ101" s="1007">
        <f t="shared" si="90"/>
        <v>0</v>
      </c>
      <c r="EA101" s="1007">
        <f t="shared" si="90"/>
        <v>0</v>
      </c>
      <c r="EB101" s="1007">
        <f t="shared" si="90"/>
        <v>0</v>
      </c>
      <c r="EC101" s="1007"/>
      <c r="ED101" s="1007">
        <f t="shared" si="91"/>
        <v>0</v>
      </c>
    </row>
    <row r="102" spans="1:134" ht="39" hidden="1" customHeight="1" x14ac:dyDescent="0.3">
      <c r="A102" s="1578"/>
      <c r="B102" s="1028"/>
      <c r="C102" s="1114" t="s">
        <v>4438</v>
      </c>
      <c r="D102" s="1018" t="s">
        <v>4706</v>
      </c>
      <c r="E102" s="1019">
        <v>520</v>
      </c>
      <c r="F102" s="1117" t="s">
        <v>3350</v>
      </c>
      <c r="G102" s="1429"/>
      <c r="H102" s="1060">
        <f t="shared" si="71"/>
        <v>110733333</v>
      </c>
      <c r="I102" s="1060">
        <f>Y102-H102</f>
        <v>0</v>
      </c>
      <c r="J102" s="1117" t="s">
        <v>4896</v>
      </c>
      <c r="K102" s="1113" t="s">
        <v>4898</v>
      </c>
      <c r="L102" s="1113" t="s">
        <v>4902</v>
      </c>
      <c r="M102" s="1113">
        <v>58</v>
      </c>
      <c r="N102" s="1113">
        <v>5</v>
      </c>
      <c r="O102" s="1113">
        <v>3</v>
      </c>
      <c r="P102" s="1113">
        <v>100</v>
      </c>
      <c r="Q102" s="1113">
        <v>40</v>
      </c>
      <c r="R102" s="1113">
        <v>40</v>
      </c>
      <c r="S102" s="1117"/>
      <c r="T102" s="1117"/>
      <c r="U102" s="1117"/>
      <c r="V102" s="1117"/>
      <c r="W102" s="1117"/>
      <c r="X102" s="1117"/>
      <c r="Y102" s="1007">
        <f t="shared" si="73"/>
        <v>110733333</v>
      </c>
      <c r="Z102" s="944"/>
      <c r="AA102" s="944"/>
      <c r="AB102" s="944"/>
      <c r="AC102" s="1007">
        <f>70000000-70000000</f>
        <v>0</v>
      </c>
      <c r="AD102" s="1007"/>
      <c r="AE102" s="1007">
        <f>30000000+80733333</f>
        <v>110733333</v>
      </c>
      <c r="AF102" s="944"/>
      <c r="AG102" s="944"/>
      <c r="AH102" s="944"/>
      <c r="AI102" s="944"/>
      <c r="AJ102" s="944"/>
      <c r="AK102" s="149"/>
      <c r="AL102" s="944"/>
      <c r="AM102" s="944"/>
      <c r="AN102" s="1007"/>
      <c r="AO102" s="1007"/>
      <c r="AP102" s="1007"/>
      <c r="AQ102" s="1007"/>
      <c r="AR102" s="1007"/>
      <c r="AS102" s="1007"/>
      <c r="AT102" s="203"/>
      <c r="AU102" s="1010">
        <f t="shared" si="74"/>
        <v>1</v>
      </c>
      <c r="AV102" s="1007">
        <f t="shared" si="75"/>
        <v>110733333</v>
      </c>
      <c r="AW102" s="1007"/>
      <c r="AX102" s="1007"/>
      <c r="AY102" s="1007"/>
      <c r="AZ102" s="1007">
        <f>+'[11]MARZO 2015'!$L$1529-70000000</f>
        <v>0</v>
      </c>
      <c r="BA102" s="1007"/>
      <c r="BB102" s="1007">
        <f>+'[11]MARZO 2015'!$N$1529</f>
        <v>110733333</v>
      </c>
      <c r="BC102" s="1007"/>
      <c r="BD102" s="1007"/>
      <c r="BE102" s="1007"/>
      <c r="BF102" s="1007"/>
      <c r="BG102" s="1007"/>
      <c r="BH102" s="1007"/>
      <c r="BI102" s="1007"/>
      <c r="BJ102" s="1007"/>
      <c r="BK102" s="1007"/>
      <c r="BL102" s="1007"/>
      <c r="BM102" s="1007"/>
      <c r="BN102" s="1007"/>
      <c r="BO102" s="1007"/>
      <c r="BP102" s="1007"/>
      <c r="BQ102" s="1010">
        <f t="shared" si="94"/>
        <v>0</v>
      </c>
      <c r="BR102" s="1007">
        <f t="shared" si="76"/>
        <v>0</v>
      </c>
      <c r="BS102" s="1007">
        <f t="shared" si="77"/>
        <v>0</v>
      </c>
      <c r="BT102" s="1007">
        <f t="shared" si="78"/>
        <v>0</v>
      </c>
      <c r="BU102" s="1007"/>
      <c r="BV102" s="1007">
        <f t="shared" si="79"/>
        <v>0</v>
      </c>
      <c r="BW102" s="1007"/>
      <c r="BX102" s="1007">
        <f t="shared" si="80"/>
        <v>0</v>
      </c>
      <c r="BY102" s="1007">
        <f t="shared" si="80"/>
        <v>0</v>
      </c>
      <c r="BZ102" s="1007"/>
      <c r="CA102" s="1007">
        <f t="shared" si="92"/>
        <v>0</v>
      </c>
      <c r="CB102" s="1007">
        <f t="shared" si="92"/>
        <v>0</v>
      </c>
      <c r="CC102" s="1007"/>
      <c r="CD102" s="1007">
        <f t="shared" si="93"/>
        <v>0</v>
      </c>
      <c r="CE102" s="1007">
        <f t="shared" si="93"/>
        <v>0</v>
      </c>
      <c r="CF102" s="1007">
        <f t="shared" si="93"/>
        <v>0</v>
      </c>
      <c r="CG102" s="1007">
        <f t="shared" si="93"/>
        <v>0</v>
      </c>
      <c r="CH102" s="1007">
        <f t="shared" si="93"/>
        <v>0</v>
      </c>
      <c r="CI102" s="1007">
        <f t="shared" si="93"/>
        <v>0</v>
      </c>
      <c r="CJ102" s="1007"/>
      <c r="CK102" s="1007"/>
      <c r="CL102" s="1007">
        <f t="shared" si="82"/>
        <v>0</v>
      </c>
      <c r="CM102" s="1010">
        <f t="shared" si="83"/>
        <v>1</v>
      </c>
      <c r="CN102" s="1007">
        <f t="shared" si="84"/>
        <v>110733333</v>
      </c>
      <c r="CO102" s="1007"/>
      <c r="CP102" s="1007"/>
      <c r="CQ102" s="1007"/>
      <c r="CR102" s="1007"/>
      <c r="CS102" s="1007"/>
      <c r="CT102" s="1007">
        <f>+'[10]JULIO 2015'!$H$2722</f>
        <v>110733333</v>
      </c>
      <c r="CU102" s="1007"/>
      <c r="CV102" s="1007"/>
      <c r="CW102" s="1007"/>
      <c r="CX102" s="1007"/>
      <c r="CY102" s="1007"/>
      <c r="CZ102" s="1007"/>
      <c r="DA102" s="1007"/>
      <c r="DB102" s="1007"/>
      <c r="DC102" s="1007"/>
      <c r="DD102" s="1007"/>
      <c r="DE102" s="1007"/>
      <c r="DF102" s="1007"/>
      <c r="DG102" s="1007"/>
      <c r="DH102" s="1007"/>
      <c r="DI102" s="1011">
        <f t="shared" si="70"/>
        <v>0</v>
      </c>
      <c r="DJ102" s="1007">
        <f t="shared" si="85"/>
        <v>0</v>
      </c>
      <c r="DK102" s="1007"/>
      <c r="DL102" s="1007"/>
      <c r="DM102" s="1007"/>
      <c r="DN102" s="1007">
        <f t="shared" si="86"/>
        <v>0</v>
      </c>
      <c r="DO102" s="1007"/>
      <c r="DP102" s="1007">
        <f t="shared" si="87"/>
        <v>0</v>
      </c>
      <c r="DQ102" s="1007">
        <f t="shared" si="87"/>
        <v>0</v>
      </c>
      <c r="DR102" s="1007"/>
      <c r="DS102" s="1007">
        <f t="shared" si="88"/>
        <v>0</v>
      </c>
      <c r="DT102" s="1007">
        <f t="shared" si="88"/>
        <v>0</v>
      </c>
      <c r="DU102" s="1007"/>
      <c r="DV102" s="1007">
        <f t="shared" si="89"/>
        <v>0</v>
      </c>
      <c r="DW102" s="1007">
        <f t="shared" si="89"/>
        <v>0</v>
      </c>
      <c r="DX102" s="1007">
        <f t="shared" si="89"/>
        <v>0</v>
      </c>
      <c r="DY102" s="1007">
        <f t="shared" si="90"/>
        <v>0</v>
      </c>
      <c r="DZ102" s="1007">
        <f t="shared" si="90"/>
        <v>0</v>
      </c>
      <c r="EA102" s="1007">
        <f t="shared" si="90"/>
        <v>0</v>
      </c>
      <c r="EB102" s="1007">
        <f t="shared" si="90"/>
        <v>0</v>
      </c>
      <c r="EC102" s="1007"/>
      <c r="ED102" s="1007">
        <f t="shared" si="91"/>
        <v>0</v>
      </c>
    </row>
    <row r="103" spans="1:134" ht="45.75" hidden="1" customHeight="1" x14ac:dyDescent="0.3">
      <c r="A103" s="1578"/>
      <c r="B103" s="1028"/>
      <c r="C103" s="1114" t="s">
        <v>4439</v>
      </c>
      <c r="D103" s="1018" t="s">
        <v>4630</v>
      </c>
      <c r="E103" s="1019">
        <v>520</v>
      </c>
      <c r="F103" s="1117" t="s">
        <v>4933</v>
      </c>
      <c r="G103" s="1430"/>
      <c r="H103" s="1060">
        <f t="shared" si="71"/>
        <v>14400000</v>
      </c>
      <c r="I103" s="1060">
        <f>Y103-H103</f>
        <v>23013108</v>
      </c>
      <c r="J103" s="1117" t="s">
        <v>4897</v>
      </c>
      <c r="K103" s="1113" t="s">
        <v>4900</v>
      </c>
      <c r="L103" s="1113" t="s">
        <v>4903</v>
      </c>
      <c r="M103" s="1113">
        <v>0</v>
      </c>
      <c r="N103" s="1113">
        <v>0</v>
      </c>
      <c r="O103" s="1113">
        <v>0</v>
      </c>
      <c r="P103" s="1113">
        <v>22</v>
      </c>
      <c r="Q103" s="1113">
        <v>0</v>
      </c>
      <c r="R103" s="1113">
        <v>0</v>
      </c>
      <c r="S103" s="1117"/>
      <c r="T103" s="1117"/>
      <c r="U103" s="1117"/>
      <c r="V103" s="1117"/>
      <c r="W103" s="1117"/>
      <c r="X103" s="1117"/>
      <c r="Y103" s="1007">
        <f t="shared" si="73"/>
        <v>37413108</v>
      </c>
      <c r="Z103" s="944"/>
      <c r="AA103" s="944"/>
      <c r="AB103" s="944"/>
      <c r="AC103" s="944"/>
      <c r="AD103" s="944"/>
      <c r="AE103" s="944"/>
      <c r="AF103" s="944"/>
      <c r="AG103" s="944"/>
      <c r="AH103" s="944"/>
      <c r="AI103" s="944"/>
      <c r="AJ103" s="944"/>
      <c r="AK103" s="149"/>
      <c r="AL103" s="944"/>
      <c r="AM103" s="944"/>
      <c r="AN103" s="1007"/>
      <c r="AO103" s="1007"/>
      <c r="AP103" s="1007"/>
      <c r="AQ103" s="1007"/>
      <c r="AR103" s="1007"/>
      <c r="AS103" s="1007">
        <f>3000000+8000000+20123209+4455882+1834017</f>
        <v>37413108</v>
      </c>
      <c r="AT103" s="203"/>
      <c r="AU103" s="1010">
        <f t="shared" si="74"/>
        <v>0.73715049281658185</v>
      </c>
      <c r="AV103" s="1007">
        <f t="shared" si="75"/>
        <v>27579091</v>
      </c>
      <c r="AW103" s="1007"/>
      <c r="AX103" s="1007"/>
      <c r="AY103" s="1007"/>
      <c r="AZ103" s="1007"/>
      <c r="BA103" s="1007"/>
      <c r="BB103" s="1007"/>
      <c r="BC103" s="1007"/>
      <c r="BD103" s="1007"/>
      <c r="BE103" s="1007"/>
      <c r="BF103" s="1007"/>
      <c r="BG103" s="1007"/>
      <c r="BH103" s="1007"/>
      <c r="BI103" s="1007"/>
      <c r="BJ103" s="1007"/>
      <c r="BK103" s="1007"/>
      <c r="BL103" s="1007"/>
      <c r="BM103" s="1007"/>
      <c r="BN103" s="1007"/>
      <c r="BO103" s="1007"/>
      <c r="BP103" s="1007">
        <f>+'[10]JULIO 2015'!$AD$2743</f>
        <v>27579091</v>
      </c>
      <c r="BQ103" s="1010">
        <f t="shared" si="94"/>
        <v>0.26284950718341815</v>
      </c>
      <c r="BR103" s="1007">
        <f t="shared" si="76"/>
        <v>9834017</v>
      </c>
      <c r="BS103" s="1007">
        <f t="shared" si="77"/>
        <v>0</v>
      </c>
      <c r="BT103" s="1007">
        <f t="shared" si="78"/>
        <v>0</v>
      </c>
      <c r="BU103" s="1007"/>
      <c r="BV103" s="1007">
        <f t="shared" si="79"/>
        <v>0</v>
      </c>
      <c r="BW103" s="1007"/>
      <c r="BX103" s="1007">
        <f t="shared" si="80"/>
        <v>0</v>
      </c>
      <c r="BY103" s="1007">
        <f t="shared" si="80"/>
        <v>0</v>
      </c>
      <c r="BZ103" s="1007"/>
      <c r="CA103" s="1007">
        <f t="shared" si="92"/>
        <v>0</v>
      </c>
      <c r="CB103" s="1007">
        <f t="shared" si="92"/>
        <v>0</v>
      </c>
      <c r="CC103" s="1007"/>
      <c r="CD103" s="1007">
        <f t="shared" si="93"/>
        <v>0</v>
      </c>
      <c r="CE103" s="1007">
        <f t="shared" si="93"/>
        <v>0</v>
      </c>
      <c r="CF103" s="1007">
        <f t="shared" si="93"/>
        <v>0</v>
      </c>
      <c r="CG103" s="1007">
        <f t="shared" si="93"/>
        <v>0</v>
      </c>
      <c r="CH103" s="1007">
        <f t="shared" si="93"/>
        <v>0</v>
      </c>
      <c r="CI103" s="1007">
        <f t="shared" si="93"/>
        <v>0</v>
      </c>
      <c r="CJ103" s="1007"/>
      <c r="CK103" s="1007"/>
      <c r="CL103" s="1007">
        <f t="shared" si="82"/>
        <v>9834017</v>
      </c>
      <c r="CM103" s="1010">
        <f t="shared" si="83"/>
        <v>0.38489184058164855</v>
      </c>
      <c r="CN103" s="1007">
        <f t="shared" si="84"/>
        <v>14400000</v>
      </c>
      <c r="CO103" s="1007"/>
      <c r="CP103" s="1007"/>
      <c r="CQ103" s="1007"/>
      <c r="CR103" s="1007"/>
      <c r="CS103" s="1007"/>
      <c r="CT103" s="1007"/>
      <c r="CU103" s="1007"/>
      <c r="CV103" s="1007"/>
      <c r="CW103" s="1007"/>
      <c r="CX103" s="1007"/>
      <c r="CY103" s="1007"/>
      <c r="CZ103" s="1007"/>
      <c r="DA103" s="1007"/>
      <c r="DB103" s="1007"/>
      <c r="DC103" s="1007"/>
      <c r="DD103" s="1007"/>
      <c r="DE103" s="1007"/>
      <c r="DF103" s="1007"/>
      <c r="DG103" s="1007"/>
      <c r="DH103" s="1007">
        <f>+'[8]SEPTIEMBRE 2015'!$H$3762</f>
        <v>14400000</v>
      </c>
      <c r="DI103" s="1011">
        <f t="shared" si="70"/>
        <v>0.6151081594183514</v>
      </c>
      <c r="DJ103" s="1007">
        <f t="shared" si="85"/>
        <v>23013108</v>
      </c>
      <c r="DK103" s="1007"/>
      <c r="DL103" s="1007"/>
      <c r="DM103" s="1007"/>
      <c r="DN103" s="1007">
        <f t="shared" si="86"/>
        <v>0</v>
      </c>
      <c r="DO103" s="1007"/>
      <c r="DP103" s="1007">
        <f t="shared" si="87"/>
        <v>0</v>
      </c>
      <c r="DQ103" s="1007">
        <f t="shared" si="87"/>
        <v>0</v>
      </c>
      <c r="DR103" s="1007"/>
      <c r="DS103" s="1007">
        <f t="shared" si="88"/>
        <v>0</v>
      </c>
      <c r="DT103" s="1007">
        <f t="shared" si="88"/>
        <v>0</v>
      </c>
      <c r="DU103" s="1007"/>
      <c r="DV103" s="1007">
        <f t="shared" si="89"/>
        <v>0</v>
      </c>
      <c r="DW103" s="1007">
        <f t="shared" si="89"/>
        <v>0</v>
      </c>
      <c r="DX103" s="1007">
        <f t="shared" si="89"/>
        <v>0</v>
      </c>
      <c r="DY103" s="1007">
        <f t="shared" si="90"/>
        <v>0</v>
      </c>
      <c r="DZ103" s="1007">
        <f t="shared" si="90"/>
        <v>0</v>
      </c>
      <c r="EA103" s="1007">
        <f t="shared" si="90"/>
        <v>0</v>
      </c>
      <c r="EB103" s="1007">
        <f t="shared" si="90"/>
        <v>0</v>
      </c>
      <c r="EC103" s="1007"/>
      <c r="ED103" s="1007">
        <f t="shared" si="91"/>
        <v>23013108</v>
      </c>
    </row>
    <row r="104" spans="1:134" s="948" customFormat="1" ht="21" customHeight="1" thickTop="1" thickBot="1" x14ac:dyDescent="0.3">
      <c r="A104" s="1001"/>
      <c r="B104" s="1625" t="s">
        <v>4982</v>
      </c>
      <c r="C104" s="1626"/>
      <c r="D104" s="1626"/>
      <c r="E104" s="1626"/>
      <c r="F104" s="1627"/>
      <c r="G104" s="1008">
        <f>SUM(G68:G103)</f>
        <v>2832000000</v>
      </c>
      <c r="H104" s="1008">
        <f>SUM(H68:H103)</f>
        <v>1853898673</v>
      </c>
      <c r="I104" s="1008">
        <f>SUM(I68:I103)</f>
        <v>1135342598</v>
      </c>
      <c r="J104" s="1126"/>
      <c r="K104" s="1125"/>
      <c r="L104" s="1125"/>
      <c r="M104" s="1125"/>
      <c r="N104" s="1125"/>
      <c r="O104" s="1125"/>
      <c r="P104" s="1125"/>
      <c r="Q104" s="1125"/>
      <c r="R104" s="1125"/>
      <c r="S104" s="1126"/>
      <c r="T104" s="1126"/>
      <c r="U104" s="1126"/>
      <c r="V104" s="1126"/>
      <c r="W104" s="1126"/>
      <c r="X104" s="1126"/>
      <c r="Y104" s="1008">
        <f t="shared" ref="Y104:AS104" si="95">SUM(Y68:Y103)</f>
        <v>2989241271</v>
      </c>
      <c r="Z104" s="1008">
        <f t="shared" si="95"/>
        <v>0</v>
      </c>
      <c r="AA104" s="1008">
        <f t="shared" si="95"/>
        <v>0</v>
      </c>
      <c r="AB104" s="1008">
        <f t="shared" si="95"/>
        <v>0</v>
      </c>
      <c r="AC104" s="1008">
        <f t="shared" si="95"/>
        <v>50000000</v>
      </c>
      <c r="AD104" s="1008">
        <f t="shared" si="95"/>
        <v>72884540</v>
      </c>
      <c r="AE104" s="1008">
        <f t="shared" si="95"/>
        <v>660000000</v>
      </c>
      <c r="AF104" s="1008">
        <f t="shared" si="95"/>
        <v>923014856</v>
      </c>
      <c r="AG104" s="1008">
        <f t="shared" si="95"/>
        <v>0</v>
      </c>
      <c r="AH104" s="1008">
        <f t="shared" si="95"/>
        <v>0</v>
      </c>
      <c r="AI104" s="1008">
        <f t="shared" si="95"/>
        <v>0</v>
      </c>
      <c r="AJ104" s="1008">
        <f t="shared" si="95"/>
        <v>0</v>
      </c>
      <c r="AK104" s="1008">
        <f t="shared" si="95"/>
        <v>0</v>
      </c>
      <c r="AL104" s="1008">
        <f t="shared" si="95"/>
        <v>610864435</v>
      </c>
      <c r="AM104" s="1008">
        <f t="shared" si="95"/>
        <v>0</v>
      </c>
      <c r="AN104" s="1008">
        <f t="shared" si="95"/>
        <v>75000000</v>
      </c>
      <c r="AO104" s="1008">
        <f t="shared" si="95"/>
        <v>0</v>
      </c>
      <c r="AP104" s="1008">
        <f t="shared" si="95"/>
        <v>0</v>
      </c>
      <c r="AQ104" s="1008">
        <f t="shared" si="95"/>
        <v>0</v>
      </c>
      <c r="AR104" s="1008">
        <f t="shared" si="95"/>
        <v>0</v>
      </c>
      <c r="AS104" s="1008">
        <f t="shared" si="95"/>
        <v>597477440</v>
      </c>
      <c r="AU104" s="1011">
        <f t="shared" si="74"/>
        <v>0.81551392577437753</v>
      </c>
      <c r="AV104" s="1008">
        <f>SUM(AV68:AV103)</f>
        <v>2437767884</v>
      </c>
      <c r="AW104" s="1008">
        <f>SUM(AW68:AW103)</f>
        <v>0</v>
      </c>
      <c r="AX104" s="1008">
        <f>SUM(AX68:AX103)</f>
        <v>0</v>
      </c>
      <c r="AY104" s="1008"/>
      <c r="AZ104" s="1008">
        <f>SUM(AZ68:AZ103)</f>
        <v>50000000</v>
      </c>
      <c r="BA104" s="1008"/>
      <c r="BB104" s="1008">
        <f t="shared" ref="BB104:BP104" si="96">SUM(BB68:BB103)</f>
        <v>649180877</v>
      </c>
      <c r="BC104" s="1008">
        <f t="shared" si="96"/>
        <v>898014856</v>
      </c>
      <c r="BD104" s="1008">
        <f t="shared" si="96"/>
        <v>0</v>
      </c>
      <c r="BE104" s="1008">
        <f t="shared" si="96"/>
        <v>0</v>
      </c>
      <c r="BF104" s="1008">
        <f t="shared" si="96"/>
        <v>0</v>
      </c>
      <c r="BG104" s="1008">
        <f t="shared" si="96"/>
        <v>0</v>
      </c>
      <c r="BH104" s="1008">
        <f t="shared" si="96"/>
        <v>0</v>
      </c>
      <c r="BI104" s="1008">
        <f t="shared" si="96"/>
        <v>239671226</v>
      </c>
      <c r="BJ104" s="1008">
        <f t="shared" si="96"/>
        <v>0</v>
      </c>
      <c r="BK104" s="1008">
        <f t="shared" si="96"/>
        <v>56860700</v>
      </c>
      <c r="BL104" s="1008">
        <f t="shared" si="96"/>
        <v>0</v>
      </c>
      <c r="BM104" s="1008">
        <f t="shared" si="96"/>
        <v>0</v>
      </c>
      <c r="BN104" s="1008">
        <f t="shared" si="96"/>
        <v>0</v>
      </c>
      <c r="BO104" s="1008">
        <f t="shared" si="96"/>
        <v>0</v>
      </c>
      <c r="BP104" s="1008">
        <f t="shared" si="96"/>
        <v>544040225</v>
      </c>
      <c r="BQ104" s="1011">
        <f t="shared" si="94"/>
        <v>0.18448607422562247</v>
      </c>
      <c r="BR104" s="1008">
        <f t="shared" ref="BR104:CL104" si="97">SUM(BR68:BR103)</f>
        <v>551473387</v>
      </c>
      <c r="BS104" s="1008">
        <f t="shared" si="97"/>
        <v>0</v>
      </c>
      <c r="BT104" s="1008">
        <f t="shared" si="97"/>
        <v>0</v>
      </c>
      <c r="BU104" s="1008">
        <f t="shared" si="97"/>
        <v>0</v>
      </c>
      <c r="BV104" s="1008">
        <f t="shared" si="97"/>
        <v>0</v>
      </c>
      <c r="BW104" s="1008">
        <f t="shared" si="97"/>
        <v>72884540</v>
      </c>
      <c r="BX104" s="1008">
        <f t="shared" si="97"/>
        <v>10819123</v>
      </c>
      <c r="BY104" s="1008">
        <f t="shared" si="97"/>
        <v>25000000</v>
      </c>
      <c r="BZ104" s="1008">
        <f t="shared" si="97"/>
        <v>0</v>
      </c>
      <c r="CA104" s="1008">
        <f t="shared" si="97"/>
        <v>0</v>
      </c>
      <c r="CB104" s="1008">
        <f t="shared" si="97"/>
        <v>0</v>
      </c>
      <c r="CC104" s="1008">
        <f t="shared" si="97"/>
        <v>0</v>
      </c>
      <c r="CD104" s="1008">
        <f t="shared" si="97"/>
        <v>0</v>
      </c>
      <c r="CE104" s="1008">
        <f t="shared" si="97"/>
        <v>371193209</v>
      </c>
      <c r="CF104" s="1008">
        <f t="shared" si="97"/>
        <v>0</v>
      </c>
      <c r="CG104" s="1008">
        <f t="shared" si="97"/>
        <v>18139300</v>
      </c>
      <c r="CH104" s="1008">
        <f t="shared" si="97"/>
        <v>0</v>
      </c>
      <c r="CI104" s="1008">
        <f t="shared" si="97"/>
        <v>0</v>
      </c>
      <c r="CJ104" s="1008">
        <f t="shared" si="97"/>
        <v>0</v>
      </c>
      <c r="CK104" s="1008">
        <f t="shared" si="97"/>
        <v>0</v>
      </c>
      <c r="CL104" s="1008">
        <f t="shared" si="97"/>
        <v>53437215</v>
      </c>
      <c r="CM104" s="1011">
        <f t="shared" si="83"/>
        <v>0.62019037773414976</v>
      </c>
      <c r="CN104" s="1008">
        <f>SUM(CN68:CN103)</f>
        <v>1853898673</v>
      </c>
      <c r="CO104" s="1008">
        <f>SUM(CO68:CO103)</f>
        <v>0</v>
      </c>
      <c r="CP104" s="1008">
        <f>SUM(CP68:CP103)</f>
        <v>0</v>
      </c>
      <c r="CQ104" s="1008"/>
      <c r="CR104" s="1008">
        <f>SUM(CR68:CR103)</f>
        <v>40000000</v>
      </c>
      <c r="CS104" s="1008"/>
      <c r="CT104" s="1008">
        <f>SUM(CT68:CT103)</f>
        <v>492270188</v>
      </c>
      <c r="CU104" s="1008">
        <f>SUM(CU68:CU103)</f>
        <v>654040542</v>
      </c>
      <c r="CV104" s="1008"/>
      <c r="CW104" s="1008">
        <f t="shared" ref="CW104:DH104" si="98">SUM(CW68:CW103)</f>
        <v>0</v>
      </c>
      <c r="CX104" s="1008">
        <f t="shared" si="98"/>
        <v>0</v>
      </c>
      <c r="CY104" s="1008">
        <f t="shared" si="98"/>
        <v>0</v>
      </c>
      <c r="CZ104" s="1008">
        <f t="shared" si="98"/>
        <v>0</v>
      </c>
      <c r="DA104" s="1008">
        <f t="shared" si="98"/>
        <v>144717838</v>
      </c>
      <c r="DB104" s="1008">
        <f t="shared" si="98"/>
        <v>0</v>
      </c>
      <c r="DC104" s="1008">
        <f t="shared" si="98"/>
        <v>43207264</v>
      </c>
      <c r="DD104" s="1008">
        <f t="shared" si="98"/>
        <v>0</v>
      </c>
      <c r="DE104" s="1008">
        <f t="shared" si="98"/>
        <v>0</v>
      </c>
      <c r="DF104" s="1008">
        <f t="shared" si="98"/>
        <v>0</v>
      </c>
      <c r="DG104" s="1008">
        <f t="shared" si="98"/>
        <v>0</v>
      </c>
      <c r="DH104" s="1008">
        <f t="shared" si="98"/>
        <v>479662841</v>
      </c>
      <c r="DI104" s="1011">
        <f t="shared" si="70"/>
        <v>0.37980962226585024</v>
      </c>
      <c r="DJ104" s="1008">
        <f>SUM(DJ68:DJ103)</f>
        <v>1135342598</v>
      </c>
      <c r="DK104" s="1008">
        <f>SUM(DK68:DK103)</f>
        <v>0</v>
      </c>
      <c r="DL104" s="1008">
        <f>SUM(DL68:DL103)</f>
        <v>0</v>
      </c>
      <c r="DM104" s="1008"/>
      <c r="DN104" s="1008">
        <f t="shared" ref="DN104:ED104" si="99">SUM(DN68:DN103)</f>
        <v>10000000</v>
      </c>
      <c r="DO104" s="1008">
        <f t="shared" si="99"/>
        <v>72884540</v>
      </c>
      <c r="DP104" s="1008">
        <f t="shared" si="99"/>
        <v>167729812</v>
      </c>
      <c r="DQ104" s="1008">
        <f t="shared" si="99"/>
        <v>268974314</v>
      </c>
      <c r="DR104" s="1008">
        <f t="shared" si="99"/>
        <v>0</v>
      </c>
      <c r="DS104" s="1008">
        <f t="shared" si="99"/>
        <v>0</v>
      </c>
      <c r="DT104" s="1008">
        <f t="shared" si="99"/>
        <v>0</v>
      </c>
      <c r="DU104" s="1008">
        <f t="shared" si="99"/>
        <v>0</v>
      </c>
      <c r="DV104" s="1008">
        <f t="shared" si="99"/>
        <v>0</v>
      </c>
      <c r="DW104" s="1008">
        <f t="shared" si="99"/>
        <v>466146597</v>
      </c>
      <c r="DX104" s="1008">
        <f t="shared" si="99"/>
        <v>0</v>
      </c>
      <c r="DY104" s="1008">
        <f t="shared" si="99"/>
        <v>31792736</v>
      </c>
      <c r="DZ104" s="1008">
        <f t="shared" si="99"/>
        <v>0</v>
      </c>
      <c r="EA104" s="1008">
        <f t="shared" si="99"/>
        <v>0</v>
      </c>
      <c r="EB104" s="1008">
        <f t="shared" si="99"/>
        <v>0</v>
      </c>
      <c r="EC104" s="1008">
        <f t="shared" si="99"/>
        <v>0</v>
      </c>
      <c r="ED104" s="1036">
        <f t="shared" si="99"/>
        <v>117814599</v>
      </c>
    </row>
    <row r="105" spans="1:134" ht="6" customHeight="1" thickTop="1" x14ac:dyDescent="0.25">
      <c r="B105" s="1029"/>
      <c r="C105" s="1030"/>
      <c r="D105" s="1031"/>
      <c r="E105" s="997"/>
      <c r="F105" s="1032"/>
      <c r="G105" s="1032"/>
      <c r="H105" s="1032"/>
      <c r="I105" s="1032"/>
      <c r="J105" s="1032"/>
      <c r="K105" s="1075"/>
      <c r="L105" s="1075"/>
      <c r="M105" s="1075"/>
      <c r="N105" s="1075"/>
      <c r="O105" s="1075"/>
      <c r="P105" s="1075"/>
      <c r="Q105" s="1075"/>
      <c r="R105" s="1075"/>
      <c r="S105" s="1032"/>
      <c r="T105" s="1032"/>
      <c r="U105" s="1032"/>
      <c r="V105" s="1032"/>
      <c r="W105" s="1032"/>
      <c r="X105" s="1032"/>
      <c r="Y105" s="998"/>
      <c r="Z105" s="998"/>
      <c r="AA105" s="998"/>
      <c r="AB105" s="998"/>
      <c r="AC105" s="998"/>
      <c r="AD105" s="998"/>
      <c r="AE105" s="883"/>
      <c r="AF105" s="883"/>
      <c r="AG105" s="883"/>
      <c r="AH105" s="883"/>
      <c r="AI105" s="883"/>
      <c r="AJ105" s="883"/>
      <c r="AK105" s="883"/>
      <c r="AL105" s="883"/>
      <c r="AM105" s="883"/>
      <c r="AN105" s="883"/>
      <c r="AO105" s="883"/>
      <c r="AP105" s="883"/>
      <c r="AQ105" s="883"/>
      <c r="AR105" s="883"/>
      <c r="AS105" s="883"/>
      <c r="AT105" s="962"/>
      <c r="AU105" s="999"/>
      <c r="AV105" s="150"/>
      <c r="AW105" s="150"/>
      <c r="AX105" s="150"/>
      <c r="AY105" s="150"/>
      <c r="AZ105" s="150"/>
      <c r="BA105" s="150"/>
      <c r="BB105" s="225"/>
      <c r="BC105" s="225"/>
      <c r="BD105" s="225"/>
      <c r="BE105" s="225"/>
      <c r="BF105" s="225"/>
      <c r="BG105" s="225"/>
      <c r="BH105" s="225"/>
      <c r="BI105" s="225"/>
      <c r="BJ105" s="225"/>
      <c r="BK105" s="225"/>
      <c r="BL105" s="225"/>
      <c r="BM105" s="225"/>
      <c r="BN105" s="225"/>
      <c r="BO105" s="225"/>
      <c r="BP105" s="225"/>
      <c r="BQ105" s="1005"/>
      <c r="BR105" s="150"/>
      <c r="BS105" s="150"/>
      <c r="BT105" s="150"/>
      <c r="BU105" s="150"/>
      <c r="BV105" s="150"/>
      <c r="BW105" s="150"/>
      <c r="BX105" s="227"/>
      <c r="BY105" s="227"/>
      <c r="BZ105" s="227"/>
      <c r="CA105" s="227"/>
      <c r="CB105" s="227"/>
      <c r="CC105" s="227"/>
      <c r="CD105" s="227"/>
      <c r="CE105" s="227"/>
      <c r="CF105" s="227"/>
      <c r="CG105" s="227"/>
      <c r="CH105" s="227"/>
      <c r="CI105" s="227"/>
      <c r="CJ105" s="227"/>
      <c r="CK105" s="227"/>
      <c r="CL105" s="227"/>
      <c r="CM105" s="1005"/>
      <c r="CN105" s="150"/>
      <c r="CO105" s="150"/>
      <c r="CP105" s="150"/>
      <c r="CQ105" s="150"/>
      <c r="CR105" s="150"/>
      <c r="CS105" s="150"/>
      <c r="CT105" s="225"/>
      <c r="CU105" s="225"/>
      <c r="CV105" s="225"/>
      <c r="CW105" s="225"/>
      <c r="CX105" s="225"/>
      <c r="CY105" s="225"/>
      <c r="CZ105" s="225"/>
      <c r="DA105" s="225"/>
      <c r="DB105" s="225"/>
      <c r="DC105" s="225"/>
      <c r="DD105" s="225"/>
      <c r="DE105" s="225"/>
      <c r="DF105" s="225"/>
      <c r="DG105" s="225"/>
      <c r="DH105" s="225"/>
      <c r="DI105" s="1005"/>
      <c r="DJ105" s="150"/>
      <c r="DK105" s="150"/>
      <c r="DL105" s="150"/>
      <c r="DM105" s="150"/>
      <c r="DN105" s="150"/>
      <c r="DO105" s="150"/>
      <c r="DP105" s="227"/>
      <c r="DQ105" s="227"/>
      <c r="DR105" s="227"/>
      <c r="DS105" s="227"/>
      <c r="DT105" s="227"/>
      <c r="DU105" s="227"/>
      <c r="DV105" s="227"/>
      <c r="DW105" s="227"/>
      <c r="DX105" s="227"/>
      <c r="DY105" s="227"/>
      <c r="DZ105" s="227"/>
      <c r="EA105" s="227"/>
      <c r="EB105" s="227"/>
      <c r="EC105" s="227"/>
      <c r="ED105" s="227"/>
    </row>
    <row r="106" spans="1:134" s="948" customFormat="1" ht="27.75" hidden="1" customHeight="1" x14ac:dyDescent="0.25">
      <c r="A106" s="1586" t="s">
        <v>3307</v>
      </c>
      <c r="B106" s="1018" t="s">
        <v>4366</v>
      </c>
      <c r="C106" s="1114" t="s">
        <v>4440</v>
      </c>
      <c r="D106" s="1018" t="s">
        <v>4631</v>
      </c>
      <c r="E106" s="1019">
        <v>301</v>
      </c>
      <c r="F106" s="1117" t="s">
        <v>4661</v>
      </c>
      <c r="G106" s="1428">
        <v>325000000</v>
      </c>
      <c r="H106" s="1060">
        <f t="shared" ref="H106:H128" si="100">+CN106</f>
        <v>35078248</v>
      </c>
      <c r="I106" s="1060">
        <f t="shared" ref="I106:I115" si="101">Y106-H106</f>
        <v>40921752</v>
      </c>
      <c r="J106" s="1117" t="s">
        <v>4904</v>
      </c>
      <c r="K106" s="1113" t="s">
        <v>4909</v>
      </c>
      <c r="L106" s="1113" t="s">
        <v>4916</v>
      </c>
      <c r="M106" s="1113">
        <v>13</v>
      </c>
      <c r="N106" s="1113">
        <v>37</v>
      </c>
      <c r="O106" s="1113">
        <v>5</v>
      </c>
      <c r="P106" s="1113">
        <v>30</v>
      </c>
      <c r="Q106" s="1113">
        <v>71</v>
      </c>
      <c r="R106" s="1113">
        <v>21</v>
      </c>
      <c r="S106" s="1117"/>
      <c r="T106" s="1117"/>
      <c r="U106" s="1117"/>
      <c r="V106" s="1117"/>
      <c r="W106" s="1117"/>
      <c r="X106" s="1117"/>
      <c r="Y106" s="1007">
        <f t="shared" ref="Y106:Y128" si="102">SUM(Z106:AS106)</f>
        <v>76000000</v>
      </c>
      <c r="Z106" s="1007"/>
      <c r="AA106" s="1007">
        <f>6985144-6985144</f>
        <v>0</v>
      </c>
      <c r="AB106" s="1007"/>
      <c r="AC106" s="1007"/>
      <c r="AD106" s="1007"/>
      <c r="AE106" s="1007"/>
      <c r="AF106" s="1007"/>
      <c r="AG106" s="1007"/>
      <c r="AH106" s="1007"/>
      <c r="AI106" s="1007"/>
      <c r="AJ106" s="1007"/>
      <c r="AK106" s="1007"/>
      <c r="AL106" s="1007"/>
      <c r="AM106" s="1007"/>
      <c r="AN106" s="1007"/>
      <c r="AO106" s="1007">
        <v>6985144</v>
      </c>
      <c r="AP106" s="1007">
        <v>69014856</v>
      </c>
      <c r="AQ106" s="1007"/>
      <c r="AR106" s="1007"/>
      <c r="AS106" s="1007"/>
      <c r="AU106" s="1010">
        <f t="shared" ref="AU106:AU175" si="103">+AV106/Y106</f>
        <v>0.90809021052631578</v>
      </c>
      <c r="AV106" s="1007">
        <f t="shared" ref="AV106:AV128" si="104">SUM(AW106:BP106)</f>
        <v>69014856</v>
      </c>
      <c r="AW106" s="1007"/>
      <c r="AX106" s="1007"/>
      <c r="AY106" s="1007"/>
      <c r="AZ106" s="1007"/>
      <c r="BA106" s="1007"/>
      <c r="BB106" s="1007"/>
      <c r="BC106" s="1007"/>
      <c r="BD106" s="1007"/>
      <c r="BE106" s="1007"/>
      <c r="BF106" s="1007"/>
      <c r="BG106" s="1007"/>
      <c r="BH106" s="1007"/>
      <c r="BI106" s="1007"/>
      <c r="BJ106" s="1007"/>
      <c r="BK106" s="1007"/>
      <c r="BL106" s="1007"/>
      <c r="BM106" s="1007">
        <f>+'[16]ENERO 2015'!$W$295</f>
        <v>69014856</v>
      </c>
      <c r="BN106" s="1007"/>
      <c r="BO106" s="1007"/>
      <c r="BP106" s="1007"/>
      <c r="BQ106" s="1010">
        <f t="shared" ref="BQ106:BQ175" si="105">1-AU106</f>
        <v>9.1909789473684222E-2</v>
      </c>
      <c r="BR106" s="1007">
        <f t="shared" ref="BR106:BR128" si="106">SUM(BS106:CL106)</f>
        <v>6985144</v>
      </c>
      <c r="BS106" s="1007">
        <f t="shared" ref="BS106:BS113" si="107">+Z106-AW106</f>
        <v>0</v>
      </c>
      <c r="BT106" s="1007">
        <f t="shared" ref="BT106:BT113" si="108">AA106-AX106</f>
        <v>0</v>
      </c>
      <c r="BU106" s="1007"/>
      <c r="BV106" s="1007">
        <f t="shared" ref="BV106:BV113" si="109">AC106-AZ106</f>
        <v>0</v>
      </c>
      <c r="BW106" s="1007"/>
      <c r="BX106" s="1007">
        <f t="shared" ref="BX106:BY111" si="110">+AE106-BB106</f>
        <v>0</v>
      </c>
      <c r="BY106" s="1007">
        <f t="shared" si="110"/>
        <v>0</v>
      </c>
      <c r="BZ106" s="1007"/>
      <c r="CA106" s="1007"/>
      <c r="CB106" s="1007"/>
      <c r="CC106" s="1007"/>
      <c r="CD106" s="1007">
        <f t="shared" ref="CD106:CI128" si="111">+AK106-BH106</f>
        <v>0</v>
      </c>
      <c r="CE106" s="1007">
        <f t="shared" si="111"/>
        <v>0</v>
      </c>
      <c r="CF106" s="1007">
        <f t="shared" si="111"/>
        <v>0</v>
      </c>
      <c r="CG106" s="1007">
        <f t="shared" si="111"/>
        <v>0</v>
      </c>
      <c r="CH106" s="1007">
        <f t="shared" si="111"/>
        <v>6985144</v>
      </c>
      <c r="CI106" s="1007">
        <f t="shared" si="111"/>
        <v>0</v>
      </c>
      <c r="CJ106" s="1007"/>
      <c r="CK106" s="1007"/>
      <c r="CL106" s="1007">
        <f t="shared" ref="CL106:CL113" si="112">+AS106-BP106</f>
        <v>0</v>
      </c>
      <c r="CM106" s="1010">
        <f t="shared" ref="CM106:CM176" si="113">+CN106/Y106</f>
        <v>0.46155589473684211</v>
      </c>
      <c r="CN106" s="1007">
        <f t="shared" ref="CN106:CN128" si="114">SUM(CO106:DH106)</f>
        <v>35078248</v>
      </c>
      <c r="CO106" s="1007"/>
      <c r="CP106" s="1007"/>
      <c r="CQ106" s="1007"/>
      <c r="CR106" s="1007"/>
      <c r="CS106" s="1007"/>
      <c r="CT106" s="1007"/>
      <c r="CU106" s="1007"/>
      <c r="CV106" s="1007"/>
      <c r="CW106" s="1007"/>
      <c r="CX106" s="1007"/>
      <c r="CY106" s="1007"/>
      <c r="CZ106" s="1007"/>
      <c r="DA106" s="1007"/>
      <c r="DB106" s="1007"/>
      <c r="DC106" s="1007"/>
      <c r="DD106" s="1007"/>
      <c r="DE106" s="1007">
        <f>+'[8]SEPTIEMBRE 2015'!$H$959</f>
        <v>35078248</v>
      </c>
      <c r="DF106" s="1007"/>
      <c r="DG106" s="1007"/>
      <c r="DH106" s="1007"/>
      <c r="DI106" s="1010">
        <f t="shared" ref="DI106:DI175" si="115">1-CM106</f>
        <v>0.53844410526315789</v>
      </c>
      <c r="DJ106" s="1007">
        <f t="shared" ref="DJ106:DJ128" si="116">SUM(DK106:ED106)</f>
        <v>40921752</v>
      </c>
      <c r="DK106" s="1007">
        <f>Z106-CO106</f>
        <v>0</v>
      </c>
      <c r="DL106" s="1007">
        <f>AA106-CP106</f>
        <v>0</v>
      </c>
      <c r="DM106" s="1007">
        <f>AB106-CQ106</f>
        <v>0</v>
      </c>
      <c r="DN106" s="1007">
        <f>AC106-CR106</f>
        <v>0</v>
      </c>
      <c r="DO106" s="1007"/>
      <c r="DP106" s="1007">
        <f t="shared" ref="DP106:DQ111" si="117">AE106-CT106</f>
        <v>0</v>
      </c>
      <c r="DQ106" s="1007">
        <f t="shared" si="117"/>
        <v>0</v>
      </c>
      <c r="DR106" s="1007"/>
      <c r="DS106" s="1007">
        <f t="shared" ref="DS106:DT111" si="118">+AH106-CW106</f>
        <v>0</v>
      </c>
      <c r="DT106" s="1007">
        <f t="shared" si="118"/>
        <v>0</v>
      </c>
      <c r="DU106" s="1007"/>
      <c r="DV106" s="1007">
        <f t="shared" ref="DV106:DX111" si="119">AK106-CZ106</f>
        <v>0</v>
      </c>
      <c r="DW106" s="1007">
        <f t="shared" si="119"/>
        <v>0</v>
      </c>
      <c r="DX106" s="1007">
        <f t="shared" si="119"/>
        <v>0</v>
      </c>
      <c r="DY106" s="1007">
        <f t="shared" ref="DY106:EB111" si="120">+AN106-DC106</f>
        <v>0</v>
      </c>
      <c r="DZ106" s="1007">
        <f t="shared" si="120"/>
        <v>6985144</v>
      </c>
      <c r="EA106" s="1007">
        <f t="shared" si="120"/>
        <v>33936608</v>
      </c>
      <c r="EB106" s="1007">
        <f t="shared" si="120"/>
        <v>0</v>
      </c>
      <c r="EC106" s="1007"/>
      <c r="ED106" s="1007">
        <f t="shared" ref="ED106:ED113" si="121">+AS106-DH106</f>
        <v>0</v>
      </c>
    </row>
    <row r="107" spans="1:134" s="948" customFormat="1" ht="33.75" hidden="1" customHeight="1" x14ac:dyDescent="0.25">
      <c r="A107" s="1586"/>
      <c r="B107" s="1018"/>
      <c r="C107" s="1114" t="s">
        <v>4461</v>
      </c>
      <c r="D107" s="1018" t="s">
        <v>4632</v>
      </c>
      <c r="E107" s="1019">
        <v>301</v>
      </c>
      <c r="F107" s="1117" t="s">
        <v>4661</v>
      </c>
      <c r="G107" s="1429"/>
      <c r="H107" s="1060">
        <f t="shared" si="100"/>
        <v>52739455</v>
      </c>
      <c r="I107" s="1060">
        <f t="shared" si="101"/>
        <v>2260545</v>
      </c>
      <c r="J107" s="1428" t="s">
        <v>4905</v>
      </c>
      <c r="K107" s="1257" t="s">
        <v>4910</v>
      </c>
      <c r="L107" s="1257" t="s">
        <v>4917</v>
      </c>
      <c r="M107" s="1113">
        <v>24</v>
      </c>
      <c r="N107" s="1113">
        <v>34</v>
      </c>
      <c r="O107" s="1113">
        <v>8</v>
      </c>
      <c r="P107" s="1113">
        <v>36</v>
      </c>
      <c r="Q107" s="1113">
        <v>70</v>
      </c>
      <c r="R107" s="1113">
        <v>25</v>
      </c>
      <c r="S107" s="1117"/>
      <c r="T107" s="1117"/>
      <c r="U107" s="1117"/>
      <c r="V107" s="1117"/>
      <c r="W107" s="1117"/>
      <c r="X107" s="1117"/>
      <c r="Y107" s="1007">
        <f t="shared" si="102"/>
        <v>55000000</v>
      </c>
      <c r="Z107" s="1007"/>
      <c r="AA107" s="1007"/>
      <c r="AB107" s="1007"/>
      <c r="AC107" s="1007"/>
      <c r="AD107" s="1007"/>
      <c r="AE107" s="1007"/>
      <c r="AF107" s="1007"/>
      <c r="AG107" s="1007"/>
      <c r="AH107" s="1007"/>
      <c r="AI107" s="1007"/>
      <c r="AJ107" s="1007"/>
      <c r="AK107" s="1007"/>
      <c r="AL107" s="1007"/>
      <c r="AM107" s="1007"/>
      <c r="AN107" s="1007"/>
      <c r="AO107" s="1007"/>
      <c r="AP107" s="1007">
        <v>55000000</v>
      </c>
      <c r="AQ107" s="1007"/>
      <c r="AR107" s="1007"/>
      <c r="AS107" s="1007"/>
      <c r="AU107" s="1010">
        <f t="shared" si="103"/>
        <v>1</v>
      </c>
      <c r="AV107" s="1007">
        <f t="shared" si="104"/>
        <v>55000000</v>
      </c>
      <c r="AW107" s="1007"/>
      <c r="AX107" s="1007"/>
      <c r="AY107" s="1007"/>
      <c r="AZ107" s="1007"/>
      <c r="BA107" s="1007"/>
      <c r="BB107" s="1007"/>
      <c r="BC107" s="1007"/>
      <c r="BD107" s="1007"/>
      <c r="BE107" s="1007"/>
      <c r="BF107" s="1007"/>
      <c r="BG107" s="1007"/>
      <c r="BH107" s="1007"/>
      <c r="BI107" s="1007"/>
      <c r="BJ107" s="1007"/>
      <c r="BK107" s="1007"/>
      <c r="BL107" s="1007"/>
      <c r="BM107" s="1007">
        <f>+'[16]ENERO 2015'!$W$301</f>
        <v>55000000</v>
      </c>
      <c r="BN107" s="1007"/>
      <c r="BO107" s="1007"/>
      <c r="BP107" s="1007"/>
      <c r="BQ107" s="1010">
        <f t="shared" si="105"/>
        <v>0</v>
      </c>
      <c r="BR107" s="1007">
        <f t="shared" si="106"/>
        <v>0</v>
      </c>
      <c r="BS107" s="1007">
        <f t="shared" si="107"/>
        <v>0</v>
      </c>
      <c r="BT107" s="1007">
        <f t="shared" si="108"/>
        <v>0</v>
      </c>
      <c r="BU107" s="1007"/>
      <c r="BV107" s="1007">
        <f t="shared" si="109"/>
        <v>0</v>
      </c>
      <c r="BW107" s="1007"/>
      <c r="BX107" s="1007">
        <f t="shared" si="110"/>
        <v>0</v>
      </c>
      <c r="BY107" s="1007">
        <f t="shared" si="110"/>
        <v>0</v>
      </c>
      <c r="BZ107" s="1007"/>
      <c r="CA107" s="1007"/>
      <c r="CB107" s="1007"/>
      <c r="CC107" s="1007"/>
      <c r="CD107" s="1007">
        <f t="shared" si="111"/>
        <v>0</v>
      </c>
      <c r="CE107" s="1007">
        <f t="shared" si="111"/>
        <v>0</v>
      </c>
      <c r="CF107" s="1007">
        <f t="shared" si="111"/>
        <v>0</v>
      </c>
      <c r="CG107" s="1007">
        <f t="shared" si="111"/>
        <v>0</v>
      </c>
      <c r="CH107" s="1007">
        <f t="shared" si="111"/>
        <v>0</v>
      </c>
      <c r="CI107" s="1007">
        <f t="shared" si="111"/>
        <v>0</v>
      </c>
      <c r="CJ107" s="1007"/>
      <c r="CK107" s="1007"/>
      <c r="CL107" s="1007">
        <f t="shared" si="112"/>
        <v>0</v>
      </c>
      <c r="CM107" s="1010">
        <f t="shared" si="113"/>
        <v>0.95889918181818179</v>
      </c>
      <c r="CN107" s="1007">
        <f t="shared" si="114"/>
        <v>52739455</v>
      </c>
      <c r="CO107" s="1007"/>
      <c r="CP107" s="1007"/>
      <c r="CQ107" s="1007"/>
      <c r="CR107" s="1007"/>
      <c r="CS107" s="1007"/>
      <c r="CT107" s="1007"/>
      <c r="CU107" s="1007"/>
      <c r="CV107" s="1007"/>
      <c r="CW107" s="1007"/>
      <c r="CX107" s="1007"/>
      <c r="CY107" s="1007"/>
      <c r="CZ107" s="1007"/>
      <c r="DA107" s="1007"/>
      <c r="DB107" s="1007"/>
      <c r="DC107" s="1007"/>
      <c r="DD107" s="1007"/>
      <c r="DE107" s="1007">
        <f>+'[8]SEPTIEMBRE 2015'!$H$978</f>
        <v>52739455</v>
      </c>
      <c r="DF107" s="1007"/>
      <c r="DG107" s="1007"/>
      <c r="DH107" s="1007"/>
      <c r="DI107" s="1010">
        <f t="shared" si="115"/>
        <v>4.1100818181818211E-2</v>
      </c>
      <c r="DJ107" s="1007">
        <f t="shared" si="116"/>
        <v>2260545</v>
      </c>
      <c r="DK107" s="1007">
        <f t="shared" ref="DK107:DK113" si="122">Z107-CO107</f>
        <v>0</v>
      </c>
      <c r="DL107" s="1007"/>
      <c r="DM107" s="1007"/>
      <c r="DN107" s="1007">
        <f>AC107-CR107</f>
        <v>0</v>
      </c>
      <c r="DO107" s="1007"/>
      <c r="DP107" s="1007">
        <f t="shared" si="117"/>
        <v>0</v>
      </c>
      <c r="DQ107" s="1007">
        <f t="shared" si="117"/>
        <v>0</v>
      </c>
      <c r="DR107" s="1007"/>
      <c r="DS107" s="1007">
        <f t="shared" si="118"/>
        <v>0</v>
      </c>
      <c r="DT107" s="1007">
        <f t="shared" si="118"/>
        <v>0</v>
      </c>
      <c r="DU107" s="1007"/>
      <c r="DV107" s="1007">
        <f t="shared" si="119"/>
        <v>0</v>
      </c>
      <c r="DW107" s="1007">
        <f t="shared" si="119"/>
        <v>0</v>
      </c>
      <c r="DX107" s="1007">
        <f t="shared" si="119"/>
        <v>0</v>
      </c>
      <c r="DY107" s="1007">
        <f t="shared" si="120"/>
        <v>0</v>
      </c>
      <c r="DZ107" s="1007">
        <f t="shared" si="120"/>
        <v>0</v>
      </c>
      <c r="EA107" s="1007">
        <f t="shared" si="120"/>
        <v>2260545</v>
      </c>
      <c r="EB107" s="1007">
        <f t="shared" si="120"/>
        <v>0</v>
      </c>
      <c r="EC107" s="1007"/>
      <c r="ED107" s="1007">
        <f t="shared" si="121"/>
        <v>0</v>
      </c>
    </row>
    <row r="108" spans="1:134" s="948" customFormat="1" ht="35.25" hidden="1" customHeight="1" x14ac:dyDescent="0.25">
      <c r="A108" s="1586"/>
      <c r="B108" s="1018"/>
      <c r="C108" s="1114" t="s">
        <v>4462</v>
      </c>
      <c r="D108" s="1018" t="s">
        <v>4633</v>
      </c>
      <c r="E108" s="1019">
        <v>301</v>
      </c>
      <c r="F108" s="1117" t="s">
        <v>4661</v>
      </c>
      <c r="G108" s="1429"/>
      <c r="H108" s="1060">
        <f t="shared" si="100"/>
        <v>57332905</v>
      </c>
      <c r="I108" s="1060">
        <f t="shared" si="101"/>
        <v>2667095</v>
      </c>
      <c r="J108" s="1430"/>
      <c r="K108" s="1258"/>
      <c r="L108" s="1258"/>
      <c r="M108" s="1113">
        <v>44</v>
      </c>
      <c r="N108" s="1113">
        <v>23</v>
      </c>
      <c r="O108" s="1113">
        <v>10</v>
      </c>
      <c r="P108" s="1113">
        <v>44</v>
      </c>
      <c r="Q108" s="1113">
        <v>52</v>
      </c>
      <c r="R108" s="1113">
        <v>23</v>
      </c>
      <c r="S108" s="1117"/>
      <c r="T108" s="1117"/>
      <c r="U108" s="1117"/>
      <c r="V108" s="1117"/>
      <c r="W108" s="1117"/>
      <c r="X108" s="1117"/>
      <c r="Y108" s="1007">
        <f t="shared" si="102"/>
        <v>60000000</v>
      </c>
      <c r="Z108" s="1007"/>
      <c r="AA108" s="1007"/>
      <c r="AB108" s="1007"/>
      <c r="AC108" s="1007"/>
      <c r="AD108" s="1007"/>
      <c r="AE108" s="1007"/>
      <c r="AF108" s="1007"/>
      <c r="AG108" s="1007"/>
      <c r="AH108" s="1007"/>
      <c r="AI108" s="1007"/>
      <c r="AJ108" s="1007"/>
      <c r="AK108" s="1007"/>
      <c r="AL108" s="1007"/>
      <c r="AM108" s="1007"/>
      <c r="AN108" s="1007"/>
      <c r="AO108" s="1007"/>
      <c r="AP108" s="1007">
        <v>60000000</v>
      </c>
      <c r="AQ108" s="1007"/>
      <c r="AR108" s="1007"/>
      <c r="AS108" s="1007"/>
      <c r="AU108" s="1010">
        <f t="shared" si="103"/>
        <v>1</v>
      </c>
      <c r="AV108" s="1007">
        <f t="shared" si="104"/>
        <v>60000000</v>
      </c>
      <c r="AW108" s="1007"/>
      <c r="AX108" s="1007"/>
      <c r="AY108" s="1007"/>
      <c r="AZ108" s="1007"/>
      <c r="BA108" s="1007"/>
      <c r="BB108" s="1007"/>
      <c r="BC108" s="1007"/>
      <c r="BD108" s="1007"/>
      <c r="BE108" s="1007"/>
      <c r="BF108" s="1007"/>
      <c r="BG108" s="1007"/>
      <c r="BH108" s="1007"/>
      <c r="BI108" s="1007"/>
      <c r="BJ108" s="1007"/>
      <c r="BK108" s="1007"/>
      <c r="BL108" s="1007"/>
      <c r="BM108" s="1007">
        <f>+'[16]ENERO 2015'!$G$305</f>
        <v>60000000</v>
      </c>
      <c r="BN108" s="1007"/>
      <c r="BO108" s="1007"/>
      <c r="BP108" s="1007"/>
      <c r="BQ108" s="1010">
        <f t="shared" si="105"/>
        <v>0</v>
      </c>
      <c r="BR108" s="1007">
        <f t="shared" si="106"/>
        <v>0</v>
      </c>
      <c r="BS108" s="1007">
        <f t="shared" si="107"/>
        <v>0</v>
      </c>
      <c r="BT108" s="1007">
        <f t="shared" si="108"/>
        <v>0</v>
      </c>
      <c r="BU108" s="1007"/>
      <c r="BV108" s="1007">
        <f t="shared" si="109"/>
        <v>0</v>
      </c>
      <c r="BW108" s="1007"/>
      <c r="BX108" s="1007">
        <f t="shared" si="110"/>
        <v>0</v>
      </c>
      <c r="BY108" s="1007">
        <f t="shared" si="110"/>
        <v>0</v>
      </c>
      <c r="BZ108" s="1007"/>
      <c r="CA108" s="1007"/>
      <c r="CB108" s="1007"/>
      <c r="CC108" s="1007"/>
      <c r="CD108" s="1007">
        <f t="shared" si="111"/>
        <v>0</v>
      </c>
      <c r="CE108" s="1007">
        <f t="shared" si="111"/>
        <v>0</v>
      </c>
      <c r="CF108" s="1007">
        <f t="shared" si="111"/>
        <v>0</v>
      </c>
      <c r="CG108" s="1007">
        <f t="shared" si="111"/>
        <v>0</v>
      </c>
      <c r="CH108" s="1007">
        <f t="shared" si="111"/>
        <v>0</v>
      </c>
      <c r="CI108" s="1007">
        <f t="shared" si="111"/>
        <v>0</v>
      </c>
      <c r="CJ108" s="1007"/>
      <c r="CK108" s="1007"/>
      <c r="CL108" s="1007">
        <f t="shared" si="112"/>
        <v>0</v>
      </c>
      <c r="CM108" s="1010">
        <f t="shared" si="113"/>
        <v>0.95554841666666668</v>
      </c>
      <c r="CN108" s="1007">
        <f t="shared" si="114"/>
        <v>57332905</v>
      </c>
      <c r="CO108" s="1007"/>
      <c r="CP108" s="1007"/>
      <c r="CQ108" s="1007"/>
      <c r="CR108" s="1007"/>
      <c r="CS108" s="1007"/>
      <c r="CT108" s="1007"/>
      <c r="CU108" s="1007"/>
      <c r="CV108" s="1007"/>
      <c r="CW108" s="1007"/>
      <c r="CX108" s="1007"/>
      <c r="CY108" s="1007"/>
      <c r="CZ108" s="1007"/>
      <c r="DA108" s="1007"/>
      <c r="DB108" s="1007"/>
      <c r="DC108" s="1007"/>
      <c r="DD108" s="1007"/>
      <c r="DE108" s="1007">
        <f>+'[8]SEPTIEMBRE 2015'!$H$992</f>
        <v>57332905</v>
      </c>
      <c r="DF108" s="1007"/>
      <c r="DG108" s="1007"/>
      <c r="DH108" s="1007"/>
      <c r="DI108" s="1010">
        <f t="shared" si="115"/>
        <v>4.4451583333333322E-2</v>
      </c>
      <c r="DJ108" s="1007">
        <f t="shared" si="116"/>
        <v>2667095</v>
      </c>
      <c r="DK108" s="1007">
        <f t="shared" si="122"/>
        <v>0</v>
      </c>
      <c r="DL108" s="1007"/>
      <c r="DM108" s="1007"/>
      <c r="DN108" s="1007">
        <f>AC108-CR108</f>
        <v>0</v>
      </c>
      <c r="DO108" s="1007"/>
      <c r="DP108" s="1007">
        <f t="shared" si="117"/>
        <v>0</v>
      </c>
      <c r="DQ108" s="1007">
        <f t="shared" si="117"/>
        <v>0</v>
      </c>
      <c r="DR108" s="1007"/>
      <c r="DS108" s="1007">
        <f t="shared" si="118"/>
        <v>0</v>
      </c>
      <c r="DT108" s="1007">
        <f t="shared" si="118"/>
        <v>0</v>
      </c>
      <c r="DU108" s="1007"/>
      <c r="DV108" s="1007">
        <f t="shared" si="119"/>
        <v>0</v>
      </c>
      <c r="DW108" s="1007">
        <f t="shared" si="119"/>
        <v>0</v>
      </c>
      <c r="DX108" s="1007">
        <f t="shared" si="119"/>
        <v>0</v>
      </c>
      <c r="DY108" s="1007">
        <f t="shared" si="120"/>
        <v>0</v>
      </c>
      <c r="DZ108" s="1007">
        <f t="shared" si="120"/>
        <v>0</v>
      </c>
      <c r="EA108" s="1007">
        <f t="shared" si="120"/>
        <v>2667095</v>
      </c>
      <c r="EB108" s="1007">
        <f t="shared" si="120"/>
        <v>0</v>
      </c>
      <c r="EC108" s="1007"/>
      <c r="ED108" s="1007">
        <f t="shared" si="121"/>
        <v>0</v>
      </c>
    </row>
    <row r="109" spans="1:134" ht="44.25" hidden="1" customHeight="1" x14ac:dyDescent="0.25">
      <c r="A109" s="1586"/>
      <c r="B109" s="1018"/>
      <c r="C109" s="1114" t="s">
        <v>4463</v>
      </c>
      <c r="D109" s="1018" t="s">
        <v>4441</v>
      </c>
      <c r="E109" s="1019">
        <v>301</v>
      </c>
      <c r="F109" s="1117" t="s">
        <v>4738</v>
      </c>
      <c r="G109" s="1429"/>
      <c r="H109" s="1060">
        <f t="shared" si="100"/>
        <v>21234417</v>
      </c>
      <c r="I109" s="1060">
        <f t="shared" si="101"/>
        <v>12765583</v>
      </c>
      <c r="J109" s="1117" t="s">
        <v>4906</v>
      </c>
      <c r="K109" s="1113" t="s">
        <v>4911</v>
      </c>
      <c r="L109" s="1113" t="s">
        <v>4918</v>
      </c>
      <c r="M109" s="1113">
        <v>0</v>
      </c>
      <c r="N109" s="1113">
        <v>0</v>
      </c>
      <c r="O109" s="1113">
        <v>0</v>
      </c>
      <c r="P109" s="1113">
        <v>41</v>
      </c>
      <c r="Q109" s="1113">
        <v>10</v>
      </c>
      <c r="R109" s="1113">
        <v>4</v>
      </c>
      <c r="S109" s="1117"/>
      <c r="T109" s="1117"/>
      <c r="U109" s="1117"/>
      <c r="V109" s="1117"/>
      <c r="W109" s="1117"/>
      <c r="X109" s="1117"/>
      <c r="Y109" s="1007">
        <f t="shared" si="102"/>
        <v>34000000</v>
      </c>
      <c r="Z109" s="1007"/>
      <c r="AA109" s="1007"/>
      <c r="AB109" s="1007"/>
      <c r="AC109" s="1007"/>
      <c r="AD109" s="1007"/>
      <c r="AE109" s="1007"/>
      <c r="AF109" s="1007"/>
      <c r="AG109" s="1007"/>
      <c r="AH109" s="1007"/>
      <c r="AI109" s="1007"/>
      <c r="AJ109" s="1007"/>
      <c r="AK109" s="1007"/>
      <c r="AL109" s="1007"/>
      <c r="AM109" s="1007"/>
      <c r="AN109" s="1007"/>
      <c r="AO109" s="1007"/>
      <c r="AP109" s="1007"/>
      <c r="AQ109" s="1007"/>
      <c r="AR109" s="1007"/>
      <c r="AS109" s="1007">
        <f>6000000+15000000+4000000+9000000</f>
        <v>34000000</v>
      </c>
      <c r="AU109" s="1010">
        <f t="shared" si="103"/>
        <v>0.8529411764705882</v>
      </c>
      <c r="AV109" s="1007">
        <f t="shared" si="104"/>
        <v>29000000</v>
      </c>
      <c r="AW109" s="1007"/>
      <c r="AX109" s="1007"/>
      <c r="AY109" s="1007"/>
      <c r="AZ109" s="1007"/>
      <c r="BA109" s="1007"/>
      <c r="BB109" s="1007"/>
      <c r="BC109" s="1007"/>
      <c r="BD109" s="1007"/>
      <c r="BE109" s="1007"/>
      <c r="BF109" s="1007"/>
      <c r="BG109" s="1007"/>
      <c r="BH109" s="1007"/>
      <c r="BI109" s="1007"/>
      <c r="BJ109" s="1007"/>
      <c r="BK109" s="1007"/>
      <c r="BL109" s="1007"/>
      <c r="BM109" s="1007"/>
      <c r="BN109" s="1007"/>
      <c r="BO109" s="1007"/>
      <c r="BP109" s="1007">
        <f>+'[10]JULIO 2015'!$AD$771</f>
        <v>29000000</v>
      </c>
      <c r="BQ109" s="1010">
        <f t="shared" si="105"/>
        <v>0.1470588235294118</v>
      </c>
      <c r="BR109" s="1007">
        <f t="shared" si="106"/>
        <v>5000000</v>
      </c>
      <c r="BS109" s="1007">
        <f t="shared" si="107"/>
        <v>0</v>
      </c>
      <c r="BT109" s="1007">
        <f t="shared" si="108"/>
        <v>0</v>
      </c>
      <c r="BU109" s="1007"/>
      <c r="BV109" s="1007">
        <f t="shared" si="109"/>
        <v>0</v>
      </c>
      <c r="BW109" s="1007"/>
      <c r="BX109" s="1007">
        <f t="shared" si="110"/>
        <v>0</v>
      </c>
      <c r="BY109" s="1007">
        <f t="shared" si="110"/>
        <v>0</v>
      </c>
      <c r="BZ109" s="1007"/>
      <c r="CA109" s="1007">
        <f t="shared" ref="CA109:CC111" si="123">+AH109-BE109</f>
        <v>0</v>
      </c>
      <c r="CB109" s="1007">
        <f t="shared" si="123"/>
        <v>0</v>
      </c>
      <c r="CC109" s="1007">
        <f t="shared" si="123"/>
        <v>0</v>
      </c>
      <c r="CD109" s="1007">
        <f t="shared" si="111"/>
        <v>0</v>
      </c>
      <c r="CE109" s="1007">
        <f t="shared" si="111"/>
        <v>0</v>
      </c>
      <c r="CF109" s="1007">
        <f t="shared" si="111"/>
        <v>0</v>
      </c>
      <c r="CG109" s="1007">
        <f t="shared" si="111"/>
        <v>0</v>
      </c>
      <c r="CH109" s="1007">
        <f t="shared" si="111"/>
        <v>0</v>
      </c>
      <c r="CI109" s="1007">
        <f t="shared" si="111"/>
        <v>0</v>
      </c>
      <c r="CJ109" s="1007"/>
      <c r="CK109" s="1007"/>
      <c r="CL109" s="1007">
        <f t="shared" si="112"/>
        <v>5000000</v>
      </c>
      <c r="CM109" s="1010">
        <f t="shared" si="113"/>
        <v>0.62454167647058823</v>
      </c>
      <c r="CN109" s="1007">
        <f t="shared" si="114"/>
        <v>21234417</v>
      </c>
      <c r="CO109" s="1007"/>
      <c r="CP109" s="1007"/>
      <c r="CQ109" s="1007"/>
      <c r="CR109" s="1007"/>
      <c r="CS109" s="1007"/>
      <c r="CT109" s="1007"/>
      <c r="CU109" s="1007"/>
      <c r="CV109" s="1007"/>
      <c r="CW109" s="1007"/>
      <c r="CX109" s="1007"/>
      <c r="CY109" s="1007"/>
      <c r="CZ109" s="1007"/>
      <c r="DA109" s="1007"/>
      <c r="DB109" s="1007"/>
      <c r="DC109" s="1007"/>
      <c r="DD109" s="1007"/>
      <c r="DE109" s="1007"/>
      <c r="DF109" s="1007"/>
      <c r="DG109" s="1007"/>
      <c r="DH109" s="1007">
        <f>+'[8]SEPTIEMBRE 2015'!$H$1006</f>
        <v>21234417</v>
      </c>
      <c r="DI109" s="1010">
        <f t="shared" si="115"/>
        <v>0.37545832352941177</v>
      </c>
      <c r="DJ109" s="1007">
        <f t="shared" si="116"/>
        <v>12765583</v>
      </c>
      <c r="DK109" s="1007">
        <f t="shared" si="122"/>
        <v>0</v>
      </c>
      <c r="DL109" s="1007"/>
      <c r="DM109" s="1007"/>
      <c r="DN109" s="1007">
        <f>AC109-CR109</f>
        <v>0</v>
      </c>
      <c r="DO109" s="1007"/>
      <c r="DP109" s="1007">
        <f t="shared" si="117"/>
        <v>0</v>
      </c>
      <c r="DQ109" s="1007">
        <f t="shared" si="117"/>
        <v>0</v>
      </c>
      <c r="DR109" s="1007"/>
      <c r="DS109" s="1007">
        <f t="shared" si="118"/>
        <v>0</v>
      </c>
      <c r="DT109" s="1007">
        <f t="shared" si="118"/>
        <v>0</v>
      </c>
      <c r="DU109" s="1007"/>
      <c r="DV109" s="1007">
        <f t="shared" si="119"/>
        <v>0</v>
      </c>
      <c r="DW109" s="1007">
        <f t="shared" si="119"/>
        <v>0</v>
      </c>
      <c r="DX109" s="1007">
        <f t="shared" si="119"/>
        <v>0</v>
      </c>
      <c r="DY109" s="1007">
        <f t="shared" si="120"/>
        <v>0</v>
      </c>
      <c r="DZ109" s="1007">
        <f t="shared" si="120"/>
        <v>0</v>
      </c>
      <c r="EA109" s="1007">
        <f t="shared" si="120"/>
        <v>0</v>
      </c>
      <c r="EB109" s="1007">
        <f t="shared" si="120"/>
        <v>0</v>
      </c>
      <c r="EC109" s="1007"/>
      <c r="ED109" s="1007">
        <f t="shared" si="121"/>
        <v>12765583</v>
      </c>
    </row>
    <row r="110" spans="1:134" ht="58.5" hidden="1" customHeight="1" x14ac:dyDescent="0.25">
      <c r="A110" s="1586"/>
      <c r="B110" s="1018"/>
      <c r="C110" s="1114" t="s">
        <v>4464</v>
      </c>
      <c r="D110" s="1018" t="s">
        <v>4458</v>
      </c>
      <c r="E110" s="1019">
        <v>301</v>
      </c>
      <c r="F110" s="1117" t="s">
        <v>4661</v>
      </c>
      <c r="G110" s="1429"/>
      <c r="H110" s="1060">
        <f t="shared" si="100"/>
        <v>0</v>
      </c>
      <c r="I110" s="1060">
        <f t="shared" si="101"/>
        <v>24000000</v>
      </c>
      <c r="J110" s="1117" t="s">
        <v>4907</v>
      </c>
      <c r="K110" s="1113" t="s">
        <v>4912</v>
      </c>
      <c r="L110" s="1113" t="s">
        <v>4919</v>
      </c>
      <c r="M110" s="1113">
        <v>0</v>
      </c>
      <c r="N110" s="1113">
        <v>0</v>
      </c>
      <c r="O110" s="1113">
        <v>0</v>
      </c>
      <c r="P110" s="1113">
        <v>0</v>
      </c>
      <c r="Q110" s="1113">
        <v>0</v>
      </c>
      <c r="R110" s="1113">
        <v>0</v>
      </c>
      <c r="S110" s="1117"/>
      <c r="T110" s="1117"/>
      <c r="U110" s="1117"/>
      <c r="V110" s="1117"/>
      <c r="W110" s="1117"/>
      <c r="X110" s="1117"/>
      <c r="Y110" s="1007">
        <f t="shared" si="102"/>
        <v>24000000</v>
      </c>
      <c r="Z110" s="1007"/>
      <c r="AA110" s="1007"/>
      <c r="AB110" s="1007"/>
      <c r="AC110" s="1007"/>
      <c r="AD110" s="1007"/>
      <c r="AE110" s="1007"/>
      <c r="AF110" s="1007"/>
      <c r="AG110" s="1007"/>
      <c r="AH110" s="1007"/>
      <c r="AI110" s="1007"/>
      <c r="AJ110" s="1007"/>
      <c r="AK110" s="1007"/>
      <c r="AL110" s="1007"/>
      <c r="AM110" s="1007"/>
      <c r="AN110" s="1007"/>
      <c r="AO110" s="1007"/>
      <c r="AP110" s="1007">
        <v>24000000</v>
      </c>
      <c r="AQ110" s="1007"/>
      <c r="AR110" s="1007"/>
      <c r="AS110" s="1007"/>
      <c r="AU110" s="1010">
        <f t="shared" si="103"/>
        <v>0</v>
      </c>
      <c r="AV110" s="1007">
        <f t="shared" si="104"/>
        <v>0</v>
      </c>
      <c r="AW110" s="1007"/>
      <c r="AX110" s="1007"/>
      <c r="AY110" s="1007"/>
      <c r="AZ110" s="1007"/>
      <c r="BA110" s="1007"/>
      <c r="BB110" s="1007"/>
      <c r="BC110" s="1007"/>
      <c r="BD110" s="1007"/>
      <c r="BE110" s="1007"/>
      <c r="BF110" s="1007"/>
      <c r="BG110" s="1007"/>
      <c r="BH110" s="1007"/>
      <c r="BI110" s="1007"/>
      <c r="BJ110" s="1007"/>
      <c r="BK110" s="1007"/>
      <c r="BL110" s="1007"/>
      <c r="BM110" s="1007"/>
      <c r="BN110" s="1007"/>
      <c r="BO110" s="1007"/>
      <c r="BP110" s="1007"/>
      <c r="BQ110" s="1010">
        <f t="shared" si="105"/>
        <v>1</v>
      </c>
      <c r="BR110" s="1007">
        <f t="shared" si="106"/>
        <v>24000000</v>
      </c>
      <c r="BS110" s="1007">
        <f t="shared" si="107"/>
        <v>0</v>
      </c>
      <c r="BT110" s="1007">
        <f t="shared" si="108"/>
        <v>0</v>
      </c>
      <c r="BU110" s="1007"/>
      <c r="BV110" s="1007">
        <f t="shared" si="109"/>
        <v>0</v>
      </c>
      <c r="BW110" s="1007"/>
      <c r="BX110" s="1007">
        <f t="shared" si="110"/>
        <v>0</v>
      </c>
      <c r="BY110" s="1007">
        <f t="shared" si="110"/>
        <v>0</v>
      </c>
      <c r="BZ110" s="1007"/>
      <c r="CA110" s="1007">
        <f t="shared" si="123"/>
        <v>0</v>
      </c>
      <c r="CB110" s="1007">
        <f t="shared" si="123"/>
        <v>0</v>
      </c>
      <c r="CC110" s="1007">
        <f t="shared" si="123"/>
        <v>0</v>
      </c>
      <c r="CD110" s="1007">
        <f t="shared" si="111"/>
        <v>0</v>
      </c>
      <c r="CE110" s="1007">
        <f t="shared" si="111"/>
        <v>0</v>
      </c>
      <c r="CF110" s="1007">
        <f t="shared" si="111"/>
        <v>0</v>
      </c>
      <c r="CG110" s="1007">
        <f t="shared" si="111"/>
        <v>0</v>
      </c>
      <c r="CH110" s="1007">
        <f t="shared" si="111"/>
        <v>0</v>
      </c>
      <c r="CI110" s="1007">
        <f t="shared" si="111"/>
        <v>24000000</v>
      </c>
      <c r="CJ110" s="1007"/>
      <c r="CK110" s="1007"/>
      <c r="CL110" s="1007">
        <f t="shared" si="112"/>
        <v>0</v>
      </c>
      <c r="CM110" s="1010">
        <f t="shared" si="113"/>
        <v>0</v>
      </c>
      <c r="CN110" s="1007">
        <f t="shared" si="114"/>
        <v>0</v>
      </c>
      <c r="CO110" s="1007"/>
      <c r="CP110" s="1007"/>
      <c r="CQ110" s="1007"/>
      <c r="CR110" s="1007"/>
      <c r="CS110" s="1007"/>
      <c r="CT110" s="1007"/>
      <c r="CU110" s="1007"/>
      <c r="CV110" s="1007"/>
      <c r="CW110" s="1007"/>
      <c r="CX110" s="1007"/>
      <c r="CY110" s="1007"/>
      <c r="CZ110" s="1007"/>
      <c r="DA110" s="1007"/>
      <c r="DB110" s="1007"/>
      <c r="DC110" s="1007"/>
      <c r="DD110" s="1007"/>
      <c r="DE110" s="1007"/>
      <c r="DF110" s="1007"/>
      <c r="DG110" s="1007"/>
      <c r="DH110" s="1007"/>
      <c r="DI110" s="1010">
        <f t="shared" si="115"/>
        <v>1</v>
      </c>
      <c r="DJ110" s="1007">
        <f t="shared" si="116"/>
        <v>24000000</v>
      </c>
      <c r="DK110" s="1007">
        <f t="shared" si="122"/>
        <v>0</v>
      </c>
      <c r="DL110" s="1007"/>
      <c r="DM110" s="1007"/>
      <c r="DN110" s="1007">
        <f>AC110-CR110</f>
        <v>0</v>
      </c>
      <c r="DO110" s="1007"/>
      <c r="DP110" s="1007">
        <f t="shared" si="117"/>
        <v>0</v>
      </c>
      <c r="DQ110" s="1007">
        <f t="shared" si="117"/>
        <v>0</v>
      </c>
      <c r="DR110" s="1007"/>
      <c r="DS110" s="1007">
        <f t="shared" si="118"/>
        <v>0</v>
      </c>
      <c r="DT110" s="1007">
        <f t="shared" si="118"/>
        <v>0</v>
      </c>
      <c r="DU110" s="1007"/>
      <c r="DV110" s="1007">
        <f t="shared" si="119"/>
        <v>0</v>
      </c>
      <c r="DW110" s="1007">
        <f t="shared" si="119"/>
        <v>0</v>
      </c>
      <c r="DX110" s="1007">
        <f t="shared" si="119"/>
        <v>0</v>
      </c>
      <c r="DY110" s="1007">
        <f t="shared" si="120"/>
        <v>0</v>
      </c>
      <c r="DZ110" s="1007">
        <f t="shared" si="120"/>
        <v>0</v>
      </c>
      <c r="EA110" s="1007">
        <f t="shared" si="120"/>
        <v>24000000</v>
      </c>
      <c r="EB110" s="1007">
        <f t="shared" si="120"/>
        <v>0</v>
      </c>
      <c r="EC110" s="1007"/>
      <c r="ED110" s="1007">
        <f t="shared" si="121"/>
        <v>0</v>
      </c>
    </row>
    <row r="111" spans="1:134" ht="33" hidden="1" customHeight="1" x14ac:dyDescent="0.25">
      <c r="A111" s="1586"/>
      <c r="B111" s="1018"/>
      <c r="C111" s="1114" t="s">
        <v>4465</v>
      </c>
      <c r="D111" s="1018" t="s">
        <v>4457</v>
      </c>
      <c r="E111" s="1019">
        <v>301</v>
      </c>
      <c r="F111" s="1117" t="s">
        <v>4661</v>
      </c>
      <c r="G111" s="1429"/>
      <c r="H111" s="1060">
        <f t="shared" si="100"/>
        <v>26928499</v>
      </c>
      <c r="I111" s="1060">
        <f t="shared" si="101"/>
        <v>58071501</v>
      </c>
      <c r="J111" s="1428" t="s">
        <v>4908</v>
      </c>
      <c r="K111" s="1257" t="s">
        <v>4913</v>
      </c>
      <c r="L111" s="1257" t="s">
        <v>4920</v>
      </c>
      <c r="M111" s="1113">
        <v>10</v>
      </c>
      <c r="N111" s="1113">
        <v>0</v>
      </c>
      <c r="O111" s="1113">
        <v>0</v>
      </c>
      <c r="P111" s="1113">
        <v>24</v>
      </c>
      <c r="Q111" s="1113">
        <v>12</v>
      </c>
      <c r="R111" s="1113">
        <v>3</v>
      </c>
      <c r="S111" s="1117"/>
      <c r="T111" s="1117"/>
      <c r="U111" s="1117"/>
      <c r="V111" s="1117"/>
      <c r="W111" s="1117"/>
      <c r="X111" s="1117"/>
      <c r="Y111" s="1007">
        <f t="shared" si="102"/>
        <v>85000000</v>
      </c>
      <c r="Z111" s="1007"/>
      <c r="AA111" s="1007"/>
      <c r="AB111" s="1007"/>
      <c r="AC111" s="1007"/>
      <c r="AD111" s="1007"/>
      <c r="AE111" s="1007"/>
      <c r="AF111" s="1007"/>
      <c r="AG111" s="1007"/>
      <c r="AH111" s="1007"/>
      <c r="AI111" s="1007"/>
      <c r="AJ111" s="1007"/>
      <c r="AK111" s="1007"/>
      <c r="AL111" s="1007"/>
      <c r="AM111" s="1007">
        <v>11406867</v>
      </c>
      <c r="AN111" s="1007"/>
      <c r="AO111" s="1007"/>
      <c r="AP111" s="1007">
        <v>73593133</v>
      </c>
      <c r="AQ111" s="1007"/>
      <c r="AR111" s="1007"/>
      <c r="AS111" s="1007"/>
      <c r="AU111" s="1010">
        <f t="shared" si="103"/>
        <v>1</v>
      </c>
      <c r="AV111" s="1007">
        <f t="shared" si="104"/>
        <v>85000000</v>
      </c>
      <c r="AW111" s="1007"/>
      <c r="AX111" s="1007"/>
      <c r="AY111" s="1007"/>
      <c r="AZ111" s="1007"/>
      <c r="BA111" s="1007"/>
      <c r="BB111" s="1007"/>
      <c r="BC111" s="1007"/>
      <c r="BD111" s="1007"/>
      <c r="BE111" s="1007"/>
      <c r="BF111" s="1007"/>
      <c r="BG111" s="1007"/>
      <c r="BH111" s="1007"/>
      <c r="BI111" s="1007"/>
      <c r="BJ111" s="1007">
        <f>+'[16]ENERO 2015'!$T$326</f>
        <v>11406867</v>
      </c>
      <c r="BK111" s="1007"/>
      <c r="BL111" s="1007"/>
      <c r="BM111" s="1007">
        <f>+'[16]ENERO 2015'!$W$326</f>
        <v>73593133</v>
      </c>
      <c r="BN111" s="1007"/>
      <c r="BO111" s="1007"/>
      <c r="BP111" s="1007"/>
      <c r="BQ111" s="1010">
        <f t="shared" si="105"/>
        <v>0</v>
      </c>
      <c r="BR111" s="1007">
        <f t="shared" si="106"/>
        <v>0</v>
      </c>
      <c r="BS111" s="1007">
        <f t="shared" si="107"/>
        <v>0</v>
      </c>
      <c r="BT111" s="1007">
        <f t="shared" si="108"/>
        <v>0</v>
      </c>
      <c r="BU111" s="1007"/>
      <c r="BV111" s="1007">
        <f t="shared" si="109"/>
        <v>0</v>
      </c>
      <c r="BW111" s="1007"/>
      <c r="BX111" s="1007">
        <f t="shared" si="110"/>
        <v>0</v>
      </c>
      <c r="BY111" s="1007">
        <f t="shared" si="110"/>
        <v>0</v>
      </c>
      <c r="BZ111" s="1007"/>
      <c r="CA111" s="1007">
        <f t="shared" si="123"/>
        <v>0</v>
      </c>
      <c r="CB111" s="1007">
        <f t="shared" si="123"/>
        <v>0</v>
      </c>
      <c r="CC111" s="1007">
        <f t="shared" si="123"/>
        <v>0</v>
      </c>
      <c r="CD111" s="1007">
        <f t="shared" si="111"/>
        <v>0</v>
      </c>
      <c r="CE111" s="1007">
        <f t="shared" si="111"/>
        <v>0</v>
      </c>
      <c r="CF111" s="1007">
        <f t="shared" si="111"/>
        <v>0</v>
      </c>
      <c r="CG111" s="1007">
        <f t="shared" si="111"/>
        <v>0</v>
      </c>
      <c r="CH111" s="1007">
        <f t="shared" si="111"/>
        <v>0</v>
      </c>
      <c r="CI111" s="1007">
        <f t="shared" si="111"/>
        <v>0</v>
      </c>
      <c r="CJ111" s="1007"/>
      <c r="CK111" s="1007"/>
      <c r="CL111" s="1007">
        <f t="shared" si="112"/>
        <v>0</v>
      </c>
      <c r="CM111" s="1010">
        <f t="shared" si="113"/>
        <v>0.31680587058823528</v>
      </c>
      <c r="CN111" s="1007">
        <f t="shared" si="114"/>
        <v>26928499</v>
      </c>
      <c r="CO111" s="1007"/>
      <c r="CP111" s="1007"/>
      <c r="CQ111" s="1007"/>
      <c r="CR111" s="1007"/>
      <c r="CS111" s="1007"/>
      <c r="CT111" s="1007"/>
      <c r="CU111" s="1007"/>
      <c r="CV111" s="1007"/>
      <c r="CW111" s="1007"/>
      <c r="CX111" s="1007"/>
      <c r="CY111" s="1007"/>
      <c r="CZ111" s="1007"/>
      <c r="DA111" s="1007"/>
      <c r="DB111" s="1007">
        <v>8728499</v>
      </c>
      <c r="DC111" s="1007"/>
      <c r="DD111" s="1007"/>
      <c r="DE111" s="1007">
        <f>+'[8]SEPTIEMBRE 2015'!$H$1045</f>
        <v>18200000</v>
      </c>
      <c r="DF111" s="1007"/>
      <c r="DG111" s="1007"/>
      <c r="DH111" s="1007"/>
      <c r="DI111" s="1010">
        <f t="shared" si="115"/>
        <v>0.68319412941176472</v>
      </c>
      <c r="DJ111" s="1007">
        <f t="shared" si="116"/>
        <v>58071501</v>
      </c>
      <c r="DK111" s="1007">
        <f t="shared" si="122"/>
        <v>0</v>
      </c>
      <c r="DL111" s="1007"/>
      <c r="DM111" s="1007"/>
      <c r="DN111" s="1007">
        <f>AC111-CR111</f>
        <v>0</v>
      </c>
      <c r="DO111" s="1007"/>
      <c r="DP111" s="1007">
        <f t="shared" si="117"/>
        <v>0</v>
      </c>
      <c r="DQ111" s="1007">
        <f t="shared" si="117"/>
        <v>0</v>
      </c>
      <c r="DR111" s="1007"/>
      <c r="DS111" s="1007">
        <f t="shared" si="118"/>
        <v>0</v>
      </c>
      <c r="DT111" s="1007">
        <f t="shared" si="118"/>
        <v>0</v>
      </c>
      <c r="DU111" s="1007"/>
      <c r="DV111" s="1007">
        <f t="shared" si="119"/>
        <v>0</v>
      </c>
      <c r="DW111" s="1007">
        <f t="shared" si="119"/>
        <v>0</v>
      </c>
      <c r="DX111" s="1007">
        <f t="shared" si="119"/>
        <v>2678368</v>
      </c>
      <c r="DY111" s="1007">
        <f t="shared" si="120"/>
        <v>0</v>
      </c>
      <c r="DZ111" s="1007">
        <f t="shared" si="120"/>
        <v>0</v>
      </c>
      <c r="EA111" s="1007">
        <f t="shared" si="120"/>
        <v>55393133</v>
      </c>
      <c r="EB111" s="1007">
        <f t="shared" si="120"/>
        <v>0</v>
      </c>
      <c r="EC111" s="1007"/>
      <c r="ED111" s="1007">
        <f t="shared" si="121"/>
        <v>0</v>
      </c>
    </row>
    <row r="112" spans="1:134" ht="26.25" hidden="1" customHeight="1" x14ac:dyDescent="0.25">
      <c r="A112" s="1586"/>
      <c r="B112" s="1018"/>
      <c r="C112" s="1114" t="s">
        <v>4675</v>
      </c>
      <c r="D112" s="1018" t="s">
        <v>4701</v>
      </c>
      <c r="E112" s="1019">
        <v>301</v>
      </c>
      <c r="F112" s="1117" t="s">
        <v>4688</v>
      </c>
      <c r="G112" s="1429"/>
      <c r="H112" s="1060">
        <f t="shared" si="100"/>
        <v>34427044</v>
      </c>
      <c r="I112" s="1060">
        <f t="shared" si="101"/>
        <v>45572956</v>
      </c>
      <c r="J112" s="1430"/>
      <c r="K112" s="1258"/>
      <c r="L112" s="1258"/>
      <c r="M112" s="1113">
        <v>5</v>
      </c>
      <c r="N112" s="1113">
        <v>18</v>
      </c>
      <c r="O112" s="1113">
        <v>1</v>
      </c>
      <c r="P112" s="1113">
        <v>23</v>
      </c>
      <c r="Q112" s="1113">
        <v>42</v>
      </c>
      <c r="R112" s="1113">
        <v>9</v>
      </c>
      <c r="S112" s="1117"/>
      <c r="T112" s="1117"/>
      <c r="U112" s="1117"/>
      <c r="V112" s="1117"/>
      <c r="W112" s="1117"/>
      <c r="X112" s="1117"/>
      <c r="Y112" s="1007">
        <f t="shared" si="102"/>
        <v>80000000</v>
      </c>
      <c r="Z112" s="1007">
        <v>80000000</v>
      </c>
      <c r="AA112" s="1007"/>
      <c r="AB112" s="1007"/>
      <c r="AC112" s="1007"/>
      <c r="AD112" s="1007"/>
      <c r="AE112" s="1007"/>
      <c r="AF112" s="1007"/>
      <c r="AG112" s="1007"/>
      <c r="AH112" s="1007"/>
      <c r="AI112" s="1007"/>
      <c r="AJ112" s="1007"/>
      <c r="AK112" s="1007"/>
      <c r="AL112" s="1007"/>
      <c r="AM112" s="1007"/>
      <c r="AN112" s="1007"/>
      <c r="AO112" s="1007"/>
      <c r="AP112" s="1007"/>
      <c r="AQ112" s="1007"/>
      <c r="AR112" s="1007"/>
      <c r="AS112" s="1007"/>
      <c r="AU112" s="1010">
        <f t="shared" si="103"/>
        <v>1</v>
      </c>
      <c r="AV112" s="1007">
        <f t="shared" si="104"/>
        <v>80000000</v>
      </c>
      <c r="AW112" s="1007">
        <f>+'[11]MARZO 2015'!$J$488</f>
        <v>80000000</v>
      </c>
      <c r="AX112" s="1007"/>
      <c r="AY112" s="1007"/>
      <c r="AZ112" s="1007"/>
      <c r="BA112" s="1007"/>
      <c r="BB112" s="1007"/>
      <c r="BC112" s="1007"/>
      <c r="BD112" s="1007"/>
      <c r="BE112" s="1007"/>
      <c r="BF112" s="1007"/>
      <c r="BG112" s="1007"/>
      <c r="BH112" s="1007"/>
      <c r="BI112" s="1007"/>
      <c r="BJ112" s="1007"/>
      <c r="BK112" s="1007"/>
      <c r="BL112" s="1007"/>
      <c r="BM112" s="1007"/>
      <c r="BN112" s="1007"/>
      <c r="BO112" s="1007"/>
      <c r="BP112" s="1007"/>
      <c r="BQ112" s="1010">
        <f t="shared" si="105"/>
        <v>0</v>
      </c>
      <c r="BR112" s="1007">
        <f t="shared" si="106"/>
        <v>0</v>
      </c>
      <c r="BS112" s="1007">
        <f t="shared" si="107"/>
        <v>0</v>
      </c>
      <c r="BT112" s="1007">
        <f t="shared" si="108"/>
        <v>0</v>
      </c>
      <c r="BU112" s="1007"/>
      <c r="BV112" s="1007">
        <f t="shared" si="109"/>
        <v>0</v>
      </c>
      <c r="BW112" s="1007"/>
      <c r="BX112" s="1007"/>
      <c r="BY112" s="1007"/>
      <c r="BZ112" s="1007"/>
      <c r="CA112" s="1007"/>
      <c r="CB112" s="1007"/>
      <c r="CC112" s="1007"/>
      <c r="CD112" s="1007"/>
      <c r="CE112" s="1007">
        <f t="shared" si="111"/>
        <v>0</v>
      </c>
      <c r="CF112" s="1007">
        <f t="shared" si="111"/>
        <v>0</v>
      </c>
      <c r="CG112" s="1007">
        <f t="shared" si="111"/>
        <v>0</v>
      </c>
      <c r="CH112" s="1007">
        <f t="shared" si="111"/>
        <v>0</v>
      </c>
      <c r="CI112" s="1007"/>
      <c r="CJ112" s="1007"/>
      <c r="CK112" s="1007"/>
      <c r="CL112" s="1007">
        <f t="shared" si="112"/>
        <v>0</v>
      </c>
      <c r="CM112" s="1010">
        <f t="shared" si="113"/>
        <v>0.43033805000000003</v>
      </c>
      <c r="CN112" s="1007">
        <f t="shared" si="114"/>
        <v>34427044</v>
      </c>
      <c r="CO112" s="1007">
        <f>+'[8]SEPTIEMBRE 2015'!$H$1051</f>
        <v>34427044</v>
      </c>
      <c r="CP112" s="1007"/>
      <c r="CQ112" s="1007"/>
      <c r="CR112" s="1007"/>
      <c r="CS112" s="1007"/>
      <c r="CT112" s="1007"/>
      <c r="CU112" s="1007"/>
      <c r="CV112" s="1007"/>
      <c r="CW112" s="1007"/>
      <c r="CX112" s="1007"/>
      <c r="CY112" s="1007"/>
      <c r="CZ112" s="1007"/>
      <c r="DA112" s="1007"/>
      <c r="DB112" s="1007"/>
      <c r="DC112" s="1007"/>
      <c r="DD112" s="1007"/>
      <c r="DE112" s="1007"/>
      <c r="DF112" s="1007"/>
      <c r="DG112" s="1007"/>
      <c r="DH112" s="1007"/>
      <c r="DI112" s="1010">
        <f t="shared" si="115"/>
        <v>0.56966194999999997</v>
      </c>
      <c r="DJ112" s="1007">
        <f t="shared" si="116"/>
        <v>45572956</v>
      </c>
      <c r="DK112" s="1007">
        <f t="shared" si="122"/>
        <v>45572956</v>
      </c>
      <c r="DL112" s="1007"/>
      <c r="DM112" s="1007"/>
      <c r="DN112" s="1007"/>
      <c r="DO112" s="1007"/>
      <c r="DP112" s="1007">
        <f>AE112-CT112</f>
        <v>0</v>
      </c>
      <c r="DQ112" s="1007"/>
      <c r="DR112" s="1007"/>
      <c r="DS112" s="1007"/>
      <c r="DT112" s="1007"/>
      <c r="DU112" s="1007"/>
      <c r="DV112" s="1007"/>
      <c r="DW112" s="1007"/>
      <c r="DX112" s="1007"/>
      <c r="DY112" s="1007">
        <f>+AN112-DC112</f>
        <v>0</v>
      </c>
      <c r="DZ112" s="1007"/>
      <c r="EA112" s="1007"/>
      <c r="EB112" s="1007"/>
      <c r="EC112" s="1007"/>
      <c r="ED112" s="1007">
        <f t="shared" si="121"/>
        <v>0</v>
      </c>
    </row>
    <row r="113" spans="1:134" ht="26.25" hidden="1" customHeight="1" x14ac:dyDescent="0.25">
      <c r="A113" s="1586"/>
      <c r="B113" s="1018"/>
      <c r="C113" s="1114" t="s">
        <v>4676</v>
      </c>
      <c r="D113" s="1018" t="s">
        <v>4702</v>
      </c>
      <c r="E113" s="1019">
        <v>301</v>
      </c>
      <c r="F113" s="1117" t="s">
        <v>4591</v>
      </c>
      <c r="G113" s="1429"/>
      <c r="H113" s="1060">
        <f t="shared" si="100"/>
        <v>100000000</v>
      </c>
      <c r="I113" s="1060">
        <f t="shared" si="101"/>
        <v>0</v>
      </c>
      <c r="J113" s="1428" t="s">
        <v>4914</v>
      </c>
      <c r="K113" s="1257" t="s">
        <v>4915</v>
      </c>
      <c r="L113" s="1257" t="s">
        <v>4921</v>
      </c>
      <c r="M113" s="1113">
        <v>0</v>
      </c>
      <c r="N113" s="1113">
        <v>0</v>
      </c>
      <c r="O113" s="1113">
        <v>0</v>
      </c>
      <c r="P113" s="1113">
        <v>100</v>
      </c>
      <c r="Q113" s="1113">
        <v>0</v>
      </c>
      <c r="R113" s="1113">
        <v>0</v>
      </c>
      <c r="S113" s="1117"/>
      <c r="T113" s="1117"/>
      <c r="U113" s="1117"/>
      <c r="V113" s="1117"/>
      <c r="W113" s="1117"/>
      <c r="X113" s="1117"/>
      <c r="Y113" s="1007">
        <f t="shared" si="102"/>
        <v>100000000</v>
      </c>
      <c r="Z113" s="1007"/>
      <c r="AA113" s="1007"/>
      <c r="AB113" s="1007"/>
      <c r="AC113" s="1007"/>
      <c r="AD113" s="1007"/>
      <c r="AE113" s="1007"/>
      <c r="AF113" s="1007"/>
      <c r="AG113" s="1007"/>
      <c r="AH113" s="1007"/>
      <c r="AI113" s="1007"/>
      <c r="AJ113" s="1007"/>
      <c r="AK113" s="1007"/>
      <c r="AL113" s="1007"/>
      <c r="AM113" s="1007"/>
      <c r="AN113" s="1007">
        <v>100000000</v>
      </c>
      <c r="AO113" s="1007"/>
      <c r="AP113" s="1007"/>
      <c r="AQ113" s="1007"/>
      <c r="AR113" s="1007"/>
      <c r="AS113" s="1007"/>
      <c r="AU113" s="1010">
        <f t="shared" si="103"/>
        <v>1</v>
      </c>
      <c r="AV113" s="1007">
        <f t="shared" si="104"/>
        <v>100000000</v>
      </c>
      <c r="AW113" s="1007"/>
      <c r="AX113" s="1007"/>
      <c r="AY113" s="1007"/>
      <c r="AZ113" s="1007"/>
      <c r="BA113" s="1007"/>
      <c r="BB113" s="1007"/>
      <c r="BC113" s="1007"/>
      <c r="BD113" s="1007"/>
      <c r="BE113" s="1007"/>
      <c r="BF113" s="1007"/>
      <c r="BG113" s="1007"/>
      <c r="BH113" s="1007"/>
      <c r="BI113" s="1007"/>
      <c r="BJ113" s="1007"/>
      <c r="BK113" s="1007">
        <f>+'[11]MARZO 2015'!$W$496</f>
        <v>100000000</v>
      </c>
      <c r="BL113" s="1007"/>
      <c r="BM113" s="1007"/>
      <c r="BN113" s="1007"/>
      <c r="BO113" s="1007"/>
      <c r="BP113" s="1007"/>
      <c r="BQ113" s="1010">
        <f t="shared" si="105"/>
        <v>0</v>
      </c>
      <c r="BR113" s="1007">
        <f t="shared" si="106"/>
        <v>0</v>
      </c>
      <c r="BS113" s="1007">
        <f t="shared" si="107"/>
        <v>0</v>
      </c>
      <c r="BT113" s="1007">
        <f t="shared" si="108"/>
        <v>0</v>
      </c>
      <c r="BU113" s="1007"/>
      <c r="BV113" s="1007">
        <f t="shared" si="109"/>
        <v>0</v>
      </c>
      <c r="BW113" s="1007"/>
      <c r="BX113" s="1007"/>
      <c r="BY113" s="1007"/>
      <c r="BZ113" s="1007"/>
      <c r="CA113" s="1007"/>
      <c r="CB113" s="1007"/>
      <c r="CC113" s="1007"/>
      <c r="CD113" s="1007"/>
      <c r="CE113" s="1007">
        <f t="shared" si="111"/>
        <v>0</v>
      </c>
      <c r="CF113" s="1007">
        <f t="shared" si="111"/>
        <v>0</v>
      </c>
      <c r="CG113" s="1007">
        <f t="shared" si="111"/>
        <v>0</v>
      </c>
      <c r="CH113" s="1007">
        <f t="shared" si="111"/>
        <v>0</v>
      </c>
      <c r="CI113" s="1007"/>
      <c r="CJ113" s="1007"/>
      <c r="CK113" s="1007"/>
      <c r="CL113" s="1007">
        <f t="shared" si="112"/>
        <v>0</v>
      </c>
      <c r="CM113" s="1010">
        <f t="shared" si="113"/>
        <v>1</v>
      </c>
      <c r="CN113" s="1007">
        <f t="shared" si="114"/>
        <v>100000000</v>
      </c>
      <c r="CO113" s="1007"/>
      <c r="CP113" s="1007"/>
      <c r="CQ113" s="1007"/>
      <c r="CR113" s="1007"/>
      <c r="CS113" s="1007"/>
      <c r="CT113" s="1007"/>
      <c r="CU113" s="1007"/>
      <c r="CV113" s="1007"/>
      <c r="CW113" s="1007"/>
      <c r="CX113" s="1007"/>
      <c r="CY113" s="1007"/>
      <c r="CZ113" s="1007"/>
      <c r="DA113" s="1007"/>
      <c r="DB113" s="1007"/>
      <c r="DC113" s="1007">
        <f>+'[9]ABRIL 2015'!$H$571</f>
        <v>100000000</v>
      </c>
      <c r="DD113" s="1007"/>
      <c r="DE113" s="1007"/>
      <c r="DF113" s="1007"/>
      <c r="DG113" s="1007"/>
      <c r="DH113" s="1007"/>
      <c r="DI113" s="1010">
        <f t="shared" si="115"/>
        <v>0</v>
      </c>
      <c r="DJ113" s="1007">
        <f t="shared" si="116"/>
        <v>0</v>
      </c>
      <c r="DK113" s="1007">
        <f t="shared" si="122"/>
        <v>0</v>
      </c>
      <c r="DL113" s="1007"/>
      <c r="DM113" s="1007"/>
      <c r="DN113" s="1007"/>
      <c r="DO113" s="1007"/>
      <c r="DP113" s="1007">
        <f>AE113-CT113</f>
        <v>0</v>
      </c>
      <c r="DQ113" s="1007"/>
      <c r="DR113" s="1007"/>
      <c r="DS113" s="1007"/>
      <c r="DT113" s="1007"/>
      <c r="DU113" s="1007"/>
      <c r="DV113" s="1007"/>
      <c r="DW113" s="1007"/>
      <c r="DX113" s="1007"/>
      <c r="DY113" s="1007">
        <f>+AN113-DC113</f>
        <v>0</v>
      </c>
      <c r="DZ113" s="1007"/>
      <c r="EA113" s="1007"/>
      <c r="EB113" s="1007"/>
      <c r="EC113" s="1007"/>
      <c r="ED113" s="1007">
        <f t="shared" si="121"/>
        <v>0</v>
      </c>
    </row>
    <row r="114" spans="1:134" s="203" customFormat="1" ht="33.75" hidden="1" customHeight="1" x14ac:dyDescent="0.25">
      <c r="A114" s="1586"/>
      <c r="B114" s="1018"/>
      <c r="C114" s="1080" t="s">
        <v>4715</v>
      </c>
      <c r="D114" s="1018" t="s">
        <v>4716</v>
      </c>
      <c r="E114" s="1019">
        <v>301</v>
      </c>
      <c r="F114" s="1117" t="s">
        <v>4661</v>
      </c>
      <c r="G114" s="1430"/>
      <c r="H114" s="1060">
        <f t="shared" si="100"/>
        <v>0</v>
      </c>
      <c r="I114" s="1060">
        <f t="shared" si="101"/>
        <v>30000000</v>
      </c>
      <c r="J114" s="1430"/>
      <c r="K114" s="1258"/>
      <c r="L114" s="1258"/>
      <c r="M114" s="1076"/>
      <c r="N114" s="1076"/>
      <c r="O114" s="1076"/>
      <c r="P114" s="1074"/>
      <c r="Q114" s="1074"/>
      <c r="R114" s="1074"/>
      <c r="S114" s="1117"/>
      <c r="T114" s="1117"/>
      <c r="U114" s="1117"/>
      <c r="V114" s="1117"/>
      <c r="W114" s="1117"/>
      <c r="X114" s="1117"/>
      <c r="Y114" s="1066">
        <f t="shared" si="102"/>
        <v>30000000</v>
      </c>
      <c r="Z114" s="1066"/>
      <c r="AA114" s="1066"/>
      <c r="AB114" s="1066"/>
      <c r="AC114" s="1066"/>
      <c r="AD114" s="1066"/>
      <c r="AE114" s="1066"/>
      <c r="AF114" s="1066"/>
      <c r="AG114" s="1066"/>
      <c r="AH114" s="1066"/>
      <c r="AI114" s="1066"/>
      <c r="AJ114" s="1066"/>
      <c r="AK114" s="1066"/>
      <c r="AL114" s="1066"/>
      <c r="AM114" s="1066"/>
      <c r="AN114" s="1066"/>
      <c r="AO114" s="1066">
        <v>30000000</v>
      </c>
      <c r="AP114" s="1066"/>
      <c r="AQ114" s="1066"/>
      <c r="AR114" s="1066"/>
      <c r="AS114" s="1066"/>
      <c r="AU114" s="1081">
        <f t="shared" si="103"/>
        <v>0</v>
      </c>
      <c r="AV114" s="1066">
        <f t="shared" si="104"/>
        <v>0</v>
      </c>
      <c r="AW114" s="1066"/>
      <c r="AX114" s="1066"/>
      <c r="AY114" s="1066"/>
      <c r="AZ114" s="1066"/>
      <c r="BA114" s="1066"/>
      <c r="BB114" s="1066"/>
      <c r="BC114" s="1066"/>
      <c r="BD114" s="1066"/>
      <c r="BE114" s="1066"/>
      <c r="BF114" s="1066"/>
      <c r="BG114" s="1066"/>
      <c r="BH114" s="1066"/>
      <c r="BI114" s="1066"/>
      <c r="BJ114" s="1066"/>
      <c r="BK114" s="1066"/>
      <c r="BL114" s="1066"/>
      <c r="BM114" s="1066"/>
      <c r="BN114" s="1066"/>
      <c r="BO114" s="1066"/>
      <c r="BP114" s="1066"/>
      <c r="BQ114" s="1081">
        <f t="shared" si="105"/>
        <v>1</v>
      </c>
      <c r="BR114" s="1066">
        <f t="shared" si="106"/>
        <v>30000000</v>
      </c>
      <c r="BS114" s="1066"/>
      <c r="BT114" s="1066"/>
      <c r="BU114" s="1066"/>
      <c r="BV114" s="1066"/>
      <c r="BW114" s="1066"/>
      <c r="BX114" s="1066"/>
      <c r="BY114" s="1066"/>
      <c r="BZ114" s="1066"/>
      <c r="CA114" s="1066"/>
      <c r="CB114" s="1066"/>
      <c r="CC114" s="1066"/>
      <c r="CD114" s="1066"/>
      <c r="CE114" s="1066"/>
      <c r="CF114" s="1066"/>
      <c r="CG114" s="1066"/>
      <c r="CH114" s="1066">
        <f t="shared" si="111"/>
        <v>30000000</v>
      </c>
      <c r="CI114" s="1066"/>
      <c r="CJ114" s="1066"/>
      <c r="CK114" s="1066"/>
      <c r="CL114" s="1066"/>
      <c r="CM114" s="1081">
        <f t="shared" si="113"/>
        <v>0</v>
      </c>
      <c r="CN114" s="1066">
        <f t="shared" si="114"/>
        <v>0</v>
      </c>
      <c r="CO114" s="1066"/>
      <c r="CP114" s="1066"/>
      <c r="CQ114" s="1066"/>
      <c r="CR114" s="1066"/>
      <c r="CS114" s="1066"/>
      <c r="CT114" s="1066"/>
      <c r="CU114" s="1066"/>
      <c r="CV114" s="1066"/>
      <c r="CW114" s="1066"/>
      <c r="CX114" s="1066"/>
      <c r="CY114" s="1066"/>
      <c r="CZ114" s="1066"/>
      <c r="DA114" s="1066"/>
      <c r="DB114" s="1066"/>
      <c r="DC114" s="1066"/>
      <c r="DD114" s="1066"/>
      <c r="DE114" s="1066"/>
      <c r="DF114" s="1066"/>
      <c r="DG114" s="1066"/>
      <c r="DH114" s="1066"/>
      <c r="DI114" s="1081">
        <f t="shared" si="115"/>
        <v>1</v>
      </c>
      <c r="DJ114" s="1066">
        <f t="shared" si="116"/>
        <v>30000000</v>
      </c>
      <c r="DK114" s="1066"/>
      <c r="DL114" s="1066"/>
      <c r="DM114" s="1066"/>
      <c r="DN114" s="1066"/>
      <c r="DO114" s="1066"/>
      <c r="DP114" s="1066"/>
      <c r="DQ114" s="1066"/>
      <c r="DR114" s="1066"/>
      <c r="DS114" s="1066"/>
      <c r="DT114" s="1066"/>
      <c r="DU114" s="1066"/>
      <c r="DV114" s="1066"/>
      <c r="DW114" s="1066"/>
      <c r="DX114" s="1066"/>
      <c r="DY114" s="1066"/>
      <c r="DZ114" s="1066">
        <f t="shared" ref="DZ114:EB128" si="124">+AO114-DD114</f>
        <v>30000000</v>
      </c>
      <c r="EA114" s="1066"/>
      <c r="EB114" s="1066"/>
      <c r="EC114" s="1066"/>
      <c r="ED114" s="1066"/>
    </row>
    <row r="115" spans="1:134" ht="49.5" hidden="1" customHeight="1" x14ac:dyDescent="0.25">
      <c r="A115" s="1586"/>
      <c r="B115" s="1027" t="s">
        <v>4442</v>
      </c>
      <c r="C115" s="347" t="s">
        <v>4634</v>
      </c>
      <c r="D115" s="1018" t="s">
        <v>4459</v>
      </c>
      <c r="E115" s="1579">
        <v>301</v>
      </c>
      <c r="F115" s="1428" t="s">
        <v>4739</v>
      </c>
      <c r="G115" s="1067">
        <v>304000000</v>
      </c>
      <c r="H115" s="1060">
        <f t="shared" si="100"/>
        <v>239317227</v>
      </c>
      <c r="I115" s="1060">
        <f t="shared" si="101"/>
        <v>72682773</v>
      </c>
      <c r="J115" s="1117" t="s">
        <v>4937</v>
      </c>
      <c r="K115" s="1113" t="s">
        <v>4940</v>
      </c>
      <c r="L115" s="1113" t="s">
        <v>4943</v>
      </c>
      <c r="M115" s="1257">
        <v>12</v>
      </c>
      <c r="N115" s="1113">
        <v>0</v>
      </c>
      <c r="O115" s="1113">
        <v>0</v>
      </c>
      <c r="P115" s="1257">
        <v>45</v>
      </c>
      <c r="Q115" s="1113">
        <v>57</v>
      </c>
      <c r="R115" s="1113">
        <v>26</v>
      </c>
      <c r="S115" s="1117"/>
      <c r="T115" s="1117"/>
      <c r="U115" s="1117"/>
      <c r="V115" s="1117"/>
      <c r="W115" s="1117"/>
      <c r="X115" s="1117"/>
      <c r="Y115" s="1007">
        <f t="shared" si="102"/>
        <v>312000000</v>
      </c>
      <c r="Z115" s="1007"/>
      <c r="AA115" s="1007"/>
      <c r="AB115" s="1007"/>
      <c r="AC115" s="1007"/>
      <c r="AD115" s="1007"/>
      <c r="AE115" s="1007"/>
      <c r="AF115" s="1007"/>
      <c r="AG115" s="1007"/>
      <c r="AH115" s="1007"/>
      <c r="AI115" s="1007"/>
      <c r="AJ115" s="1007"/>
      <c r="AK115" s="1007"/>
      <c r="AL115" s="1007"/>
      <c r="AM115" s="1007">
        <v>300000000</v>
      </c>
      <c r="AN115" s="1007"/>
      <c r="AO115" s="1007"/>
      <c r="AP115" s="1007"/>
      <c r="AQ115" s="1007"/>
      <c r="AR115" s="1007"/>
      <c r="AS115" s="1007">
        <f>4000000+8000000</f>
        <v>12000000</v>
      </c>
      <c r="AU115" s="1010">
        <f t="shared" si="103"/>
        <v>0.99425641025641021</v>
      </c>
      <c r="AV115" s="1007">
        <f t="shared" si="104"/>
        <v>310208000</v>
      </c>
      <c r="AW115" s="1007"/>
      <c r="AX115" s="1007"/>
      <c r="AY115" s="1007"/>
      <c r="AZ115" s="1007"/>
      <c r="BA115" s="1007"/>
      <c r="BB115" s="1007"/>
      <c r="BC115" s="1007"/>
      <c r="BD115" s="1007"/>
      <c r="BE115" s="1007"/>
      <c r="BF115" s="1007"/>
      <c r="BG115" s="1007"/>
      <c r="BH115" s="1007"/>
      <c r="BI115" s="1007"/>
      <c r="BJ115" s="1007">
        <f>+'[7]AGOSTO 2015'!$W$943</f>
        <v>298208000</v>
      </c>
      <c r="BK115" s="1007"/>
      <c r="BL115" s="1007"/>
      <c r="BM115" s="1007"/>
      <c r="BN115" s="1007"/>
      <c r="BO115" s="1007"/>
      <c r="BP115" s="1007">
        <f>+'[10]JULIO 2015'!$AD$839</f>
        <v>12000000</v>
      </c>
      <c r="BQ115" s="1010">
        <f t="shared" si="105"/>
        <v>5.7435897435897942E-3</v>
      </c>
      <c r="BR115" s="1007">
        <f t="shared" si="106"/>
        <v>1792000</v>
      </c>
      <c r="BS115" s="1007">
        <f t="shared" ref="BS115:BS128" si="125">+Z115-AW115</f>
        <v>0</v>
      </c>
      <c r="BT115" s="1007">
        <f t="shared" ref="BT115:BT128" si="126">AA115-AX115</f>
        <v>0</v>
      </c>
      <c r="BU115" s="1007"/>
      <c r="BV115" s="1007">
        <f t="shared" ref="BV115:BV128" si="127">AC115-AZ115</f>
        <v>0</v>
      </c>
      <c r="BW115" s="1007"/>
      <c r="BX115" s="1007">
        <f t="shared" ref="BX115:BY128" si="128">+AE115-BB115</f>
        <v>0</v>
      </c>
      <c r="BY115" s="1007">
        <f t="shared" si="128"/>
        <v>0</v>
      </c>
      <c r="BZ115" s="1007"/>
      <c r="CA115" s="1007">
        <f t="shared" ref="CA115:CG128" si="129">+AH115-BE115</f>
        <v>0</v>
      </c>
      <c r="CB115" s="1007">
        <f t="shared" si="129"/>
        <v>0</v>
      </c>
      <c r="CC115" s="1007">
        <f t="shared" si="129"/>
        <v>0</v>
      </c>
      <c r="CD115" s="1007">
        <f t="shared" si="129"/>
        <v>0</v>
      </c>
      <c r="CE115" s="1007">
        <f t="shared" si="129"/>
        <v>0</v>
      </c>
      <c r="CF115" s="1007">
        <f t="shared" si="129"/>
        <v>1792000</v>
      </c>
      <c r="CG115" s="1007">
        <f t="shared" si="129"/>
        <v>0</v>
      </c>
      <c r="CH115" s="1007">
        <f t="shared" si="111"/>
        <v>0</v>
      </c>
      <c r="CI115" s="1007">
        <f t="shared" si="111"/>
        <v>0</v>
      </c>
      <c r="CJ115" s="1007"/>
      <c r="CK115" s="1007"/>
      <c r="CL115" s="1007">
        <f t="shared" ref="CL115:CL128" si="130">+AS115-BP115</f>
        <v>0</v>
      </c>
      <c r="CM115" s="1010">
        <f t="shared" si="113"/>
        <v>0.76704239423076925</v>
      </c>
      <c r="CN115" s="1007">
        <f t="shared" si="114"/>
        <v>239317227</v>
      </c>
      <c r="CO115" s="1007"/>
      <c r="CP115" s="1007"/>
      <c r="CQ115" s="1007"/>
      <c r="CR115" s="1007"/>
      <c r="CS115" s="1007"/>
      <c r="CT115" s="1007"/>
      <c r="CU115" s="1007"/>
      <c r="CV115" s="1007"/>
      <c r="CW115" s="1007"/>
      <c r="CX115" s="1007"/>
      <c r="CY115" s="1007"/>
      <c r="CZ115" s="1007"/>
      <c r="DA115" s="1007"/>
      <c r="DB115" s="1007">
        <f>+'[8]SEPTIEMBRE 2015'!$H$1088-DH115</f>
        <v>238317227</v>
      </c>
      <c r="DC115" s="1007"/>
      <c r="DD115" s="1007"/>
      <c r="DE115" s="1007"/>
      <c r="DF115" s="1007"/>
      <c r="DG115" s="1007"/>
      <c r="DH115" s="1007">
        <f>+'[8]SEPTIEMBRE 2015'!$H$1144</f>
        <v>1000000</v>
      </c>
      <c r="DI115" s="1010">
        <f t="shared" si="115"/>
        <v>0.23295760576923075</v>
      </c>
      <c r="DJ115" s="1007">
        <f t="shared" si="116"/>
        <v>72682773</v>
      </c>
      <c r="DK115" s="1007">
        <f t="shared" ref="DK115:DK128" si="131">Z115-CO115</f>
        <v>0</v>
      </c>
      <c r="DL115" s="1007"/>
      <c r="DM115" s="1007"/>
      <c r="DN115" s="1007">
        <f t="shared" ref="DN115:DN128" si="132">AC115-CR115</f>
        <v>0</v>
      </c>
      <c r="DO115" s="1007"/>
      <c r="DP115" s="1007">
        <f t="shared" ref="DP115:DQ128" si="133">AE115-CT115</f>
        <v>0</v>
      </c>
      <c r="DQ115" s="1007">
        <f t="shared" si="133"/>
        <v>0</v>
      </c>
      <c r="DR115" s="1007"/>
      <c r="DS115" s="1007">
        <f t="shared" ref="DS115:DT128" si="134">+AH115-CW115</f>
        <v>0</v>
      </c>
      <c r="DT115" s="1007">
        <f t="shared" si="134"/>
        <v>0</v>
      </c>
      <c r="DU115" s="1007"/>
      <c r="DV115" s="1007">
        <f t="shared" ref="DV115:DX128" si="135">AK115-CZ115</f>
        <v>0</v>
      </c>
      <c r="DW115" s="1007">
        <f t="shared" si="135"/>
        <v>0</v>
      </c>
      <c r="DX115" s="1007">
        <f t="shared" si="135"/>
        <v>61682773</v>
      </c>
      <c r="DY115" s="1007">
        <f t="shared" ref="DY115:DY128" si="136">+AN115-DC115</f>
        <v>0</v>
      </c>
      <c r="DZ115" s="1007">
        <f t="shared" si="124"/>
        <v>0</v>
      </c>
      <c r="EA115" s="1007">
        <f t="shared" si="124"/>
        <v>0</v>
      </c>
      <c r="EB115" s="1007">
        <f t="shared" si="124"/>
        <v>0</v>
      </c>
      <c r="EC115" s="1007"/>
      <c r="ED115" s="1007">
        <f t="shared" ref="ED115:ED128" si="137">+AS115-DH115</f>
        <v>11000000</v>
      </c>
    </row>
    <row r="116" spans="1:134" s="203" customFormat="1" ht="27" hidden="1" customHeight="1" x14ac:dyDescent="0.25">
      <c r="A116" s="1586"/>
      <c r="B116" s="1084"/>
      <c r="C116" s="1085"/>
      <c r="D116" s="1018" t="s">
        <v>4934</v>
      </c>
      <c r="E116" s="1601"/>
      <c r="F116" s="1429"/>
      <c r="G116" s="1086"/>
      <c r="H116" s="1060"/>
      <c r="I116" s="1060"/>
      <c r="J116" s="1117" t="s">
        <v>4936</v>
      </c>
      <c r="K116" s="1113" t="s">
        <v>4939</v>
      </c>
      <c r="L116" s="1113" t="s">
        <v>4942</v>
      </c>
      <c r="M116" s="1562"/>
      <c r="N116" s="1113">
        <v>0</v>
      </c>
      <c r="O116" s="1113">
        <v>0</v>
      </c>
      <c r="P116" s="1562"/>
      <c r="Q116" s="1113">
        <v>68</v>
      </c>
      <c r="R116" s="1113">
        <v>0</v>
      </c>
      <c r="S116" s="1117"/>
      <c r="T116" s="1117"/>
      <c r="U116" s="1117"/>
      <c r="V116" s="1117"/>
      <c r="W116" s="1117"/>
      <c r="X116" s="1117"/>
      <c r="Y116" s="1066"/>
      <c r="Z116" s="1066"/>
      <c r="AA116" s="1066"/>
      <c r="AB116" s="1066"/>
      <c r="AC116" s="1066"/>
      <c r="AD116" s="1066"/>
      <c r="AE116" s="1066"/>
      <c r="AF116" s="1066"/>
      <c r="AG116" s="1066"/>
      <c r="AH116" s="1066"/>
      <c r="AI116" s="1066"/>
      <c r="AJ116" s="1066"/>
      <c r="AK116" s="1066"/>
      <c r="AL116" s="1066"/>
      <c r="AM116" s="1066"/>
      <c r="AN116" s="1066"/>
      <c r="AO116" s="1066"/>
      <c r="AP116" s="1066"/>
      <c r="AQ116" s="1066"/>
      <c r="AR116" s="1066"/>
      <c r="AS116" s="1066"/>
      <c r="AU116" s="1081"/>
      <c r="AV116" s="1066"/>
      <c r="AW116" s="1066"/>
      <c r="AX116" s="1066"/>
      <c r="AY116" s="1066"/>
      <c r="AZ116" s="1066"/>
      <c r="BA116" s="1066"/>
      <c r="BB116" s="1066"/>
      <c r="BC116" s="1066"/>
      <c r="BD116" s="1066"/>
      <c r="BE116" s="1066"/>
      <c r="BF116" s="1066"/>
      <c r="BG116" s="1066"/>
      <c r="BH116" s="1066"/>
      <c r="BI116" s="1066"/>
      <c r="BJ116" s="1066"/>
      <c r="BK116" s="1066"/>
      <c r="BL116" s="1066"/>
      <c r="BM116" s="1066"/>
      <c r="BN116" s="1066"/>
      <c r="BO116" s="1066"/>
      <c r="BP116" s="1066"/>
      <c r="BQ116" s="1081"/>
      <c r="BR116" s="1066"/>
      <c r="BS116" s="1066"/>
      <c r="BT116" s="1066"/>
      <c r="BU116" s="1066"/>
      <c r="BV116" s="1066"/>
      <c r="BW116" s="1066"/>
      <c r="BX116" s="1066"/>
      <c r="BY116" s="1066"/>
      <c r="BZ116" s="1066"/>
      <c r="CA116" s="1066"/>
      <c r="CB116" s="1066"/>
      <c r="CC116" s="1066"/>
      <c r="CD116" s="1066"/>
      <c r="CE116" s="1066"/>
      <c r="CF116" s="1066"/>
      <c r="CG116" s="1066"/>
      <c r="CH116" s="1066"/>
      <c r="CI116" s="1066"/>
      <c r="CJ116" s="1066"/>
      <c r="CK116" s="1066"/>
      <c r="CL116" s="1066"/>
      <c r="CM116" s="1081"/>
      <c r="CN116" s="1066"/>
      <c r="CO116" s="1066"/>
      <c r="CP116" s="1066"/>
      <c r="CQ116" s="1066"/>
      <c r="CR116" s="1066"/>
      <c r="CS116" s="1066"/>
      <c r="CT116" s="1066"/>
      <c r="CU116" s="1066"/>
      <c r="CV116" s="1066"/>
      <c r="CW116" s="1066"/>
      <c r="CX116" s="1066"/>
      <c r="CY116" s="1066"/>
      <c r="CZ116" s="1066"/>
      <c r="DA116" s="1066"/>
      <c r="DB116" s="1066"/>
      <c r="DC116" s="1066"/>
      <c r="DD116" s="1066"/>
      <c r="DE116" s="1066"/>
      <c r="DF116" s="1066"/>
      <c r="DG116" s="1066"/>
      <c r="DH116" s="1066"/>
      <c r="DI116" s="1081"/>
      <c r="DJ116" s="1066"/>
      <c r="DK116" s="1066"/>
      <c r="DL116" s="1066"/>
      <c r="DM116" s="1066"/>
      <c r="DN116" s="1066"/>
      <c r="DO116" s="1066"/>
      <c r="DP116" s="1066"/>
      <c r="DQ116" s="1066"/>
      <c r="DR116" s="1066"/>
      <c r="DS116" s="1066"/>
      <c r="DT116" s="1066"/>
      <c r="DU116" s="1066"/>
      <c r="DV116" s="1066"/>
      <c r="DW116" s="1066"/>
      <c r="DX116" s="1066"/>
      <c r="DY116" s="1066"/>
      <c r="DZ116" s="1066"/>
      <c r="EA116" s="1066"/>
      <c r="EB116" s="1066"/>
      <c r="EC116" s="1066"/>
      <c r="ED116" s="1066"/>
    </row>
    <row r="117" spans="1:134" s="203" customFormat="1" ht="27" hidden="1" customHeight="1" x14ac:dyDescent="0.25">
      <c r="A117" s="1586"/>
      <c r="B117" s="1026"/>
      <c r="C117" s="1087"/>
      <c r="D117" s="1018" t="s">
        <v>4935</v>
      </c>
      <c r="E117" s="1580"/>
      <c r="F117" s="1430"/>
      <c r="G117" s="1071"/>
      <c r="H117" s="1060"/>
      <c r="I117" s="1060"/>
      <c r="J117" s="1117" t="s">
        <v>4938</v>
      </c>
      <c r="K117" s="1113" t="s">
        <v>4941</v>
      </c>
      <c r="L117" s="1113" t="s">
        <v>4944</v>
      </c>
      <c r="M117" s="1258"/>
      <c r="N117" s="1113">
        <v>0</v>
      </c>
      <c r="O117" s="1113">
        <v>0</v>
      </c>
      <c r="P117" s="1258"/>
      <c r="Q117" s="1113">
        <v>23</v>
      </c>
      <c r="R117" s="1113">
        <v>0</v>
      </c>
      <c r="S117" s="1117"/>
      <c r="T117" s="1117"/>
      <c r="U117" s="1117"/>
      <c r="V117" s="1117"/>
      <c r="W117" s="1117"/>
      <c r="X117" s="1117"/>
      <c r="Y117" s="1066"/>
      <c r="Z117" s="1066"/>
      <c r="AA117" s="1066"/>
      <c r="AB117" s="1066"/>
      <c r="AC117" s="1066"/>
      <c r="AD117" s="1066"/>
      <c r="AE117" s="1066"/>
      <c r="AF117" s="1066"/>
      <c r="AG117" s="1066"/>
      <c r="AH117" s="1066"/>
      <c r="AI117" s="1066"/>
      <c r="AJ117" s="1066"/>
      <c r="AK117" s="1066"/>
      <c r="AL117" s="1066"/>
      <c r="AM117" s="1066"/>
      <c r="AN117" s="1066"/>
      <c r="AO117" s="1066"/>
      <c r="AP117" s="1066"/>
      <c r="AQ117" s="1066"/>
      <c r="AR117" s="1066"/>
      <c r="AS117" s="1066"/>
      <c r="AU117" s="1081"/>
      <c r="AV117" s="1066"/>
      <c r="AW117" s="1066"/>
      <c r="AX117" s="1066"/>
      <c r="AY117" s="1066"/>
      <c r="AZ117" s="1066"/>
      <c r="BA117" s="1066"/>
      <c r="BB117" s="1066"/>
      <c r="BC117" s="1066"/>
      <c r="BD117" s="1066"/>
      <c r="BE117" s="1066"/>
      <c r="BF117" s="1066"/>
      <c r="BG117" s="1066"/>
      <c r="BH117" s="1066"/>
      <c r="BI117" s="1066"/>
      <c r="BJ117" s="1066"/>
      <c r="BK117" s="1066"/>
      <c r="BL117" s="1066"/>
      <c r="BM117" s="1066"/>
      <c r="BN117" s="1066"/>
      <c r="BO117" s="1066"/>
      <c r="BP117" s="1066"/>
      <c r="BQ117" s="1081"/>
      <c r="BR117" s="1066"/>
      <c r="BS117" s="1066"/>
      <c r="BT117" s="1066"/>
      <c r="BU117" s="1066"/>
      <c r="BV117" s="1066"/>
      <c r="BW117" s="1066"/>
      <c r="BX117" s="1066"/>
      <c r="BY117" s="1066"/>
      <c r="BZ117" s="1066"/>
      <c r="CA117" s="1066"/>
      <c r="CB117" s="1066"/>
      <c r="CC117" s="1066"/>
      <c r="CD117" s="1066"/>
      <c r="CE117" s="1066"/>
      <c r="CF117" s="1066"/>
      <c r="CG117" s="1066"/>
      <c r="CH117" s="1066"/>
      <c r="CI117" s="1066"/>
      <c r="CJ117" s="1066"/>
      <c r="CK117" s="1066"/>
      <c r="CL117" s="1066"/>
      <c r="CM117" s="1081"/>
      <c r="CN117" s="1066"/>
      <c r="CO117" s="1066"/>
      <c r="CP117" s="1066"/>
      <c r="CQ117" s="1066"/>
      <c r="CR117" s="1066"/>
      <c r="CS117" s="1066"/>
      <c r="CT117" s="1066"/>
      <c r="CU117" s="1066"/>
      <c r="CV117" s="1066"/>
      <c r="CW117" s="1066"/>
      <c r="CX117" s="1066"/>
      <c r="CY117" s="1066"/>
      <c r="CZ117" s="1066"/>
      <c r="DA117" s="1066"/>
      <c r="DB117" s="1066"/>
      <c r="DC117" s="1066"/>
      <c r="DD117" s="1066"/>
      <c r="DE117" s="1066"/>
      <c r="DF117" s="1066"/>
      <c r="DG117" s="1066"/>
      <c r="DH117" s="1066"/>
      <c r="DI117" s="1081"/>
      <c r="DJ117" s="1066"/>
      <c r="DK117" s="1066"/>
      <c r="DL117" s="1066"/>
      <c r="DM117" s="1066"/>
      <c r="DN117" s="1066"/>
      <c r="DO117" s="1066"/>
      <c r="DP117" s="1066"/>
      <c r="DQ117" s="1066"/>
      <c r="DR117" s="1066"/>
      <c r="DS117" s="1066"/>
      <c r="DT117" s="1066"/>
      <c r="DU117" s="1066"/>
      <c r="DV117" s="1066"/>
      <c r="DW117" s="1066"/>
      <c r="DX117" s="1066"/>
      <c r="DY117" s="1066"/>
      <c r="DZ117" s="1066"/>
      <c r="EA117" s="1066"/>
      <c r="EB117" s="1066"/>
      <c r="EC117" s="1066"/>
      <c r="ED117" s="1066"/>
    </row>
    <row r="118" spans="1:134" ht="71.25" hidden="1" customHeight="1" x14ac:dyDescent="0.25">
      <c r="A118" s="1586"/>
      <c r="B118" s="1018" t="s">
        <v>4443</v>
      </c>
      <c r="C118" s="1114" t="s">
        <v>4635</v>
      </c>
      <c r="D118" s="1018" t="s">
        <v>4460</v>
      </c>
      <c r="E118" s="1019">
        <v>301</v>
      </c>
      <c r="F118" s="1117" t="s">
        <v>4740</v>
      </c>
      <c r="G118" s="1117">
        <v>306000000</v>
      </c>
      <c r="H118" s="1060">
        <f t="shared" si="100"/>
        <v>133851634</v>
      </c>
      <c r="I118" s="1060">
        <f>Y118-H118</f>
        <v>186148366</v>
      </c>
      <c r="J118" s="1117" t="s">
        <v>4950</v>
      </c>
      <c r="K118" s="1113" t="s">
        <v>4954</v>
      </c>
      <c r="L118" s="1113" t="s">
        <v>4958</v>
      </c>
      <c r="M118" s="1257">
        <v>13</v>
      </c>
      <c r="N118" s="1113">
        <v>21</v>
      </c>
      <c r="O118" s="1113">
        <v>3</v>
      </c>
      <c r="P118" s="1257">
        <v>32</v>
      </c>
      <c r="Q118" s="1113">
        <v>47</v>
      </c>
      <c r="R118" s="1113">
        <v>15</v>
      </c>
      <c r="S118" s="1117"/>
      <c r="T118" s="1117"/>
      <c r="U118" s="1117"/>
      <c r="V118" s="1117"/>
      <c r="W118" s="1117"/>
      <c r="X118" s="1117"/>
      <c r="Y118" s="1007">
        <f t="shared" si="102"/>
        <v>320000000</v>
      </c>
      <c r="Z118" s="1007"/>
      <c r="AA118" s="1007"/>
      <c r="AB118" s="1007"/>
      <c r="AC118" s="1007"/>
      <c r="AD118" s="1007"/>
      <c r="AE118" s="1007"/>
      <c r="AF118" s="1007"/>
      <c r="AG118" s="1007"/>
      <c r="AH118" s="1007"/>
      <c r="AI118" s="1007"/>
      <c r="AJ118" s="1007"/>
      <c r="AK118" s="1007"/>
      <c r="AL118" s="1007"/>
      <c r="AM118" s="1007">
        <v>300000000</v>
      </c>
      <c r="AN118" s="1007"/>
      <c r="AO118" s="1007"/>
      <c r="AP118" s="1007"/>
      <c r="AQ118" s="1007"/>
      <c r="AR118" s="1007"/>
      <c r="AS118" s="1007">
        <f>1000000+5000000+11000000+3000000</f>
        <v>20000000</v>
      </c>
      <c r="AU118" s="1010">
        <f t="shared" si="103"/>
        <v>0.93057593750000001</v>
      </c>
      <c r="AV118" s="1007">
        <f t="shared" si="104"/>
        <v>297784300</v>
      </c>
      <c r="AW118" s="1007"/>
      <c r="AX118" s="1007"/>
      <c r="AY118" s="1007"/>
      <c r="AZ118" s="1007"/>
      <c r="BA118" s="1007"/>
      <c r="BB118" s="1007"/>
      <c r="BC118" s="1007"/>
      <c r="BD118" s="1007"/>
      <c r="BE118" s="1007"/>
      <c r="BF118" s="1007"/>
      <c r="BG118" s="1007"/>
      <c r="BH118" s="1007"/>
      <c r="BI118" s="1007"/>
      <c r="BJ118" s="1007">
        <f>+'[13]JUNIO 2015'!$W$749</f>
        <v>282584300</v>
      </c>
      <c r="BK118" s="1007"/>
      <c r="BL118" s="1007"/>
      <c r="BM118" s="1007"/>
      <c r="BN118" s="1007"/>
      <c r="BO118" s="1007"/>
      <c r="BP118" s="1007">
        <f>+'[7]AGOSTO 2015'!$AD$997</f>
        <v>15200000</v>
      </c>
      <c r="BQ118" s="1010">
        <f t="shared" si="105"/>
        <v>6.9424062499999994E-2</v>
      </c>
      <c r="BR118" s="1007">
        <f t="shared" si="106"/>
        <v>22215700</v>
      </c>
      <c r="BS118" s="1007">
        <f t="shared" si="125"/>
        <v>0</v>
      </c>
      <c r="BT118" s="1007">
        <f t="shared" si="126"/>
        <v>0</v>
      </c>
      <c r="BU118" s="1007"/>
      <c r="BV118" s="1007">
        <f t="shared" si="127"/>
        <v>0</v>
      </c>
      <c r="BW118" s="1007"/>
      <c r="BX118" s="1007">
        <f t="shared" si="128"/>
        <v>0</v>
      </c>
      <c r="BY118" s="1007">
        <f t="shared" si="128"/>
        <v>0</v>
      </c>
      <c r="BZ118" s="1007"/>
      <c r="CA118" s="1007">
        <f t="shared" si="129"/>
        <v>0</v>
      </c>
      <c r="CB118" s="1007">
        <f t="shared" si="129"/>
        <v>0</v>
      </c>
      <c r="CC118" s="1007">
        <f t="shared" si="129"/>
        <v>0</v>
      </c>
      <c r="CD118" s="1007">
        <f t="shared" si="129"/>
        <v>0</v>
      </c>
      <c r="CE118" s="1007">
        <f t="shared" si="129"/>
        <v>0</v>
      </c>
      <c r="CF118" s="1007">
        <f t="shared" si="129"/>
        <v>17415700</v>
      </c>
      <c r="CG118" s="1007">
        <f t="shared" si="129"/>
        <v>0</v>
      </c>
      <c r="CH118" s="1007">
        <f t="shared" si="111"/>
        <v>0</v>
      </c>
      <c r="CI118" s="1007">
        <f t="shared" si="111"/>
        <v>0</v>
      </c>
      <c r="CJ118" s="1007"/>
      <c r="CK118" s="1007"/>
      <c r="CL118" s="1007">
        <f t="shared" si="130"/>
        <v>4800000</v>
      </c>
      <c r="CM118" s="1010">
        <f t="shared" si="113"/>
        <v>0.41828635624999999</v>
      </c>
      <c r="CN118" s="1007">
        <f t="shared" si="114"/>
        <v>133851634</v>
      </c>
      <c r="CO118" s="1007"/>
      <c r="CP118" s="1007"/>
      <c r="CQ118" s="1007"/>
      <c r="CR118" s="1007"/>
      <c r="CS118" s="1007"/>
      <c r="CT118" s="1007"/>
      <c r="CU118" s="1007"/>
      <c r="CV118" s="1007"/>
      <c r="CW118" s="1007"/>
      <c r="CX118" s="1007"/>
      <c r="CY118" s="1007"/>
      <c r="CZ118" s="1007"/>
      <c r="DA118" s="1007"/>
      <c r="DB118" s="1007">
        <f>+'[8]SEPTIEMBRE 2015'!$H$1149-DH118</f>
        <v>129526634</v>
      </c>
      <c r="DC118" s="1007"/>
      <c r="DD118" s="1007"/>
      <c r="DE118" s="1007"/>
      <c r="DF118" s="1007"/>
      <c r="DG118" s="1007"/>
      <c r="DH118" s="1007">
        <f>+'[8]SEPTIEMBRE 2015'!$H$1152+'[8]SEPTIEMBRE 2015'!$H$1179+'[8]SEPTIEMBRE 2015'!$H$1182+'[8]SEPTIEMBRE 2015'!$H$1187</f>
        <v>4325000</v>
      </c>
      <c r="DI118" s="1010">
        <f t="shared" si="115"/>
        <v>0.58171364375000001</v>
      </c>
      <c r="DJ118" s="1007">
        <f t="shared" si="116"/>
        <v>186148366</v>
      </c>
      <c r="DK118" s="1007">
        <f t="shared" si="131"/>
        <v>0</v>
      </c>
      <c r="DL118" s="1007"/>
      <c r="DM118" s="1007"/>
      <c r="DN118" s="1007">
        <f t="shared" si="132"/>
        <v>0</v>
      </c>
      <c r="DO118" s="1007"/>
      <c r="DP118" s="1007">
        <f t="shared" si="133"/>
        <v>0</v>
      </c>
      <c r="DQ118" s="1007">
        <f t="shared" si="133"/>
        <v>0</v>
      </c>
      <c r="DR118" s="1007"/>
      <c r="DS118" s="1007">
        <f t="shared" si="134"/>
        <v>0</v>
      </c>
      <c r="DT118" s="1007">
        <f t="shared" si="134"/>
        <v>0</v>
      </c>
      <c r="DU118" s="1007"/>
      <c r="DV118" s="1007">
        <f t="shared" si="135"/>
        <v>0</v>
      </c>
      <c r="DW118" s="1007">
        <f t="shared" si="135"/>
        <v>0</v>
      </c>
      <c r="DX118" s="1007">
        <f t="shared" si="135"/>
        <v>170473366</v>
      </c>
      <c r="DY118" s="1007">
        <f t="shared" si="136"/>
        <v>0</v>
      </c>
      <c r="DZ118" s="1007">
        <f t="shared" si="124"/>
        <v>0</v>
      </c>
      <c r="EA118" s="1007">
        <f t="shared" si="124"/>
        <v>0</v>
      </c>
      <c r="EB118" s="1007">
        <f t="shared" si="124"/>
        <v>0</v>
      </c>
      <c r="EC118" s="1007"/>
      <c r="ED118" s="1007">
        <f t="shared" si="137"/>
        <v>15675000</v>
      </c>
    </row>
    <row r="119" spans="1:134" s="203" customFormat="1" ht="27.75" hidden="1" customHeight="1" x14ac:dyDescent="0.25">
      <c r="A119" s="1586"/>
      <c r="B119" s="1018"/>
      <c r="C119" s="1080"/>
      <c r="D119" s="1018" t="s">
        <v>4945</v>
      </c>
      <c r="E119" s="1019"/>
      <c r="F119" s="1117"/>
      <c r="G119" s="1117"/>
      <c r="H119" s="1060"/>
      <c r="I119" s="1060"/>
      <c r="J119" s="1117" t="s">
        <v>4948</v>
      </c>
      <c r="K119" s="1113" t="s">
        <v>4952</v>
      </c>
      <c r="L119" s="1113" t="s">
        <v>4956</v>
      </c>
      <c r="M119" s="1562"/>
      <c r="N119" s="1113">
        <v>31</v>
      </c>
      <c r="O119" s="1113">
        <v>4</v>
      </c>
      <c r="P119" s="1562"/>
      <c r="Q119" s="1113">
        <v>31</v>
      </c>
      <c r="R119" s="1113">
        <v>0</v>
      </c>
      <c r="S119" s="1117"/>
      <c r="T119" s="1117"/>
      <c r="U119" s="1117"/>
      <c r="V119" s="1117"/>
      <c r="W119" s="1117"/>
      <c r="X119" s="1117"/>
      <c r="Y119" s="1066"/>
      <c r="Z119" s="1066"/>
      <c r="AA119" s="1066"/>
      <c r="AB119" s="1066"/>
      <c r="AC119" s="1066"/>
      <c r="AD119" s="1066"/>
      <c r="AE119" s="1066"/>
      <c r="AF119" s="1066"/>
      <c r="AG119" s="1066"/>
      <c r="AH119" s="1066"/>
      <c r="AI119" s="1066"/>
      <c r="AJ119" s="1066"/>
      <c r="AK119" s="1066"/>
      <c r="AL119" s="1066"/>
      <c r="AM119" s="1066"/>
      <c r="AN119" s="1066"/>
      <c r="AO119" s="1066"/>
      <c r="AP119" s="1066"/>
      <c r="AQ119" s="1066"/>
      <c r="AR119" s="1066"/>
      <c r="AS119" s="1066"/>
      <c r="AU119" s="1081"/>
      <c r="AV119" s="1066"/>
      <c r="AW119" s="1066"/>
      <c r="AX119" s="1066"/>
      <c r="AY119" s="1066"/>
      <c r="AZ119" s="1066"/>
      <c r="BA119" s="1066"/>
      <c r="BB119" s="1066"/>
      <c r="BC119" s="1066"/>
      <c r="BD119" s="1066"/>
      <c r="BE119" s="1066"/>
      <c r="BF119" s="1066"/>
      <c r="BG119" s="1066"/>
      <c r="BH119" s="1066"/>
      <c r="BI119" s="1066"/>
      <c r="BJ119" s="1066"/>
      <c r="BK119" s="1066"/>
      <c r="BL119" s="1066"/>
      <c r="BM119" s="1066"/>
      <c r="BN119" s="1066"/>
      <c r="BO119" s="1066"/>
      <c r="BP119" s="1066"/>
      <c r="BQ119" s="1081"/>
      <c r="BR119" s="1066"/>
      <c r="BS119" s="1066"/>
      <c r="BT119" s="1066"/>
      <c r="BU119" s="1066"/>
      <c r="BV119" s="1066"/>
      <c r="BW119" s="1066"/>
      <c r="BX119" s="1066"/>
      <c r="BY119" s="1066"/>
      <c r="BZ119" s="1066"/>
      <c r="CA119" s="1066"/>
      <c r="CB119" s="1066"/>
      <c r="CC119" s="1066"/>
      <c r="CD119" s="1066"/>
      <c r="CE119" s="1066"/>
      <c r="CF119" s="1066"/>
      <c r="CG119" s="1066"/>
      <c r="CH119" s="1066"/>
      <c r="CI119" s="1066"/>
      <c r="CJ119" s="1066"/>
      <c r="CK119" s="1066"/>
      <c r="CL119" s="1066"/>
      <c r="CM119" s="1081"/>
      <c r="CN119" s="1066"/>
      <c r="CO119" s="1066"/>
      <c r="CP119" s="1066"/>
      <c r="CQ119" s="1066"/>
      <c r="CR119" s="1066"/>
      <c r="CS119" s="1066"/>
      <c r="CT119" s="1066"/>
      <c r="CU119" s="1066"/>
      <c r="CV119" s="1066"/>
      <c r="CW119" s="1066"/>
      <c r="CX119" s="1066"/>
      <c r="CY119" s="1066"/>
      <c r="CZ119" s="1066"/>
      <c r="DA119" s="1066"/>
      <c r="DB119" s="1066"/>
      <c r="DC119" s="1066"/>
      <c r="DD119" s="1066"/>
      <c r="DE119" s="1066"/>
      <c r="DF119" s="1066"/>
      <c r="DG119" s="1066"/>
      <c r="DH119" s="1066"/>
      <c r="DI119" s="1081"/>
      <c r="DJ119" s="1066"/>
      <c r="DK119" s="1066"/>
      <c r="DL119" s="1066"/>
      <c r="DM119" s="1066"/>
      <c r="DN119" s="1066"/>
      <c r="DO119" s="1066"/>
      <c r="DP119" s="1066"/>
      <c r="DQ119" s="1066"/>
      <c r="DR119" s="1066"/>
      <c r="DS119" s="1066"/>
      <c r="DT119" s="1066"/>
      <c r="DU119" s="1066"/>
      <c r="DV119" s="1066"/>
      <c r="DW119" s="1066"/>
      <c r="DX119" s="1066"/>
      <c r="DY119" s="1066"/>
      <c r="DZ119" s="1066"/>
      <c r="EA119" s="1066"/>
      <c r="EB119" s="1066"/>
      <c r="EC119" s="1066"/>
      <c r="ED119" s="1066"/>
    </row>
    <row r="120" spans="1:134" s="203" customFormat="1" ht="21.75" hidden="1" customHeight="1" x14ac:dyDescent="0.25">
      <c r="A120" s="1586"/>
      <c r="B120" s="1018"/>
      <c r="C120" s="1080"/>
      <c r="D120" s="1018" t="s">
        <v>4946</v>
      </c>
      <c r="E120" s="1019"/>
      <c r="F120" s="1117"/>
      <c r="G120" s="1117"/>
      <c r="H120" s="1060"/>
      <c r="I120" s="1060"/>
      <c r="J120" s="1117" t="s">
        <v>4949</v>
      </c>
      <c r="K120" s="1113" t="s">
        <v>4953</v>
      </c>
      <c r="L120" s="1113" t="s">
        <v>4957</v>
      </c>
      <c r="M120" s="1562"/>
      <c r="N120" s="1113">
        <v>32</v>
      </c>
      <c r="O120" s="1113">
        <v>4</v>
      </c>
      <c r="P120" s="1562"/>
      <c r="Q120" s="1113">
        <v>66</v>
      </c>
      <c r="R120" s="1113">
        <v>0</v>
      </c>
      <c r="S120" s="1117"/>
      <c r="T120" s="1117"/>
      <c r="U120" s="1117"/>
      <c r="V120" s="1117"/>
      <c r="W120" s="1117"/>
      <c r="X120" s="1117"/>
      <c r="Y120" s="1066"/>
      <c r="Z120" s="1066"/>
      <c r="AA120" s="1066"/>
      <c r="AB120" s="1066"/>
      <c r="AC120" s="1066"/>
      <c r="AD120" s="1066"/>
      <c r="AE120" s="1066"/>
      <c r="AF120" s="1066"/>
      <c r="AG120" s="1066"/>
      <c r="AH120" s="1066"/>
      <c r="AI120" s="1066"/>
      <c r="AJ120" s="1066"/>
      <c r="AK120" s="1066"/>
      <c r="AL120" s="1066"/>
      <c r="AM120" s="1066"/>
      <c r="AN120" s="1066"/>
      <c r="AO120" s="1066"/>
      <c r="AP120" s="1066"/>
      <c r="AQ120" s="1066"/>
      <c r="AR120" s="1066"/>
      <c r="AS120" s="1066"/>
      <c r="AU120" s="1081"/>
      <c r="AV120" s="1066"/>
      <c r="AW120" s="1066"/>
      <c r="AX120" s="1066"/>
      <c r="AY120" s="1066"/>
      <c r="AZ120" s="1066"/>
      <c r="BA120" s="1066"/>
      <c r="BB120" s="1066"/>
      <c r="BC120" s="1066"/>
      <c r="BD120" s="1066"/>
      <c r="BE120" s="1066"/>
      <c r="BF120" s="1066"/>
      <c r="BG120" s="1066"/>
      <c r="BH120" s="1066"/>
      <c r="BI120" s="1066"/>
      <c r="BJ120" s="1066"/>
      <c r="BK120" s="1066"/>
      <c r="BL120" s="1066"/>
      <c r="BM120" s="1066"/>
      <c r="BN120" s="1066"/>
      <c r="BO120" s="1066"/>
      <c r="BP120" s="1066"/>
      <c r="BQ120" s="1081"/>
      <c r="BR120" s="1066"/>
      <c r="BS120" s="1066"/>
      <c r="BT120" s="1066"/>
      <c r="BU120" s="1066"/>
      <c r="BV120" s="1066"/>
      <c r="BW120" s="1066"/>
      <c r="BX120" s="1066"/>
      <c r="BY120" s="1066"/>
      <c r="BZ120" s="1066"/>
      <c r="CA120" s="1066"/>
      <c r="CB120" s="1066"/>
      <c r="CC120" s="1066"/>
      <c r="CD120" s="1066"/>
      <c r="CE120" s="1066"/>
      <c r="CF120" s="1066"/>
      <c r="CG120" s="1066"/>
      <c r="CH120" s="1066"/>
      <c r="CI120" s="1066"/>
      <c r="CJ120" s="1066"/>
      <c r="CK120" s="1066"/>
      <c r="CL120" s="1066"/>
      <c r="CM120" s="1081"/>
      <c r="CN120" s="1066"/>
      <c r="CO120" s="1066"/>
      <c r="CP120" s="1066"/>
      <c r="CQ120" s="1066"/>
      <c r="CR120" s="1066"/>
      <c r="CS120" s="1066"/>
      <c r="CT120" s="1066"/>
      <c r="CU120" s="1066"/>
      <c r="CV120" s="1066"/>
      <c r="CW120" s="1066"/>
      <c r="CX120" s="1066"/>
      <c r="CY120" s="1066"/>
      <c r="CZ120" s="1066"/>
      <c r="DA120" s="1066"/>
      <c r="DB120" s="1066"/>
      <c r="DC120" s="1066"/>
      <c r="DD120" s="1066"/>
      <c r="DE120" s="1066"/>
      <c r="DF120" s="1066"/>
      <c r="DG120" s="1066"/>
      <c r="DH120" s="1066"/>
      <c r="DI120" s="1081"/>
      <c r="DJ120" s="1066"/>
      <c r="DK120" s="1066"/>
      <c r="DL120" s="1066"/>
      <c r="DM120" s="1066"/>
      <c r="DN120" s="1066"/>
      <c r="DO120" s="1066"/>
      <c r="DP120" s="1066"/>
      <c r="DQ120" s="1066"/>
      <c r="DR120" s="1066"/>
      <c r="DS120" s="1066"/>
      <c r="DT120" s="1066"/>
      <c r="DU120" s="1066"/>
      <c r="DV120" s="1066"/>
      <c r="DW120" s="1066"/>
      <c r="DX120" s="1066"/>
      <c r="DY120" s="1066"/>
      <c r="DZ120" s="1066"/>
      <c r="EA120" s="1066"/>
      <c r="EB120" s="1066"/>
      <c r="EC120" s="1066"/>
      <c r="ED120" s="1066"/>
    </row>
    <row r="121" spans="1:134" s="203" customFormat="1" ht="27" hidden="1" customHeight="1" x14ac:dyDescent="0.25">
      <c r="A121" s="1586"/>
      <c r="B121" s="1018"/>
      <c r="C121" s="1080"/>
      <c r="D121" s="1018" t="s">
        <v>4947</v>
      </c>
      <c r="E121" s="1019"/>
      <c r="F121" s="1117"/>
      <c r="G121" s="1117"/>
      <c r="H121" s="1060"/>
      <c r="I121" s="1060"/>
      <c r="J121" s="1117" t="s">
        <v>4951</v>
      </c>
      <c r="K121" s="1113" t="s">
        <v>4955</v>
      </c>
      <c r="L121" s="1113" t="s">
        <v>4959</v>
      </c>
      <c r="M121" s="1258"/>
      <c r="N121" s="1113">
        <v>42</v>
      </c>
      <c r="O121" s="1113">
        <v>5</v>
      </c>
      <c r="P121" s="1258"/>
      <c r="Q121" s="1113">
        <v>87</v>
      </c>
      <c r="R121" s="1113">
        <v>0</v>
      </c>
      <c r="S121" s="1117"/>
      <c r="T121" s="1117"/>
      <c r="U121" s="1117"/>
      <c r="V121" s="1117"/>
      <c r="W121" s="1117"/>
      <c r="X121" s="1117"/>
      <c r="Y121" s="1066"/>
      <c r="Z121" s="1066"/>
      <c r="AA121" s="1066"/>
      <c r="AB121" s="1066"/>
      <c r="AC121" s="1066"/>
      <c r="AD121" s="1066"/>
      <c r="AE121" s="1066"/>
      <c r="AF121" s="1066"/>
      <c r="AG121" s="1066"/>
      <c r="AH121" s="1066"/>
      <c r="AI121" s="1066"/>
      <c r="AJ121" s="1066"/>
      <c r="AK121" s="1066"/>
      <c r="AL121" s="1066"/>
      <c r="AM121" s="1066"/>
      <c r="AN121" s="1066"/>
      <c r="AO121" s="1066"/>
      <c r="AP121" s="1066"/>
      <c r="AQ121" s="1066"/>
      <c r="AR121" s="1066"/>
      <c r="AS121" s="1066"/>
      <c r="AU121" s="1081"/>
      <c r="AV121" s="1066"/>
      <c r="AW121" s="1066"/>
      <c r="AX121" s="1066"/>
      <c r="AY121" s="1066"/>
      <c r="AZ121" s="1066"/>
      <c r="BA121" s="1066"/>
      <c r="BB121" s="1066"/>
      <c r="BC121" s="1066"/>
      <c r="BD121" s="1066"/>
      <c r="BE121" s="1066"/>
      <c r="BF121" s="1066"/>
      <c r="BG121" s="1066"/>
      <c r="BH121" s="1066"/>
      <c r="BI121" s="1066"/>
      <c r="BJ121" s="1066"/>
      <c r="BK121" s="1066"/>
      <c r="BL121" s="1066"/>
      <c r="BM121" s="1066"/>
      <c r="BN121" s="1066"/>
      <c r="BO121" s="1066"/>
      <c r="BP121" s="1066"/>
      <c r="BQ121" s="1081"/>
      <c r="BR121" s="1066"/>
      <c r="BS121" s="1066"/>
      <c r="BT121" s="1066"/>
      <c r="BU121" s="1066"/>
      <c r="BV121" s="1066"/>
      <c r="BW121" s="1066"/>
      <c r="BX121" s="1066"/>
      <c r="BY121" s="1066"/>
      <c r="BZ121" s="1066"/>
      <c r="CA121" s="1066"/>
      <c r="CB121" s="1066"/>
      <c r="CC121" s="1066"/>
      <c r="CD121" s="1066"/>
      <c r="CE121" s="1066"/>
      <c r="CF121" s="1066"/>
      <c r="CG121" s="1066"/>
      <c r="CH121" s="1066"/>
      <c r="CI121" s="1066"/>
      <c r="CJ121" s="1066"/>
      <c r="CK121" s="1066"/>
      <c r="CL121" s="1066"/>
      <c r="CM121" s="1081"/>
      <c r="CN121" s="1066"/>
      <c r="CO121" s="1066"/>
      <c r="CP121" s="1066"/>
      <c r="CQ121" s="1066"/>
      <c r="CR121" s="1066"/>
      <c r="CS121" s="1066"/>
      <c r="CT121" s="1066"/>
      <c r="CU121" s="1066"/>
      <c r="CV121" s="1066"/>
      <c r="CW121" s="1066"/>
      <c r="CX121" s="1066"/>
      <c r="CY121" s="1066"/>
      <c r="CZ121" s="1066"/>
      <c r="DA121" s="1066"/>
      <c r="DB121" s="1066"/>
      <c r="DC121" s="1066"/>
      <c r="DD121" s="1066"/>
      <c r="DE121" s="1066"/>
      <c r="DF121" s="1066"/>
      <c r="DG121" s="1066"/>
      <c r="DH121" s="1066"/>
      <c r="DI121" s="1081"/>
      <c r="DJ121" s="1066"/>
      <c r="DK121" s="1066"/>
      <c r="DL121" s="1066"/>
      <c r="DM121" s="1066"/>
      <c r="DN121" s="1066"/>
      <c r="DO121" s="1066"/>
      <c r="DP121" s="1066"/>
      <c r="DQ121" s="1066"/>
      <c r="DR121" s="1066"/>
      <c r="DS121" s="1066"/>
      <c r="DT121" s="1066"/>
      <c r="DU121" s="1066"/>
      <c r="DV121" s="1066"/>
      <c r="DW121" s="1066"/>
      <c r="DX121" s="1066"/>
      <c r="DY121" s="1066"/>
      <c r="DZ121" s="1066"/>
      <c r="EA121" s="1066"/>
      <c r="EB121" s="1066"/>
      <c r="EC121" s="1066"/>
      <c r="ED121" s="1066"/>
    </row>
    <row r="122" spans="1:134" ht="44.25" hidden="1" customHeight="1" x14ac:dyDescent="0.25">
      <c r="A122" s="1586"/>
      <c r="B122" s="1018" t="s">
        <v>4444</v>
      </c>
      <c r="C122" s="1114" t="s">
        <v>4636</v>
      </c>
      <c r="D122" s="1018" t="s">
        <v>4960</v>
      </c>
      <c r="E122" s="1019">
        <v>301</v>
      </c>
      <c r="F122" s="1117" t="s">
        <v>4741</v>
      </c>
      <c r="G122" s="1117">
        <v>67000000</v>
      </c>
      <c r="H122" s="1060">
        <f t="shared" si="100"/>
        <v>3045000</v>
      </c>
      <c r="I122" s="1060">
        <f>Y122-H122</f>
        <v>19955000</v>
      </c>
      <c r="J122" s="1117" t="s">
        <v>4962</v>
      </c>
      <c r="K122" s="1113" t="s">
        <v>4963</v>
      </c>
      <c r="L122" s="1113" t="s">
        <v>4965</v>
      </c>
      <c r="M122" s="1257">
        <v>0</v>
      </c>
      <c r="N122" s="1113">
        <v>0</v>
      </c>
      <c r="O122" s="1113">
        <v>0</v>
      </c>
      <c r="P122" s="1257">
        <v>15</v>
      </c>
      <c r="Q122" s="1113">
        <v>0</v>
      </c>
      <c r="R122" s="1113">
        <v>0</v>
      </c>
      <c r="S122" s="1117"/>
      <c r="T122" s="1117"/>
      <c r="U122" s="1117"/>
      <c r="V122" s="1117"/>
      <c r="W122" s="1117"/>
      <c r="X122" s="1117"/>
      <c r="Y122" s="1007">
        <f t="shared" si="102"/>
        <v>23000000</v>
      </c>
      <c r="Z122" s="1007"/>
      <c r="AA122" s="1007"/>
      <c r="AB122" s="1007"/>
      <c r="AC122" s="1007"/>
      <c r="AD122" s="1007"/>
      <c r="AE122" s="1007"/>
      <c r="AF122" s="1007"/>
      <c r="AG122" s="1007"/>
      <c r="AH122" s="1007"/>
      <c r="AI122" s="1007"/>
      <c r="AJ122" s="1007"/>
      <c r="AK122" s="1007"/>
      <c r="AL122" s="1007"/>
      <c r="AM122" s="1007">
        <f>67000000-52000000</f>
        <v>15000000</v>
      </c>
      <c r="AN122" s="1007"/>
      <c r="AO122" s="1007"/>
      <c r="AP122" s="1007"/>
      <c r="AQ122" s="1007"/>
      <c r="AR122" s="1007"/>
      <c r="AS122" s="1007">
        <f>5000000+3000000</f>
        <v>8000000</v>
      </c>
      <c r="AU122" s="1010">
        <f t="shared" si="103"/>
        <v>1</v>
      </c>
      <c r="AV122" s="1007">
        <f t="shared" si="104"/>
        <v>23000000</v>
      </c>
      <c r="AW122" s="1007"/>
      <c r="AX122" s="1007"/>
      <c r="AY122" s="1007"/>
      <c r="AZ122" s="1007"/>
      <c r="BA122" s="1007"/>
      <c r="BB122" s="1007"/>
      <c r="BC122" s="1007"/>
      <c r="BD122" s="1007"/>
      <c r="BE122" s="1007"/>
      <c r="BF122" s="1007"/>
      <c r="BG122" s="1007"/>
      <c r="BH122" s="1007"/>
      <c r="BI122" s="1007"/>
      <c r="BJ122" s="1007">
        <f>+'[11]MARZO 2015'!$V$535</f>
        <v>15000000</v>
      </c>
      <c r="BK122" s="1007"/>
      <c r="BL122" s="1007"/>
      <c r="BM122" s="1007"/>
      <c r="BN122" s="1007"/>
      <c r="BO122" s="1007"/>
      <c r="BP122" s="1007">
        <f>+'[8]SEPTIEMBRE 2015'!$AD$1193</f>
        <v>8000000</v>
      </c>
      <c r="BQ122" s="1010">
        <f t="shared" si="105"/>
        <v>0</v>
      </c>
      <c r="BR122" s="1007">
        <f t="shared" si="106"/>
        <v>0</v>
      </c>
      <c r="BS122" s="1007">
        <f t="shared" si="125"/>
        <v>0</v>
      </c>
      <c r="BT122" s="1007">
        <f t="shared" si="126"/>
        <v>0</v>
      </c>
      <c r="BU122" s="1007"/>
      <c r="BV122" s="1007">
        <f t="shared" si="127"/>
        <v>0</v>
      </c>
      <c r="BW122" s="1007"/>
      <c r="BX122" s="1007">
        <f t="shared" si="128"/>
        <v>0</v>
      </c>
      <c r="BY122" s="1007">
        <f t="shared" si="128"/>
        <v>0</v>
      </c>
      <c r="BZ122" s="1007"/>
      <c r="CA122" s="1007"/>
      <c r="CB122" s="1007"/>
      <c r="CC122" s="1007"/>
      <c r="CD122" s="1007">
        <f t="shared" si="129"/>
        <v>0</v>
      </c>
      <c r="CE122" s="1007">
        <f t="shared" si="129"/>
        <v>0</v>
      </c>
      <c r="CF122" s="1007">
        <f t="shared" si="129"/>
        <v>0</v>
      </c>
      <c r="CG122" s="1007">
        <f t="shared" si="129"/>
        <v>0</v>
      </c>
      <c r="CH122" s="1007">
        <f t="shared" si="111"/>
        <v>0</v>
      </c>
      <c r="CI122" s="1007">
        <f t="shared" si="111"/>
        <v>0</v>
      </c>
      <c r="CJ122" s="1007"/>
      <c r="CK122" s="1007"/>
      <c r="CL122" s="1007">
        <f t="shared" si="130"/>
        <v>0</v>
      </c>
      <c r="CM122" s="1010">
        <f t="shared" si="113"/>
        <v>0.13239130434782609</v>
      </c>
      <c r="CN122" s="1007">
        <f t="shared" si="114"/>
        <v>3045000</v>
      </c>
      <c r="CO122" s="1007"/>
      <c r="CP122" s="1007"/>
      <c r="CQ122" s="1007"/>
      <c r="CR122" s="1007"/>
      <c r="CS122" s="1007"/>
      <c r="CT122" s="1007"/>
      <c r="CU122" s="1007"/>
      <c r="CV122" s="1007"/>
      <c r="CW122" s="1007"/>
      <c r="CX122" s="1007"/>
      <c r="CY122" s="1007"/>
      <c r="CZ122" s="1007"/>
      <c r="DA122" s="1007"/>
      <c r="DB122" s="1007"/>
      <c r="DC122" s="1007"/>
      <c r="DD122" s="1007"/>
      <c r="DE122" s="1007"/>
      <c r="DF122" s="1007"/>
      <c r="DG122" s="1007"/>
      <c r="DH122" s="1007">
        <f>+'[13]JUNIO 2015'!$H$782</f>
        <v>3045000</v>
      </c>
      <c r="DI122" s="1010">
        <f t="shared" si="115"/>
        <v>0.86760869565217391</v>
      </c>
      <c r="DJ122" s="1007">
        <f t="shared" si="116"/>
        <v>19955000</v>
      </c>
      <c r="DK122" s="1007">
        <f t="shared" si="131"/>
        <v>0</v>
      </c>
      <c r="DL122" s="1007"/>
      <c r="DM122" s="1007"/>
      <c r="DN122" s="1007">
        <f t="shared" si="132"/>
        <v>0</v>
      </c>
      <c r="DO122" s="1007"/>
      <c r="DP122" s="1007">
        <f t="shared" si="133"/>
        <v>0</v>
      </c>
      <c r="DQ122" s="1007">
        <f t="shared" si="133"/>
        <v>0</v>
      </c>
      <c r="DR122" s="1007"/>
      <c r="DS122" s="1007">
        <f t="shared" si="134"/>
        <v>0</v>
      </c>
      <c r="DT122" s="1007">
        <f t="shared" si="134"/>
        <v>0</v>
      </c>
      <c r="DU122" s="1007"/>
      <c r="DV122" s="1007">
        <f t="shared" si="135"/>
        <v>0</v>
      </c>
      <c r="DW122" s="1007">
        <f t="shared" si="135"/>
        <v>0</v>
      </c>
      <c r="DX122" s="1007">
        <f t="shared" si="135"/>
        <v>15000000</v>
      </c>
      <c r="DY122" s="1007">
        <f t="shared" si="136"/>
        <v>0</v>
      </c>
      <c r="DZ122" s="1007">
        <f t="shared" si="124"/>
        <v>0</v>
      </c>
      <c r="EA122" s="1007">
        <f t="shared" si="124"/>
        <v>0</v>
      </c>
      <c r="EB122" s="1007">
        <f t="shared" si="124"/>
        <v>0</v>
      </c>
      <c r="EC122" s="1007"/>
      <c r="ED122" s="1007">
        <f t="shared" si="137"/>
        <v>4955000</v>
      </c>
    </row>
    <row r="123" spans="1:134" s="203" customFormat="1" ht="29.25" hidden="1" customHeight="1" x14ac:dyDescent="0.25">
      <c r="A123" s="1586"/>
      <c r="B123" s="1018"/>
      <c r="C123" s="1080"/>
      <c r="D123" s="1018" t="s">
        <v>4961</v>
      </c>
      <c r="E123" s="1019"/>
      <c r="F123" s="1117"/>
      <c r="G123" s="1121"/>
      <c r="H123" s="1060"/>
      <c r="I123" s="1060"/>
      <c r="J123" s="1117" t="s">
        <v>4778</v>
      </c>
      <c r="K123" s="1113" t="s">
        <v>4964</v>
      </c>
      <c r="L123" s="1113" t="s">
        <v>4778</v>
      </c>
      <c r="M123" s="1258"/>
      <c r="N123" s="1113">
        <v>0</v>
      </c>
      <c r="O123" s="1113">
        <v>0</v>
      </c>
      <c r="P123" s="1258"/>
      <c r="Q123" s="1113">
        <v>110</v>
      </c>
      <c r="R123" s="1113">
        <v>0</v>
      </c>
      <c r="S123" s="1117"/>
      <c r="T123" s="1117"/>
      <c r="U123" s="1117"/>
      <c r="V123" s="1117"/>
      <c r="W123" s="1117"/>
      <c r="X123" s="1117"/>
      <c r="Y123" s="1066"/>
      <c r="Z123" s="1066"/>
      <c r="AA123" s="1066"/>
      <c r="AB123" s="1066"/>
      <c r="AC123" s="1066"/>
      <c r="AD123" s="1066"/>
      <c r="AE123" s="1066"/>
      <c r="AF123" s="1066"/>
      <c r="AG123" s="1066"/>
      <c r="AH123" s="1066"/>
      <c r="AI123" s="1066"/>
      <c r="AJ123" s="1066"/>
      <c r="AK123" s="1066"/>
      <c r="AL123" s="1066"/>
      <c r="AM123" s="1066"/>
      <c r="AN123" s="1066"/>
      <c r="AO123" s="1066"/>
      <c r="AP123" s="1066"/>
      <c r="AQ123" s="1066"/>
      <c r="AR123" s="1066"/>
      <c r="AS123" s="1066"/>
      <c r="AU123" s="1081"/>
      <c r="AV123" s="1066"/>
      <c r="AW123" s="1066"/>
      <c r="AX123" s="1066"/>
      <c r="AY123" s="1066"/>
      <c r="AZ123" s="1066"/>
      <c r="BA123" s="1066"/>
      <c r="BB123" s="1066"/>
      <c r="BC123" s="1066"/>
      <c r="BD123" s="1066"/>
      <c r="BE123" s="1066"/>
      <c r="BF123" s="1066"/>
      <c r="BG123" s="1066"/>
      <c r="BH123" s="1066"/>
      <c r="BI123" s="1066"/>
      <c r="BJ123" s="1066"/>
      <c r="BK123" s="1066"/>
      <c r="BL123" s="1066"/>
      <c r="BM123" s="1066"/>
      <c r="BN123" s="1066"/>
      <c r="BO123" s="1066"/>
      <c r="BP123" s="1066"/>
      <c r="BQ123" s="1081"/>
      <c r="BR123" s="1066"/>
      <c r="BS123" s="1066"/>
      <c r="BT123" s="1066"/>
      <c r="BU123" s="1066"/>
      <c r="BV123" s="1066"/>
      <c r="BW123" s="1066"/>
      <c r="BX123" s="1066"/>
      <c r="BY123" s="1066"/>
      <c r="BZ123" s="1066"/>
      <c r="CA123" s="1066"/>
      <c r="CB123" s="1066"/>
      <c r="CC123" s="1066"/>
      <c r="CD123" s="1066"/>
      <c r="CE123" s="1066"/>
      <c r="CF123" s="1066"/>
      <c r="CG123" s="1066"/>
      <c r="CH123" s="1066"/>
      <c r="CI123" s="1066"/>
      <c r="CJ123" s="1066"/>
      <c r="CK123" s="1066"/>
      <c r="CL123" s="1066"/>
      <c r="CM123" s="1081"/>
      <c r="CN123" s="1066"/>
      <c r="CO123" s="1066"/>
      <c r="CP123" s="1066"/>
      <c r="CQ123" s="1066"/>
      <c r="CR123" s="1066"/>
      <c r="CS123" s="1066"/>
      <c r="CT123" s="1066"/>
      <c r="CU123" s="1066"/>
      <c r="CV123" s="1066"/>
      <c r="CW123" s="1066"/>
      <c r="CX123" s="1066"/>
      <c r="CY123" s="1066"/>
      <c r="CZ123" s="1066"/>
      <c r="DA123" s="1066"/>
      <c r="DB123" s="1066"/>
      <c r="DC123" s="1066"/>
      <c r="DD123" s="1066"/>
      <c r="DE123" s="1066"/>
      <c r="DF123" s="1066"/>
      <c r="DG123" s="1066"/>
      <c r="DH123" s="1066"/>
      <c r="DI123" s="1081"/>
      <c r="DJ123" s="1066"/>
      <c r="DK123" s="1066"/>
      <c r="DL123" s="1066"/>
      <c r="DM123" s="1066"/>
      <c r="DN123" s="1066"/>
      <c r="DO123" s="1066"/>
      <c r="DP123" s="1066"/>
      <c r="DQ123" s="1066"/>
      <c r="DR123" s="1066"/>
      <c r="DS123" s="1066"/>
      <c r="DT123" s="1066"/>
      <c r="DU123" s="1066"/>
      <c r="DV123" s="1066"/>
      <c r="DW123" s="1066"/>
      <c r="DX123" s="1066"/>
      <c r="DY123" s="1066"/>
      <c r="DZ123" s="1066"/>
      <c r="EA123" s="1066"/>
      <c r="EB123" s="1066"/>
      <c r="EC123" s="1066"/>
      <c r="ED123" s="1066"/>
    </row>
    <row r="124" spans="1:134" ht="60" hidden="1" customHeight="1" x14ac:dyDescent="0.25">
      <c r="A124" s="1586"/>
      <c r="B124" s="1018" t="s">
        <v>4445</v>
      </c>
      <c r="C124" s="1114" t="s">
        <v>4466</v>
      </c>
      <c r="D124" s="1018" t="s">
        <v>4637</v>
      </c>
      <c r="E124" s="1019">
        <v>301</v>
      </c>
      <c r="F124" s="1117" t="s">
        <v>4661</v>
      </c>
      <c r="G124" s="1428">
        <v>900000000</v>
      </c>
      <c r="H124" s="1060">
        <f t="shared" si="100"/>
        <v>1110351728</v>
      </c>
      <c r="I124" s="1060">
        <f>Y124-H124</f>
        <v>28085072</v>
      </c>
      <c r="J124" s="1117" t="s">
        <v>4967</v>
      </c>
      <c r="K124" s="1113" t="s">
        <v>4969</v>
      </c>
      <c r="L124" s="1113" t="s">
        <v>4971</v>
      </c>
      <c r="M124" s="1257">
        <v>33</v>
      </c>
      <c r="N124" s="1113">
        <v>8</v>
      </c>
      <c r="O124" s="1257">
        <v>3</v>
      </c>
      <c r="P124" s="1257">
        <v>99</v>
      </c>
      <c r="Q124" s="1113">
        <v>22</v>
      </c>
      <c r="R124" s="1113">
        <v>22</v>
      </c>
      <c r="S124" s="1117"/>
      <c r="T124" s="1117"/>
      <c r="U124" s="1117"/>
      <c r="V124" s="1117"/>
      <c r="W124" s="1117"/>
      <c r="X124" s="1117"/>
      <c r="Y124" s="1007">
        <f t="shared" si="102"/>
        <v>1138436800</v>
      </c>
      <c r="Z124" s="1007">
        <v>24079469</v>
      </c>
      <c r="AA124" s="1007"/>
      <c r="AB124" s="1007"/>
      <c r="AC124" s="1007"/>
      <c r="AD124" s="1007"/>
      <c r="AE124" s="1007"/>
      <c r="AF124" s="1007"/>
      <c r="AG124" s="1007"/>
      <c r="AH124" s="1007"/>
      <c r="AI124" s="1007"/>
      <c r="AJ124" s="1007"/>
      <c r="AK124" s="1007"/>
      <c r="AL124" s="1007"/>
      <c r="AM124" s="1007">
        <v>52000000</v>
      </c>
      <c r="AN124" s="1007">
        <v>109019196</v>
      </c>
      <c r="AO124" s="1007">
        <f>47588221+35749914</f>
        <v>83338135</v>
      </c>
      <c r="AP124" s="1007">
        <v>870000000</v>
      </c>
      <c r="AQ124" s="1007"/>
      <c r="AR124" s="1007"/>
      <c r="AS124" s="1007"/>
      <c r="AU124" s="1010">
        <f t="shared" si="103"/>
        <v>0.97933827156676589</v>
      </c>
      <c r="AV124" s="1007">
        <f t="shared" si="104"/>
        <v>1114914728</v>
      </c>
      <c r="AW124" s="1007">
        <f>+'[8]SEPTIEMBRE 2015'!$J$1202</f>
        <v>23245422</v>
      </c>
      <c r="AX124" s="1007"/>
      <c r="AY124" s="1007"/>
      <c r="AZ124" s="1007"/>
      <c r="BA124" s="1007"/>
      <c r="BB124" s="1007"/>
      <c r="BC124" s="1007"/>
      <c r="BD124" s="1007"/>
      <c r="BE124" s="1007"/>
      <c r="BF124" s="1007"/>
      <c r="BG124" s="1007"/>
      <c r="BH124" s="1007"/>
      <c r="BI124" s="1007"/>
      <c r="BJ124" s="1007">
        <f>+'[13]JUNIO 2015'!$W$788</f>
        <v>52000000</v>
      </c>
      <c r="BK124" s="1007">
        <f>+'[13]JUNIO 2015'!$X$788</f>
        <v>109019196</v>
      </c>
      <c r="BL124" s="1007">
        <f>+'[8]SEPTIEMBRE 2015'!$Y$1202</f>
        <v>60650110</v>
      </c>
      <c r="BM124" s="1007">
        <f>+'[13]JUNIO 2015'!$Z$788</f>
        <v>870000000</v>
      </c>
      <c r="BN124" s="1007"/>
      <c r="BO124" s="1007"/>
      <c r="BP124" s="1007"/>
      <c r="BQ124" s="1010">
        <f t="shared" si="105"/>
        <v>2.0661728433234106E-2</v>
      </c>
      <c r="BR124" s="1007">
        <f t="shared" si="106"/>
        <v>23522072</v>
      </c>
      <c r="BS124" s="1007">
        <f t="shared" si="125"/>
        <v>834047</v>
      </c>
      <c r="BT124" s="1007">
        <f t="shared" si="126"/>
        <v>0</v>
      </c>
      <c r="BU124" s="1007"/>
      <c r="BV124" s="1007">
        <f t="shared" si="127"/>
        <v>0</v>
      </c>
      <c r="BW124" s="1007"/>
      <c r="BX124" s="1007">
        <f t="shared" si="128"/>
        <v>0</v>
      </c>
      <c r="BY124" s="1007">
        <f t="shared" si="128"/>
        <v>0</v>
      </c>
      <c r="BZ124" s="1007"/>
      <c r="CA124" s="1007"/>
      <c r="CB124" s="1007"/>
      <c r="CC124" s="1007"/>
      <c r="CD124" s="1007">
        <f t="shared" si="129"/>
        <v>0</v>
      </c>
      <c r="CE124" s="1007">
        <f t="shared" si="129"/>
        <v>0</v>
      </c>
      <c r="CF124" s="1007">
        <f t="shared" si="129"/>
        <v>0</v>
      </c>
      <c r="CG124" s="1007">
        <f t="shared" si="129"/>
        <v>0</v>
      </c>
      <c r="CH124" s="1007">
        <f t="shared" si="111"/>
        <v>22688025</v>
      </c>
      <c r="CI124" s="1007">
        <f t="shared" si="111"/>
        <v>0</v>
      </c>
      <c r="CJ124" s="1007"/>
      <c r="CK124" s="1007"/>
      <c r="CL124" s="1007">
        <f t="shared" si="130"/>
        <v>0</v>
      </c>
      <c r="CM124" s="1010">
        <f t="shared" si="113"/>
        <v>0.97533014393069517</v>
      </c>
      <c r="CN124" s="1007">
        <f t="shared" si="114"/>
        <v>1110351728</v>
      </c>
      <c r="CO124" s="1007">
        <f>+'[8]SEPTIEMBRE 2015'!$H$1208+'[8]SEPTIEMBRE 2015'!$H$1222+'[8]SEPTIEMBRE 2015'!$H$1224</f>
        <v>23245422</v>
      </c>
      <c r="CP124" s="1007"/>
      <c r="CQ124" s="1007"/>
      <c r="CR124" s="1007"/>
      <c r="CS124" s="1007"/>
      <c r="CT124" s="1007"/>
      <c r="CU124" s="1007"/>
      <c r="CV124" s="1007"/>
      <c r="CW124" s="1007"/>
      <c r="CX124" s="1007"/>
      <c r="CY124" s="1007"/>
      <c r="CZ124" s="1007"/>
      <c r="DA124" s="1007"/>
      <c r="DB124" s="1007">
        <f>+'[8]SEPTIEMBRE 2015'!$H$1217+'[8]SEPTIEMBRE 2015'!$H$1220</f>
        <v>52000000</v>
      </c>
      <c r="DC124" s="1007">
        <f>+'[8]SEPTIEMBRE 2015'!$H$1210+'[8]SEPTIEMBRE 2015'!$X$1228</f>
        <v>109019196</v>
      </c>
      <c r="DD124" s="1007">
        <f>+'[8]SEPTIEMBRE 2015'!$H$1215+'[8]SEPTIEMBRE 2015'!$H$1219+'[8]SEPTIEMBRE 2015'!$H$1226+'[8]SEPTIEMBRE 2015'!$H$1228-'[8]SEPTIEMBRE 2015'!$X$1228</f>
        <v>56087110</v>
      </c>
      <c r="DE124" s="1007">
        <f>+'[9]ABRIL 2015'!$H$632</f>
        <v>870000000</v>
      </c>
      <c r="DF124" s="1007"/>
      <c r="DG124" s="1007"/>
      <c r="DH124" s="1007"/>
      <c r="DI124" s="1010">
        <f t="shared" si="115"/>
        <v>2.466985606930483E-2</v>
      </c>
      <c r="DJ124" s="1007">
        <f t="shared" si="116"/>
        <v>28085072</v>
      </c>
      <c r="DK124" s="1007">
        <f t="shared" si="131"/>
        <v>834047</v>
      </c>
      <c r="DL124" s="1007"/>
      <c r="DM124" s="1007"/>
      <c r="DN124" s="1007">
        <f t="shared" si="132"/>
        <v>0</v>
      </c>
      <c r="DO124" s="1007"/>
      <c r="DP124" s="1007">
        <f t="shared" si="133"/>
        <v>0</v>
      </c>
      <c r="DQ124" s="1007">
        <f t="shared" si="133"/>
        <v>0</v>
      </c>
      <c r="DR124" s="1007"/>
      <c r="DS124" s="1007">
        <f t="shared" si="134"/>
        <v>0</v>
      </c>
      <c r="DT124" s="1007">
        <f t="shared" si="134"/>
        <v>0</v>
      </c>
      <c r="DU124" s="1007"/>
      <c r="DV124" s="1007">
        <f t="shared" si="135"/>
        <v>0</v>
      </c>
      <c r="DW124" s="1007">
        <f t="shared" si="135"/>
        <v>0</v>
      </c>
      <c r="DX124" s="1007">
        <f t="shared" si="135"/>
        <v>0</v>
      </c>
      <c r="DY124" s="1007">
        <f t="shared" si="136"/>
        <v>0</v>
      </c>
      <c r="DZ124" s="1007">
        <f t="shared" si="124"/>
        <v>27251025</v>
      </c>
      <c r="EA124" s="1007">
        <f t="shared" si="124"/>
        <v>0</v>
      </c>
      <c r="EB124" s="1007">
        <f t="shared" si="124"/>
        <v>0</v>
      </c>
      <c r="EC124" s="1007"/>
      <c r="ED124" s="1007">
        <f t="shared" si="137"/>
        <v>0</v>
      </c>
    </row>
    <row r="125" spans="1:134" s="203" customFormat="1" ht="31.5" hidden="1" customHeight="1" x14ac:dyDescent="0.25">
      <c r="A125" s="1586"/>
      <c r="B125" s="1018"/>
      <c r="C125" s="1080"/>
      <c r="D125" s="1018" t="s">
        <v>4966</v>
      </c>
      <c r="E125" s="1019"/>
      <c r="F125" s="1117"/>
      <c r="G125" s="1429"/>
      <c r="H125" s="1060"/>
      <c r="I125" s="1060"/>
      <c r="J125" s="1117" t="s">
        <v>4968</v>
      </c>
      <c r="K125" s="1113" t="s">
        <v>4970</v>
      </c>
      <c r="L125" s="1113" t="s">
        <v>4972</v>
      </c>
      <c r="M125" s="1562"/>
      <c r="N125" s="1113">
        <v>9</v>
      </c>
      <c r="O125" s="1562"/>
      <c r="P125" s="1562"/>
      <c r="Q125" s="1113">
        <v>26</v>
      </c>
      <c r="R125" s="1113">
        <v>0</v>
      </c>
      <c r="S125" s="1117"/>
      <c r="T125" s="1117"/>
      <c r="U125" s="1117"/>
      <c r="V125" s="1117"/>
      <c r="W125" s="1117"/>
      <c r="X125" s="1117"/>
      <c r="Y125" s="1066"/>
      <c r="Z125" s="1066"/>
      <c r="AA125" s="1066"/>
      <c r="AB125" s="1066"/>
      <c r="AC125" s="1066"/>
      <c r="AD125" s="1066"/>
      <c r="AE125" s="1066"/>
      <c r="AF125" s="1066"/>
      <c r="AG125" s="1066"/>
      <c r="AH125" s="1066"/>
      <c r="AI125" s="1066"/>
      <c r="AJ125" s="1066"/>
      <c r="AK125" s="1066"/>
      <c r="AL125" s="1066"/>
      <c r="AM125" s="1066"/>
      <c r="AN125" s="1066"/>
      <c r="AO125" s="1066"/>
      <c r="AP125" s="1066"/>
      <c r="AQ125" s="1066"/>
      <c r="AR125" s="1066"/>
      <c r="AS125" s="1066"/>
      <c r="AU125" s="1081"/>
      <c r="AV125" s="1066"/>
      <c r="AW125" s="1066"/>
      <c r="AX125" s="1066"/>
      <c r="AY125" s="1066"/>
      <c r="AZ125" s="1066"/>
      <c r="BA125" s="1066"/>
      <c r="BB125" s="1066"/>
      <c r="BC125" s="1066"/>
      <c r="BD125" s="1066"/>
      <c r="BE125" s="1066"/>
      <c r="BF125" s="1066"/>
      <c r="BG125" s="1066"/>
      <c r="BH125" s="1066"/>
      <c r="BI125" s="1066"/>
      <c r="BJ125" s="1066"/>
      <c r="BK125" s="1066"/>
      <c r="BL125" s="1066"/>
      <c r="BM125" s="1066"/>
      <c r="BN125" s="1066"/>
      <c r="BO125" s="1066"/>
      <c r="BP125" s="1066"/>
      <c r="BQ125" s="1081"/>
      <c r="BR125" s="1066"/>
      <c r="BS125" s="1066"/>
      <c r="BT125" s="1066"/>
      <c r="BU125" s="1066"/>
      <c r="BV125" s="1066"/>
      <c r="BW125" s="1066"/>
      <c r="BX125" s="1066"/>
      <c r="BY125" s="1066"/>
      <c r="BZ125" s="1066"/>
      <c r="CA125" s="1066"/>
      <c r="CB125" s="1066"/>
      <c r="CC125" s="1066"/>
      <c r="CD125" s="1066"/>
      <c r="CE125" s="1066"/>
      <c r="CF125" s="1066"/>
      <c r="CG125" s="1066"/>
      <c r="CH125" s="1066"/>
      <c r="CI125" s="1066"/>
      <c r="CJ125" s="1066"/>
      <c r="CK125" s="1066"/>
      <c r="CL125" s="1066"/>
      <c r="CM125" s="1081"/>
      <c r="CN125" s="1066"/>
      <c r="CO125" s="1066"/>
      <c r="CP125" s="1066"/>
      <c r="CQ125" s="1066"/>
      <c r="CR125" s="1066"/>
      <c r="CS125" s="1066"/>
      <c r="CT125" s="1066"/>
      <c r="CU125" s="1066"/>
      <c r="CV125" s="1066"/>
      <c r="CW125" s="1066"/>
      <c r="CX125" s="1066"/>
      <c r="CY125" s="1066"/>
      <c r="CZ125" s="1066"/>
      <c r="DA125" s="1066"/>
      <c r="DB125" s="1066"/>
      <c r="DC125" s="1066"/>
      <c r="DD125" s="1066"/>
      <c r="DE125" s="1066"/>
      <c r="DF125" s="1066"/>
      <c r="DG125" s="1066"/>
      <c r="DH125" s="1066"/>
      <c r="DI125" s="1081"/>
      <c r="DJ125" s="1066"/>
      <c r="DK125" s="1066"/>
      <c r="DL125" s="1066"/>
      <c r="DM125" s="1066"/>
      <c r="DN125" s="1066"/>
      <c r="DO125" s="1066"/>
      <c r="DP125" s="1066"/>
      <c r="DQ125" s="1066"/>
      <c r="DR125" s="1066"/>
      <c r="DS125" s="1066"/>
      <c r="DT125" s="1066"/>
      <c r="DU125" s="1066"/>
      <c r="DV125" s="1066"/>
      <c r="DW125" s="1066"/>
      <c r="DX125" s="1066"/>
      <c r="DY125" s="1066"/>
      <c r="DZ125" s="1066"/>
      <c r="EA125" s="1066"/>
      <c r="EB125" s="1066"/>
      <c r="EC125" s="1066"/>
      <c r="ED125" s="1066"/>
    </row>
    <row r="126" spans="1:134" ht="38.25" hidden="1" customHeight="1" x14ac:dyDescent="0.25">
      <c r="A126" s="1586"/>
      <c r="B126" s="1018"/>
      <c r="C126" s="1114" t="s">
        <v>4467</v>
      </c>
      <c r="D126" s="1018" t="s">
        <v>4638</v>
      </c>
      <c r="E126" s="1019">
        <v>301</v>
      </c>
      <c r="F126" s="1117" t="s">
        <v>4661</v>
      </c>
      <c r="G126" s="1429"/>
      <c r="H126" s="1060">
        <f t="shared" si="100"/>
        <v>10435017</v>
      </c>
      <c r="I126" s="1060">
        <f>Y126-H126</f>
        <v>4564983</v>
      </c>
      <c r="J126" s="1117" t="s">
        <v>4973</v>
      </c>
      <c r="K126" s="1113" t="s">
        <v>4974</v>
      </c>
      <c r="L126" s="1113" t="s">
        <v>4975</v>
      </c>
      <c r="M126" s="1113">
        <v>3</v>
      </c>
      <c r="N126" s="1113">
        <v>90</v>
      </c>
      <c r="O126" s="1113">
        <v>2</v>
      </c>
      <c r="P126" s="1113">
        <v>5</v>
      </c>
      <c r="Q126" s="1113">
        <v>163</v>
      </c>
      <c r="R126" s="1113">
        <v>8</v>
      </c>
      <c r="S126" s="1117"/>
      <c r="T126" s="1117"/>
      <c r="U126" s="1117"/>
      <c r="V126" s="1117"/>
      <c r="W126" s="1117"/>
      <c r="X126" s="1117"/>
      <c r="Y126" s="1007">
        <f t="shared" si="102"/>
        <v>15000000</v>
      </c>
      <c r="Z126" s="1007"/>
      <c r="AA126" s="1007"/>
      <c r="AB126" s="1007"/>
      <c r="AC126" s="1007"/>
      <c r="AD126" s="1007"/>
      <c r="AE126" s="1007"/>
      <c r="AF126" s="1007"/>
      <c r="AG126" s="1007"/>
      <c r="AH126" s="1007"/>
      <c r="AI126" s="1007"/>
      <c r="AJ126" s="1007"/>
      <c r="AK126" s="1007"/>
      <c r="AL126" s="1007"/>
      <c r="AM126" s="1007"/>
      <c r="AN126" s="1007"/>
      <c r="AO126" s="1007"/>
      <c r="AP126" s="1007">
        <v>15000000</v>
      </c>
      <c r="AQ126" s="1007"/>
      <c r="AR126" s="1007"/>
      <c r="AS126" s="1007"/>
      <c r="AU126" s="1010">
        <f t="shared" si="103"/>
        <v>1</v>
      </c>
      <c r="AV126" s="1007">
        <f t="shared" si="104"/>
        <v>15000000</v>
      </c>
      <c r="AW126" s="1007"/>
      <c r="AX126" s="1007"/>
      <c r="AY126" s="1007"/>
      <c r="AZ126" s="1007"/>
      <c r="BA126" s="1007"/>
      <c r="BB126" s="1007"/>
      <c r="BC126" s="1007"/>
      <c r="BD126" s="1007"/>
      <c r="BE126" s="1007"/>
      <c r="BF126" s="1007"/>
      <c r="BG126" s="1007"/>
      <c r="BH126" s="1007"/>
      <c r="BI126" s="1007"/>
      <c r="BJ126" s="1007"/>
      <c r="BK126" s="1007"/>
      <c r="BL126" s="1007"/>
      <c r="BM126" s="1007">
        <f>+'[16]ENERO 2015'!$W$362</f>
        <v>15000000</v>
      </c>
      <c r="BN126" s="1007"/>
      <c r="BO126" s="1007"/>
      <c r="BP126" s="1007"/>
      <c r="BQ126" s="1010">
        <f t="shared" si="105"/>
        <v>0</v>
      </c>
      <c r="BR126" s="1007">
        <f t="shared" si="106"/>
        <v>0</v>
      </c>
      <c r="BS126" s="1007">
        <f t="shared" si="125"/>
        <v>0</v>
      </c>
      <c r="BT126" s="1007">
        <f t="shared" si="126"/>
        <v>0</v>
      </c>
      <c r="BU126" s="1007"/>
      <c r="BV126" s="1007">
        <f t="shared" si="127"/>
        <v>0</v>
      </c>
      <c r="BW126" s="1007"/>
      <c r="BX126" s="1007">
        <f t="shared" si="128"/>
        <v>0</v>
      </c>
      <c r="BY126" s="1007">
        <f t="shared" si="128"/>
        <v>0</v>
      </c>
      <c r="BZ126" s="1007"/>
      <c r="CA126" s="1007"/>
      <c r="CB126" s="1007"/>
      <c r="CC126" s="1007"/>
      <c r="CD126" s="1007">
        <f t="shared" si="129"/>
        <v>0</v>
      </c>
      <c r="CE126" s="1007">
        <f t="shared" si="129"/>
        <v>0</v>
      </c>
      <c r="CF126" s="1007">
        <f t="shared" si="129"/>
        <v>0</v>
      </c>
      <c r="CG126" s="1007">
        <f t="shared" si="129"/>
        <v>0</v>
      </c>
      <c r="CH126" s="1007">
        <f t="shared" si="111"/>
        <v>0</v>
      </c>
      <c r="CI126" s="1007">
        <f t="shared" si="111"/>
        <v>0</v>
      </c>
      <c r="CJ126" s="1007"/>
      <c r="CK126" s="1007"/>
      <c r="CL126" s="1007">
        <f t="shared" si="130"/>
        <v>0</v>
      </c>
      <c r="CM126" s="1010">
        <f t="shared" si="113"/>
        <v>0.69566779999999995</v>
      </c>
      <c r="CN126" s="1007">
        <f t="shared" si="114"/>
        <v>10435017</v>
      </c>
      <c r="CO126" s="1007"/>
      <c r="CP126" s="1007"/>
      <c r="CQ126" s="1007"/>
      <c r="CR126" s="1007"/>
      <c r="CS126" s="1007"/>
      <c r="CT126" s="1007"/>
      <c r="CU126" s="1007"/>
      <c r="CV126" s="1007"/>
      <c r="CW126" s="1007"/>
      <c r="CX126" s="1007"/>
      <c r="CY126" s="1007"/>
      <c r="CZ126" s="1007"/>
      <c r="DA126" s="1007"/>
      <c r="DB126" s="1007"/>
      <c r="DC126" s="1007"/>
      <c r="DD126" s="1007"/>
      <c r="DE126" s="1007">
        <f>+'[7]AGOSTO 2015'!$H$1074</f>
        <v>10435017</v>
      </c>
      <c r="DF126" s="1007"/>
      <c r="DG126" s="1007"/>
      <c r="DH126" s="1007"/>
      <c r="DI126" s="1010">
        <f t="shared" si="115"/>
        <v>0.30433220000000005</v>
      </c>
      <c r="DJ126" s="1007">
        <f t="shared" si="116"/>
        <v>4564983</v>
      </c>
      <c r="DK126" s="1007">
        <f t="shared" si="131"/>
        <v>0</v>
      </c>
      <c r="DL126" s="1007"/>
      <c r="DM126" s="1007"/>
      <c r="DN126" s="1007">
        <f t="shared" si="132"/>
        <v>0</v>
      </c>
      <c r="DO126" s="1007"/>
      <c r="DP126" s="1007">
        <f t="shared" si="133"/>
        <v>0</v>
      </c>
      <c r="DQ126" s="1007">
        <f t="shared" si="133"/>
        <v>0</v>
      </c>
      <c r="DR126" s="1007"/>
      <c r="DS126" s="1007">
        <f t="shared" si="134"/>
        <v>0</v>
      </c>
      <c r="DT126" s="1007">
        <f t="shared" si="134"/>
        <v>0</v>
      </c>
      <c r="DU126" s="1007"/>
      <c r="DV126" s="1007">
        <f t="shared" si="135"/>
        <v>0</v>
      </c>
      <c r="DW126" s="1007">
        <f t="shared" si="135"/>
        <v>0</v>
      </c>
      <c r="DX126" s="1007">
        <f t="shared" si="135"/>
        <v>0</v>
      </c>
      <c r="DY126" s="1007">
        <f t="shared" si="136"/>
        <v>0</v>
      </c>
      <c r="DZ126" s="1007">
        <f t="shared" si="124"/>
        <v>0</v>
      </c>
      <c r="EA126" s="1007">
        <f t="shared" si="124"/>
        <v>4564983</v>
      </c>
      <c r="EB126" s="1007">
        <f t="shared" si="124"/>
        <v>0</v>
      </c>
      <c r="EC126" s="1007"/>
      <c r="ED126" s="1007">
        <f t="shared" si="137"/>
        <v>0</v>
      </c>
    </row>
    <row r="127" spans="1:134" ht="36" hidden="1" customHeight="1" x14ac:dyDescent="0.25">
      <c r="A127" s="1586"/>
      <c r="B127" s="989"/>
      <c r="C127" s="1114" t="s">
        <v>4468</v>
      </c>
      <c r="D127" s="1018" t="s">
        <v>4639</v>
      </c>
      <c r="E127" s="996">
        <v>301</v>
      </c>
      <c r="F127" s="1117" t="s">
        <v>4661</v>
      </c>
      <c r="G127" s="1430"/>
      <c r="H127" s="1060">
        <f t="shared" si="100"/>
        <v>118560400</v>
      </c>
      <c r="I127" s="1060">
        <f>Y127-H127</f>
        <v>34239600</v>
      </c>
      <c r="J127" s="1117" t="s">
        <v>4922</v>
      </c>
      <c r="K127" s="1113" t="s">
        <v>4923</v>
      </c>
      <c r="L127" s="1113" t="s">
        <v>4924</v>
      </c>
      <c r="M127" s="1113">
        <v>2</v>
      </c>
      <c r="N127" s="1113">
        <v>0</v>
      </c>
      <c r="O127" s="1113">
        <v>0</v>
      </c>
      <c r="P127" s="1113">
        <v>39</v>
      </c>
      <c r="Q127" s="1113">
        <v>15</v>
      </c>
      <c r="R127" s="1113">
        <v>6</v>
      </c>
      <c r="S127" s="1117"/>
      <c r="T127" s="1117"/>
      <c r="U127" s="1117"/>
      <c r="V127" s="1117"/>
      <c r="W127" s="1117"/>
      <c r="X127" s="1117"/>
      <c r="Y127" s="1007">
        <f t="shared" si="102"/>
        <v>152800000</v>
      </c>
      <c r="Z127" s="1007"/>
      <c r="AA127" s="1007"/>
      <c r="AB127" s="1007"/>
      <c r="AC127" s="1007"/>
      <c r="AD127" s="1007"/>
      <c r="AE127" s="1007"/>
      <c r="AF127" s="1007"/>
      <c r="AG127" s="1007"/>
      <c r="AH127" s="1007"/>
      <c r="AI127" s="1007"/>
      <c r="AJ127" s="1007"/>
      <c r="AK127" s="1007"/>
      <c r="AL127" s="1007"/>
      <c r="AM127" s="1007"/>
      <c r="AN127" s="1007">
        <v>137800000</v>
      </c>
      <c r="AO127" s="1007"/>
      <c r="AP127" s="1007">
        <v>15000000</v>
      </c>
      <c r="AQ127" s="1007"/>
      <c r="AR127" s="1007"/>
      <c r="AS127" s="1007"/>
      <c r="AU127" s="1010">
        <f t="shared" si="103"/>
        <v>1</v>
      </c>
      <c r="AV127" s="1007">
        <f t="shared" si="104"/>
        <v>152800000</v>
      </c>
      <c r="AW127" s="1007"/>
      <c r="AX127" s="1007"/>
      <c r="AY127" s="1007"/>
      <c r="AZ127" s="1007"/>
      <c r="BA127" s="1007"/>
      <c r="BB127" s="1007"/>
      <c r="BC127" s="1007"/>
      <c r="BD127" s="1007"/>
      <c r="BE127" s="1007"/>
      <c r="BF127" s="1007"/>
      <c r="BG127" s="1007"/>
      <c r="BH127" s="1007"/>
      <c r="BI127" s="1007"/>
      <c r="BJ127" s="1007"/>
      <c r="BK127" s="1007">
        <f>+'[12]FEBRERO 2015'!$W$469</f>
        <v>137800000</v>
      </c>
      <c r="BL127" s="1007"/>
      <c r="BM127" s="1007">
        <f>+'[16]ENERO 2015'!$W$367</f>
        <v>15000000</v>
      </c>
      <c r="BN127" s="1007"/>
      <c r="BO127" s="1007"/>
      <c r="BP127" s="1007"/>
      <c r="BQ127" s="1010">
        <f t="shared" si="105"/>
        <v>0</v>
      </c>
      <c r="BR127" s="1007">
        <f t="shared" si="106"/>
        <v>0</v>
      </c>
      <c r="BS127" s="1007">
        <f t="shared" si="125"/>
        <v>0</v>
      </c>
      <c r="BT127" s="1007">
        <f t="shared" si="126"/>
        <v>0</v>
      </c>
      <c r="BU127" s="1007"/>
      <c r="BV127" s="1007">
        <f t="shared" si="127"/>
        <v>0</v>
      </c>
      <c r="BW127" s="1007"/>
      <c r="BX127" s="1007">
        <f t="shared" si="128"/>
        <v>0</v>
      </c>
      <c r="BY127" s="1007">
        <f t="shared" si="128"/>
        <v>0</v>
      </c>
      <c r="BZ127" s="1007"/>
      <c r="CA127" s="1007"/>
      <c r="CB127" s="1007"/>
      <c r="CC127" s="1007"/>
      <c r="CD127" s="1007">
        <f t="shared" si="129"/>
        <v>0</v>
      </c>
      <c r="CE127" s="1007">
        <f t="shared" si="129"/>
        <v>0</v>
      </c>
      <c r="CF127" s="1007">
        <f t="shared" si="129"/>
        <v>0</v>
      </c>
      <c r="CG127" s="1007">
        <f t="shared" si="129"/>
        <v>0</v>
      </c>
      <c r="CH127" s="1007">
        <f t="shared" si="111"/>
        <v>0</v>
      </c>
      <c r="CI127" s="1007">
        <f t="shared" si="111"/>
        <v>0</v>
      </c>
      <c r="CJ127" s="1007"/>
      <c r="CK127" s="1007"/>
      <c r="CL127" s="1007">
        <f t="shared" si="130"/>
        <v>0</v>
      </c>
      <c r="CM127" s="1010">
        <f t="shared" si="113"/>
        <v>0.77591884816753931</v>
      </c>
      <c r="CN127" s="1007">
        <f t="shared" si="114"/>
        <v>118560400</v>
      </c>
      <c r="CO127" s="1007"/>
      <c r="CP127" s="1007"/>
      <c r="CQ127" s="1007"/>
      <c r="CR127" s="1007"/>
      <c r="CS127" s="1007"/>
      <c r="CT127" s="1007"/>
      <c r="CU127" s="1007"/>
      <c r="CV127" s="1007"/>
      <c r="CW127" s="1007"/>
      <c r="CX127" s="1007"/>
      <c r="CY127" s="1007"/>
      <c r="CZ127" s="1007"/>
      <c r="DA127" s="1007"/>
      <c r="DB127" s="1007"/>
      <c r="DC127" s="1007">
        <f>+'[7]AGOSTO 2015'!$H$1093</f>
        <v>115983000</v>
      </c>
      <c r="DD127" s="1007"/>
      <c r="DE127" s="1007">
        <f>+'[14]MAYO 2015'!$H$689</f>
        <v>2577400</v>
      </c>
      <c r="DF127" s="1007"/>
      <c r="DG127" s="1007"/>
      <c r="DH127" s="1007"/>
      <c r="DI127" s="1010">
        <f t="shared" si="115"/>
        <v>0.22408115183246069</v>
      </c>
      <c r="DJ127" s="1007">
        <f t="shared" si="116"/>
        <v>34239600</v>
      </c>
      <c r="DK127" s="1007">
        <f t="shared" si="131"/>
        <v>0</v>
      </c>
      <c r="DL127" s="1007"/>
      <c r="DM127" s="1007"/>
      <c r="DN127" s="1007">
        <f t="shared" si="132"/>
        <v>0</v>
      </c>
      <c r="DO127" s="1007"/>
      <c r="DP127" s="1007">
        <f t="shared" si="133"/>
        <v>0</v>
      </c>
      <c r="DQ127" s="1007">
        <f t="shared" si="133"/>
        <v>0</v>
      </c>
      <c r="DR127" s="1007"/>
      <c r="DS127" s="1007">
        <f t="shared" si="134"/>
        <v>0</v>
      </c>
      <c r="DT127" s="1007">
        <f t="shared" si="134"/>
        <v>0</v>
      </c>
      <c r="DU127" s="1007"/>
      <c r="DV127" s="1007">
        <f t="shared" si="135"/>
        <v>0</v>
      </c>
      <c r="DW127" s="1007">
        <f t="shared" si="135"/>
        <v>0</v>
      </c>
      <c r="DX127" s="1007">
        <f t="shared" si="135"/>
        <v>0</v>
      </c>
      <c r="DY127" s="1007">
        <f t="shared" si="136"/>
        <v>21817000</v>
      </c>
      <c r="DZ127" s="1007">
        <f t="shared" si="124"/>
        <v>0</v>
      </c>
      <c r="EA127" s="1007">
        <f t="shared" si="124"/>
        <v>12422600</v>
      </c>
      <c r="EB127" s="1007">
        <f t="shared" si="124"/>
        <v>0</v>
      </c>
      <c r="EC127" s="1007"/>
      <c r="ED127" s="1007">
        <f t="shared" si="137"/>
        <v>0</v>
      </c>
    </row>
    <row r="128" spans="1:134" ht="47.25" hidden="1" customHeight="1" x14ac:dyDescent="0.25">
      <c r="A128" s="1586"/>
      <c r="B128" s="989" t="s">
        <v>4446</v>
      </c>
      <c r="C128" s="1114" t="s">
        <v>4690</v>
      </c>
      <c r="D128" s="1018" t="s">
        <v>4640</v>
      </c>
      <c r="E128" s="996">
        <v>301</v>
      </c>
      <c r="F128" s="1117" t="s">
        <v>4661</v>
      </c>
      <c r="G128" s="1117">
        <v>50000000</v>
      </c>
      <c r="H128" s="1060">
        <f t="shared" si="100"/>
        <v>42473434</v>
      </c>
      <c r="I128" s="1060">
        <f>Y128-H128</f>
        <v>7526566</v>
      </c>
      <c r="J128" s="1117" t="s">
        <v>4925</v>
      </c>
      <c r="K128" s="1113" t="s">
        <v>4926</v>
      </c>
      <c r="L128" s="1113" t="s">
        <v>4927</v>
      </c>
      <c r="M128" s="1113">
        <v>60</v>
      </c>
      <c r="N128" s="1113">
        <v>0</v>
      </c>
      <c r="O128" s="1113">
        <v>0</v>
      </c>
      <c r="P128" s="1113">
        <v>64</v>
      </c>
      <c r="Q128" s="1113">
        <v>36</v>
      </c>
      <c r="R128" s="1113">
        <v>23</v>
      </c>
      <c r="S128" s="1117"/>
      <c r="T128" s="1117"/>
      <c r="U128" s="1117"/>
      <c r="V128" s="1117"/>
      <c r="W128" s="1117"/>
      <c r="X128" s="1117"/>
      <c r="Y128" s="1007">
        <f t="shared" si="102"/>
        <v>50000000</v>
      </c>
      <c r="Z128" s="1007"/>
      <c r="AA128" s="1007"/>
      <c r="AB128" s="1007"/>
      <c r="AC128" s="1007"/>
      <c r="AD128" s="1007"/>
      <c r="AE128" s="1007"/>
      <c r="AF128" s="1007"/>
      <c r="AG128" s="1007"/>
      <c r="AH128" s="1007"/>
      <c r="AI128" s="1007"/>
      <c r="AJ128" s="1007"/>
      <c r="AK128" s="1007"/>
      <c r="AL128" s="1007"/>
      <c r="AM128" s="1007">
        <v>50000000</v>
      </c>
      <c r="AN128" s="1007"/>
      <c r="AO128" s="1007"/>
      <c r="AP128" s="1007"/>
      <c r="AQ128" s="1007"/>
      <c r="AR128" s="1007"/>
      <c r="AS128" s="1007"/>
      <c r="AU128" s="1010">
        <f t="shared" si="103"/>
        <v>1</v>
      </c>
      <c r="AV128" s="1007">
        <f t="shared" si="104"/>
        <v>50000000</v>
      </c>
      <c r="AW128" s="1007"/>
      <c r="AX128" s="1007"/>
      <c r="AY128" s="1007"/>
      <c r="AZ128" s="1007"/>
      <c r="BA128" s="1007"/>
      <c r="BB128" s="1007"/>
      <c r="BC128" s="1007"/>
      <c r="BD128" s="1007"/>
      <c r="BE128" s="1007"/>
      <c r="BF128" s="1007"/>
      <c r="BG128" s="1007"/>
      <c r="BH128" s="1007"/>
      <c r="BI128" s="1007"/>
      <c r="BJ128" s="1007">
        <f>+'[16]ENERO 2015'!$T$374</f>
        <v>50000000</v>
      </c>
      <c r="BK128" s="1007"/>
      <c r="BL128" s="1007"/>
      <c r="BM128" s="1007"/>
      <c r="BN128" s="1007"/>
      <c r="BO128" s="1007"/>
      <c r="BP128" s="1007"/>
      <c r="BQ128" s="1010">
        <f t="shared" si="105"/>
        <v>0</v>
      </c>
      <c r="BR128" s="1007">
        <f t="shared" si="106"/>
        <v>0</v>
      </c>
      <c r="BS128" s="1007">
        <f t="shared" si="125"/>
        <v>0</v>
      </c>
      <c r="BT128" s="1007">
        <f t="shared" si="126"/>
        <v>0</v>
      </c>
      <c r="BU128" s="1007"/>
      <c r="BV128" s="1007">
        <f t="shared" si="127"/>
        <v>0</v>
      </c>
      <c r="BW128" s="1007"/>
      <c r="BX128" s="1007">
        <f t="shared" si="128"/>
        <v>0</v>
      </c>
      <c r="BY128" s="1007">
        <f t="shared" si="128"/>
        <v>0</v>
      </c>
      <c r="BZ128" s="1007"/>
      <c r="CA128" s="1007"/>
      <c r="CB128" s="1007"/>
      <c r="CC128" s="1007"/>
      <c r="CD128" s="1007">
        <f t="shared" si="129"/>
        <v>0</v>
      </c>
      <c r="CE128" s="1007">
        <f t="shared" si="129"/>
        <v>0</v>
      </c>
      <c r="CF128" s="1007">
        <f t="shared" si="129"/>
        <v>0</v>
      </c>
      <c r="CG128" s="1007">
        <f t="shared" si="129"/>
        <v>0</v>
      </c>
      <c r="CH128" s="1007">
        <f t="shared" si="111"/>
        <v>0</v>
      </c>
      <c r="CI128" s="1007">
        <f t="shared" si="111"/>
        <v>0</v>
      </c>
      <c r="CJ128" s="1007"/>
      <c r="CK128" s="1007"/>
      <c r="CL128" s="1007">
        <f t="shared" si="130"/>
        <v>0</v>
      </c>
      <c r="CM128" s="1010">
        <f t="shared" si="113"/>
        <v>0.84946867999999998</v>
      </c>
      <c r="CN128" s="1007">
        <f t="shared" si="114"/>
        <v>42473434</v>
      </c>
      <c r="CO128" s="1007"/>
      <c r="CP128" s="1007"/>
      <c r="CQ128" s="1007"/>
      <c r="CR128" s="1007"/>
      <c r="CS128" s="1007"/>
      <c r="CT128" s="1007"/>
      <c r="CU128" s="1007"/>
      <c r="CV128" s="1007"/>
      <c r="CW128" s="1007"/>
      <c r="CX128" s="1007"/>
      <c r="CY128" s="1007"/>
      <c r="CZ128" s="1007"/>
      <c r="DA128" s="1007"/>
      <c r="DB128" s="1007">
        <f>+'[7]AGOSTO 2015'!$H$1135</f>
        <v>42473434</v>
      </c>
      <c r="DC128" s="1007"/>
      <c r="DD128" s="1007"/>
      <c r="DE128" s="1007"/>
      <c r="DF128" s="1007"/>
      <c r="DG128" s="1007"/>
      <c r="DH128" s="1007"/>
      <c r="DI128" s="1010">
        <f t="shared" si="115"/>
        <v>0.15053132000000002</v>
      </c>
      <c r="DJ128" s="1007">
        <f t="shared" si="116"/>
        <v>7526566</v>
      </c>
      <c r="DK128" s="1007">
        <f t="shared" si="131"/>
        <v>0</v>
      </c>
      <c r="DL128" s="1007"/>
      <c r="DM128" s="1007"/>
      <c r="DN128" s="1007">
        <f t="shared" si="132"/>
        <v>0</v>
      </c>
      <c r="DO128" s="1007"/>
      <c r="DP128" s="1007">
        <f t="shared" si="133"/>
        <v>0</v>
      </c>
      <c r="DQ128" s="1007">
        <f t="shared" si="133"/>
        <v>0</v>
      </c>
      <c r="DR128" s="1007"/>
      <c r="DS128" s="1007">
        <f t="shared" si="134"/>
        <v>0</v>
      </c>
      <c r="DT128" s="1007">
        <f t="shared" si="134"/>
        <v>0</v>
      </c>
      <c r="DU128" s="1007"/>
      <c r="DV128" s="1007">
        <f t="shared" si="135"/>
        <v>0</v>
      </c>
      <c r="DW128" s="1007">
        <f t="shared" si="135"/>
        <v>0</v>
      </c>
      <c r="DX128" s="1007">
        <f t="shared" si="135"/>
        <v>7526566</v>
      </c>
      <c r="DY128" s="1007">
        <f t="shared" si="136"/>
        <v>0</v>
      </c>
      <c r="DZ128" s="1007">
        <f t="shared" si="124"/>
        <v>0</v>
      </c>
      <c r="EA128" s="1007">
        <f t="shared" si="124"/>
        <v>0</v>
      </c>
      <c r="EB128" s="1007">
        <f t="shared" si="124"/>
        <v>0</v>
      </c>
      <c r="EC128" s="1007"/>
      <c r="ED128" s="1007">
        <f t="shared" si="137"/>
        <v>0</v>
      </c>
    </row>
    <row r="129" spans="1:136" s="948" customFormat="1" ht="24" customHeight="1" thickBot="1" x14ac:dyDescent="0.3">
      <c r="A129" s="1056"/>
      <c r="B129" s="1625" t="s">
        <v>4983</v>
      </c>
      <c r="C129" s="1626"/>
      <c r="D129" s="1626"/>
      <c r="E129" s="1626"/>
      <c r="F129" s="1627"/>
      <c r="G129" s="1008">
        <f>SUM(G106:G128)</f>
        <v>1952000000</v>
      </c>
      <c r="H129" s="1008">
        <f>SUM(H106:H128)</f>
        <v>1985775008</v>
      </c>
      <c r="I129" s="1008">
        <f>SUM(I106:I128)</f>
        <v>569461792</v>
      </c>
      <c r="J129" s="1125"/>
      <c r="K129" s="1125"/>
      <c r="L129" s="1125"/>
      <c r="M129" s="1125"/>
      <c r="N129" s="1125"/>
      <c r="O129" s="1125"/>
      <c r="P129" s="1125"/>
      <c r="Q129" s="1125"/>
      <c r="R129" s="1125"/>
      <c r="S129" s="1125"/>
      <c r="T129" s="1125"/>
      <c r="U129" s="1125"/>
      <c r="V129" s="1125"/>
      <c r="W129" s="1125"/>
      <c r="X129" s="1125"/>
      <c r="Y129" s="1008">
        <f t="shared" ref="Y129:AS129" si="138">SUM(Y106:Y128)</f>
        <v>2555236800</v>
      </c>
      <c r="Z129" s="1008">
        <f t="shared" si="138"/>
        <v>104079469</v>
      </c>
      <c r="AA129" s="1008">
        <f t="shared" si="138"/>
        <v>0</v>
      </c>
      <c r="AB129" s="1008">
        <f t="shared" si="138"/>
        <v>0</v>
      </c>
      <c r="AC129" s="1008">
        <f t="shared" si="138"/>
        <v>0</v>
      </c>
      <c r="AD129" s="1008">
        <f t="shared" si="138"/>
        <v>0</v>
      </c>
      <c r="AE129" s="1008">
        <f t="shared" si="138"/>
        <v>0</v>
      </c>
      <c r="AF129" s="1008">
        <f t="shared" si="138"/>
        <v>0</v>
      </c>
      <c r="AG129" s="1008">
        <f t="shared" si="138"/>
        <v>0</v>
      </c>
      <c r="AH129" s="1008">
        <f t="shared" si="138"/>
        <v>0</v>
      </c>
      <c r="AI129" s="1008">
        <f t="shared" si="138"/>
        <v>0</v>
      </c>
      <c r="AJ129" s="1008">
        <f t="shared" si="138"/>
        <v>0</v>
      </c>
      <c r="AK129" s="1008">
        <f t="shared" si="138"/>
        <v>0</v>
      </c>
      <c r="AL129" s="1008">
        <f t="shared" si="138"/>
        <v>0</v>
      </c>
      <c r="AM129" s="1008">
        <f t="shared" si="138"/>
        <v>728406867</v>
      </c>
      <c r="AN129" s="1008">
        <f t="shared" si="138"/>
        <v>346819196</v>
      </c>
      <c r="AO129" s="1008">
        <f t="shared" si="138"/>
        <v>120323279</v>
      </c>
      <c r="AP129" s="1008">
        <f t="shared" si="138"/>
        <v>1181607989</v>
      </c>
      <c r="AQ129" s="1008">
        <f t="shared" si="138"/>
        <v>0</v>
      </c>
      <c r="AR129" s="1008">
        <f t="shared" si="138"/>
        <v>0</v>
      </c>
      <c r="AS129" s="1008">
        <f t="shared" si="138"/>
        <v>74000000</v>
      </c>
      <c r="AU129" s="1011">
        <f t="shared" si="103"/>
        <v>0.95557557874870935</v>
      </c>
      <c r="AV129" s="1008">
        <f>SUM(AV106:AV128)</f>
        <v>2441721884</v>
      </c>
      <c r="AW129" s="1008">
        <f>SUM(AW106:AW128)</f>
        <v>103245422</v>
      </c>
      <c r="AX129" s="1008">
        <f>SUM(AX106:AX128)</f>
        <v>0</v>
      </c>
      <c r="AY129" s="1008"/>
      <c r="AZ129" s="1008">
        <f>SUM(AZ106:AZ128)</f>
        <v>0</v>
      </c>
      <c r="BA129" s="1008"/>
      <c r="BB129" s="1008">
        <f t="shared" ref="BB129:BP129" si="139">SUM(BB106:BB128)</f>
        <v>0</v>
      </c>
      <c r="BC129" s="1008">
        <f t="shared" si="139"/>
        <v>0</v>
      </c>
      <c r="BD129" s="1008">
        <f t="shared" si="139"/>
        <v>0</v>
      </c>
      <c r="BE129" s="1008">
        <f t="shared" si="139"/>
        <v>0</v>
      </c>
      <c r="BF129" s="1008">
        <f t="shared" si="139"/>
        <v>0</v>
      </c>
      <c r="BG129" s="1008">
        <f t="shared" si="139"/>
        <v>0</v>
      </c>
      <c r="BH129" s="1008">
        <f t="shared" si="139"/>
        <v>0</v>
      </c>
      <c r="BI129" s="1008">
        <f t="shared" si="139"/>
        <v>0</v>
      </c>
      <c r="BJ129" s="1008">
        <f t="shared" si="139"/>
        <v>709199167</v>
      </c>
      <c r="BK129" s="1008">
        <f t="shared" si="139"/>
        <v>346819196</v>
      </c>
      <c r="BL129" s="1008">
        <f t="shared" si="139"/>
        <v>60650110</v>
      </c>
      <c r="BM129" s="1008">
        <f t="shared" si="139"/>
        <v>1157607989</v>
      </c>
      <c r="BN129" s="1008">
        <f t="shared" si="139"/>
        <v>0</v>
      </c>
      <c r="BO129" s="1008">
        <f t="shared" si="139"/>
        <v>0</v>
      </c>
      <c r="BP129" s="1008">
        <f t="shared" si="139"/>
        <v>64200000</v>
      </c>
      <c r="BQ129" s="1011">
        <f t="shared" si="105"/>
        <v>4.4424421251290647E-2</v>
      </c>
      <c r="BR129" s="1008">
        <f>SUM(BR106:BR128)</f>
        <v>113514916</v>
      </c>
      <c r="BS129" s="1008">
        <f>SUM(BS106:BS128)</f>
        <v>834047</v>
      </c>
      <c r="BT129" s="1008">
        <f>SUM(BT106:BT128)</f>
        <v>0</v>
      </c>
      <c r="BU129" s="1008"/>
      <c r="BV129" s="1008">
        <f t="shared" ref="BV129:CL129" si="140">SUM(BV106:BV128)</f>
        <v>0</v>
      </c>
      <c r="BW129" s="1008">
        <f t="shared" si="140"/>
        <v>0</v>
      </c>
      <c r="BX129" s="1008">
        <f t="shared" si="140"/>
        <v>0</v>
      </c>
      <c r="BY129" s="1008">
        <f t="shared" si="140"/>
        <v>0</v>
      </c>
      <c r="BZ129" s="1008">
        <f t="shared" si="140"/>
        <v>0</v>
      </c>
      <c r="CA129" s="1008">
        <f t="shared" si="140"/>
        <v>0</v>
      </c>
      <c r="CB129" s="1008">
        <f t="shared" si="140"/>
        <v>0</v>
      </c>
      <c r="CC129" s="1008">
        <f t="shared" si="140"/>
        <v>0</v>
      </c>
      <c r="CD129" s="1008">
        <f t="shared" si="140"/>
        <v>0</v>
      </c>
      <c r="CE129" s="1008">
        <f t="shared" si="140"/>
        <v>0</v>
      </c>
      <c r="CF129" s="1008">
        <f t="shared" si="140"/>
        <v>19207700</v>
      </c>
      <c r="CG129" s="1008">
        <f t="shared" si="140"/>
        <v>0</v>
      </c>
      <c r="CH129" s="1008">
        <f t="shared" si="140"/>
        <v>59673169</v>
      </c>
      <c r="CI129" s="1008">
        <f t="shared" si="140"/>
        <v>24000000</v>
      </c>
      <c r="CJ129" s="1008">
        <f t="shared" si="140"/>
        <v>0</v>
      </c>
      <c r="CK129" s="1008">
        <f t="shared" si="140"/>
        <v>0</v>
      </c>
      <c r="CL129" s="1008">
        <f t="shared" si="140"/>
        <v>9800000</v>
      </c>
      <c r="CM129" s="1011">
        <f t="shared" si="113"/>
        <v>0.77713932736097102</v>
      </c>
      <c r="CN129" s="1008">
        <f>SUM(CN106:CN128)</f>
        <v>1985775008</v>
      </c>
      <c r="CO129" s="1008">
        <f>SUM(CO106:CO128)</f>
        <v>57672466</v>
      </c>
      <c r="CP129" s="1008">
        <f>SUM(CP106:CP128)</f>
        <v>0</v>
      </c>
      <c r="CQ129" s="1008"/>
      <c r="CR129" s="1008">
        <f>SUM(CR106:CR128)</f>
        <v>0</v>
      </c>
      <c r="CS129" s="1008"/>
      <c r="CT129" s="1008">
        <f>SUM(CT106:CT128)</f>
        <v>0</v>
      </c>
      <c r="CU129" s="1008">
        <f>SUM(CU106:CU128)</f>
        <v>0</v>
      </c>
      <c r="CV129" s="1008"/>
      <c r="CW129" s="1008">
        <f t="shared" ref="CW129:DH129" si="141">SUM(CW106:CW128)</f>
        <v>0</v>
      </c>
      <c r="CX129" s="1008">
        <f t="shared" si="141"/>
        <v>0</v>
      </c>
      <c r="CY129" s="1008">
        <f t="shared" si="141"/>
        <v>0</v>
      </c>
      <c r="CZ129" s="1008">
        <f t="shared" si="141"/>
        <v>0</v>
      </c>
      <c r="DA129" s="1008">
        <f t="shared" si="141"/>
        <v>0</v>
      </c>
      <c r="DB129" s="1008">
        <f t="shared" si="141"/>
        <v>471045794</v>
      </c>
      <c r="DC129" s="1008">
        <f t="shared" si="141"/>
        <v>325002196</v>
      </c>
      <c r="DD129" s="1008">
        <f t="shared" si="141"/>
        <v>56087110</v>
      </c>
      <c r="DE129" s="1008">
        <f t="shared" si="141"/>
        <v>1046363025</v>
      </c>
      <c r="DF129" s="1008">
        <f t="shared" si="141"/>
        <v>0</v>
      </c>
      <c r="DG129" s="1008">
        <f t="shared" si="141"/>
        <v>0</v>
      </c>
      <c r="DH129" s="1008">
        <f t="shared" si="141"/>
        <v>29604417</v>
      </c>
      <c r="DI129" s="1011">
        <f t="shared" si="115"/>
        <v>0.22286067263902898</v>
      </c>
      <c r="DJ129" s="1008">
        <f>SUM(DJ106:DJ128)</f>
        <v>569461792</v>
      </c>
      <c r="DK129" s="1008">
        <f>SUM(DK106:DK128)</f>
        <v>46407003</v>
      </c>
      <c r="DL129" s="1008">
        <f>SUM(DL106:DL128)</f>
        <v>0</v>
      </c>
      <c r="DM129" s="1008"/>
      <c r="DN129" s="1008">
        <f t="shared" ref="DN129:ED129" si="142">SUM(DN106:DN128)</f>
        <v>0</v>
      </c>
      <c r="DO129" s="1008">
        <f t="shared" si="142"/>
        <v>0</v>
      </c>
      <c r="DP129" s="1008">
        <f t="shared" si="142"/>
        <v>0</v>
      </c>
      <c r="DQ129" s="1008">
        <f t="shared" si="142"/>
        <v>0</v>
      </c>
      <c r="DR129" s="1008">
        <f t="shared" si="142"/>
        <v>0</v>
      </c>
      <c r="DS129" s="1008">
        <f t="shared" si="142"/>
        <v>0</v>
      </c>
      <c r="DT129" s="1008">
        <f t="shared" si="142"/>
        <v>0</v>
      </c>
      <c r="DU129" s="1008">
        <f t="shared" si="142"/>
        <v>0</v>
      </c>
      <c r="DV129" s="1008">
        <f t="shared" si="142"/>
        <v>0</v>
      </c>
      <c r="DW129" s="1008">
        <f t="shared" si="142"/>
        <v>0</v>
      </c>
      <c r="DX129" s="1008">
        <f t="shared" si="142"/>
        <v>257361073</v>
      </c>
      <c r="DY129" s="1008">
        <f t="shared" si="142"/>
        <v>21817000</v>
      </c>
      <c r="DZ129" s="1008">
        <f t="shared" si="142"/>
        <v>64236169</v>
      </c>
      <c r="EA129" s="1008">
        <f t="shared" si="142"/>
        <v>135244964</v>
      </c>
      <c r="EB129" s="1008">
        <f t="shared" si="142"/>
        <v>0</v>
      </c>
      <c r="EC129" s="1008">
        <f t="shared" si="142"/>
        <v>0</v>
      </c>
      <c r="ED129" s="1037">
        <f t="shared" si="142"/>
        <v>44395583</v>
      </c>
    </row>
    <row r="130" spans="1:136" ht="78" hidden="1" customHeight="1" thickTop="1" x14ac:dyDescent="0.25">
      <c r="A130" s="1590" t="s">
        <v>4757</v>
      </c>
      <c r="B130" s="990" t="s">
        <v>4448</v>
      </c>
      <c r="C130" s="1114" t="s">
        <v>4653</v>
      </c>
      <c r="D130" s="1018" t="s">
        <v>4644</v>
      </c>
      <c r="E130" s="994">
        <v>510</v>
      </c>
      <c r="F130" s="1117" t="s">
        <v>4548</v>
      </c>
      <c r="G130" s="1576">
        <v>10000000</v>
      </c>
      <c r="H130" s="1060">
        <f t="shared" ref="H130:H193" si="143">+CN130</f>
        <v>3000000</v>
      </c>
      <c r="I130" s="1060">
        <f t="shared" ref="I130:I193" si="144">Y130-H130</f>
        <v>0</v>
      </c>
      <c r="J130" s="1068">
        <v>0.3</v>
      </c>
      <c r="K130" s="1131">
        <v>1</v>
      </c>
      <c r="L130" s="1131">
        <v>0.37</v>
      </c>
      <c r="M130" s="1077">
        <v>100</v>
      </c>
      <c r="N130" s="1077">
        <v>30</v>
      </c>
      <c r="O130" s="1077">
        <v>30</v>
      </c>
      <c r="P130" s="1113">
        <v>100</v>
      </c>
      <c r="Q130" s="1113">
        <v>45</v>
      </c>
      <c r="R130" s="1113">
        <v>45</v>
      </c>
      <c r="S130" s="1117"/>
      <c r="T130" s="1117"/>
      <c r="U130" s="1117"/>
      <c r="V130" s="1117"/>
      <c r="W130" s="1117"/>
      <c r="X130" s="1117"/>
      <c r="Y130" s="1007">
        <f t="shared" ref="Y130:Y161" si="145">SUM(Z130:AS130)</f>
        <v>3000000</v>
      </c>
      <c r="Z130" s="1007"/>
      <c r="AA130" s="1007"/>
      <c r="AB130" s="1007"/>
      <c r="AC130" s="1007"/>
      <c r="AD130" s="1007"/>
      <c r="AE130" s="1007">
        <v>3000000</v>
      </c>
      <c r="AF130" s="1007"/>
      <c r="AG130" s="1007"/>
      <c r="AH130" s="1007"/>
      <c r="AI130" s="1007"/>
      <c r="AJ130" s="1007"/>
      <c r="AK130" s="1007"/>
      <c r="AL130" s="1007"/>
      <c r="AM130" s="1007"/>
      <c r="AN130" s="1007"/>
      <c r="AO130" s="1007"/>
      <c r="AP130" s="1007"/>
      <c r="AQ130" s="1007"/>
      <c r="AR130" s="1007"/>
      <c r="AS130" s="1007"/>
      <c r="AU130" s="1010">
        <f t="shared" si="103"/>
        <v>1</v>
      </c>
      <c r="AV130" s="1007">
        <f t="shared" ref="AV130:AV161" si="146">SUM(AW130:BP130)</f>
        <v>3000000</v>
      </c>
      <c r="AW130" s="1007"/>
      <c r="AX130" s="1007"/>
      <c r="AY130" s="1007"/>
      <c r="AZ130" s="1007"/>
      <c r="BA130" s="1007"/>
      <c r="BB130" s="1007">
        <f>+'[11]MARZO 2015'!$N$1116</f>
        <v>3000000</v>
      </c>
      <c r="BC130" s="1007"/>
      <c r="BD130" s="1007"/>
      <c r="BE130" s="1007"/>
      <c r="BF130" s="1007"/>
      <c r="BG130" s="1007"/>
      <c r="BH130" s="1007"/>
      <c r="BI130" s="1007"/>
      <c r="BJ130" s="1007"/>
      <c r="BK130" s="1007"/>
      <c r="BL130" s="1007"/>
      <c r="BM130" s="1007"/>
      <c r="BN130" s="1007"/>
      <c r="BO130" s="1007"/>
      <c r="BP130" s="1007"/>
      <c r="BQ130" s="1010">
        <f t="shared" si="105"/>
        <v>0</v>
      </c>
      <c r="BR130" s="1007">
        <f t="shared" ref="BR130:BR161" si="147">SUM(BS130:CL130)</f>
        <v>0</v>
      </c>
      <c r="BS130" s="1007">
        <f t="shared" ref="BS130:BS150" si="148">+Z130-AW130</f>
        <v>0</v>
      </c>
      <c r="BT130" s="1007">
        <f t="shared" ref="BT130:BT150" si="149">AA130-AX130</f>
        <v>0</v>
      </c>
      <c r="BU130" s="1007"/>
      <c r="BV130" s="1007">
        <f t="shared" ref="BV130:BW150" si="150">AC130-AZ130</f>
        <v>0</v>
      </c>
      <c r="BW130" s="1007">
        <f t="shared" si="150"/>
        <v>0</v>
      </c>
      <c r="BX130" s="1007">
        <f t="shared" ref="BX130:BY150" si="151">+AE130-BB130</f>
        <v>0</v>
      </c>
      <c r="BY130" s="1007">
        <f t="shared" si="151"/>
        <v>0</v>
      </c>
      <c r="BZ130" s="1007"/>
      <c r="CA130" s="1007">
        <f t="shared" ref="CA130:CI150" si="152">+AH130-BE130</f>
        <v>0</v>
      </c>
      <c r="CB130" s="1007">
        <f t="shared" si="152"/>
        <v>0</v>
      </c>
      <c r="CC130" s="1007">
        <f t="shared" si="152"/>
        <v>0</v>
      </c>
      <c r="CD130" s="1007">
        <f t="shared" si="152"/>
        <v>0</v>
      </c>
      <c r="CE130" s="1007">
        <f t="shared" si="152"/>
        <v>0</v>
      </c>
      <c r="CF130" s="1007">
        <f t="shared" si="152"/>
        <v>0</v>
      </c>
      <c r="CG130" s="1007">
        <f t="shared" si="152"/>
        <v>0</v>
      </c>
      <c r="CH130" s="1007">
        <f t="shared" si="152"/>
        <v>0</v>
      </c>
      <c r="CI130" s="1007">
        <f t="shared" si="152"/>
        <v>0</v>
      </c>
      <c r="CJ130" s="1007"/>
      <c r="CK130" s="1007"/>
      <c r="CL130" s="1007">
        <f t="shared" ref="CL130:CL150" si="153">+AS130-BP130</f>
        <v>0</v>
      </c>
      <c r="CM130" s="1010">
        <f t="shared" si="113"/>
        <v>1</v>
      </c>
      <c r="CN130" s="1007">
        <f t="shared" ref="CN130:CN161" si="154">SUM(CO130:DH130)</f>
        <v>3000000</v>
      </c>
      <c r="CO130" s="1007"/>
      <c r="CP130" s="1007"/>
      <c r="CQ130" s="1007"/>
      <c r="CR130" s="1007"/>
      <c r="CS130" s="1007"/>
      <c r="CT130" s="1007">
        <f>+'[11]MARZO 2015'!$H$1117</f>
        <v>3000000</v>
      </c>
      <c r="CU130" s="1007"/>
      <c r="CV130" s="1007"/>
      <c r="CW130" s="1007"/>
      <c r="CX130" s="1007"/>
      <c r="CY130" s="1007"/>
      <c r="CZ130" s="1007"/>
      <c r="DA130" s="1007"/>
      <c r="DB130" s="1007"/>
      <c r="DC130" s="1007"/>
      <c r="DD130" s="1007"/>
      <c r="DE130" s="1007"/>
      <c r="DF130" s="1007"/>
      <c r="DG130" s="1007"/>
      <c r="DH130" s="1007"/>
      <c r="DI130" s="1010">
        <f t="shared" si="115"/>
        <v>0</v>
      </c>
      <c r="DJ130" s="1007">
        <f t="shared" ref="DJ130:DJ161" si="155">SUM(DK130:ED130)</f>
        <v>0</v>
      </c>
      <c r="DK130" s="1007"/>
      <c r="DL130" s="1007"/>
      <c r="DM130" s="1007"/>
      <c r="DN130" s="1007">
        <f t="shared" ref="DN130:DQ150" si="156">AC130-CR130</f>
        <v>0</v>
      </c>
      <c r="DO130" s="1007">
        <f t="shared" si="156"/>
        <v>0</v>
      </c>
      <c r="DP130" s="1007">
        <f t="shared" si="156"/>
        <v>0</v>
      </c>
      <c r="DQ130" s="1007">
        <f t="shared" si="156"/>
        <v>0</v>
      </c>
      <c r="DR130" s="1007"/>
      <c r="DS130" s="1007">
        <f t="shared" ref="DS130:DT150" si="157">+AH130-CW130</f>
        <v>0</v>
      </c>
      <c r="DT130" s="1007">
        <f t="shared" si="157"/>
        <v>0</v>
      </c>
      <c r="DU130" s="1007"/>
      <c r="DV130" s="1007">
        <f t="shared" ref="DV130:DX150" si="158">AK130-CZ130</f>
        <v>0</v>
      </c>
      <c r="DW130" s="1007">
        <f t="shared" si="158"/>
        <v>0</v>
      </c>
      <c r="DX130" s="1007">
        <f t="shared" si="158"/>
        <v>0</v>
      </c>
      <c r="DY130" s="1007">
        <f t="shared" ref="DY130:EB150" si="159">+AN130-DC130</f>
        <v>0</v>
      </c>
      <c r="DZ130" s="1007">
        <f t="shared" si="159"/>
        <v>0</v>
      </c>
      <c r="EA130" s="1007">
        <f t="shared" si="159"/>
        <v>0</v>
      </c>
      <c r="EB130" s="1007">
        <f t="shared" si="159"/>
        <v>0</v>
      </c>
      <c r="EC130" s="1007"/>
      <c r="ED130" s="1007">
        <f t="shared" ref="ED130:ED150" si="160">+AS130-DH130</f>
        <v>0</v>
      </c>
    </row>
    <row r="131" spans="1:136" ht="81" hidden="1" customHeight="1" x14ac:dyDescent="0.25">
      <c r="A131" s="1590"/>
      <c r="B131" s="989"/>
      <c r="C131" s="1114" t="s">
        <v>4654</v>
      </c>
      <c r="D131" s="1018" t="s">
        <v>4652</v>
      </c>
      <c r="E131" s="994">
        <v>510</v>
      </c>
      <c r="F131" s="1117" t="s">
        <v>4548</v>
      </c>
      <c r="G131" s="1430"/>
      <c r="H131" s="1060">
        <f t="shared" si="143"/>
        <v>6828964</v>
      </c>
      <c r="I131" s="1060">
        <f t="shared" si="144"/>
        <v>171036</v>
      </c>
      <c r="J131" s="1117">
        <v>48124</v>
      </c>
      <c r="K131" s="1113">
        <v>73148</v>
      </c>
      <c r="L131" s="1113">
        <v>49086</v>
      </c>
      <c r="M131" s="1113">
        <v>98</v>
      </c>
      <c r="N131" s="1113">
        <v>30</v>
      </c>
      <c r="O131" s="1113">
        <v>29</v>
      </c>
      <c r="P131" s="1113">
        <v>98</v>
      </c>
      <c r="Q131" s="1113">
        <v>45</v>
      </c>
      <c r="R131" s="1113">
        <v>44</v>
      </c>
      <c r="S131" s="1117"/>
      <c r="T131" s="1117"/>
      <c r="U131" s="1117"/>
      <c r="V131" s="1117"/>
      <c r="W131" s="1117"/>
      <c r="X131" s="1117"/>
      <c r="Y131" s="1007">
        <f t="shared" si="145"/>
        <v>7000000</v>
      </c>
      <c r="Z131" s="1007"/>
      <c r="AA131" s="1007"/>
      <c r="AB131" s="1007"/>
      <c r="AC131" s="1007"/>
      <c r="AD131" s="1007"/>
      <c r="AE131" s="1007">
        <v>7000000</v>
      </c>
      <c r="AF131" s="1007"/>
      <c r="AG131" s="1007"/>
      <c r="AH131" s="1007"/>
      <c r="AI131" s="1007"/>
      <c r="AJ131" s="1007"/>
      <c r="AK131" s="1007"/>
      <c r="AL131" s="1007"/>
      <c r="AM131" s="1007"/>
      <c r="AN131" s="1007"/>
      <c r="AO131" s="1007"/>
      <c r="AP131" s="1007"/>
      <c r="AQ131" s="1007"/>
      <c r="AR131" s="1007"/>
      <c r="AS131" s="1007"/>
      <c r="AT131" s="984"/>
      <c r="AU131" s="1010">
        <f t="shared" si="103"/>
        <v>0.97557142857142853</v>
      </c>
      <c r="AV131" s="1007">
        <f t="shared" si="146"/>
        <v>6829000</v>
      </c>
      <c r="AW131" s="1007"/>
      <c r="AX131" s="1007"/>
      <c r="AY131" s="1007"/>
      <c r="AZ131" s="1007"/>
      <c r="BA131" s="1007"/>
      <c r="BB131" s="1007">
        <f>+'[11]MARZO 2015'!$N$1122</f>
        <v>6829000</v>
      </c>
      <c r="BC131" s="1007"/>
      <c r="BD131" s="1007"/>
      <c r="BE131" s="1007"/>
      <c r="BF131" s="1007"/>
      <c r="BG131" s="1007"/>
      <c r="BH131" s="1007"/>
      <c r="BI131" s="1007"/>
      <c r="BJ131" s="1007"/>
      <c r="BK131" s="1007"/>
      <c r="BL131" s="1007"/>
      <c r="BM131" s="1007"/>
      <c r="BN131" s="1007"/>
      <c r="BO131" s="1007"/>
      <c r="BP131" s="1007"/>
      <c r="BQ131" s="1010">
        <f t="shared" si="105"/>
        <v>2.4428571428571466E-2</v>
      </c>
      <c r="BR131" s="1007">
        <f t="shared" si="147"/>
        <v>171000</v>
      </c>
      <c r="BS131" s="1007">
        <f t="shared" si="148"/>
        <v>0</v>
      </c>
      <c r="BT131" s="1007">
        <f t="shared" si="149"/>
        <v>0</v>
      </c>
      <c r="BU131" s="1007"/>
      <c r="BV131" s="1007">
        <f t="shared" si="150"/>
        <v>0</v>
      </c>
      <c r="BW131" s="1007">
        <f t="shared" si="150"/>
        <v>0</v>
      </c>
      <c r="BX131" s="1007">
        <f t="shared" si="151"/>
        <v>171000</v>
      </c>
      <c r="BY131" s="1007">
        <f t="shared" si="151"/>
        <v>0</v>
      </c>
      <c r="BZ131" s="1007"/>
      <c r="CA131" s="1007">
        <f t="shared" si="152"/>
        <v>0</v>
      </c>
      <c r="CB131" s="1007">
        <f t="shared" si="152"/>
        <v>0</v>
      </c>
      <c r="CC131" s="1007">
        <f t="shared" si="152"/>
        <v>0</v>
      </c>
      <c r="CD131" s="1007">
        <f t="shared" si="152"/>
        <v>0</v>
      </c>
      <c r="CE131" s="1007">
        <f t="shared" si="152"/>
        <v>0</v>
      </c>
      <c r="CF131" s="1007">
        <f t="shared" si="152"/>
        <v>0</v>
      </c>
      <c r="CG131" s="1007">
        <f t="shared" si="152"/>
        <v>0</v>
      </c>
      <c r="CH131" s="1007">
        <f t="shared" si="152"/>
        <v>0</v>
      </c>
      <c r="CI131" s="1007">
        <f t="shared" si="152"/>
        <v>0</v>
      </c>
      <c r="CJ131" s="1007"/>
      <c r="CK131" s="1007"/>
      <c r="CL131" s="1007">
        <f t="shared" si="153"/>
        <v>0</v>
      </c>
      <c r="CM131" s="1010">
        <f t="shared" si="113"/>
        <v>0.97556628571428572</v>
      </c>
      <c r="CN131" s="1007">
        <f t="shared" si="154"/>
        <v>6828964</v>
      </c>
      <c r="CO131" s="1007"/>
      <c r="CP131" s="1007"/>
      <c r="CQ131" s="1007"/>
      <c r="CR131" s="1007"/>
      <c r="CS131" s="1007"/>
      <c r="CT131" s="1007">
        <f>+'[11]MARZO 2015'!$H$1120</f>
        <v>6828964</v>
      </c>
      <c r="CU131" s="1007"/>
      <c r="CV131" s="1007"/>
      <c r="CW131" s="1007"/>
      <c r="CX131" s="1007"/>
      <c r="CY131" s="1007"/>
      <c r="CZ131" s="1007"/>
      <c r="DA131" s="1007"/>
      <c r="DB131" s="1007"/>
      <c r="DC131" s="1007"/>
      <c r="DD131" s="1007"/>
      <c r="DE131" s="1007"/>
      <c r="DF131" s="1007"/>
      <c r="DG131" s="1007"/>
      <c r="DH131" s="1007"/>
      <c r="DI131" s="1010">
        <f t="shared" si="115"/>
        <v>2.4433714285714281E-2</v>
      </c>
      <c r="DJ131" s="1007">
        <f t="shared" si="155"/>
        <v>171036</v>
      </c>
      <c r="DK131" s="1007"/>
      <c r="DL131" s="1007"/>
      <c r="DM131" s="1007"/>
      <c r="DN131" s="1007">
        <f t="shared" si="156"/>
        <v>0</v>
      </c>
      <c r="DO131" s="1007">
        <f t="shared" si="156"/>
        <v>0</v>
      </c>
      <c r="DP131" s="1007">
        <f t="shared" si="156"/>
        <v>171036</v>
      </c>
      <c r="DQ131" s="1007">
        <f t="shared" si="156"/>
        <v>0</v>
      </c>
      <c r="DR131" s="1007"/>
      <c r="DS131" s="1007">
        <f t="shared" si="157"/>
        <v>0</v>
      </c>
      <c r="DT131" s="1007">
        <f t="shared" si="157"/>
        <v>0</v>
      </c>
      <c r="DU131" s="1007"/>
      <c r="DV131" s="1007">
        <f t="shared" si="158"/>
        <v>0</v>
      </c>
      <c r="DW131" s="1007">
        <f t="shared" si="158"/>
        <v>0</v>
      </c>
      <c r="DX131" s="1007">
        <f t="shared" si="158"/>
        <v>0</v>
      </c>
      <c r="DY131" s="1007">
        <f t="shared" si="159"/>
        <v>0</v>
      </c>
      <c r="DZ131" s="1007">
        <f t="shared" si="159"/>
        <v>0</v>
      </c>
      <c r="EA131" s="1007">
        <f t="shared" si="159"/>
        <v>0</v>
      </c>
      <c r="EB131" s="1007">
        <f t="shared" si="159"/>
        <v>0</v>
      </c>
      <c r="EC131" s="1007"/>
      <c r="ED131" s="1007">
        <f t="shared" si="160"/>
        <v>0</v>
      </c>
      <c r="EF131" s="1"/>
    </row>
    <row r="132" spans="1:136" ht="83.25" hidden="1" customHeight="1" x14ac:dyDescent="0.25">
      <c r="A132" s="1590"/>
      <c r="B132" s="989" t="s">
        <v>4449</v>
      </c>
      <c r="C132" s="852" t="s">
        <v>4485</v>
      </c>
      <c r="D132" s="1018" t="s">
        <v>4584</v>
      </c>
      <c r="E132" s="994">
        <v>111</v>
      </c>
      <c r="F132" s="1117" t="s">
        <v>4482</v>
      </c>
      <c r="G132" s="1428">
        <v>20073000000</v>
      </c>
      <c r="H132" s="1060">
        <f t="shared" si="143"/>
        <v>0</v>
      </c>
      <c r="I132" s="1060">
        <f t="shared" si="144"/>
        <v>600000000</v>
      </c>
      <c r="J132" s="1117">
        <v>32909</v>
      </c>
      <c r="K132" s="1113">
        <v>47093</v>
      </c>
      <c r="L132" s="1113">
        <v>34554</v>
      </c>
      <c r="M132" s="1113">
        <v>0</v>
      </c>
      <c r="N132" s="1113">
        <v>0</v>
      </c>
      <c r="O132" s="1113">
        <v>0</v>
      </c>
      <c r="P132" s="1113">
        <v>0</v>
      </c>
      <c r="Q132" s="1113">
        <v>0</v>
      </c>
      <c r="R132" s="1113">
        <v>0</v>
      </c>
      <c r="S132" s="1117"/>
      <c r="T132" s="1117"/>
      <c r="U132" s="1117"/>
      <c r="V132" s="1117"/>
      <c r="W132" s="1117"/>
      <c r="X132" s="1117"/>
      <c r="Y132" s="1007">
        <f t="shared" si="145"/>
        <v>600000000</v>
      </c>
      <c r="Z132" s="1007"/>
      <c r="AA132" s="1007"/>
      <c r="AB132" s="1007"/>
      <c r="AC132" s="1007">
        <f>1590000000+400000000-850705529-550000000</f>
        <v>589294471</v>
      </c>
      <c r="AD132" s="1007"/>
      <c r="AE132" s="1007">
        <f>5000000</f>
        <v>5000000</v>
      </c>
      <c r="AF132" s="1007"/>
      <c r="AG132" s="1007"/>
      <c r="AH132" s="1007"/>
      <c r="AI132" s="1007"/>
      <c r="AJ132" s="1007"/>
      <c r="AK132" s="1007"/>
      <c r="AL132" s="1007"/>
      <c r="AM132" s="1007"/>
      <c r="AN132" s="1007"/>
      <c r="AO132" s="1007">
        <f>55705529-50000000</f>
        <v>5705529</v>
      </c>
      <c r="AP132" s="1007"/>
      <c r="AQ132" s="1007"/>
      <c r="AR132" s="1007"/>
      <c r="AS132" s="1007"/>
      <c r="AT132" s="984"/>
      <c r="AU132" s="1010">
        <f t="shared" si="103"/>
        <v>0</v>
      </c>
      <c r="AV132" s="1007">
        <f t="shared" si="146"/>
        <v>0</v>
      </c>
      <c r="AW132" s="1007"/>
      <c r="AX132" s="1007"/>
      <c r="AY132" s="1007"/>
      <c r="AZ132" s="1007"/>
      <c r="BA132" s="1007"/>
      <c r="BB132" s="1007"/>
      <c r="BC132" s="1007"/>
      <c r="BD132" s="1007"/>
      <c r="BE132" s="1007"/>
      <c r="BF132" s="1007"/>
      <c r="BG132" s="1007"/>
      <c r="BH132" s="1007"/>
      <c r="BI132" s="1007"/>
      <c r="BJ132" s="1007"/>
      <c r="BK132" s="1007"/>
      <c r="BL132" s="1007"/>
      <c r="BM132" s="1007"/>
      <c r="BN132" s="1007"/>
      <c r="BO132" s="1007"/>
      <c r="BP132" s="1007"/>
      <c r="BQ132" s="1010">
        <f t="shared" si="105"/>
        <v>1</v>
      </c>
      <c r="BR132" s="1007">
        <f t="shared" si="147"/>
        <v>600000000</v>
      </c>
      <c r="BS132" s="1007">
        <f t="shared" si="148"/>
        <v>0</v>
      </c>
      <c r="BT132" s="1007">
        <f t="shared" si="149"/>
        <v>0</v>
      </c>
      <c r="BU132" s="1007"/>
      <c r="BV132" s="1007">
        <f t="shared" si="150"/>
        <v>589294471</v>
      </c>
      <c r="BW132" s="1007">
        <f t="shared" si="150"/>
        <v>0</v>
      </c>
      <c r="BX132" s="1007">
        <f t="shared" si="151"/>
        <v>5000000</v>
      </c>
      <c r="BY132" s="1007">
        <f t="shared" si="151"/>
        <v>0</v>
      </c>
      <c r="BZ132" s="1007"/>
      <c r="CA132" s="1007">
        <f t="shared" si="152"/>
        <v>0</v>
      </c>
      <c r="CB132" s="1007">
        <f t="shared" si="152"/>
        <v>0</v>
      </c>
      <c r="CC132" s="1007">
        <f t="shared" si="152"/>
        <v>0</v>
      </c>
      <c r="CD132" s="1007">
        <f t="shared" si="152"/>
        <v>0</v>
      </c>
      <c r="CE132" s="1007">
        <f t="shared" si="152"/>
        <v>0</v>
      </c>
      <c r="CF132" s="1007">
        <f t="shared" si="152"/>
        <v>0</v>
      </c>
      <c r="CG132" s="1007">
        <f t="shared" si="152"/>
        <v>0</v>
      </c>
      <c r="CH132" s="1007">
        <f t="shared" si="152"/>
        <v>5705529</v>
      </c>
      <c r="CI132" s="1007">
        <f t="shared" si="152"/>
        <v>0</v>
      </c>
      <c r="CJ132" s="1007"/>
      <c r="CK132" s="1007"/>
      <c r="CL132" s="1007">
        <f t="shared" si="153"/>
        <v>0</v>
      </c>
      <c r="CM132" s="1010">
        <f t="shared" si="113"/>
        <v>0</v>
      </c>
      <c r="CN132" s="1007">
        <f t="shared" si="154"/>
        <v>0</v>
      </c>
      <c r="CO132" s="1007"/>
      <c r="CP132" s="1007"/>
      <c r="CQ132" s="1007"/>
      <c r="CR132" s="1007"/>
      <c r="CS132" s="1007"/>
      <c r="CT132" s="1007"/>
      <c r="CU132" s="1007"/>
      <c r="CV132" s="1007"/>
      <c r="CW132" s="1007"/>
      <c r="CX132" s="1007"/>
      <c r="CY132" s="1007"/>
      <c r="CZ132" s="1007"/>
      <c r="DA132" s="1007"/>
      <c r="DB132" s="1007"/>
      <c r="DC132" s="1007"/>
      <c r="DD132" s="1007"/>
      <c r="DE132" s="1007"/>
      <c r="DF132" s="1007"/>
      <c r="DG132" s="1007"/>
      <c r="DH132" s="1007"/>
      <c r="DI132" s="1010">
        <f t="shared" si="115"/>
        <v>1</v>
      </c>
      <c r="DJ132" s="1007">
        <f t="shared" si="155"/>
        <v>600000000</v>
      </c>
      <c r="DK132" s="1007"/>
      <c r="DL132" s="1007"/>
      <c r="DM132" s="1007"/>
      <c r="DN132" s="1007">
        <f t="shared" si="156"/>
        <v>589294471</v>
      </c>
      <c r="DO132" s="1007">
        <f t="shared" si="156"/>
        <v>0</v>
      </c>
      <c r="DP132" s="1007">
        <f t="shared" si="156"/>
        <v>5000000</v>
      </c>
      <c r="DQ132" s="1007">
        <f t="shared" si="156"/>
        <v>0</v>
      </c>
      <c r="DR132" s="1007"/>
      <c r="DS132" s="1007">
        <f t="shared" si="157"/>
        <v>0</v>
      </c>
      <c r="DT132" s="1007">
        <f t="shared" si="157"/>
        <v>0</v>
      </c>
      <c r="DU132" s="1007"/>
      <c r="DV132" s="1007">
        <f t="shared" si="158"/>
        <v>0</v>
      </c>
      <c r="DW132" s="1007">
        <f t="shared" si="158"/>
        <v>0</v>
      </c>
      <c r="DX132" s="1007">
        <f t="shared" si="158"/>
        <v>0</v>
      </c>
      <c r="DY132" s="1007">
        <f t="shared" si="159"/>
        <v>0</v>
      </c>
      <c r="DZ132" s="1007">
        <f t="shared" si="159"/>
        <v>5705529</v>
      </c>
      <c r="EA132" s="1007">
        <f t="shared" si="159"/>
        <v>0</v>
      </c>
      <c r="EB132" s="1007">
        <f t="shared" si="159"/>
        <v>0</v>
      </c>
      <c r="EC132" s="1007"/>
      <c r="ED132" s="1007">
        <f t="shared" si="160"/>
        <v>0</v>
      </c>
    </row>
    <row r="133" spans="1:136" s="203" customFormat="1" ht="36" hidden="1" customHeight="1" x14ac:dyDescent="0.25">
      <c r="A133" s="1590"/>
      <c r="B133" s="989"/>
      <c r="C133" s="1080" t="s">
        <v>4486</v>
      </c>
      <c r="D133" s="1018" t="s">
        <v>4469</v>
      </c>
      <c r="E133" s="996">
        <v>111</v>
      </c>
      <c r="F133" s="1117" t="s">
        <v>4482</v>
      </c>
      <c r="G133" s="1429"/>
      <c r="H133" s="1060">
        <f t="shared" si="143"/>
        <v>0</v>
      </c>
      <c r="I133" s="1060">
        <f t="shared" si="144"/>
        <v>830000000</v>
      </c>
      <c r="J133" s="1117">
        <v>42349</v>
      </c>
      <c r="K133" s="1113">
        <v>50522</v>
      </c>
      <c r="L133" s="1113">
        <v>43238</v>
      </c>
      <c r="M133" s="1074">
        <v>0</v>
      </c>
      <c r="N133" s="1074">
        <v>0</v>
      </c>
      <c r="O133" s="1074">
        <v>0</v>
      </c>
      <c r="P133" s="1074"/>
      <c r="Q133" s="1074"/>
      <c r="R133" s="1074"/>
      <c r="S133" s="1117"/>
      <c r="T133" s="1117"/>
      <c r="U133" s="1117"/>
      <c r="V133" s="1117"/>
      <c r="W133" s="1117"/>
      <c r="X133" s="1117"/>
      <c r="Y133" s="1066">
        <f t="shared" si="145"/>
        <v>830000000</v>
      </c>
      <c r="Z133" s="1066"/>
      <c r="AA133" s="1066"/>
      <c r="AB133" s="1066"/>
      <c r="AC133" s="1066">
        <v>830000000</v>
      </c>
      <c r="AD133" s="1066"/>
      <c r="AE133" s="1066"/>
      <c r="AF133" s="1066"/>
      <c r="AG133" s="1066"/>
      <c r="AH133" s="1066"/>
      <c r="AI133" s="1066"/>
      <c r="AJ133" s="1066"/>
      <c r="AK133" s="1066"/>
      <c r="AL133" s="1066"/>
      <c r="AM133" s="1066"/>
      <c r="AN133" s="1066"/>
      <c r="AO133" s="1066"/>
      <c r="AP133" s="1066"/>
      <c r="AQ133" s="1066"/>
      <c r="AR133" s="1066"/>
      <c r="AS133" s="1066"/>
      <c r="AT133" s="1088"/>
      <c r="AU133" s="1081">
        <f t="shared" si="103"/>
        <v>0</v>
      </c>
      <c r="AV133" s="1066">
        <f t="shared" si="146"/>
        <v>0</v>
      </c>
      <c r="AW133" s="1066"/>
      <c r="AX133" s="1066"/>
      <c r="AY133" s="1066"/>
      <c r="AZ133" s="1066"/>
      <c r="BA133" s="1066"/>
      <c r="BB133" s="1066"/>
      <c r="BC133" s="1066"/>
      <c r="BD133" s="1066"/>
      <c r="BE133" s="1066"/>
      <c r="BF133" s="1066"/>
      <c r="BG133" s="1066"/>
      <c r="BH133" s="1066"/>
      <c r="BI133" s="1066"/>
      <c r="BJ133" s="1066"/>
      <c r="BK133" s="1066"/>
      <c r="BL133" s="1066"/>
      <c r="BM133" s="1066"/>
      <c r="BN133" s="1066"/>
      <c r="BO133" s="1066"/>
      <c r="BP133" s="1066"/>
      <c r="BQ133" s="1081">
        <f t="shared" si="105"/>
        <v>1</v>
      </c>
      <c r="BR133" s="1066">
        <f t="shared" si="147"/>
        <v>830000000</v>
      </c>
      <c r="BS133" s="1066">
        <f t="shared" si="148"/>
        <v>0</v>
      </c>
      <c r="BT133" s="1066">
        <f t="shared" si="149"/>
        <v>0</v>
      </c>
      <c r="BU133" s="1066"/>
      <c r="BV133" s="1066">
        <f t="shared" si="150"/>
        <v>830000000</v>
      </c>
      <c r="BW133" s="1066">
        <f t="shared" si="150"/>
        <v>0</v>
      </c>
      <c r="BX133" s="1066">
        <f t="shared" si="151"/>
        <v>0</v>
      </c>
      <c r="BY133" s="1066">
        <f t="shared" si="151"/>
        <v>0</v>
      </c>
      <c r="BZ133" s="1066"/>
      <c r="CA133" s="1066">
        <f t="shared" si="152"/>
        <v>0</v>
      </c>
      <c r="CB133" s="1066">
        <f t="shared" si="152"/>
        <v>0</v>
      </c>
      <c r="CC133" s="1066">
        <f t="shared" si="152"/>
        <v>0</v>
      </c>
      <c r="CD133" s="1066">
        <f t="shared" si="152"/>
        <v>0</v>
      </c>
      <c r="CE133" s="1066">
        <f t="shared" si="152"/>
        <v>0</v>
      </c>
      <c r="CF133" s="1066">
        <f t="shared" si="152"/>
        <v>0</v>
      </c>
      <c r="CG133" s="1066">
        <f t="shared" si="152"/>
        <v>0</v>
      </c>
      <c r="CH133" s="1066">
        <f t="shared" si="152"/>
        <v>0</v>
      </c>
      <c r="CI133" s="1066">
        <f t="shared" si="152"/>
        <v>0</v>
      </c>
      <c r="CJ133" s="1066"/>
      <c r="CK133" s="1066"/>
      <c r="CL133" s="1066">
        <f t="shared" si="153"/>
        <v>0</v>
      </c>
      <c r="CM133" s="1081">
        <f t="shared" si="113"/>
        <v>0</v>
      </c>
      <c r="CN133" s="1066">
        <f t="shared" si="154"/>
        <v>0</v>
      </c>
      <c r="CO133" s="1066"/>
      <c r="CP133" s="1066"/>
      <c r="CQ133" s="1066"/>
      <c r="CR133" s="1066"/>
      <c r="CS133" s="1066"/>
      <c r="CT133" s="1066"/>
      <c r="CU133" s="1066"/>
      <c r="CV133" s="1066"/>
      <c r="CW133" s="1066"/>
      <c r="CX133" s="1066"/>
      <c r="CY133" s="1066"/>
      <c r="CZ133" s="1066"/>
      <c r="DA133" s="1066"/>
      <c r="DB133" s="1066"/>
      <c r="DC133" s="1066"/>
      <c r="DD133" s="1066"/>
      <c r="DE133" s="1066"/>
      <c r="DF133" s="1066"/>
      <c r="DG133" s="1066"/>
      <c r="DH133" s="1066"/>
      <c r="DI133" s="1081">
        <f t="shared" si="115"/>
        <v>1</v>
      </c>
      <c r="DJ133" s="1066">
        <f t="shared" si="155"/>
        <v>830000000</v>
      </c>
      <c r="DK133" s="1066"/>
      <c r="DL133" s="1066"/>
      <c r="DM133" s="1066"/>
      <c r="DN133" s="1066">
        <f t="shared" si="156"/>
        <v>830000000</v>
      </c>
      <c r="DO133" s="1066">
        <f t="shared" si="156"/>
        <v>0</v>
      </c>
      <c r="DP133" s="1066">
        <f t="shared" si="156"/>
        <v>0</v>
      </c>
      <c r="DQ133" s="1066">
        <f t="shared" si="156"/>
        <v>0</v>
      </c>
      <c r="DR133" s="1066"/>
      <c r="DS133" s="1066">
        <f t="shared" si="157"/>
        <v>0</v>
      </c>
      <c r="DT133" s="1066">
        <f t="shared" si="157"/>
        <v>0</v>
      </c>
      <c r="DU133" s="1066"/>
      <c r="DV133" s="1066">
        <f t="shared" si="158"/>
        <v>0</v>
      </c>
      <c r="DW133" s="1066">
        <f t="shared" si="158"/>
        <v>0</v>
      </c>
      <c r="DX133" s="1066">
        <f t="shared" si="158"/>
        <v>0</v>
      </c>
      <c r="DY133" s="1066">
        <f t="shared" si="159"/>
        <v>0</v>
      </c>
      <c r="DZ133" s="1066">
        <f t="shared" si="159"/>
        <v>0</v>
      </c>
      <c r="EA133" s="1066">
        <f t="shared" si="159"/>
        <v>0</v>
      </c>
      <c r="EB133" s="1066">
        <f t="shared" si="159"/>
        <v>0</v>
      </c>
      <c r="EC133" s="1066"/>
      <c r="ED133" s="1066">
        <f t="shared" si="160"/>
        <v>0</v>
      </c>
    </row>
    <row r="134" spans="1:136" ht="37.5" hidden="1" customHeight="1" x14ac:dyDescent="0.25">
      <c r="A134" s="1590"/>
      <c r="B134" s="989"/>
      <c r="C134" s="852" t="s">
        <v>4487</v>
      </c>
      <c r="D134" s="1018" t="s">
        <v>4470</v>
      </c>
      <c r="E134" s="994">
        <v>111</v>
      </c>
      <c r="F134" s="1117" t="s">
        <v>4482</v>
      </c>
      <c r="G134" s="1429"/>
      <c r="H134" s="1060">
        <f t="shared" si="143"/>
        <v>349660736</v>
      </c>
      <c r="I134" s="1060">
        <f t="shared" si="144"/>
        <v>339264</v>
      </c>
      <c r="J134" s="1117">
        <v>28874</v>
      </c>
      <c r="K134" s="1113">
        <v>48220</v>
      </c>
      <c r="L134" s="1113">
        <v>31184</v>
      </c>
      <c r="M134" s="1113">
        <v>0</v>
      </c>
      <c r="N134" s="1113">
        <v>0</v>
      </c>
      <c r="O134" s="1113">
        <v>0</v>
      </c>
      <c r="P134" s="1113">
        <v>0</v>
      </c>
      <c r="Q134" s="1113"/>
      <c r="R134" s="1113">
        <v>0</v>
      </c>
      <c r="S134" s="1117"/>
      <c r="T134" s="1117"/>
      <c r="U134" s="1117"/>
      <c r="V134" s="1117"/>
      <c r="W134" s="1117"/>
      <c r="X134" s="1117"/>
      <c r="Y134" s="1007">
        <f t="shared" si="145"/>
        <v>350000000</v>
      </c>
      <c r="Z134" s="1007"/>
      <c r="AA134" s="1007"/>
      <c r="AB134" s="1007"/>
      <c r="AC134" s="1007">
        <f>212000000+103000000+12000000</f>
        <v>327000000</v>
      </c>
      <c r="AD134" s="1007"/>
      <c r="AE134" s="1007"/>
      <c r="AF134" s="1007"/>
      <c r="AG134" s="1007"/>
      <c r="AH134" s="1007"/>
      <c r="AI134" s="1007"/>
      <c r="AJ134" s="1007"/>
      <c r="AK134" s="1007"/>
      <c r="AL134" s="1007"/>
      <c r="AM134" s="1007"/>
      <c r="AN134" s="1007"/>
      <c r="AO134" s="1007">
        <v>23000000</v>
      </c>
      <c r="AP134" s="1007"/>
      <c r="AQ134" s="1007"/>
      <c r="AR134" s="1007"/>
      <c r="AS134" s="1007"/>
      <c r="AT134" s="984"/>
      <c r="AU134" s="1010">
        <f t="shared" si="103"/>
        <v>0.99903341142857138</v>
      </c>
      <c r="AV134" s="1007">
        <f t="shared" si="146"/>
        <v>349661694</v>
      </c>
      <c r="AW134" s="1007"/>
      <c r="AX134" s="1007"/>
      <c r="AY134" s="1007"/>
      <c r="AZ134" s="1007">
        <f>+'[8]SEPTIEMBRE 2015'!$M$28</f>
        <v>327000000</v>
      </c>
      <c r="BA134" s="1007"/>
      <c r="BB134" s="1007"/>
      <c r="BC134" s="1007"/>
      <c r="BD134" s="1007"/>
      <c r="BE134" s="1007"/>
      <c r="BF134" s="1007"/>
      <c r="BG134" s="1007"/>
      <c r="BH134" s="1007"/>
      <c r="BI134" s="1007"/>
      <c r="BJ134" s="1007"/>
      <c r="BK134" s="1007"/>
      <c r="BL134" s="1007">
        <f>+'[8]SEPTIEMBRE 2015'!$Y$28</f>
        <v>22661694</v>
      </c>
      <c r="BM134" s="1007"/>
      <c r="BN134" s="1007"/>
      <c r="BO134" s="1007"/>
      <c r="BP134" s="1007"/>
      <c r="BQ134" s="1010">
        <f t="shared" si="105"/>
        <v>9.6658857142861709E-4</v>
      </c>
      <c r="BR134" s="1007">
        <f t="shared" si="147"/>
        <v>338306</v>
      </c>
      <c r="BS134" s="1007">
        <f t="shared" si="148"/>
        <v>0</v>
      </c>
      <c r="BT134" s="1007">
        <f t="shared" si="149"/>
        <v>0</v>
      </c>
      <c r="BU134" s="1007"/>
      <c r="BV134" s="1007">
        <f t="shared" si="150"/>
        <v>0</v>
      </c>
      <c r="BW134" s="1007">
        <f t="shared" si="150"/>
        <v>0</v>
      </c>
      <c r="BX134" s="1007">
        <f t="shared" si="151"/>
        <v>0</v>
      </c>
      <c r="BY134" s="1007">
        <f t="shared" si="151"/>
        <v>0</v>
      </c>
      <c r="BZ134" s="1007"/>
      <c r="CA134" s="1007">
        <f t="shared" si="152"/>
        <v>0</v>
      </c>
      <c r="CB134" s="1007">
        <f t="shared" si="152"/>
        <v>0</v>
      </c>
      <c r="CC134" s="1007">
        <f t="shared" si="152"/>
        <v>0</v>
      </c>
      <c r="CD134" s="1007">
        <f t="shared" si="152"/>
        <v>0</v>
      </c>
      <c r="CE134" s="1007">
        <f t="shared" si="152"/>
        <v>0</v>
      </c>
      <c r="CF134" s="1007">
        <f t="shared" si="152"/>
        <v>0</v>
      </c>
      <c r="CG134" s="1007">
        <f t="shared" si="152"/>
        <v>0</v>
      </c>
      <c r="CH134" s="1007">
        <f t="shared" si="152"/>
        <v>338306</v>
      </c>
      <c r="CI134" s="1007">
        <f t="shared" si="152"/>
        <v>0</v>
      </c>
      <c r="CJ134" s="1007"/>
      <c r="CK134" s="1007"/>
      <c r="CL134" s="1007">
        <f t="shared" si="153"/>
        <v>0</v>
      </c>
      <c r="CM134" s="1010">
        <f t="shared" si="113"/>
        <v>0.99903067428571424</v>
      </c>
      <c r="CN134" s="1007">
        <f t="shared" si="154"/>
        <v>349660736</v>
      </c>
      <c r="CO134" s="1007"/>
      <c r="CP134" s="1007"/>
      <c r="CQ134" s="1007"/>
      <c r="CR134" s="1007">
        <f>+'[8]SEPTIEMBRE 2015'!$H$30+'[8]SEPTIEMBRE 2015'!$H$32</f>
        <v>326999042</v>
      </c>
      <c r="CS134" s="1007"/>
      <c r="CT134" s="1007"/>
      <c r="CU134" s="1007"/>
      <c r="CV134" s="1007"/>
      <c r="CW134" s="1007"/>
      <c r="CX134" s="1007"/>
      <c r="CY134" s="1007"/>
      <c r="CZ134" s="1007"/>
      <c r="DA134" s="1007"/>
      <c r="DB134" s="1007"/>
      <c r="DC134" s="1007"/>
      <c r="DD134" s="1007">
        <f>+'[8]SEPTIEMBRE 2015'!$H$33</f>
        <v>22661694</v>
      </c>
      <c r="DE134" s="1007"/>
      <c r="DF134" s="1007"/>
      <c r="DG134" s="1007"/>
      <c r="DH134" s="1007"/>
      <c r="DI134" s="1010">
        <f t="shared" si="115"/>
        <v>9.6932571428576253E-4</v>
      </c>
      <c r="DJ134" s="1007">
        <f t="shared" si="155"/>
        <v>339264</v>
      </c>
      <c r="DK134" s="1007"/>
      <c r="DL134" s="1007"/>
      <c r="DM134" s="1007"/>
      <c r="DN134" s="1007">
        <f t="shared" si="156"/>
        <v>958</v>
      </c>
      <c r="DO134" s="1007">
        <f t="shared" si="156"/>
        <v>0</v>
      </c>
      <c r="DP134" s="1007">
        <f t="shared" si="156"/>
        <v>0</v>
      </c>
      <c r="DQ134" s="1007">
        <f t="shared" si="156"/>
        <v>0</v>
      </c>
      <c r="DR134" s="1007"/>
      <c r="DS134" s="1007">
        <f t="shared" si="157"/>
        <v>0</v>
      </c>
      <c r="DT134" s="1007">
        <f t="shared" si="157"/>
        <v>0</v>
      </c>
      <c r="DU134" s="1007"/>
      <c r="DV134" s="1007">
        <f t="shared" si="158"/>
        <v>0</v>
      </c>
      <c r="DW134" s="1007">
        <f t="shared" si="158"/>
        <v>0</v>
      </c>
      <c r="DX134" s="1007">
        <f t="shared" si="158"/>
        <v>0</v>
      </c>
      <c r="DY134" s="1007">
        <f t="shared" si="159"/>
        <v>0</v>
      </c>
      <c r="DZ134" s="1007">
        <f t="shared" si="159"/>
        <v>338306</v>
      </c>
      <c r="EA134" s="1007">
        <f t="shared" si="159"/>
        <v>0</v>
      </c>
      <c r="EB134" s="1007">
        <f t="shared" si="159"/>
        <v>0</v>
      </c>
      <c r="EC134" s="1007"/>
      <c r="ED134" s="1007">
        <f t="shared" si="160"/>
        <v>0</v>
      </c>
      <c r="EE134" s="1035"/>
    </row>
    <row r="135" spans="1:136" ht="33" hidden="1" customHeight="1" x14ac:dyDescent="0.25">
      <c r="A135" s="1590"/>
      <c r="B135" s="989"/>
      <c r="C135" s="852" t="s">
        <v>4488</v>
      </c>
      <c r="D135" s="1018" t="s">
        <v>4471</v>
      </c>
      <c r="E135" s="994">
        <v>111</v>
      </c>
      <c r="F135" s="1117" t="s">
        <v>4482</v>
      </c>
      <c r="G135" s="1429"/>
      <c r="H135" s="1060">
        <f t="shared" si="143"/>
        <v>598906128</v>
      </c>
      <c r="I135" s="1060">
        <f t="shared" si="144"/>
        <v>7460796</v>
      </c>
      <c r="J135" s="1117">
        <v>55000</v>
      </c>
      <c r="K135" s="1113">
        <v>85140</v>
      </c>
      <c r="L135" s="1113">
        <v>57970</v>
      </c>
      <c r="M135" s="1113">
        <v>41</v>
      </c>
      <c r="N135" s="1113">
        <v>25</v>
      </c>
      <c r="O135" s="1113">
        <v>10</v>
      </c>
      <c r="P135" s="1113">
        <v>97</v>
      </c>
      <c r="Q135" s="1113">
        <v>25</v>
      </c>
      <c r="R135" s="1113">
        <v>24</v>
      </c>
      <c r="S135" s="1117"/>
      <c r="T135" s="1117"/>
      <c r="U135" s="1117"/>
      <c r="V135" s="1117"/>
      <c r="W135" s="1117"/>
      <c r="X135" s="1117"/>
      <c r="Y135" s="1007">
        <f t="shared" si="145"/>
        <v>606366924</v>
      </c>
      <c r="Z135" s="1007"/>
      <c r="AA135" s="1007"/>
      <c r="AB135" s="1007"/>
      <c r="AC135" s="1007">
        <f>636000000+213203847-262848257</f>
        <v>586355590</v>
      </c>
      <c r="AD135" s="1007">
        <f>20011334</f>
        <v>20011334</v>
      </c>
      <c r="AE135" s="1007"/>
      <c r="AF135" s="1007"/>
      <c r="AG135" s="1007"/>
      <c r="AH135" s="1007"/>
      <c r="AI135" s="1007"/>
      <c r="AJ135" s="1007"/>
      <c r="AK135" s="1007"/>
      <c r="AL135" s="1007"/>
      <c r="AM135" s="1007"/>
      <c r="AN135" s="1007"/>
      <c r="AO135" s="1007"/>
      <c r="AP135" s="1007"/>
      <c r="AQ135" s="1007"/>
      <c r="AR135" s="1007"/>
      <c r="AS135" s="1007"/>
      <c r="AT135" s="984"/>
      <c r="AU135" s="1010">
        <f t="shared" si="103"/>
        <v>0.9958638146298362</v>
      </c>
      <c r="AV135" s="1007">
        <f t="shared" si="146"/>
        <v>603858878</v>
      </c>
      <c r="AW135" s="1007"/>
      <c r="AX135" s="1007"/>
      <c r="AY135" s="1007"/>
      <c r="AZ135" s="1007">
        <f>+'[8]SEPTIEMBRE 2015'!$M$38</f>
        <v>586355588</v>
      </c>
      <c r="BA135" s="1007">
        <f>+'[7]AGOSTO 2015'!$N$33</f>
        <v>17503290</v>
      </c>
      <c r="BB135" s="1007"/>
      <c r="BC135" s="1007"/>
      <c r="BD135" s="1007"/>
      <c r="BE135" s="1007"/>
      <c r="BF135" s="1007"/>
      <c r="BG135" s="1007"/>
      <c r="BH135" s="1007"/>
      <c r="BI135" s="1007"/>
      <c r="BJ135" s="1007"/>
      <c r="BK135" s="1007"/>
      <c r="BL135" s="1007"/>
      <c r="BM135" s="1007"/>
      <c r="BN135" s="1007"/>
      <c r="BO135" s="1007"/>
      <c r="BP135" s="1007"/>
      <c r="BQ135" s="1010">
        <f t="shared" si="105"/>
        <v>4.1361853701638029E-3</v>
      </c>
      <c r="BR135" s="1007">
        <f t="shared" si="147"/>
        <v>2508046</v>
      </c>
      <c r="BS135" s="1007">
        <f t="shared" si="148"/>
        <v>0</v>
      </c>
      <c r="BT135" s="1007">
        <f t="shared" si="149"/>
        <v>0</v>
      </c>
      <c r="BU135" s="1007"/>
      <c r="BV135" s="1007">
        <f t="shared" si="150"/>
        <v>2</v>
      </c>
      <c r="BW135" s="1007">
        <f t="shared" si="150"/>
        <v>2508044</v>
      </c>
      <c r="BX135" s="1007">
        <f t="shared" si="151"/>
        <v>0</v>
      </c>
      <c r="BY135" s="1007">
        <f t="shared" si="151"/>
        <v>0</v>
      </c>
      <c r="BZ135" s="1007"/>
      <c r="CA135" s="1007">
        <f t="shared" si="152"/>
        <v>0</v>
      </c>
      <c r="CB135" s="1007">
        <f t="shared" si="152"/>
        <v>0</v>
      </c>
      <c r="CC135" s="1007">
        <f t="shared" si="152"/>
        <v>0</v>
      </c>
      <c r="CD135" s="1007">
        <f t="shared" si="152"/>
        <v>0</v>
      </c>
      <c r="CE135" s="1007">
        <f t="shared" si="152"/>
        <v>0</v>
      </c>
      <c r="CF135" s="1007">
        <f t="shared" si="152"/>
        <v>0</v>
      </c>
      <c r="CG135" s="1007">
        <f t="shared" si="152"/>
        <v>0</v>
      </c>
      <c r="CH135" s="1007">
        <f t="shared" si="152"/>
        <v>0</v>
      </c>
      <c r="CI135" s="1007">
        <f t="shared" si="152"/>
        <v>0</v>
      </c>
      <c r="CJ135" s="1007"/>
      <c r="CK135" s="1007"/>
      <c r="CL135" s="1007">
        <f t="shared" si="153"/>
        <v>0</v>
      </c>
      <c r="CM135" s="1010">
        <f t="shared" si="113"/>
        <v>0.98769590539209551</v>
      </c>
      <c r="CN135" s="1007">
        <f t="shared" si="154"/>
        <v>598906128</v>
      </c>
      <c r="CO135" s="1007"/>
      <c r="CP135" s="1007"/>
      <c r="CQ135" s="1007"/>
      <c r="CR135" s="1007">
        <f>+'[7]AGOSTO 2015'!$H$34+'[7]AGOSTO 2015'!$G$43</f>
        <v>586355588</v>
      </c>
      <c r="CS135" s="1007">
        <f>+'[7]AGOSTO 2015'!$H$45+'[7]AGOSTO 2015'!$H$47+'[7]AGOSTO 2015'!$H$50</f>
        <v>12550540</v>
      </c>
      <c r="CT135" s="1007"/>
      <c r="CU135" s="1007"/>
      <c r="CV135" s="1007"/>
      <c r="CW135" s="1007"/>
      <c r="CX135" s="1007"/>
      <c r="CY135" s="1007"/>
      <c r="CZ135" s="1007"/>
      <c r="DA135" s="1007"/>
      <c r="DB135" s="1007"/>
      <c r="DC135" s="1007"/>
      <c r="DD135" s="1007"/>
      <c r="DE135" s="1007"/>
      <c r="DF135" s="1007"/>
      <c r="DG135" s="1007"/>
      <c r="DH135" s="1007"/>
      <c r="DI135" s="1010">
        <f t="shared" si="115"/>
        <v>1.2304094607904492E-2</v>
      </c>
      <c r="DJ135" s="1007">
        <f t="shared" si="155"/>
        <v>7460796</v>
      </c>
      <c r="DK135" s="1007"/>
      <c r="DL135" s="1007"/>
      <c r="DM135" s="1007"/>
      <c r="DN135" s="1007">
        <f t="shared" si="156"/>
        <v>2</v>
      </c>
      <c r="DO135" s="1007">
        <f t="shared" si="156"/>
        <v>7460794</v>
      </c>
      <c r="DP135" s="1007">
        <f t="shared" si="156"/>
        <v>0</v>
      </c>
      <c r="DQ135" s="1007">
        <f t="shared" si="156"/>
        <v>0</v>
      </c>
      <c r="DR135" s="1007"/>
      <c r="DS135" s="1007">
        <f t="shared" si="157"/>
        <v>0</v>
      </c>
      <c r="DT135" s="1007">
        <f t="shared" si="157"/>
        <v>0</v>
      </c>
      <c r="DU135" s="1007"/>
      <c r="DV135" s="1007">
        <f t="shared" si="158"/>
        <v>0</v>
      </c>
      <c r="DW135" s="1007">
        <f t="shared" si="158"/>
        <v>0</v>
      </c>
      <c r="DX135" s="1007">
        <f t="shared" si="158"/>
        <v>0</v>
      </c>
      <c r="DY135" s="1007">
        <f t="shared" si="159"/>
        <v>0</v>
      </c>
      <c r="DZ135" s="1007">
        <f t="shared" si="159"/>
        <v>0</v>
      </c>
      <c r="EA135" s="1007">
        <f t="shared" si="159"/>
        <v>0</v>
      </c>
      <c r="EB135" s="1007">
        <f t="shared" si="159"/>
        <v>0</v>
      </c>
      <c r="EC135" s="1007"/>
      <c r="ED135" s="1007">
        <f t="shared" si="160"/>
        <v>0</v>
      </c>
    </row>
    <row r="136" spans="1:136" s="203" customFormat="1" ht="51" hidden="1" customHeight="1" x14ac:dyDescent="0.25">
      <c r="A136" s="1590"/>
      <c r="B136" s="989"/>
      <c r="C136" s="1080" t="s">
        <v>4489</v>
      </c>
      <c r="D136" s="1018" t="s">
        <v>4472</v>
      </c>
      <c r="E136" s="996">
        <v>111</v>
      </c>
      <c r="F136" s="1117" t="s">
        <v>4482</v>
      </c>
      <c r="G136" s="1429"/>
      <c r="H136" s="1060">
        <f t="shared" si="143"/>
        <v>0</v>
      </c>
      <c r="I136" s="1060">
        <f t="shared" si="144"/>
        <v>650000000</v>
      </c>
      <c r="J136" s="1117">
        <v>100</v>
      </c>
      <c r="K136" s="1113">
        <v>130</v>
      </c>
      <c r="L136" s="1113">
        <v>103</v>
      </c>
      <c r="M136" s="1074">
        <v>0</v>
      </c>
      <c r="N136" s="1074">
        <v>0</v>
      </c>
      <c r="O136" s="1074">
        <v>0</v>
      </c>
      <c r="P136" s="1074"/>
      <c r="Q136" s="1074"/>
      <c r="R136" s="1074"/>
      <c r="S136" s="1117"/>
      <c r="T136" s="1117"/>
      <c r="U136" s="1117"/>
      <c r="V136" s="1117"/>
      <c r="W136" s="1117"/>
      <c r="X136" s="1117"/>
      <c r="Y136" s="1066">
        <f t="shared" si="145"/>
        <v>650000000</v>
      </c>
      <c r="Z136" s="1066"/>
      <c r="AA136" s="1066"/>
      <c r="AB136" s="1066"/>
      <c r="AC136" s="1066">
        <f>290000000+70000000+290000000</f>
        <v>650000000</v>
      </c>
      <c r="AD136" s="1066"/>
      <c r="AE136" s="1066"/>
      <c r="AF136" s="1066"/>
      <c r="AG136" s="1066"/>
      <c r="AH136" s="1066"/>
      <c r="AI136" s="1066"/>
      <c r="AJ136" s="1066"/>
      <c r="AK136" s="1066"/>
      <c r="AL136" s="1066"/>
      <c r="AM136" s="1066"/>
      <c r="AN136" s="1066"/>
      <c r="AO136" s="1066"/>
      <c r="AP136" s="1066"/>
      <c r="AQ136" s="1066"/>
      <c r="AR136" s="1066"/>
      <c r="AS136" s="1066"/>
      <c r="AT136" s="1088"/>
      <c r="AU136" s="1081">
        <f t="shared" si="103"/>
        <v>0</v>
      </c>
      <c r="AV136" s="1066">
        <f t="shared" si="146"/>
        <v>0</v>
      </c>
      <c r="AW136" s="1066"/>
      <c r="AX136" s="1066"/>
      <c r="AY136" s="1066"/>
      <c r="AZ136" s="1066"/>
      <c r="BA136" s="1066"/>
      <c r="BB136" s="1066"/>
      <c r="BC136" s="1066"/>
      <c r="BD136" s="1066"/>
      <c r="BE136" s="1066"/>
      <c r="BF136" s="1066"/>
      <c r="BG136" s="1066"/>
      <c r="BH136" s="1066"/>
      <c r="BI136" s="1066"/>
      <c r="BJ136" s="1066"/>
      <c r="BK136" s="1066"/>
      <c r="BL136" s="1066"/>
      <c r="BM136" s="1066"/>
      <c r="BN136" s="1066"/>
      <c r="BO136" s="1066"/>
      <c r="BP136" s="1066"/>
      <c r="BQ136" s="1081">
        <f t="shared" si="105"/>
        <v>1</v>
      </c>
      <c r="BR136" s="1066">
        <f t="shared" si="147"/>
        <v>650000000</v>
      </c>
      <c r="BS136" s="1066">
        <f t="shared" si="148"/>
        <v>0</v>
      </c>
      <c r="BT136" s="1066">
        <f t="shared" si="149"/>
        <v>0</v>
      </c>
      <c r="BU136" s="1066"/>
      <c r="BV136" s="1066">
        <f t="shared" si="150"/>
        <v>650000000</v>
      </c>
      <c r="BW136" s="1066">
        <f t="shared" si="150"/>
        <v>0</v>
      </c>
      <c r="BX136" s="1066">
        <f t="shared" si="151"/>
        <v>0</v>
      </c>
      <c r="BY136" s="1066">
        <f t="shared" si="151"/>
        <v>0</v>
      </c>
      <c r="BZ136" s="1066"/>
      <c r="CA136" s="1066">
        <f t="shared" si="152"/>
        <v>0</v>
      </c>
      <c r="CB136" s="1066">
        <f t="shared" si="152"/>
        <v>0</v>
      </c>
      <c r="CC136" s="1066">
        <f t="shared" si="152"/>
        <v>0</v>
      </c>
      <c r="CD136" s="1066">
        <f t="shared" si="152"/>
        <v>0</v>
      </c>
      <c r="CE136" s="1066">
        <f t="shared" si="152"/>
        <v>0</v>
      </c>
      <c r="CF136" s="1066">
        <f t="shared" si="152"/>
        <v>0</v>
      </c>
      <c r="CG136" s="1066">
        <f t="shared" si="152"/>
        <v>0</v>
      </c>
      <c r="CH136" s="1066">
        <f t="shared" si="152"/>
        <v>0</v>
      </c>
      <c r="CI136" s="1066">
        <f t="shared" si="152"/>
        <v>0</v>
      </c>
      <c r="CJ136" s="1066"/>
      <c r="CK136" s="1066"/>
      <c r="CL136" s="1066">
        <f t="shared" si="153"/>
        <v>0</v>
      </c>
      <c r="CM136" s="1081">
        <f t="shared" si="113"/>
        <v>0</v>
      </c>
      <c r="CN136" s="1066">
        <f t="shared" si="154"/>
        <v>0</v>
      </c>
      <c r="CO136" s="1066"/>
      <c r="CP136" s="1066"/>
      <c r="CQ136" s="1066"/>
      <c r="CR136" s="1066"/>
      <c r="CS136" s="1066"/>
      <c r="CT136" s="1066"/>
      <c r="CU136" s="1066"/>
      <c r="CV136" s="1066"/>
      <c r="CW136" s="1066"/>
      <c r="CX136" s="1066"/>
      <c r="CY136" s="1066"/>
      <c r="CZ136" s="1066"/>
      <c r="DA136" s="1066"/>
      <c r="DB136" s="1066"/>
      <c r="DC136" s="1066"/>
      <c r="DD136" s="1066"/>
      <c r="DE136" s="1066"/>
      <c r="DF136" s="1066"/>
      <c r="DG136" s="1066"/>
      <c r="DH136" s="1066"/>
      <c r="DI136" s="1081">
        <f t="shared" si="115"/>
        <v>1</v>
      </c>
      <c r="DJ136" s="1066">
        <f t="shared" si="155"/>
        <v>650000000</v>
      </c>
      <c r="DK136" s="1066"/>
      <c r="DL136" s="1066"/>
      <c r="DM136" s="1066"/>
      <c r="DN136" s="1066">
        <f t="shared" si="156"/>
        <v>650000000</v>
      </c>
      <c r="DO136" s="1066">
        <f t="shared" si="156"/>
        <v>0</v>
      </c>
      <c r="DP136" s="1066">
        <f t="shared" si="156"/>
        <v>0</v>
      </c>
      <c r="DQ136" s="1066">
        <f t="shared" si="156"/>
        <v>0</v>
      </c>
      <c r="DR136" s="1066"/>
      <c r="DS136" s="1066">
        <f t="shared" si="157"/>
        <v>0</v>
      </c>
      <c r="DT136" s="1066">
        <f t="shared" si="157"/>
        <v>0</v>
      </c>
      <c r="DU136" s="1066"/>
      <c r="DV136" s="1066">
        <f t="shared" si="158"/>
        <v>0</v>
      </c>
      <c r="DW136" s="1066">
        <f t="shared" si="158"/>
        <v>0</v>
      </c>
      <c r="DX136" s="1066">
        <f t="shared" si="158"/>
        <v>0</v>
      </c>
      <c r="DY136" s="1066">
        <f t="shared" si="159"/>
        <v>0</v>
      </c>
      <c r="DZ136" s="1066">
        <f t="shared" si="159"/>
        <v>0</v>
      </c>
      <c r="EA136" s="1066">
        <f t="shared" si="159"/>
        <v>0</v>
      </c>
      <c r="EB136" s="1066">
        <f t="shared" si="159"/>
        <v>0</v>
      </c>
      <c r="EC136" s="1066"/>
      <c r="ED136" s="1066">
        <f t="shared" si="160"/>
        <v>0</v>
      </c>
    </row>
    <row r="137" spans="1:136" ht="45.75" hidden="1" customHeight="1" x14ac:dyDescent="0.25">
      <c r="A137" s="1590"/>
      <c r="B137" s="989"/>
      <c r="C137" s="852" t="s">
        <v>4490</v>
      </c>
      <c r="D137" s="1018" t="s">
        <v>4473</v>
      </c>
      <c r="E137" s="994">
        <v>111</v>
      </c>
      <c r="F137" s="1117" t="s">
        <v>4482</v>
      </c>
      <c r="G137" s="1429"/>
      <c r="H137" s="1060">
        <f t="shared" si="143"/>
        <v>0</v>
      </c>
      <c r="I137" s="1060">
        <f t="shared" si="144"/>
        <v>938075763</v>
      </c>
      <c r="J137" s="1117">
        <v>1273</v>
      </c>
      <c r="K137" s="1113">
        <v>1832</v>
      </c>
      <c r="L137" s="1113">
        <v>1332</v>
      </c>
      <c r="M137" s="1113">
        <v>0</v>
      </c>
      <c r="N137" s="1113">
        <v>0</v>
      </c>
      <c r="O137" s="1113">
        <v>0</v>
      </c>
      <c r="P137" s="1113">
        <v>0</v>
      </c>
      <c r="Q137" s="1113">
        <v>0</v>
      </c>
      <c r="R137" s="1113">
        <v>0</v>
      </c>
      <c r="S137" s="1117"/>
      <c r="T137" s="1117"/>
      <c r="U137" s="1117"/>
      <c r="V137" s="1117"/>
      <c r="W137" s="1117"/>
      <c r="X137" s="1117"/>
      <c r="Y137" s="1007">
        <f t="shared" si="145"/>
        <v>938075763</v>
      </c>
      <c r="Z137" s="1007"/>
      <c r="AA137" s="1007"/>
      <c r="AB137" s="1007"/>
      <c r="AC137" s="1007">
        <f>699600000+99000000+80000000</f>
        <v>878600000</v>
      </c>
      <c r="AD137" s="1007"/>
      <c r="AE137" s="1007"/>
      <c r="AF137" s="1007"/>
      <c r="AG137" s="1007"/>
      <c r="AH137" s="1007"/>
      <c r="AI137" s="1007">
        <v>1940856</v>
      </c>
      <c r="AJ137" s="1007">
        <v>3438802</v>
      </c>
      <c r="AK137" s="1007">
        <v>54096105</v>
      </c>
      <c r="AL137" s="1007"/>
      <c r="AM137" s="1007"/>
      <c r="AN137" s="1007"/>
      <c r="AO137" s="1007"/>
      <c r="AP137" s="1007"/>
      <c r="AQ137" s="1007"/>
      <c r="AR137" s="1007"/>
      <c r="AS137" s="1007"/>
      <c r="AT137" s="984"/>
      <c r="AU137" s="1010">
        <f t="shared" si="103"/>
        <v>0</v>
      </c>
      <c r="AV137" s="1007">
        <f t="shared" si="146"/>
        <v>0</v>
      </c>
      <c r="AW137" s="1007"/>
      <c r="AX137" s="1007"/>
      <c r="AY137" s="1007"/>
      <c r="AZ137" s="1007"/>
      <c r="BA137" s="1007"/>
      <c r="BB137" s="1007"/>
      <c r="BC137" s="1007"/>
      <c r="BD137" s="1007"/>
      <c r="BE137" s="1007"/>
      <c r="BF137" s="1007"/>
      <c r="BG137" s="1007"/>
      <c r="BH137" s="1007"/>
      <c r="BI137" s="1007"/>
      <c r="BJ137" s="1007"/>
      <c r="BK137" s="1007"/>
      <c r="BL137" s="1007"/>
      <c r="BM137" s="1007"/>
      <c r="BN137" s="1007"/>
      <c r="BO137" s="1007"/>
      <c r="BP137" s="1007"/>
      <c r="BQ137" s="1010">
        <f t="shared" si="105"/>
        <v>1</v>
      </c>
      <c r="BR137" s="1007">
        <f t="shared" si="147"/>
        <v>938075763</v>
      </c>
      <c r="BS137" s="1007">
        <f t="shared" si="148"/>
        <v>0</v>
      </c>
      <c r="BT137" s="1007">
        <f t="shared" si="149"/>
        <v>0</v>
      </c>
      <c r="BU137" s="1007"/>
      <c r="BV137" s="1007">
        <f t="shared" si="150"/>
        <v>878600000</v>
      </c>
      <c r="BW137" s="1007">
        <f t="shared" si="150"/>
        <v>0</v>
      </c>
      <c r="BX137" s="1007">
        <f t="shared" si="151"/>
        <v>0</v>
      </c>
      <c r="BY137" s="1007">
        <f t="shared" si="151"/>
        <v>0</v>
      </c>
      <c r="BZ137" s="1007"/>
      <c r="CA137" s="1007">
        <f t="shared" si="152"/>
        <v>0</v>
      </c>
      <c r="CB137" s="1007">
        <f t="shared" si="152"/>
        <v>1940856</v>
      </c>
      <c r="CC137" s="1007">
        <f t="shared" si="152"/>
        <v>3438802</v>
      </c>
      <c r="CD137" s="1007">
        <f t="shared" si="152"/>
        <v>54096105</v>
      </c>
      <c r="CE137" s="1007">
        <f t="shared" si="152"/>
        <v>0</v>
      </c>
      <c r="CF137" s="1007">
        <f t="shared" si="152"/>
        <v>0</v>
      </c>
      <c r="CG137" s="1007">
        <f t="shared" si="152"/>
        <v>0</v>
      </c>
      <c r="CH137" s="1007">
        <f t="shared" si="152"/>
        <v>0</v>
      </c>
      <c r="CI137" s="1007">
        <f t="shared" si="152"/>
        <v>0</v>
      </c>
      <c r="CJ137" s="1007">
        <f>+AQ137-BN137</f>
        <v>0</v>
      </c>
      <c r="CK137" s="1007">
        <f>+AR137-BO137</f>
        <v>0</v>
      </c>
      <c r="CL137" s="1007">
        <f t="shared" si="153"/>
        <v>0</v>
      </c>
      <c r="CM137" s="1010">
        <f t="shared" si="113"/>
        <v>0</v>
      </c>
      <c r="CN137" s="1007">
        <f t="shared" si="154"/>
        <v>0</v>
      </c>
      <c r="CO137" s="1007"/>
      <c r="CP137" s="1007"/>
      <c r="CQ137" s="1007"/>
      <c r="CR137" s="1007"/>
      <c r="CS137" s="1007"/>
      <c r="CT137" s="1007"/>
      <c r="CU137" s="1007"/>
      <c r="CV137" s="1007"/>
      <c r="CW137" s="1007"/>
      <c r="CX137" s="1007"/>
      <c r="CY137" s="1007"/>
      <c r="CZ137" s="1007"/>
      <c r="DA137" s="1007"/>
      <c r="DB137" s="1007"/>
      <c r="DC137" s="1007"/>
      <c r="DD137" s="1007"/>
      <c r="DE137" s="1007"/>
      <c r="DF137" s="1007"/>
      <c r="DG137" s="1007"/>
      <c r="DH137" s="1007"/>
      <c r="DI137" s="1010">
        <f t="shared" si="115"/>
        <v>1</v>
      </c>
      <c r="DJ137" s="1007">
        <f t="shared" si="155"/>
        <v>938075763</v>
      </c>
      <c r="DK137" s="1007"/>
      <c r="DL137" s="1007"/>
      <c r="DM137" s="1007"/>
      <c r="DN137" s="1007">
        <f t="shared" si="156"/>
        <v>878600000</v>
      </c>
      <c r="DO137" s="1007">
        <f t="shared" si="156"/>
        <v>0</v>
      </c>
      <c r="DP137" s="1007">
        <f t="shared" si="156"/>
        <v>0</v>
      </c>
      <c r="DQ137" s="1007">
        <f t="shared" si="156"/>
        <v>0</v>
      </c>
      <c r="DR137" s="1007"/>
      <c r="DS137" s="1007">
        <f t="shared" si="157"/>
        <v>0</v>
      </c>
      <c r="DT137" s="1007">
        <f t="shared" si="157"/>
        <v>1940856</v>
      </c>
      <c r="DU137" s="1007">
        <f>+AJ137-CY137</f>
        <v>3438802</v>
      </c>
      <c r="DV137" s="1007">
        <f t="shared" si="158"/>
        <v>54096105</v>
      </c>
      <c r="DW137" s="1007">
        <f t="shared" si="158"/>
        <v>0</v>
      </c>
      <c r="DX137" s="1007">
        <f t="shared" si="158"/>
        <v>0</v>
      </c>
      <c r="DY137" s="1007">
        <f t="shared" si="159"/>
        <v>0</v>
      </c>
      <c r="DZ137" s="1007">
        <f t="shared" si="159"/>
        <v>0</v>
      </c>
      <c r="EA137" s="1007">
        <f t="shared" si="159"/>
        <v>0</v>
      </c>
      <c r="EB137" s="1007">
        <f t="shared" si="159"/>
        <v>0</v>
      </c>
      <c r="EC137" s="1007"/>
      <c r="ED137" s="1007">
        <f t="shared" si="160"/>
        <v>0</v>
      </c>
    </row>
    <row r="138" spans="1:136" ht="33.75" hidden="1" customHeight="1" x14ac:dyDescent="0.25">
      <c r="A138" s="1590"/>
      <c r="B138" s="989"/>
      <c r="C138" s="852" t="s">
        <v>4491</v>
      </c>
      <c r="D138" s="1018" t="s">
        <v>4474</v>
      </c>
      <c r="E138" s="994">
        <v>111</v>
      </c>
      <c r="F138" s="1117" t="s">
        <v>4482</v>
      </c>
      <c r="G138" s="1429"/>
      <c r="H138" s="1060">
        <f t="shared" si="143"/>
        <v>0</v>
      </c>
      <c r="I138" s="1060">
        <f t="shared" si="144"/>
        <v>233200000</v>
      </c>
      <c r="J138" s="1117">
        <v>60</v>
      </c>
      <c r="K138" s="1113">
        <v>80</v>
      </c>
      <c r="L138" s="1113">
        <v>62</v>
      </c>
      <c r="M138" s="1113">
        <v>0</v>
      </c>
      <c r="N138" s="1113">
        <v>0</v>
      </c>
      <c r="O138" s="1113">
        <v>0</v>
      </c>
      <c r="P138" s="1113">
        <v>0</v>
      </c>
      <c r="Q138" s="1113">
        <v>0</v>
      </c>
      <c r="R138" s="1113">
        <v>0</v>
      </c>
      <c r="S138" s="1117"/>
      <c r="T138" s="1117"/>
      <c r="U138" s="1117"/>
      <c r="V138" s="1117"/>
      <c r="W138" s="1117"/>
      <c r="X138" s="1117"/>
      <c r="Y138" s="1007">
        <f t="shared" si="145"/>
        <v>233200000</v>
      </c>
      <c r="Z138" s="1007"/>
      <c r="AA138" s="1007"/>
      <c r="AB138" s="1007"/>
      <c r="AC138" s="1007">
        <v>233200000</v>
      </c>
      <c r="AD138" s="1007"/>
      <c r="AE138" s="1007"/>
      <c r="AF138" s="1007"/>
      <c r="AG138" s="1007"/>
      <c r="AH138" s="1007"/>
      <c r="AI138" s="1007"/>
      <c r="AJ138" s="1007"/>
      <c r="AK138" s="1007"/>
      <c r="AL138" s="1007"/>
      <c r="AM138" s="1007"/>
      <c r="AN138" s="1007"/>
      <c r="AO138" s="1007"/>
      <c r="AP138" s="1007"/>
      <c r="AQ138" s="1007"/>
      <c r="AR138" s="1007"/>
      <c r="AS138" s="1007"/>
      <c r="AT138" s="984"/>
      <c r="AU138" s="1010">
        <f t="shared" si="103"/>
        <v>0</v>
      </c>
      <c r="AV138" s="1007">
        <f t="shared" si="146"/>
        <v>0</v>
      </c>
      <c r="AW138" s="1007"/>
      <c r="AX138" s="1007"/>
      <c r="AY138" s="1007"/>
      <c r="AZ138" s="1007"/>
      <c r="BA138" s="1007"/>
      <c r="BB138" s="1007"/>
      <c r="BC138" s="1007"/>
      <c r="BD138" s="1007"/>
      <c r="BE138" s="1007"/>
      <c r="BF138" s="1007"/>
      <c r="BG138" s="1007"/>
      <c r="BH138" s="1007"/>
      <c r="BI138" s="1007"/>
      <c r="BJ138" s="1007"/>
      <c r="BK138" s="1007"/>
      <c r="BL138" s="1007"/>
      <c r="BM138" s="1007"/>
      <c r="BN138" s="1007"/>
      <c r="BO138" s="1007"/>
      <c r="BP138" s="1007"/>
      <c r="BQ138" s="1010">
        <f t="shared" si="105"/>
        <v>1</v>
      </c>
      <c r="BR138" s="1007">
        <f t="shared" si="147"/>
        <v>233200000</v>
      </c>
      <c r="BS138" s="1007">
        <f t="shared" si="148"/>
        <v>0</v>
      </c>
      <c r="BT138" s="1007">
        <f t="shared" si="149"/>
        <v>0</v>
      </c>
      <c r="BU138" s="1007"/>
      <c r="BV138" s="1007">
        <f t="shared" si="150"/>
        <v>233200000</v>
      </c>
      <c r="BW138" s="1007">
        <f t="shared" si="150"/>
        <v>0</v>
      </c>
      <c r="BX138" s="1007">
        <f t="shared" si="151"/>
        <v>0</v>
      </c>
      <c r="BY138" s="1007">
        <f t="shared" si="151"/>
        <v>0</v>
      </c>
      <c r="BZ138" s="1007"/>
      <c r="CA138" s="1007">
        <f t="shared" si="152"/>
        <v>0</v>
      </c>
      <c r="CB138" s="1007">
        <f t="shared" si="152"/>
        <v>0</v>
      </c>
      <c r="CC138" s="1007">
        <f t="shared" si="152"/>
        <v>0</v>
      </c>
      <c r="CD138" s="1007">
        <f t="shared" si="152"/>
        <v>0</v>
      </c>
      <c r="CE138" s="1007">
        <f t="shared" si="152"/>
        <v>0</v>
      </c>
      <c r="CF138" s="1007">
        <f t="shared" si="152"/>
        <v>0</v>
      </c>
      <c r="CG138" s="1007">
        <f t="shared" si="152"/>
        <v>0</v>
      </c>
      <c r="CH138" s="1007">
        <f t="shared" si="152"/>
        <v>0</v>
      </c>
      <c r="CI138" s="1007">
        <f t="shared" si="152"/>
        <v>0</v>
      </c>
      <c r="CJ138" s="1007"/>
      <c r="CK138" s="1007">
        <f t="shared" ref="CK138:CK150" si="161">+AR138-BO138</f>
        <v>0</v>
      </c>
      <c r="CL138" s="1007">
        <f t="shared" si="153"/>
        <v>0</v>
      </c>
      <c r="CM138" s="1010">
        <f t="shared" si="113"/>
        <v>0</v>
      </c>
      <c r="CN138" s="1007">
        <f t="shared" si="154"/>
        <v>0</v>
      </c>
      <c r="CO138" s="1007"/>
      <c r="CP138" s="1007"/>
      <c r="CQ138" s="1007"/>
      <c r="CR138" s="1007"/>
      <c r="CS138" s="1007"/>
      <c r="CT138" s="1007"/>
      <c r="CU138" s="1007"/>
      <c r="CV138" s="1007"/>
      <c r="CW138" s="1007"/>
      <c r="CX138" s="1007"/>
      <c r="CY138" s="1007"/>
      <c r="CZ138" s="1007"/>
      <c r="DA138" s="1007"/>
      <c r="DB138" s="1007"/>
      <c r="DC138" s="1007"/>
      <c r="DD138" s="1007"/>
      <c r="DE138" s="1007"/>
      <c r="DF138" s="1007"/>
      <c r="DG138" s="1007"/>
      <c r="DH138" s="1007"/>
      <c r="DI138" s="1010">
        <f t="shared" si="115"/>
        <v>1</v>
      </c>
      <c r="DJ138" s="1007">
        <f t="shared" si="155"/>
        <v>233200000</v>
      </c>
      <c r="DK138" s="1007"/>
      <c r="DL138" s="1007"/>
      <c r="DM138" s="1007"/>
      <c r="DN138" s="1007">
        <f t="shared" si="156"/>
        <v>233200000</v>
      </c>
      <c r="DO138" s="1007">
        <f t="shared" si="156"/>
        <v>0</v>
      </c>
      <c r="DP138" s="1007">
        <f t="shared" si="156"/>
        <v>0</v>
      </c>
      <c r="DQ138" s="1007">
        <f t="shared" si="156"/>
        <v>0</v>
      </c>
      <c r="DR138" s="1007"/>
      <c r="DS138" s="1007">
        <f t="shared" si="157"/>
        <v>0</v>
      </c>
      <c r="DT138" s="1007">
        <f t="shared" si="157"/>
        <v>0</v>
      </c>
      <c r="DU138" s="1007">
        <f>+AJ138-CY138</f>
        <v>0</v>
      </c>
      <c r="DV138" s="1007">
        <f t="shared" si="158"/>
        <v>0</v>
      </c>
      <c r="DW138" s="1007">
        <f t="shared" si="158"/>
        <v>0</v>
      </c>
      <c r="DX138" s="1007">
        <f t="shared" si="158"/>
        <v>0</v>
      </c>
      <c r="DY138" s="1007">
        <f t="shared" si="159"/>
        <v>0</v>
      </c>
      <c r="DZ138" s="1007">
        <f t="shared" si="159"/>
        <v>0</v>
      </c>
      <c r="EA138" s="1007">
        <f t="shared" si="159"/>
        <v>0</v>
      </c>
      <c r="EB138" s="1007">
        <f t="shared" si="159"/>
        <v>0</v>
      </c>
      <c r="EC138" s="1007"/>
      <c r="ED138" s="1007">
        <f t="shared" si="160"/>
        <v>0</v>
      </c>
    </row>
    <row r="139" spans="1:136" ht="52.5" hidden="1" customHeight="1" x14ac:dyDescent="0.25">
      <c r="A139" s="1590"/>
      <c r="B139" s="989"/>
      <c r="C139" s="852" t="s">
        <v>4492</v>
      </c>
      <c r="D139" s="1018" t="s">
        <v>4475</v>
      </c>
      <c r="E139" s="994">
        <v>111</v>
      </c>
      <c r="F139" s="1117" t="s">
        <v>4482</v>
      </c>
      <c r="G139" s="1429"/>
      <c r="H139" s="1060">
        <f t="shared" si="143"/>
        <v>0</v>
      </c>
      <c r="I139" s="1060">
        <f t="shared" si="144"/>
        <v>300000000</v>
      </c>
      <c r="J139" s="1283">
        <v>206</v>
      </c>
      <c r="K139" s="1198">
        <v>448</v>
      </c>
      <c r="L139" s="1198">
        <v>230</v>
      </c>
      <c r="M139" s="1113">
        <v>0</v>
      </c>
      <c r="N139" s="1113">
        <v>0</v>
      </c>
      <c r="O139" s="1113">
        <v>0</v>
      </c>
      <c r="P139" s="1113">
        <v>0</v>
      </c>
      <c r="Q139" s="1113">
        <v>0</v>
      </c>
      <c r="R139" s="1113">
        <v>0</v>
      </c>
      <c r="S139" s="1117"/>
      <c r="T139" s="1117"/>
      <c r="U139" s="1117"/>
      <c r="V139" s="1117"/>
      <c r="W139" s="1117"/>
      <c r="X139" s="1117"/>
      <c r="Y139" s="1007">
        <f t="shared" si="145"/>
        <v>300000000</v>
      </c>
      <c r="Z139" s="1007"/>
      <c r="AA139" s="1007"/>
      <c r="AB139" s="1007"/>
      <c r="AC139" s="1007">
        <f>114715796+100000000-12000000</f>
        <v>202715796</v>
      </c>
      <c r="AD139" s="1007"/>
      <c r="AE139" s="1007"/>
      <c r="AF139" s="1007"/>
      <c r="AG139" s="1007"/>
      <c r="AH139" s="1007"/>
      <c r="AI139" s="1007"/>
      <c r="AJ139" s="1007"/>
      <c r="AK139" s="1007">
        <v>97284204</v>
      </c>
      <c r="AL139" s="1007"/>
      <c r="AM139" s="1007"/>
      <c r="AN139" s="1007"/>
      <c r="AO139" s="1007"/>
      <c r="AP139" s="1007"/>
      <c r="AQ139" s="1007"/>
      <c r="AR139" s="1007"/>
      <c r="AS139" s="1007"/>
      <c r="AT139" s="984"/>
      <c r="AU139" s="1010">
        <f t="shared" si="103"/>
        <v>0</v>
      </c>
      <c r="AV139" s="1007">
        <f t="shared" si="146"/>
        <v>0</v>
      </c>
      <c r="AW139" s="1007"/>
      <c r="AX139" s="1007"/>
      <c r="AY139" s="1007"/>
      <c r="AZ139" s="1007"/>
      <c r="BA139" s="1007"/>
      <c r="BB139" s="1007"/>
      <c r="BC139" s="1007"/>
      <c r="BD139" s="1007"/>
      <c r="BE139" s="1007"/>
      <c r="BF139" s="1007"/>
      <c r="BG139" s="1007"/>
      <c r="BH139" s="1007"/>
      <c r="BI139" s="1007"/>
      <c r="BJ139" s="1007"/>
      <c r="BK139" s="1007"/>
      <c r="BL139" s="1007"/>
      <c r="BM139" s="1007"/>
      <c r="BN139" s="1007"/>
      <c r="BO139" s="1007"/>
      <c r="BP139" s="1007"/>
      <c r="BQ139" s="1010">
        <f t="shared" si="105"/>
        <v>1</v>
      </c>
      <c r="BR139" s="1007">
        <f t="shared" si="147"/>
        <v>300000000</v>
      </c>
      <c r="BS139" s="1007">
        <f t="shared" si="148"/>
        <v>0</v>
      </c>
      <c r="BT139" s="1007">
        <f t="shared" si="149"/>
        <v>0</v>
      </c>
      <c r="BU139" s="1007"/>
      <c r="BV139" s="1007">
        <f t="shared" si="150"/>
        <v>202715796</v>
      </c>
      <c r="BW139" s="1007">
        <f t="shared" si="150"/>
        <v>0</v>
      </c>
      <c r="BX139" s="1007">
        <f t="shared" si="151"/>
        <v>0</v>
      </c>
      <c r="BY139" s="1007">
        <f t="shared" si="151"/>
        <v>0</v>
      </c>
      <c r="BZ139" s="1007"/>
      <c r="CA139" s="1007">
        <f t="shared" si="152"/>
        <v>0</v>
      </c>
      <c r="CB139" s="1007">
        <f t="shared" si="152"/>
        <v>0</v>
      </c>
      <c r="CC139" s="1007">
        <f t="shared" si="152"/>
        <v>0</v>
      </c>
      <c r="CD139" s="1007">
        <f t="shared" si="152"/>
        <v>97284204</v>
      </c>
      <c r="CE139" s="1007">
        <f t="shared" si="152"/>
        <v>0</v>
      </c>
      <c r="CF139" s="1007">
        <f t="shared" si="152"/>
        <v>0</v>
      </c>
      <c r="CG139" s="1007">
        <f t="shared" si="152"/>
        <v>0</v>
      </c>
      <c r="CH139" s="1007">
        <f t="shared" si="152"/>
        <v>0</v>
      </c>
      <c r="CI139" s="1007">
        <f t="shared" si="152"/>
        <v>0</v>
      </c>
      <c r="CJ139" s="1007"/>
      <c r="CK139" s="1007">
        <f t="shared" si="161"/>
        <v>0</v>
      </c>
      <c r="CL139" s="1007">
        <f t="shared" si="153"/>
        <v>0</v>
      </c>
      <c r="CM139" s="1010">
        <f t="shared" si="113"/>
        <v>0</v>
      </c>
      <c r="CN139" s="1007">
        <f t="shared" si="154"/>
        <v>0</v>
      </c>
      <c r="CO139" s="1007"/>
      <c r="CP139" s="1007"/>
      <c r="CQ139" s="1007"/>
      <c r="CR139" s="1007"/>
      <c r="CS139" s="1007"/>
      <c r="CT139" s="1007"/>
      <c r="CU139" s="1007"/>
      <c r="CV139" s="1007"/>
      <c r="CW139" s="1007"/>
      <c r="CX139" s="1007"/>
      <c r="CY139" s="1007"/>
      <c r="CZ139" s="1007"/>
      <c r="DA139" s="1007"/>
      <c r="DB139" s="1007"/>
      <c r="DC139" s="1007"/>
      <c r="DD139" s="1007"/>
      <c r="DE139" s="1007"/>
      <c r="DF139" s="1007"/>
      <c r="DG139" s="1007"/>
      <c r="DH139" s="1007"/>
      <c r="DI139" s="1010">
        <f t="shared" si="115"/>
        <v>1</v>
      </c>
      <c r="DJ139" s="1007">
        <f t="shared" si="155"/>
        <v>300000000</v>
      </c>
      <c r="DK139" s="1007"/>
      <c r="DL139" s="1007"/>
      <c r="DM139" s="1007"/>
      <c r="DN139" s="1007">
        <f t="shared" si="156"/>
        <v>202715796</v>
      </c>
      <c r="DO139" s="1007">
        <f t="shared" si="156"/>
        <v>0</v>
      </c>
      <c r="DP139" s="1007">
        <f t="shared" si="156"/>
        <v>0</v>
      </c>
      <c r="DQ139" s="1007">
        <f t="shared" si="156"/>
        <v>0</v>
      </c>
      <c r="DR139" s="1007"/>
      <c r="DS139" s="1007">
        <f t="shared" si="157"/>
        <v>0</v>
      </c>
      <c r="DT139" s="1007">
        <f t="shared" si="157"/>
        <v>0</v>
      </c>
      <c r="DU139" s="1007"/>
      <c r="DV139" s="1007">
        <f t="shared" si="158"/>
        <v>97284204</v>
      </c>
      <c r="DW139" s="1007">
        <f t="shared" si="158"/>
        <v>0</v>
      </c>
      <c r="DX139" s="1007">
        <f t="shared" si="158"/>
        <v>0</v>
      </c>
      <c r="DY139" s="1007">
        <f t="shared" si="159"/>
        <v>0</v>
      </c>
      <c r="DZ139" s="1007">
        <f t="shared" si="159"/>
        <v>0</v>
      </c>
      <c r="EA139" s="1007">
        <f t="shared" si="159"/>
        <v>0</v>
      </c>
      <c r="EB139" s="1007">
        <f t="shared" si="159"/>
        <v>0</v>
      </c>
      <c r="EC139" s="1007"/>
      <c r="ED139" s="1007">
        <f t="shared" si="160"/>
        <v>0</v>
      </c>
      <c r="EE139" s="1035"/>
    </row>
    <row r="140" spans="1:136" ht="32.25" hidden="1" customHeight="1" x14ac:dyDescent="0.25">
      <c r="A140" s="1590"/>
      <c r="B140" s="989"/>
      <c r="C140" s="852" t="s">
        <v>4493</v>
      </c>
      <c r="D140" s="1018" t="s">
        <v>4476</v>
      </c>
      <c r="E140" s="994">
        <v>111</v>
      </c>
      <c r="F140" s="1117" t="s">
        <v>4482</v>
      </c>
      <c r="G140" s="1429"/>
      <c r="H140" s="1060">
        <f t="shared" si="143"/>
        <v>0</v>
      </c>
      <c r="I140" s="1060">
        <f t="shared" si="144"/>
        <v>35000000</v>
      </c>
      <c r="J140" s="1283"/>
      <c r="K140" s="1198"/>
      <c r="L140" s="1198"/>
      <c r="M140" s="1113">
        <v>0</v>
      </c>
      <c r="N140" s="1113">
        <v>0</v>
      </c>
      <c r="O140" s="1113">
        <v>0</v>
      </c>
      <c r="P140" s="1113">
        <v>0</v>
      </c>
      <c r="Q140" s="1113">
        <v>0</v>
      </c>
      <c r="R140" s="1113">
        <v>0</v>
      </c>
      <c r="S140" s="1117"/>
      <c r="T140" s="1117"/>
      <c r="U140" s="1117"/>
      <c r="V140" s="1117"/>
      <c r="W140" s="1117"/>
      <c r="X140" s="1117"/>
      <c r="Y140" s="1007">
        <f t="shared" si="145"/>
        <v>35000000</v>
      </c>
      <c r="Z140" s="1007"/>
      <c r="AA140" s="1007"/>
      <c r="AB140" s="1007"/>
      <c r="AC140" s="1007">
        <f>71000000-71000000</f>
        <v>0</v>
      </c>
      <c r="AD140" s="1007"/>
      <c r="AE140" s="1007"/>
      <c r="AF140" s="1007"/>
      <c r="AG140" s="1007"/>
      <c r="AH140" s="1007"/>
      <c r="AI140" s="1007"/>
      <c r="AJ140" s="1007"/>
      <c r="AK140" s="1007">
        <v>35000000</v>
      </c>
      <c r="AL140" s="1007"/>
      <c r="AM140" s="1007"/>
      <c r="AN140" s="1007"/>
      <c r="AO140" s="1007"/>
      <c r="AP140" s="1007"/>
      <c r="AQ140" s="1007"/>
      <c r="AR140" s="1007"/>
      <c r="AS140" s="1007"/>
      <c r="AT140" s="984"/>
      <c r="AU140" s="1010">
        <f t="shared" si="103"/>
        <v>0</v>
      </c>
      <c r="AV140" s="1007">
        <f t="shared" si="146"/>
        <v>0</v>
      </c>
      <c r="AW140" s="1007"/>
      <c r="AX140" s="1007"/>
      <c r="AY140" s="1007"/>
      <c r="AZ140" s="1007"/>
      <c r="BA140" s="1007"/>
      <c r="BB140" s="1007"/>
      <c r="BC140" s="1007"/>
      <c r="BD140" s="1007"/>
      <c r="BE140" s="1007"/>
      <c r="BF140" s="1007"/>
      <c r="BG140" s="1007"/>
      <c r="BH140" s="1007"/>
      <c r="BI140" s="1007"/>
      <c r="BJ140" s="1007"/>
      <c r="BK140" s="1007"/>
      <c r="BL140" s="1007"/>
      <c r="BM140" s="1007"/>
      <c r="BN140" s="1007"/>
      <c r="BO140" s="1007"/>
      <c r="BP140" s="1007"/>
      <c r="BQ140" s="1010">
        <f t="shared" si="105"/>
        <v>1</v>
      </c>
      <c r="BR140" s="1007">
        <f t="shared" si="147"/>
        <v>35000000</v>
      </c>
      <c r="BS140" s="1007">
        <f t="shared" si="148"/>
        <v>0</v>
      </c>
      <c r="BT140" s="1007">
        <f t="shared" si="149"/>
        <v>0</v>
      </c>
      <c r="BU140" s="1007"/>
      <c r="BV140" s="1007">
        <f t="shared" si="150"/>
        <v>0</v>
      </c>
      <c r="BW140" s="1007">
        <f t="shared" si="150"/>
        <v>0</v>
      </c>
      <c r="BX140" s="1007">
        <f t="shared" si="151"/>
        <v>0</v>
      </c>
      <c r="BY140" s="1007">
        <f t="shared" si="151"/>
        <v>0</v>
      </c>
      <c r="BZ140" s="1007"/>
      <c r="CA140" s="1007">
        <f t="shared" si="152"/>
        <v>0</v>
      </c>
      <c r="CB140" s="1007">
        <f t="shared" si="152"/>
        <v>0</v>
      </c>
      <c r="CC140" s="1007">
        <f t="shared" si="152"/>
        <v>0</v>
      </c>
      <c r="CD140" s="1007">
        <f t="shared" si="152"/>
        <v>35000000</v>
      </c>
      <c r="CE140" s="1007">
        <f t="shared" si="152"/>
        <v>0</v>
      </c>
      <c r="CF140" s="1007">
        <f t="shared" si="152"/>
        <v>0</v>
      </c>
      <c r="CG140" s="1007">
        <f t="shared" si="152"/>
        <v>0</v>
      </c>
      <c r="CH140" s="1007">
        <f t="shared" si="152"/>
        <v>0</v>
      </c>
      <c r="CI140" s="1007">
        <f t="shared" si="152"/>
        <v>0</v>
      </c>
      <c r="CJ140" s="1007"/>
      <c r="CK140" s="1007">
        <f t="shared" si="161"/>
        <v>0</v>
      </c>
      <c r="CL140" s="1007">
        <f t="shared" si="153"/>
        <v>0</v>
      </c>
      <c r="CM140" s="1010">
        <f t="shared" si="113"/>
        <v>0</v>
      </c>
      <c r="CN140" s="1007">
        <f t="shared" si="154"/>
        <v>0</v>
      </c>
      <c r="CO140" s="1007"/>
      <c r="CP140" s="1007"/>
      <c r="CQ140" s="1007"/>
      <c r="CR140" s="1007"/>
      <c r="CS140" s="1007"/>
      <c r="CT140" s="1007"/>
      <c r="CU140" s="1007"/>
      <c r="CV140" s="1007"/>
      <c r="CW140" s="1007"/>
      <c r="CX140" s="1007"/>
      <c r="CY140" s="1007"/>
      <c r="CZ140" s="1007"/>
      <c r="DA140" s="1007"/>
      <c r="DB140" s="1007"/>
      <c r="DC140" s="1007"/>
      <c r="DD140" s="1007"/>
      <c r="DE140" s="1007"/>
      <c r="DF140" s="1007"/>
      <c r="DG140" s="1007"/>
      <c r="DH140" s="1007"/>
      <c r="DI140" s="1010">
        <f t="shared" si="115"/>
        <v>1</v>
      </c>
      <c r="DJ140" s="1007">
        <f t="shared" si="155"/>
        <v>35000000</v>
      </c>
      <c r="DK140" s="1007"/>
      <c r="DL140" s="1007"/>
      <c r="DM140" s="1007"/>
      <c r="DN140" s="1007">
        <f t="shared" si="156"/>
        <v>0</v>
      </c>
      <c r="DO140" s="1007">
        <f t="shared" si="156"/>
        <v>0</v>
      </c>
      <c r="DP140" s="1007">
        <f t="shared" si="156"/>
        <v>0</v>
      </c>
      <c r="DQ140" s="1007">
        <f t="shared" si="156"/>
        <v>0</v>
      </c>
      <c r="DR140" s="1007"/>
      <c r="DS140" s="1007">
        <f t="shared" si="157"/>
        <v>0</v>
      </c>
      <c r="DT140" s="1007">
        <f t="shared" si="157"/>
        <v>0</v>
      </c>
      <c r="DU140" s="1007"/>
      <c r="DV140" s="1007">
        <f t="shared" si="158"/>
        <v>35000000</v>
      </c>
      <c r="DW140" s="1007">
        <f t="shared" si="158"/>
        <v>0</v>
      </c>
      <c r="DX140" s="1007">
        <f t="shared" si="158"/>
        <v>0</v>
      </c>
      <c r="DY140" s="1007">
        <f t="shared" si="159"/>
        <v>0</v>
      </c>
      <c r="DZ140" s="1007">
        <f t="shared" si="159"/>
        <v>0</v>
      </c>
      <c r="EA140" s="1007">
        <f t="shared" si="159"/>
        <v>0</v>
      </c>
      <c r="EB140" s="1007">
        <f t="shared" si="159"/>
        <v>0</v>
      </c>
      <c r="EC140" s="1007"/>
      <c r="ED140" s="1007">
        <f t="shared" si="160"/>
        <v>0</v>
      </c>
    </row>
    <row r="141" spans="1:136" s="203" customFormat="1" ht="28.5" hidden="1" customHeight="1" x14ac:dyDescent="0.25">
      <c r="A141" s="1590"/>
      <c r="B141" s="989"/>
      <c r="C141" s="1080" t="s">
        <v>4494</v>
      </c>
      <c r="D141" s="1018" t="s">
        <v>4477</v>
      </c>
      <c r="E141" s="996">
        <v>111</v>
      </c>
      <c r="F141" s="1117" t="s">
        <v>4482</v>
      </c>
      <c r="G141" s="1429"/>
      <c r="H141" s="1060">
        <f t="shared" si="143"/>
        <v>0</v>
      </c>
      <c r="I141" s="1060">
        <f t="shared" si="144"/>
        <v>0</v>
      </c>
      <c r="J141" s="1428">
        <v>320</v>
      </c>
      <c r="K141" s="1257">
        <v>948</v>
      </c>
      <c r="L141" s="1257">
        <v>390</v>
      </c>
      <c r="M141" s="1074">
        <v>0</v>
      </c>
      <c r="N141" s="1074">
        <v>0</v>
      </c>
      <c r="O141" s="1074">
        <v>0</v>
      </c>
      <c r="P141" s="1074"/>
      <c r="Q141" s="1074"/>
      <c r="R141" s="1074"/>
      <c r="S141" s="1117"/>
      <c r="T141" s="1117"/>
      <c r="U141" s="1117"/>
      <c r="V141" s="1117"/>
      <c r="W141" s="1117"/>
      <c r="X141" s="1117"/>
      <c r="Y141" s="1066">
        <f t="shared" si="145"/>
        <v>0</v>
      </c>
      <c r="Z141" s="1066"/>
      <c r="AA141" s="1066"/>
      <c r="AB141" s="1066"/>
      <c r="AC141" s="1066">
        <f>1804000000-636519551-639181389-128000000-400299060</f>
        <v>0</v>
      </c>
      <c r="AD141" s="1066"/>
      <c r="AE141" s="1066"/>
      <c r="AF141" s="1066"/>
      <c r="AG141" s="1066"/>
      <c r="AH141" s="1066"/>
      <c r="AI141" s="1066"/>
      <c r="AJ141" s="1066"/>
      <c r="AK141" s="1066"/>
      <c r="AL141" s="1066"/>
      <c r="AM141" s="1066"/>
      <c r="AN141" s="1066"/>
      <c r="AO141" s="1066"/>
      <c r="AP141" s="1066"/>
      <c r="AQ141" s="1066"/>
      <c r="AR141" s="1066"/>
      <c r="AS141" s="1066"/>
      <c r="AT141" s="1088"/>
      <c r="AU141" s="1081" t="e">
        <f t="shared" si="103"/>
        <v>#DIV/0!</v>
      </c>
      <c r="AV141" s="1066">
        <f t="shared" si="146"/>
        <v>0</v>
      </c>
      <c r="AW141" s="1066"/>
      <c r="AX141" s="1066"/>
      <c r="AY141" s="1066"/>
      <c r="AZ141" s="1066"/>
      <c r="BA141" s="1066"/>
      <c r="BB141" s="1066"/>
      <c r="BC141" s="1066"/>
      <c r="BD141" s="1066"/>
      <c r="BE141" s="1066"/>
      <c r="BF141" s="1066"/>
      <c r="BG141" s="1066"/>
      <c r="BH141" s="1066"/>
      <c r="BI141" s="1066"/>
      <c r="BJ141" s="1066"/>
      <c r="BK141" s="1066"/>
      <c r="BL141" s="1066"/>
      <c r="BM141" s="1066"/>
      <c r="BN141" s="1066"/>
      <c r="BO141" s="1066"/>
      <c r="BP141" s="1066"/>
      <c r="BQ141" s="1081" t="e">
        <f t="shared" si="105"/>
        <v>#DIV/0!</v>
      </c>
      <c r="BR141" s="1066">
        <f t="shared" si="147"/>
        <v>0</v>
      </c>
      <c r="BS141" s="1066">
        <f t="shared" si="148"/>
        <v>0</v>
      </c>
      <c r="BT141" s="1066">
        <f t="shared" si="149"/>
        <v>0</v>
      </c>
      <c r="BU141" s="1066"/>
      <c r="BV141" s="1066">
        <f t="shared" si="150"/>
        <v>0</v>
      </c>
      <c r="BW141" s="1066">
        <f t="shared" si="150"/>
        <v>0</v>
      </c>
      <c r="BX141" s="1066">
        <f t="shared" si="151"/>
        <v>0</v>
      </c>
      <c r="BY141" s="1066">
        <f t="shared" si="151"/>
        <v>0</v>
      </c>
      <c r="BZ141" s="1066"/>
      <c r="CA141" s="1066">
        <f t="shared" si="152"/>
        <v>0</v>
      </c>
      <c r="CB141" s="1066">
        <f t="shared" si="152"/>
        <v>0</v>
      </c>
      <c r="CC141" s="1066">
        <f t="shared" si="152"/>
        <v>0</v>
      </c>
      <c r="CD141" s="1066">
        <f t="shared" si="152"/>
        <v>0</v>
      </c>
      <c r="CE141" s="1066">
        <f t="shared" si="152"/>
        <v>0</v>
      </c>
      <c r="CF141" s="1066">
        <f t="shared" si="152"/>
        <v>0</v>
      </c>
      <c r="CG141" s="1066">
        <f t="shared" si="152"/>
        <v>0</v>
      </c>
      <c r="CH141" s="1066">
        <f t="shared" si="152"/>
        <v>0</v>
      </c>
      <c r="CI141" s="1066">
        <f t="shared" si="152"/>
        <v>0</v>
      </c>
      <c r="CJ141" s="1066"/>
      <c r="CK141" s="1066">
        <f t="shared" si="161"/>
        <v>0</v>
      </c>
      <c r="CL141" s="1066">
        <f t="shared" si="153"/>
        <v>0</v>
      </c>
      <c r="CM141" s="1081" t="e">
        <f t="shared" si="113"/>
        <v>#DIV/0!</v>
      </c>
      <c r="CN141" s="1066">
        <f t="shared" si="154"/>
        <v>0</v>
      </c>
      <c r="CO141" s="1066"/>
      <c r="CP141" s="1066"/>
      <c r="CQ141" s="1066"/>
      <c r="CR141" s="1066"/>
      <c r="CS141" s="1066"/>
      <c r="CT141" s="1066"/>
      <c r="CU141" s="1066"/>
      <c r="CV141" s="1066"/>
      <c r="CW141" s="1066"/>
      <c r="CX141" s="1066"/>
      <c r="CY141" s="1066"/>
      <c r="CZ141" s="1066"/>
      <c r="DA141" s="1066"/>
      <c r="DB141" s="1066"/>
      <c r="DC141" s="1066"/>
      <c r="DD141" s="1066"/>
      <c r="DE141" s="1066"/>
      <c r="DF141" s="1066"/>
      <c r="DG141" s="1066"/>
      <c r="DH141" s="1066"/>
      <c r="DI141" s="1081" t="e">
        <f t="shared" si="115"/>
        <v>#DIV/0!</v>
      </c>
      <c r="DJ141" s="1066">
        <f t="shared" si="155"/>
        <v>0</v>
      </c>
      <c r="DK141" s="1066"/>
      <c r="DL141" s="1066"/>
      <c r="DM141" s="1066"/>
      <c r="DN141" s="1066">
        <f t="shared" si="156"/>
        <v>0</v>
      </c>
      <c r="DO141" s="1066">
        <f t="shared" si="156"/>
        <v>0</v>
      </c>
      <c r="DP141" s="1066">
        <f t="shared" si="156"/>
        <v>0</v>
      </c>
      <c r="DQ141" s="1066">
        <f t="shared" si="156"/>
        <v>0</v>
      </c>
      <c r="DR141" s="1066"/>
      <c r="DS141" s="1066">
        <f t="shared" si="157"/>
        <v>0</v>
      </c>
      <c r="DT141" s="1066">
        <f t="shared" si="157"/>
        <v>0</v>
      </c>
      <c r="DU141" s="1066"/>
      <c r="DV141" s="1066">
        <f t="shared" si="158"/>
        <v>0</v>
      </c>
      <c r="DW141" s="1066">
        <f t="shared" si="158"/>
        <v>0</v>
      </c>
      <c r="DX141" s="1066">
        <f t="shared" si="158"/>
        <v>0</v>
      </c>
      <c r="DY141" s="1066">
        <f t="shared" si="159"/>
        <v>0</v>
      </c>
      <c r="DZ141" s="1066">
        <f t="shared" si="159"/>
        <v>0</v>
      </c>
      <c r="EA141" s="1066">
        <f t="shared" si="159"/>
        <v>0</v>
      </c>
      <c r="EB141" s="1066">
        <f t="shared" si="159"/>
        <v>0</v>
      </c>
      <c r="EC141" s="1066"/>
      <c r="ED141" s="1066">
        <f t="shared" si="160"/>
        <v>0</v>
      </c>
    </row>
    <row r="142" spans="1:136" ht="21" hidden="1" customHeight="1" x14ac:dyDescent="0.25">
      <c r="A142" s="1590"/>
      <c r="B142" s="989"/>
      <c r="C142" s="852" t="s">
        <v>4495</v>
      </c>
      <c r="D142" s="1018" t="s">
        <v>4714</v>
      </c>
      <c r="E142" s="994">
        <v>111</v>
      </c>
      <c r="F142" s="1117" t="s">
        <v>4482</v>
      </c>
      <c r="G142" s="1429"/>
      <c r="H142" s="1060">
        <f t="shared" si="143"/>
        <v>375878510</v>
      </c>
      <c r="I142" s="1060">
        <f t="shared" si="144"/>
        <v>180000000</v>
      </c>
      <c r="J142" s="1430"/>
      <c r="K142" s="1258"/>
      <c r="L142" s="1258"/>
      <c r="M142" s="1116">
        <v>6</v>
      </c>
      <c r="N142" s="1116">
        <v>0</v>
      </c>
      <c r="O142" s="1116">
        <v>0</v>
      </c>
      <c r="P142" s="1113">
        <v>100</v>
      </c>
      <c r="Q142" s="1113">
        <v>0</v>
      </c>
      <c r="R142" s="1113">
        <v>0</v>
      </c>
      <c r="S142" s="1117"/>
      <c r="T142" s="1117"/>
      <c r="U142" s="1117"/>
      <c r="V142" s="1117"/>
      <c r="W142" s="1117"/>
      <c r="X142" s="1117"/>
      <c r="Y142" s="1007">
        <f t="shared" si="145"/>
        <v>555878510</v>
      </c>
      <c r="Z142" s="1007"/>
      <c r="AA142" s="1007"/>
      <c r="AB142" s="1007"/>
      <c r="AC142" s="1007">
        <f>424000000+400000000-448121490+180000000</f>
        <v>555878510</v>
      </c>
      <c r="AD142" s="1007"/>
      <c r="AE142" s="1007"/>
      <c r="AF142" s="1007"/>
      <c r="AG142" s="1007"/>
      <c r="AH142" s="1007"/>
      <c r="AI142" s="1007"/>
      <c r="AJ142" s="1007"/>
      <c r="AK142" s="1007"/>
      <c r="AL142" s="1007"/>
      <c r="AM142" s="1007"/>
      <c r="AN142" s="1007"/>
      <c r="AO142" s="1007"/>
      <c r="AP142" s="1007"/>
      <c r="AQ142" s="1007"/>
      <c r="AR142" s="1007"/>
      <c r="AS142" s="1007"/>
      <c r="AT142" s="984"/>
      <c r="AU142" s="1010">
        <f t="shared" si="103"/>
        <v>0.67618823760609126</v>
      </c>
      <c r="AV142" s="1007">
        <f t="shared" si="146"/>
        <v>375878510</v>
      </c>
      <c r="AW142" s="1007"/>
      <c r="AX142" s="1007"/>
      <c r="AY142" s="1007"/>
      <c r="AZ142" s="1007">
        <f>+'[17]MAYO 2015'!$L$79-11600</f>
        <v>375878510</v>
      </c>
      <c r="BA142" s="1007"/>
      <c r="BB142" s="1007"/>
      <c r="BC142" s="1007"/>
      <c r="BD142" s="1007"/>
      <c r="BE142" s="1007"/>
      <c r="BF142" s="1007"/>
      <c r="BG142" s="1007"/>
      <c r="BH142" s="1007"/>
      <c r="BI142" s="1007"/>
      <c r="BJ142" s="1007"/>
      <c r="BK142" s="1007"/>
      <c r="BL142" s="1007"/>
      <c r="BM142" s="1007"/>
      <c r="BN142" s="1007"/>
      <c r="BO142" s="1007"/>
      <c r="BP142" s="1007"/>
      <c r="BQ142" s="1010">
        <f t="shared" si="105"/>
        <v>0.32381176239390874</v>
      </c>
      <c r="BR142" s="1007">
        <f t="shared" si="147"/>
        <v>180000000</v>
      </c>
      <c r="BS142" s="1007">
        <f t="shared" si="148"/>
        <v>0</v>
      </c>
      <c r="BT142" s="1007">
        <f t="shared" si="149"/>
        <v>0</v>
      </c>
      <c r="BU142" s="1007"/>
      <c r="BV142" s="1007">
        <f t="shared" si="150"/>
        <v>180000000</v>
      </c>
      <c r="BW142" s="1007">
        <f t="shared" si="150"/>
        <v>0</v>
      </c>
      <c r="BX142" s="1007">
        <f t="shared" si="151"/>
        <v>0</v>
      </c>
      <c r="BY142" s="1007">
        <f t="shared" si="151"/>
        <v>0</v>
      </c>
      <c r="BZ142" s="1007"/>
      <c r="CA142" s="1007">
        <f t="shared" si="152"/>
        <v>0</v>
      </c>
      <c r="CB142" s="1007">
        <f t="shared" si="152"/>
        <v>0</v>
      </c>
      <c r="CC142" s="1007">
        <f t="shared" si="152"/>
        <v>0</v>
      </c>
      <c r="CD142" s="1007">
        <f t="shared" si="152"/>
        <v>0</v>
      </c>
      <c r="CE142" s="1007">
        <f t="shared" si="152"/>
        <v>0</v>
      </c>
      <c r="CF142" s="1007">
        <f t="shared" si="152"/>
        <v>0</v>
      </c>
      <c r="CG142" s="1007">
        <f t="shared" si="152"/>
        <v>0</v>
      </c>
      <c r="CH142" s="1007">
        <f t="shared" si="152"/>
        <v>0</v>
      </c>
      <c r="CI142" s="1007">
        <f t="shared" si="152"/>
        <v>0</v>
      </c>
      <c r="CJ142" s="1007"/>
      <c r="CK142" s="1007">
        <f t="shared" si="161"/>
        <v>0</v>
      </c>
      <c r="CL142" s="1007">
        <f t="shared" si="153"/>
        <v>0</v>
      </c>
      <c r="CM142" s="1010">
        <f t="shared" si="113"/>
        <v>0.67618823760609126</v>
      </c>
      <c r="CN142" s="1007">
        <f t="shared" si="154"/>
        <v>375878510</v>
      </c>
      <c r="CO142" s="1007"/>
      <c r="CP142" s="1007"/>
      <c r="CQ142" s="1007"/>
      <c r="CR142" s="1007">
        <v>375878510</v>
      </c>
      <c r="CS142" s="1007"/>
      <c r="CT142" s="1007"/>
      <c r="CU142" s="1007"/>
      <c r="CV142" s="1007"/>
      <c r="CW142" s="1007"/>
      <c r="CX142" s="1007"/>
      <c r="CY142" s="1007"/>
      <c r="CZ142" s="1007"/>
      <c r="DA142" s="1007"/>
      <c r="DB142" s="1007"/>
      <c r="DC142" s="1007"/>
      <c r="DD142" s="1007"/>
      <c r="DE142" s="1007"/>
      <c r="DF142" s="1007"/>
      <c r="DG142" s="1007"/>
      <c r="DH142" s="1007"/>
      <c r="DI142" s="1010">
        <f t="shared" si="115"/>
        <v>0.32381176239390874</v>
      </c>
      <c r="DJ142" s="1007">
        <f t="shared" si="155"/>
        <v>180000000</v>
      </c>
      <c r="DK142" s="1007"/>
      <c r="DL142" s="1007"/>
      <c r="DM142" s="1007"/>
      <c r="DN142" s="1007">
        <f t="shared" si="156"/>
        <v>180000000</v>
      </c>
      <c r="DO142" s="1007">
        <f t="shared" si="156"/>
        <v>0</v>
      </c>
      <c r="DP142" s="1007">
        <f t="shared" si="156"/>
        <v>0</v>
      </c>
      <c r="DQ142" s="1007">
        <f t="shared" si="156"/>
        <v>0</v>
      </c>
      <c r="DR142" s="1007"/>
      <c r="DS142" s="1007">
        <f t="shared" si="157"/>
        <v>0</v>
      </c>
      <c r="DT142" s="1007">
        <f t="shared" si="157"/>
        <v>0</v>
      </c>
      <c r="DU142" s="1007"/>
      <c r="DV142" s="1007">
        <f t="shared" si="158"/>
        <v>0</v>
      </c>
      <c r="DW142" s="1007">
        <f t="shared" si="158"/>
        <v>0</v>
      </c>
      <c r="DX142" s="1007">
        <f t="shared" si="158"/>
        <v>0</v>
      </c>
      <c r="DY142" s="1007">
        <f t="shared" si="159"/>
        <v>0</v>
      </c>
      <c r="DZ142" s="1007">
        <f t="shared" si="159"/>
        <v>0</v>
      </c>
      <c r="EA142" s="1007">
        <f t="shared" si="159"/>
        <v>0</v>
      </c>
      <c r="EB142" s="1007">
        <f t="shared" si="159"/>
        <v>0</v>
      </c>
      <c r="EC142" s="1007"/>
      <c r="ED142" s="1007">
        <f t="shared" si="160"/>
        <v>0</v>
      </c>
    </row>
    <row r="143" spans="1:136" s="203" customFormat="1" ht="48.75" hidden="1" customHeight="1" x14ac:dyDescent="0.25">
      <c r="A143" s="1590"/>
      <c r="B143" s="989"/>
      <c r="C143" s="1080" t="s">
        <v>4496</v>
      </c>
      <c r="D143" s="1018" t="s">
        <v>4478</v>
      </c>
      <c r="E143" s="996">
        <v>111</v>
      </c>
      <c r="F143" s="1117" t="s">
        <v>4482</v>
      </c>
      <c r="G143" s="1429"/>
      <c r="H143" s="1060">
        <f t="shared" si="143"/>
        <v>0</v>
      </c>
      <c r="I143" s="1060">
        <f t="shared" si="144"/>
        <v>0</v>
      </c>
      <c r="J143" s="1283">
        <v>9</v>
      </c>
      <c r="K143" s="1198">
        <v>129</v>
      </c>
      <c r="L143" s="1198">
        <v>20</v>
      </c>
      <c r="M143" s="1074">
        <v>0</v>
      </c>
      <c r="N143" s="1074">
        <v>0</v>
      </c>
      <c r="O143" s="1074">
        <v>0</v>
      </c>
      <c r="P143" s="1074"/>
      <c r="Q143" s="1074"/>
      <c r="R143" s="1074"/>
      <c r="S143" s="1117"/>
      <c r="T143" s="1117"/>
      <c r="U143" s="1117"/>
      <c r="V143" s="1117"/>
      <c r="W143" s="1117"/>
      <c r="X143" s="1117"/>
      <c r="Y143" s="1066">
        <f t="shared" si="145"/>
        <v>0</v>
      </c>
      <c r="Z143" s="1066"/>
      <c r="AA143" s="1066"/>
      <c r="AB143" s="1066"/>
      <c r="AC143" s="1066">
        <f>212000000-212000000</f>
        <v>0</v>
      </c>
      <c r="AD143" s="1066"/>
      <c r="AE143" s="1066"/>
      <c r="AF143" s="1066"/>
      <c r="AG143" s="1066"/>
      <c r="AH143" s="1066"/>
      <c r="AI143" s="1066"/>
      <c r="AJ143" s="1066"/>
      <c r="AK143" s="1066"/>
      <c r="AL143" s="1066"/>
      <c r="AM143" s="1066"/>
      <c r="AN143" s="1066"/>
      <c r="AO143" s="1066"/>
      <c r="AP143" s="1066"/>
      <c r="AQ143" s="1066"/>
      <c r="AR143" s="1066"/>
      <c r="AS143" s="1066"/>
      <c r="AT143" s="1088"/>
      <c r="AU143" s="1081" t="e">
        <f t="shared" si="103"/>
        <v>#DIV/0!</v>
      </c>
      <c r="AV143" s="1066">
        <f t="shared" si="146"/>
        <v>0</v>
      </c>
      <c r="AW143" s="1066"/>
      <c r="AX143" s="1066"/>
      <c r="AY143" s="1066"/>
      <c r="AZ143" s="1066"/>
      <c r="BA143" s="1066"/>
      <c r="BB143" s="1066"/>
      <c r="BC143" s="1066"/>
      <c r="BD143" s="1066"/>
      <c r="BE143" s="1066"/>
      <c r="BF143" s="1066"/>
      <c r="BG143" s="1066"/>
      <c r="BH143" s="1066"/>
      <c r="BI143" s="1066"/>
      <c r="BJ143" s="1066"/>
      <c r="BK143" s="1066"/>
      <c r="BL143" s="1066"/>
      <c r="BM143" s="1066"/>
      <c r="BN143" s="1066"/>
      <c r="BO143" s="1066"/>
      <c r="BP143" s="1066"/>
      <c r="BQ143" s="1081" t="e">
        <f t="shared" si="105"/>
        <v>#DIV/0!</v>
      </c>
      <c r="BR143" s="1066">
        <f t="shared" si="147"/>
        <v>0</v>
      </c>
      <c r="BS143" s="1066">
        <f t="shared" si="148"/>
        <v>0</v>
      </c>
      <c r="BT143" s="1066">
        <f t="shared" si="149"/>
        <v>0</v>
      </c>
      <c r="BU143" s="1066"/>
      <c r="BV143" s="1066">
        <f t="shared" si="150"/>
        <v>0</v>
      </c>
      <c r="BW143" s="1066">
        <f t="shared" si="150"/>
        <v>0</v>
      </c>
      <c r="BX143" s="1066">
        <f t="shared" si="151"/>
        <v>0</v>
      </c>
      <c r="BY143" s="1066">
        <f t="shared" si="151"/>
        <v>0</v>
      </c>
      <c r="BZ143" s="1066"/>
      <c r="CA143" s="1066">
        <f t="shared" si="152"/>
        <v>0</v>
      </c>
      <c r="CB143" s="1066">
        <f t="shared" si="152"/>
        <v>0</v>
      </c>
      <c r="CC143" s="1066">
        <f t="shared" si="152"/>
        <v>0</v>
      </c>
      <c r="CD143" s="1066">
        <f t="shared" si="152"/>
        <v>0</v>
      </c>
      <c r="CE143" s="1066">
        <f t="shared" si="152"/>
        <v>0</v>
      </c>
      <c r="CF143" s="1066">
        <f t="shared" si="152"/>
        <v>0</v>
      </c>
      <c r="CG143" s="1066">
        <f t="shared" si="152"/>
        <v>0</v>
      </c>
      <c r="CH143" s="1066">
        <f t="shared" si="152"/>
        <v>0</v>
      </c>
      <c r="CI143" s="1066">
        <f t="shared" si="152"/>
        <v>0</v>
      </c>
      <c r="CJ143" s="1066"/>
      <c r="CK143" s="1066">
        <f t="shared" si="161"/>
        <v>0</v>
      </c>
      <c r="CL143" s="1066">
        <f t="shared" si="153"/>
        <v>0</v>
      </c>
      <c r="CM143" s="1081" t="e">
        <f t="shared" si="113"/>
        <v>#DIV/0!</v>
      </c>
      <c r="CN143" s="1066">
        <f t="shared" si="154"/>
        <v>0</v>
      </c>
      <c r="CO143" s="1066"/>
      <c r="CP143" s="1066"/>
      <c r="CQ143" s="1066"/>
      <c r="CR143" s="1066"/>
      <c r="CS143" s="1066"/>
      <c r="CT143" s="1066"/>
      <c r="CU143" s="1066"/>
      <c r="CV143" s="1066"/>
      <c r="CW143" s="1066"/>
      <c r="CX143" s="1066"/>
      <c r="CY143" s="1066"/>
      <c r="CZ143" s="1066"/>
      <c r="DA143" s="1066"/>
      <c r="DB143" s="1066"/>
      <c r="DC143" s="1066"/>
      <c r="DD143" s="1066"/>
      <c r="DE143" s="1066"/>
      <c r="DF143" s="1066"/>
      <c r="DG143" s="1066"/>
      <c r="DH143" s="1066"/>
      <c r="DI143" s="1081" t="e">
        <f t="shared" si="115"/>
        <v>#DIV/0!</v>
      </c>
      <c r="DJ143" s="1066">
        <f t="shared" si="155"/>
        <v>0</v>
      </c>
      <c r="DK143" s="1066"/>
      <c r="DL143" s="1066"/>
      <c r="DM143" s="1066"/>
      <c r="DN143" s="1066">
        <f t="shared" si="156"/>
        <v>0</v>
      </c>
      <c r="DO143" s="1066">
        <f t="shared" si="156"/>
        <v>0</v>
      </c>
      <c r="DP143" s="1066">
        <f t="shared" si="156"/>
        <v>0</v>
      </c>
      <c r="DQ143" s="1066">
        <f t="shared" si="156"/>
        <v>0</v>
      </c>
      <c r="DR143" s="1066"/>
      <c r="DS143" s="1066">
        <f t="shared" si="157"/>
        <v>0</v>
      </c>
      <c r="DT143" s="1066">
        <f t="shared" si="157"/>
        <v>0</v>
      </c>
      <c r="DU143" s="1066"/>
      <c r="DV143" s="1066">
        <f t="shared" si="158"/>
        <v>0</v>
      </c>
      <c r="DW143" s="1066">
        <f t="shared" si="158"/>
        <v>0</v>
      </c>
      <c r="DX143" s="1066">
        <f t="shared" si="158"/>
        <v>0</v>
      </c>
      <c r="DY143" s="1066">
        <f t="shared" si="159"/>
        <v>0</v>
      </c>
      <c r="DZ143" s="1066">
        <f t="shared" si="159"/>
        <v>0</v>
      </c>
      <c r="EA143" s="1066">
        <f t="shared" si="159"/>
        <v>0</v>
      </c>
      <c r="EB143" s="1066">
        <f t="shared" si="159"/>
        <v>0</v>
      </c>
      <c r="EC143" s="1066"/>
      <c r="ED143" s="1066">
        <f t="shared" si="160"/>
        <v>0</v>
      </c>
    </row>
    <row r="144" spans="1:136" s="203" customFormat="1" ht="27.75" hidden="1" customHeight="1" x14ac:dyDescent="0.25">
      <c r="A144" s="1590"/>
      <c r="B144" s="989"/>
      <c r="C144" s="1080" t="s">
        <v>4497</v>
      </c>
      <c r="D144" s="1018" t="s">
        <v>4479</v>
      </c>
      <c r="E144" s="996">
        <v>111</v>
      </c>
      <c r="F144" s="1117" t="s">
        <v>4482</v>
      </c>
      <c r="G144" s="1429"/>
      <c r="H144" s="1060">
        <f t="shared" si="143"/>
        <v>0</v>
      </c>
      <c r="I144" s="1060">
        <f t="shared" si="144"/>
        <v>0</v>
      </c>
      <c r="J144" s="1283"/>
      <c r="K144" s="1198"/>
      <c r="L144" s="1198"/>
      <c r="M144" s="1074">
        <v>0</v>
      </c>
      <c r="N144" s="1074">
        <v>0</v>
      </c>
      <c r="O144" s="1074">
        <v>0</v>
      </c>
      <c r="P144" s="1074"/>
      <c r="Q144" s="1074"/>
      <c r="R144" s="1074"/>
      <c r="S144" s="1117"/>
      <c r="T144" s="1117"/>
      <c r="U144" s="1117"/>
      <c r="V144" s="1117"/>
      <c r="W144" s="1117"/>
      <c r="X144" s="1117"/>
      <c r="Y144" s="1066">
        <f t="shared" si="145"/>
        <v>0</v>
      </c>
      <c r="Z144" s="1066"/>
      <c r="AA144" s="1066"/>
      <c r="AB144" s="1066"/>
      <c r="AC144" s="1066">
        <f>63600000-50000000-13600000</f>
        <v>0</v>
      </c>
      <c r="AD144" s="1066"/>
      <c r="AE144" s="1066"/>
      <c r="AF144" s="1066"/>
      <c r="AG144" s="1066"/>
      <c r="AH144" s="1066"/>
      <c r="AI144" s="1066"/>
      <c r="AJ144" s="1066"/>
      <c r="AK144" s="1066"/>
      <c r="AL144" s="1066"/>
      <c r="AM144" s="1066"/>
      <c r="AN144" s="1066"/>
      <c r="AO144" s="1066"/>
      <c r="AP144" s="1066"/>
      <c r="AQ144" s="1066"/>
      <c r="AR144" s="1066"/>
      <c r="AS144" s="1066"/>
      <c r="AT144" s="1088"/>
      <c r="AU144" s="1081" t="e">
        <f t="shared" si="103"/>
        <v>#DIV/0!</v>
      </c>
      <c r="AV144" s="1066">
        <f t="shared" si="146"/>
        <v>0</v>
      </c>
      <c r="AW144" s="1066"/>
      <c r="AX144" s="1066"/>
      <c r="AY144" s="1066"/>
      <c r="AZ144" s="1066"/>
      <c r="BA144" s="1066"/>
      <c r="BB144" s="1066"/>
      <c r="BC144" s="1066"/>
      <c r="BD144" s="1066"/>
      <c r="BE144" s="1066"/>
      <c r="BF144" s="1066"/>
      <c r="BG144" s="1066"/>
      <c r="BH144" s="1066"/>
      <c r="BI144" s="1066"/>
      <c r="BJ144" s="1066"/>
      <c r="BK144" s="1066"/>
      <c r="BL144" s="1066"/>
      <c r="BM144" s="1066"/>
      <c r="BN144" s="1066"/>
      <c r="BO144" s="1066"/>
      <c r="BP144" s="1066"/>
      <c r="BQ144" s="1081" t="e">
        <f t="shared" si="105"/>
        <v>#DIV/0!</v>
      </c>
      <c r="BR144" s="1066">
        <f t="shared" si="147"/>
        <v>0</v>
      </c>
      <c r="BS144" s="1066">
        <f t="shared" si="148"/>
        <v>0</v>
      </c>
      <c r="BT144" s="1066">
        <f t="shared" si="149"/>
        <v>0</v>
      </c>
      <c r="BU144" s="1066"/>
      <c r="BV144" s="1066">
        <f t="shared" si="150"/>
        <v>0</v>
      </c>
      <c r="BW144" s="1066">
        <f t="shared" si="150"/>
        <v>0</v>
      </c>
      <c r="BX144" s="1066">
        <f t="shared" si="151"/>
        <v>0</v>
      </c>
      <c r="BY144" s="1066">
        <f t="shared" si="151"/>
        <v>0</v>
      </c>
      <c r="BZ144" s="1066"/>
      <c r="CA144" s="1066">
        <f t="shared" si="152"/>
        <v>0</v>
      </c>
      <c r="CB144" s="1066">
        <f t="shared" si="152"/>
        <v>0</v>
      </c>
      <c r="CC144" s="1066">
        <f t="shared" si="152"/>
        <v>0</v>
      </c>
      <c r="CD144" s="1066">
        <f t="shared" si="152"/>
        <v>0</v>
      </c>
      <c r="CE144" s="1066">
        <f t="shared" si="152"/>
        <v>0</v>
      </c>
      <c r="CF144" s="1066">
        <f t="shared" si="152"/>
        <v>0</v>
      </c>
      <c r="CG144" s="1066">
        <f t="shared" si="152"/>
        <v>0</v>
      </c>
      <c r="CH144" s="1066">
        <f t="shared" si="152"/>
        <v>0</v>
      </c>
      <c r="CI144" s="1066">
        <f t="shared" si="152"/>
        <v>0</v>
      </c>
      <c r="CJ144" s="1066"/>
      <c r="CK144" s="1066">
        <f t="shared" si="161"/>
        <v>0</v>
      </c>
      <c r="CL144" s="1066">
        <f t="shared" si="153"/>
        <v>0</v>
      </c>
      <c r="CM144" s="1081" t="e">
        <f t="shared" si="113"/>
        <v>#DIV/0!</v>
      </c>
      <c r="CN144" s="1066">
        <f t="shared" si="154"/>
        <v>0</v>
      </c>
      <c r="CO144" s="1066"/>
      <c r="CP144" s="1066"/>
      <c r="CQ144" s="1066"/>
      <c r="CR144" s="1066"/>
      <c r="CS144" s="1066"/>
      <c r="CT144" s="1066"/>
      <c r="CU144" s="1066"/>
      <c r="CV144" s="1066"/>
      <c r="CW144" s="1066"/>
      <c r="CX144" s="1066"/>
      <c r="CY144" s="1066"/>
      <c r="CZ144" s="1066"/>
      <c r="DA144" s="1066"/>
      <c r="DB144" s="1066"/>
      <c r="DC144" s="1066"/>
      <c r="DD144" s="1066"/>
      <c r="DE144" s="1066"/>
      <c r="DF144" s="1066"/>
      <c r="DG144" s="1066"/>
      <c r="DH144" s="1066"/>
      <c r="DI144" s="1081" t="e">
        <f t="shared" si="115"/>
        <v>#DIV/0!</v>
      </c>
      <c r="DJ144" s="1066">
        <f t="shared" si="155"/>
        <v>0</v>
      </c>
      <c r="DK144" s="1066"/>
      <c r="DL144" s="1066"/>
      <c r="DM144" s="1066"/>
      <c r="DN144" s="1066">
        <f t="shared" si="156"/>
        <v>0</v>
      </c>
      <c r="DO144" s="1066">
        <f t="shared" si="156"/>
        <v>0</v>
      </c>
      <c r="DP144" s="1066">
        <f t="shared" si="156"/>
        <v>0</v>
      </c>
      <c r="DQ144" s="1066">
        <f t="shared" si="156"/>
        <v>0</v>
      </c>
      <c r="DR144" s="1066"/>
      <c r="DS144" s="1066">
        <f t="shared" si="157"/>
        <v>0</v>
      </c>
      <c r="DT144" s="1066">
        <f t="shared" si="157"/>
        <v>0</v>
      </c>
      <c r="DU144" s="1066"/>
      <c r="DV144" s="1066">
        <f t="shared" si="158"/>
        <v>0</v>
      </c>
      <c r="DW144" s="1066">
        <f t="shared" si="158"/>
        <v>0</v>
      </c>
      <c r="DX144" s="1066">
        <f t="shared" si="158"/>
        <v>0</v>
      </c>
      <c r="DY144" s="1066">
        <f t="shared" si="159"/>
        <v>0</v>
      </c>
      <c r="DZ144" s="1066">
        <f t="shared" si="159"/>
        <v>0</v>
      </c>
      <c r="EA144" s="1066">
        <f t="shared" si="159"/>
        <v>0</v>
      </c>
      <c r="EB144" s="1066">
        <f t="shared" si="159"/>
        <v>0</v>
      </c>
      <c r="EC144" s="1066"/>
      <c r="ED144" s="1066">
        <f t="shared" si="160"/>
        <v>0</v>
      </c>
    </row>
    <row r="145" spans="1:134" ht="34.5" hidden="1" customHeight="1" x14ac:dyDescent="0.25">
      <c r="A145" s="1590"/>
      <c r="B145" s="989"/>
      <c r="C145" s="852" t="s">
        <v>4498</v>
      </c>
      <c r="D145" s="1018" t="s">
        <v>4480</v>
      </c>
      <c r="E145" s="994">
        <v>111</v>
      </c>
      <c r="F145" s="1117" t="s">
        <v>4482</v>
      </c>
      <c r="G145" s="1429"/>
      <c r="H145" s="1060">
        <f t="shared" si="143"/>
        <v>0</v>
      </c>
      <c r="I145" s="1060">
        <f t="shared" si="144"/>
        <v>121000000</v>
      </c>
      <c r="J145" s="1591">
        <v>1120</v>
      </c>
      <c r="K145" s="1594">
        <v>3920</v>
      </c>
      <c r="L145" s="1257">
        <v>1456</v>
      </c>
      <c r="M145" s="1113">
        <v>0</v>
      </c>
      <c r="N145" s="1113">
        <v>0</v>
      </c>
      <c r="O145" s="1113">
        <v>0</v>
      </c>
      <c r="P145" s="1113">
        <v>0</v>
      </c>
      <c r="Q145" s="1113">
        <v>0</v>
      </c>
      <c r="R145" s="1113">
        <v>0</v>
      </c>
      <c r="S145" s="1117"/>
      <c r="T145" s="1117"/>
      <c r="U145" s="1117"/>
      <c r="V145" s="1117"/>
      <c r="W145" s="1117"/>
      <c r="X145" s="1117"/>
      <c r="Y145" s="1007">
        <f t="shared" si="145"/>
        <v>121000000</v>
      </c>
      <c r="Z145" s="1007"/>
      <c r="AA145" s="1007"/>
      <c r="AB145" s="1007"/>
      <c r="AC145" s="1007">
        <f>1590000000+897519551-1587519551-900000000</f>
        <v>0</v>
      </c>
      <c r="AD145" s="1007"/>
      <c r="AE145" s="1007"/>
      <c r="AF145" s="1007"/>
      <c r="AG145" s="1007"/>
      <c r="AH145" s="1007"/>
      <c r="AI145" s="1007"/>
      <c r="AJ145" s="1007"/>
      <c r="AK145" s="1007"/>
      <c r="AL145" s="1007"/>
      <c r="AM145" s="1007"/>
      <c r="AN145" s="1007"/>
      <c r="AO145" s="1007"/>
      <c r="AP145" s="1007"/>
      <c r="AQ145" s="1007"/>
      <c r="AR145" s="1007"/>
      <c r="AS145" s="1007">
        <v>121000000</v>
      </c>
      <c r="AT145" s="984"/>
      <c r="AU145" s="1010">
        <f t="shared" si="103"/>
        <v>0</v>
      </c>
      <c r="AV145" s="1007">
        <f t="shared" si="146"/>
        <v>0</v>
      </c>
      <c r="AW145" s="1007"/>
      <c r="AX145" s="1007"/>
      <c r="AY145" s="1007"/>
      <c r="AZ145" s="1007"/>
      <c r="BA145" s="1007"/>
      <c r="BB145" s="1007"/>
      <c r="BC145" s="1007"/>
      <c r="BD145" s="1007"/>
      <c r="BE145" s="1007"/>
      <c r="BF145" s="1007"/>
      <c r="BG145" s="1007"/>
      <c r="BH145" s="1007"/>
      <c r="BI145" s="1007"/>
      <c r="BJ145" s="1007"/>
      <c r="BK145" s="1007"/>
      <c r="BL145" s="1007"/>
      <c r="BM145" s="1007"/>
      <c r="BN145" s="1007"/>
      <c r="BO145" s="1007"/>
      <c r="BP145" s="1007"/>
      <c r="BQ145" s="1010">
        <f t="shared" si="105"/>
        <v>1</v>
      </c>
      <c r="BR145" s="1007">
        <f t="shared" si="147"/>
        <v>121000000</v>
      </c>
      <c r="BS145" s="1007">
        <f t="shared" si="148"/>
        <v>0</v>
      </c>
      <c r="BT145" s="1007">
        <f t="shared" si="149"/>
        <v>0</v>
      </c>
      <c r="BU145" s="1007"/>
      <c r="BV145" s="1007">
        <f t="shared" si="150"/>
        <v>0</v>
      </c>
      <c r="BW145" s="1007">
        <f t="shared" si="150"/>
        <v>0</v>
      </c>
      <c r="BX145" s="1007">
        <f t="shared" si="151"/>
        <v>0</v>
      </c>
      <c r="BY145" s="1007">
        <f t="shared" si="151"/>
        <v>0</v>
      </c>
      <c r="BZ145" s="1007"/>
      <c r="CA145" s="1007">
        <f t="shared" si="152"/>
        <v>0</v>
      </c>
      <c r="CB145" s="1007">
        <f t="shared" si="152"/>
        <v>0</v>
      </c>
      <c r="CC145" s="1007">
        <f t="shared" si="152"/>
        <v>0</v>
      </c>
      <c r="CD145" s="1007">
        <f t="shared" si="152"/>
        <v>0</v>
      </c>
      <c r="CE145" s="1007">
        <f t="shared" si="152"/>
        <v>0</v>
      </c>
      <c r="CF145" s="1007">
        <f t="shared" si="152"/>
        <v>0</v>
      </c>
      <c r="CG145" s="1007">
        <f t="shared" si="152"/>
        <v>0</v>
      </c>
      <c r="CH145" s="1007">
        <f t="shared" si="152"/>
        <v>0</v>
      </c>
      <c r="CI145" s="1007">
        <f t="shared" si="152"/>
        <v>0</v>
      </c>
      <c r="CJ145" s="1007"/>
      <c r="CK145" s="1007">
        <f t="shared" si="161"/>
        <v>0</v>
      </c>
      <c r="CL145" s="1007">
        <f t="shared" si="153"/>
        <v>121000000</v>
      </c>
      <c r="CM145" s="1010">
        <f t="shared" si="113"/>
        <v>0</v>
      </c>
      <c r="CN145" s="1007">
        <f t="shared" si="154"/>
        <v>0</v>
      </c>
      <c r="CO145" s="1007"/>
      <c r="CP145" s="1007"/>
      <c r="CQ145" s="1007"/>
      <c r="CR145" s="1007"/>
      <c r="CS145" s="1007"/>
      <c r="CT145" s="1007"/>
      <c r="CU145" s="1007"/>
      <c r="CV145" s="1007"/>
      <c r="CW145" s="1007"/>
      <c r="CX145" s="1007"/>
      <c r="CY145" s="1007"/>
      <c r="CZ145" s="1007"/>
      <c r="DA145" s="1007"/>
      <c r="DB145" s="1007"/>
      <c r="DC145" s="1007"/>
      <c r="DD145" s="1007"/>
      <c r="DE145" s="1007"/>
      <c r="DF145" s="1007"/>
      <c r="DG145" s="1007"/>
      <c r="DH145" s="1007"/>
      <c r="DI145" s="1010">
        <f t="shared" si="115"/>
        <v>1</v>
      </c>
      <c r="DJ145" s="1007">
        <f t="shared" si="155"/>
        <v>121000000</v>
      </c>
      <c r="DK145" s="1007"/>
      <c r="DL145" s="1007"/>
      <c r="DM145" s="1007"/>
      <c r="DN145" s="1007">
        <f t="shared" si="156"/>
        <v>0</v>
      </c>
      <c r="DO145" s="1007">
        <f t="shared" si="156"/>
        <v>0</v>
      </c>
      <c r="DP145" s="1007">
        <f t="shared" si="156"/>
        <v>0</v>
      </c>
      <c r="DQ145" s="1007">
        <f t="shared" si="156"/>
        <v>0</v>
      </c>
      <c r="DR145" s="1007"/>
      <c r="DS145" s="1007">
        <f t="shared" si="157"/>
        <v>0</v>
      </c>
      <c r="DT145" s="1007">
        <f t="shared" si="157"/>
        <v>0</v>
      </c>
      <c r="DU145" s="1007"/>
      <c r="DV145" s="1007">
        <f t="shared" si="158"/>
        <v>0</v>
      </c>
      <c r="DW145" s="1007">
        <f t="shared" si="158"/>
        <v>0</v>
      </c>
      <c r="DX145" s="1007">
        <f t="shared" si="158"/>
        <v>0</v>
      </c>
      <c r="DY145" s="1007">
        <f t="shared" si="159"/>
        <v>0</v>
      </c>
      <c r="DZ145" s="1007">
        <f t="shared" si="159"/>
        <v>0</v>
      </c>
      <c r="EA145" s="1007">
        <f t="shared" si="159"/>
        <v>0</v>
      </c>
      <c r="EB145" s="1007">
        <f t="shared" si="159"/>
        <v>0</v>
      </c>
      <c r="EC145" s="1007"/>
      <c r="ED145" s="1007">
        <f t="shared" si="160"/>
        <v>121000000</v>
      </c>
    </row>
    <row r="146" spans="1:134" s="203" customFormat="1" ht="35.25" hidden="1" customHeight="1" x14ac:dyDescent="0.25">
      <c r="A146" s="1590"/>
      <c r="B146" s="989"/>
      <c r="C146" s="1080" t="s">
        <v>4499</v>
      </c>
      <c r="D146" s="1018" t="s">
        <v>4481</v>
      </c>
      <c r="E146" s="996">
        <v>111</v>
      </c>
      <c r="F146" s="1117" t="s">
        <v>4482</v>
      </c>
      <c r="G146" s="1429"/>
      <c r="H146" s="1060">
        <f t="shared" si="143"/>
        <v>0</v>
      </c>
      <c r="I146" s="1060">
        <f t="shared" si="144"/>
        <v>0</v>
      </c>
      <c r="J146" s="1592"/>
      <c r="K146" s="1595"/>
      <c r="L146" s="1562"/>
      <c r="M146" s="1074"/>
      <c r="N146" s="1074"/>
      <c r="O146" s="1074"/>
      <c r="P146" s="1074"/>
      <c r="Q146" s="1074"/>
      <c r="R146" s="1074"/>
      <c r="S146" s="1117"/>
      <c r="T146" s="1117"/>
      <c r="U146" s="1117"/>
      <c r="V146" s="1117"/>
      <c r="W146" s="1117"/>
      <c r="X146" s="1117"/>
      <c r="Y146" s="1066">
        <f t="shared" si="145"/>
        <v>0</v>
      </c>
      <c r="Z146" s="149"/>
      <c r="AA146" s="149"/>
      <c r="AB146" s="149"/>
      <c r="AC146" s="1066">
        <f>417803755-417803755</f>
        <v>0</v>
      </c>
      <c r="AD146" s="149"/>
      <c r="AE146" s="149"/>
      <c r="AF146" s="149"/>
      <c r="AG146" s="149"/>
      <c r="AH146" s="149"/>
      <c r="AI146" s="149"/>
      <c r="AJ146" s="149"/>
      <c r="AK146" s="149"/>
      <c r="AL146" s="149"/>
      <c r="AM146" s="149"/>
      <c r="AN146" s="149"/>
      <c r="AO146" s="149"/>
      <c r="AP146" s="149"/>
      <c r="AQ146" s="149"/>
      <c r="AR146" s="149"/>
      <c r="AS146" s="149"/>
      <c r="AT146" s="1088"/>
      <c r="AU146" s="1081" t="e">
        <f t="shared" si="103"/>
        <v>#DIV/0!</v>
      </c>
      <c r="AV146" s="1066">
        <f t="shared" si="146"/>
        <v>0</v>
      </c>
      <c r="AW146" s="1066"/>
      <c r="AX146" s="1066"/>
      <c r="AY146" s="1066"/>
      <c r="AZ146" s="1066"/>
      <c r="BA146" s="1066"/>
      <c r="BB146" s="1066"/>
      <c r="BC146" s="1066"/>
      <c r="BD146" s="1066"/>
      <c r="BE146" s="1066"/>
      <c r="BF146" s="1066"/>
      <c r="BG146" s="1066"/>
      <c r="BH146" s="1066"/>
      <c r="BI146" s="1066"/>
      <c r="BJ146" s="1066"/>
      <c r="BK146" s="1066"/>
      <c r="BL146" s="1066"/>
      <c r="BM146" s="1066"/>
      <c r="BN146" s="1066"/>
      <c r="BO146" s="1066"/>
      <c r="BP146" s="1066"/>
      <c r="BQ146" s="1081" t="e">
        <f t="shared" si="105"/>
        <v>#DIV/0!</v>
      </c>
      <c r="BR146" s="1066">
        <f t="shared" si="147"/>
        <v>0</v>
      </c>
      <c r="BS146" s="1066">
        <f t="shared" si="148"/>
        <v>0</v>
      </c>
      <c r="BT146" s="1066">
        <f t="shared" si="149"/>
        <v>0</v>
      </c>
      <c r="BU146" s="1066"/>
      <c r="BV146" s="1066">
        <f t="shared" si="150"/>
        <v>0</v>
      </c>
      <c r="BW146" s="1066">
        <f t="shared" si="150"/>
        <v>0</v>
      </c>
      <c r="BX146" s="1066">
        <f t="shared" si="151"/>
        <v>0</v>
      </c>
      <c r="BY146" s="1066">
        <f t="shared" si="151"/>
        <v>0</v>
      </c>
      <c r="BZ146" s="1066"/>
      <c r="CA146" s="1066">
        <f t="shared" si="152"/>
        <v>0</v>
      </c>
      <c r="CB146" s="1066">
        <f t="shared" si="152"/>
        <v>0</v>
      </c>
      <c r="CC146" s="1066">
        <f t="shared" si="152"/>
        <v>0</v>
      </c>
      <c r="CD146" s="1066">
        <f t="shared" si="152"/>
        <v>0</v>
      </c>
      <c r="CE146" s="1066">
        <f t="shared" si="152"/>
        <v>0</v>
      </c>
      <c r="CF146" s="1066">
        <f t="shared" si="152"/>
        <v>0</v>
      </c>
      <c r="CG146" s="1066">
        <f t="shared" si="152"/>
        <v>0</v>
      </c>
      <c r="CH146" s="1066">
        <f t="shared" si="152"/>
        <v>0</v>
      </c>
      <c r="CI146" s="1066">
        <f t="shared" si="152"/>
        <v>0</v>
      </c>
      <c r="CJ146" s="1066"/>
      <c r="CK146" s="1066">
        <f t="shared" si="161"/>
        <v>0</v>
      </c>
      <c r="CL146" s="1066">
        <f t="shared" si="153"/>
        <v>0</v>
      </c>
      <c r="CM146" s="1081" t="e">
        <f t="shared" si="113"/>
        <v>#DIV/0!</v>
      </c>
      <c r="CN146" s="1066">
        <f t="shared" si="154"/>
        <v>0</v>
      </c>
      <c r="CO146" s="1066"/>
      <c r="CP146" s="1066"/>
      <c r="CQ146" s="1066"/>
      <c r="CR146" s="1066"/>
      <c r="CS146" s="1066"/>
      <c r="CT146" s="1066"/>
      <c r="CU146" s="1066"/>
      <c r="CV146" s="1066"/>
      <c r="CW146" s="1066"/>
      <c r="CX146" s="1066"/>
      <c r="CY146" s="1066"/>
      <c r="CZ146" s="1066"/>
      <c r="DA146" s="1066"/>
      <c r="DB146" s="1066"/>
      <c r="DC146" s="1066"/>
      <c r="DD146" s="1066"/>
      <c r="DE146" s="1066"/>
      <c r="DF146" s="1066"/>
      <c r="DG146" s="1066"/>
      <c r="DH146" s="1066"/>
      <c r="DI146" s="1081" t="e">
        <f t="shared" si="115"/>
        <v>#DIV/0!</v>
      </c>
      <c r="DJ146" s="1066">
        <f t="shared" si="155"/>
        <v>0</v>
      </c>
      <c r="DK146" s="1066"/>
      <c r="DL146" s="1066"/>
      <c r="DM146" s="1066"/>
      <c r="DN146" s="1066">
        <f t="shared" si="156"/>
        <v>0</v>
      </c>
      <c r="DO146" s="1066">
        <f t="shared" si="156"/>
        <v>0</v>
      </c>
      <c r="DP146" s="1066">
        <f t="shared" si="156"/>
        <v>0</v>
      </c>
      <c r="DQ146" s="1066">
        <f t="shared" si="156"/>
        <v>0</v>
      </c>
      <c r="DR146" s="1066"/>
      <c r="DS146" s="1066">
        <f t="shared" si="157"/>
        <v>0</v>
      </c>
      <c r="DT146" s="1066">
        <f t="shared" si="157"/>
        <v>0</v>
      </c>
      <c r="DU146" s="1066"/>
      <c r="DV146" s="1066">
        <f t="shared" si="158"/>
        <v>0</v>
      </c>
      <c r="DW146" s="1066">
        <f t="shared" si="158"/>
        <v>0</v>
      </c>
      <c r="DX146" s="1066">
        <f t="shared" si="158"/>
        <v>0</v>
      </c>
      <c r="DY146" s="1066">
        <f t="shared" si="159"/>
        <v>0</v>
      </c>
      <c r="DZ146" s="1066">
        <f t="shared" si="159"/>
        <v>0</v>
      </c>
      <c r="EA146" s="1066">
        <f t="shared" si="159"/>
        <v>0</v>
      </c>
      <c r="EB146" s="1066">
        <f t="shared" si="159"/>
        <v>0</v>
      </c>
      <c r="EC146" s="1066"/>
      <c r="ED146" s="1066">
        <f t="shared" si="160"/>
        <v>0</v>
      </c>
    </row>
    <row r="147" spans="1:134" ht="32.25" hidden="1" customHeight="1" x14ac:dyDescent="0.25">
      <c r="A147" s="1590"/>
      <c r="B147" s="989"/>
      <c r="C147" s="852" t="s">
        <v>4500</v>
      </c>
      <c r="D147" s="1018" t="s">
        <v>4718</v>
      </c>
      <c r="E147" s="994">
        <v>111</v>
      </c>
      <c r="F147" s="1117" t="s">
        <v>4482</v>
      </c>
      <c r="G147" s="1429"/>
      <c r="H147" s="1060">
        <f t="shared" si="143"/>
        <v>661861284</v>
      </c>
      <c r="I147" s="1060">
        <f t="shared" si="144"/>
        <v>463500048</v>
      </c>
      <c r="J147" s="1593"/>
      <c r="K147" s="1596"/>
      <c r="L147" s="1258"/>
      <c r="M147" s="1074"/>
      <c r="N147" s="1074"/>
      <c r="O147" s="1074"/>
      <c r="P147" s="1113">
        <v>42</v>
      </c>
      <c r="Q147" s="1113">
        <v>0</v>
      </c>
      <c r="R147" s="1113">
        <v>0</v>
      </c>
      <c r="S147" s="1117"/>
      <c r="T147" s="1117"/>
      <c r="U147" s="1117"/>
      <c r="V147" s="1117"/>
      <c r="W147" s="1117"/>
      <c r="X147" s="1117"/>
      <c r="Y147" s="1007">
        <f t="shared" si="145"/>
        <v>1125361332</v>
      </c>
      <c r="Z147" s="1007"/>
      <c r="AA147" s="1007"/>
      <c r="AB147" s="1007"/>
      <c r="AC147" s="1007">
        <f>371000000+890000000-104000000-133915719-12442500+39070000</f>
        <v>1049711781</v>
      </c>
      <c r="AD147" s="1007"/>
      <c r="AE147" s="1007"/>
      <c r="AF147" s="1007"/>
      <c r="AG147" s="1007"/>
      <c r="AH147" s="1007"/>
      <c r="AI147" s="1007"/>
      <c r="AJ147" s="1007"/>
      <c r="AK147" s="1007"/>
      <c r="AL147" s="1007"/>
      <c r="AM147" s="1007"/>
      <c r="AN147" s="1007">
        <f>114719551-39070000</f>
        <v>75649551</v>
      </c>
      <c r="AO147" s="1007"/>
      <c r="AP147" s="1007"/>
      <c r="AQ147" s="1007"/>
      <c r="AR147" s="1007"/>
      <c r="AS147" s="1007"/>
      <c r="AT147" s="984"/>
      <c r="AU147" s="1010">
        <f t="shared" si="103"/>
        <v>0.59279626288065845</v>
      </c>
      <c r="AV147" s="1007">
        <f t="shared" si="146"/>
        <v>667109992</v>
      </c>
      <c r="AW147" s="1007"/>
      <c r="AX147" s="1007"/>
      <c r="AY147" s="1007"/>
      <c r="AZ147" s="1007">
        <f>+'[8]SEPTIEMBRE 2015'!$M$130</f>
        <v>667109992</v>
      </c>
      <c r="BA147" s="1007"/>
      <c r="BB147" s="1007"/>
      <c r="BC147" s="1007"/>
      <c r="BD147" s="1007"/>
      <c r="BE147" s="1007"/>
      <c r="BF147" s="1007"/>
      <c r="BG147" s="1007"/>
      <c r="BH147" s="1007"/>
      <c r="BI147" s="1007"/>
      <c r="BJ147" s="1007"/>
      <c r="BK147" s="1007"/>
      <c r="BL147" s="1007"/>
      <c r="BM147" s="1007"/>
      <c r="BN147" s="1007"/>
      <c r="BO147" s="1007"/>
      <c r="BP147" s="1007"/>
      <c r="BQ147" s="1010">
        <f t="shared" si="105"/>
        <v>0.40720373711934155</v>
      </c>
      <c r="BR147" s="1007">
        <f t="shared" si="147"/>
        <v>458251340</v>
      </c>
      <c r="BS147" s="1007">
        <f t="shared" si="148"/>
        <v>0</v>
      </c>
      <c r="BT147" s="1007">
        <f t="shared" si="149"/>
        <v>0</v>
      </c>
      <c r="BU147" s="1007"/>
      <c r="BV147" s="1007">
        <f t="shared" si="150"/>
        <v>382601789</v>
      </c>
      <c r="BW147" s="1007">
        <f t="shared" si="150"/>
        <v>0</v>
      </c>
      <c r="BX147" s="1007">
        <f t="shared" si="151"/>
        <v>0</v>
      </c>
      <c r="BY147" s="1007">
        <f t="shared" si="151"/>
        <v>0</v>
      </c>
      <c r="BZ147" s="1007"/>
      <c r="CA147" s="1007">
        <f t="shared" si="152"/>
        <v>0</v>
      </c>
      <c r="CB147" s="1007">
        <f t="shared" si="152"/>
        <v>0</v>
      </c>
      <c r="CC147" s="1007">
        <f t="shared" si="152"/>
        <v>0</v>
      </c>
      <c r="CD147" s="1007">
        <f t="shared" si="152"/>
        <v>0</v>
      </c>
      <c r="CE147" s="1007">
        <f t="shared" si="152"/>
        <v>0</v>
      </c>
      <c r="CF147" s="1007">
        <f t="shared" si="152"/>
        <v>0</v>
      </c>
      <c r="CG147" s="1007">
        <f t="shared" si="152"/>
        <v>75649551</v>
      </c>
      <c r="CH147" s="1007">
        <f t="shared" si="152"/>
        <v>0</v>
      </c>
      <c r="CI147" s="1007">
        <f t="shared" si="152"/>
        <v>0</v>
      </c>
      <c r="CJ147" s="1007"/>
      <c r="CK147" s="1007">
        <f t="shared" si="161"/>
        <v>0</v>
      </c>
      <c r="CL147" s="1007">
        <f t="shared" si="153"/>
        <v>0</v>
      </c>
      <c r="CM147" s="1010">
        <f t="shared" si="113"/>
        <v>0.58813224266710451</v>
      </c>
      <c r="CN147" s="1007">
        <f t="shared" si="154"/>
        <v>661861284</v>
      </c>
      <c r="CO147" s="1007"/>
      <c r="CP147" s="1007"/>
      <c r="CQ147" s="1007"/>
      <c r="CR147" s="1007">
        <f>+'[8]SEPTIEMBRE 2015'!$H$128</f>
        <v>661861284</v>
      </c>
      <c r="CS147" s="1007"/>
      <c r="CT147" s="1007"/>
      <c r="CU147" s="1007"/>
      <c r="CV147" s="1007"/>
      <c r="CW147" s="1007"/>
      <c r="CX147" s="1007"/>
      <c r="CY147" s="1007"/>
      <c r="CZ147" s="1007"/>
      <c r="DA147" s="1007"/>
      <c r="DB147" s="1007"/>
      <c r="DC147" s="1007"/>
      <c r="DD147" s="1007"/>
      <c r="DE147" s="1007"/>
      <c r="DF147" s="1007"/>
      <c r="DG147" s="1007"/>
      <c r="DH147" s="1007"/>
      <c r="DI147" s="1010">
        <f t="shared" si="115"/>
        <v>0.41186775733289549</v>
      </c>
      <c r="DJ147" s="1007">
        <f t="shared" si="155"/>
        <v>463500048</v>
      </c>
      <c r="DK147" s="1007"/>
      <c r="DL147" s="1007"/>
      <c r="DM147" s="1007"/>
      <c r="DN147" s="1007">
        <f t="shared" si="156"/>
        <v>387850497</v>
      </c>
      <c r="DO147" s="1007">
        <f t="shared" si="156"/>
        <v>0</v>
      </c>
      <c r="DP147" s="1007">
        <f t="shared" si="156"/>
        <v>0</v>
      </c>
      <c r="DQ147" s="1007">
        <f t="shared" si="156"/>
        <v>0</v>
      </c>
      <c r="DR147" s="1007"/>
      <c r="DS147" s="1007">
        <f t="shared" si="157"/>
        <v>0</v>
      </c>
      <c r="DT147" s="1007">
        <f t="shared" si="157"/>
        <v>0</v>
      </c>
      <c r="DU147" s="1007"/>
      <c r="DV147" s="1007">
        <f t="shared" si="158"/>
        <v>0</v>
      </c>
      <c r="DW147" s="1007">
        <f t="shared" si="158"/>
        <v>0</v>
      </c>
      <c r="DX147" s="1007">
        <f t="shared" si="158"/>
        <v>0</v>
      </c>
      <c r="DY147" s="1007">
        <f t="shared" si="159"/>
        <v>75649551</v>
      </c>
      <c r="DZ147" s="1007">
        <f t="shared" si="159"/>
        <v>0</v>
      </c>
      <c r="EA147" s="1007">
        <f t="shared" si="159"/>
        <v>0</v>
      </c>
      <c r="EB147" s="1007">
        <f t="shared" si="159"/>
        <v>0</v>
      </c>
      <c r="EC147" s="1007"/>
      <c r="ED147" s="1007">
        <f t="shared" si="160"/>
        <v>0</v>
      </c>
    </row>
    <row r="148" spans="1:134" ht="52.5" hidden="1" customHeight="1" x14ac:dyDescent="0.25">
      <c r="A148" s="1590"/>
      <c r="B148" s="989"/>
      <c r="C148" s="852" t="s">
        <v>4501</v>
      </c>
      <c r="D148" s="1018" t="s">
        <v>4745</v>
      </c>
      <c r="E148" s="994">
        <v>111</v>
      </c>
      <c r="F148" s="1117" t="s">
        <v>4482</v>
      </c>
      <c r="G148" s="1429"/>
      <c r="H148" s="1060">
        <f t="shared" si="143"/>
        <v>239600131</v>
      </c>
      <c r="I148" s="1060">
        <f t="shared" si="144"/>
        <v>999869</v>
      </c>
      <c r="J148" s="1591">
        <v>184</v>
      </c>
      <c r="K148" s="1594">
        <v>317</v>
      </c>
      <c r="L148" s="1257">
        <v>198</v>
      </c>
      <c r="M148" s="1113">
        <v>0</v>
      </c>
      <c r="N148" s="1113">
        <v>0</v>
      </c>
      <c r="O148" s="1113">
        <v>0</v>
      </c>
      <c r="P148" s="1113">
        <v>0</v>
      </c>
      <c r="Q148" s="1113">
        <v>0</v>
      </c>
      <c r="R148" s="1113">
        <v>0</v>
      </c>
      <c r="S148" s="1117"/>
      <c r="T148" s="1117"/>
      <c r="U148" s="1117"/>
      <c r="V148" s="1117"/>
      <c r="W148" s="1117"/>
      <c r="X148" s="1117"/>
      <c r="Y148" s="1007">
        <f t="shared" si="145"/>
        <v>240600000</v>
      </c>
      <c r="Z148" s="1007"/>
      <c r="AA148" s="1007"/>
      <c r="AB148" s="1007"/>
      <c r="AC148" s="1007">
        <f>540600000-300000000</f>
        <v>240600000</v>
      </c>
      <c r="AD148" s="1007"/>
      <c r="AE148" s="1007"/>
      <c r="AF148" s="1007"/>
      <c r="AG148" s="1007"/>
      <c r="AH148" s="1007"/>
      <c r="AI148" s="1007"/>
      <c r="AJ148" s="1007"/>
      <c r="AK148" s="1007"/>
      <c r="AL148" s="1007"/>
      <c r="AM148" s="1007"/>
      <c r="AN148" s="1007"/>
      <c r="AO148" s="1007"/>
      <c r="AP148" s="1007"/>
      <c r="AQ148" s="1007"/>
      <c r="AR148" s="1007"/>
      <c r="AS148" s="1007"/>
      <c r="AT148" s="984"/>
      <c r="AU148" s="1010">
        <f t="shared" si="103"/>
        <v>0.99584426849542806</v>
      </c>
      <c r="AV148" s="1007">
        <f t="shared" si="146"/>
        <v>239600131</v>
      </c>
      <c r="AW148" s="1007"/>
      <c r="AX148" s="1007"/>
      <c r="AY148" s="1007"/>
      <c r="AZ148" s="1007">
        <f>+'[8]SEPTIEMBRE 2015'!$M$152</f>
        <v>239600131</v>
      </c>
      <c r="BA148" s="1007"/>
      <c r="BB148" s="1007"/>
      <c r="BC148" s="1007"/>
      <c r="BD148" s="1007"/>
      <c r="BE148" s="1007"/>
      <c r="BF148" s="1007"/>
      <c r="BG148" s="1007"/>
      <c r="BH148" s="1007"/>
      <c r="BI148" s="1007"/>
      <c r="BJ148" s="1007"/>
      <c r="BK148" s="1007"/>
      <c r="BL148" s="1007"/>
      <c r="BM148" s="1007"/>
      <c r="BN148" s="1007"/>
      <c r="BO148" s="1007"/>
      <c r="BP148" s="1007"/>
      <c r="BQ148" s="1010">
        <f t="shared" si="105"/>
        <v>4.1557315045719356E-3</v>
      </c>
      <c r="BR148" s="1007">
        <f t="shared" si="147"/>
        <v>999869</v>
      </c>
      <c r="BS148" s="1007">
        <f t="shared" si="148"/>
        <v>0</v>
      </c>
      <c r="BT148" s="1007">
        <f t="shared" si="149"/>
        <v>0</v>
      </c>
      <c r="BU148" s="1007"/>
      <c r="BV148" s="1007">
        <f t="shared" si="150"/>
        <v>999869</v>
      </c>
      <c r="BW148" s="1007">
        <f t="shared" si="150"/>
        <v>0</v>
      </c>
      <c r="BX148" s="1007">
        <f t="shared" si="151"/>
        <v>0</v>
      </c>
      <c r="BY148" s="1007">
        <f t="shared" si="151"/>
        <v>0</v>
      </c>
      <c r="BZ148" s="1007"/>
      <c r="CA148" s="1007">
        <f t="shared" si="152"/>
        <v>0</v>
      </c>
      <c r="CB148" s="1007">
        <f t="shared" si="152"/>
        <v>0</v>
      </c>
      <c r="CC148" s="1007">
        <f t="shared" si="152"/>
        <v>0</v>
      </c>
      <c r="CD148" s="1007">
        <f t="shared" si="152"/>
        <v>0</v>
      </c>
      <c r="CE148" s="1007">
        <f t="shared" si="152"/>
        <v>0</v>
      </c>
      <c r="CF148" s="1007">
        <f t="shared" si="152"/>
        <v>0</v>
      </c>
      <c r="CG148" s="1007">
        <f t="shared" si="152"/>
        <v>0</v>
      </c>
      <c r="CH148" s="1007">
        <f t="shared" si="152"/>
        <v>0</v>
      </c>
      <c r="CI148" s="1007">
        <f t="shared" si="152"/>
        <v>0</v>
      </c>
      <c r="CJ148" s="1007"/>
      <c r="CK148" s="1007">
        <f t="shared" si="161"/>
        <v>0</v>
      </c>
      <c r="CL148" s="1007">
        <f t="shared" si="153"/>
        <v>0</v>
      </c>
      <c r="CM148" s="1010">
        <f t="shared" si="113"/>
        <v>0.99584426849542806</v>
      </c>
      <c r="CN148" s="1007">
        <f t="shared" si="154"/>
        <v>239600131</v>
      </c>
      <c r="CO148" s="1007"/>
      <c r="CP148" s="1007"/>
      <c r="CQ148" s="1007"/>
      <c r="CR148" s="1007">
        <f>+'[10]JULIO 2015'!$H$138</f>
        <v>239600131</v>
      </c>
      <c r="CS148" s="1007"/>
      <c r="CT148" s="1007"/>
      <c r="CU148" s="1007"/>
      <c r="CV148" s="1007"/>
      <c r="CW148" s="1007"/>
      <c r="CX148" s="1007"/>
      <c r="CY148" s="1007"/>
      <c r="CZ148" s="1007"/>
      <c r="DA148" s="1007"/>
      <c r="DB148" s="1007"/>
      <c r="DC148" s="1007"/>
      <c r="DD148" s="1007"/>
      <c r="DE148" s="1007"/>
      <c r="DF148" s="1007"/>
      <c r="DG148" s="1007"/>
      <c r="DH148" s="1007"/>
      <c r="DI148" s="1010">
        <f t="shared" si="115"/>
        <v>4.1557315045719356E-3</v>
      </c>
      <c r="DJ148" s="1007">
        <f t="shared" si="155"/>
        <v>999869</v>
      </c>
      <c r="DK148" s="1007"/>
      <c r="DL148" s="1007"/>
      <c r="DM148" s="1007"/>
      <c r="DN148" s="1007">
        <f t="shared" si="156"/>
        <v>999869</v>
      </c>
      <c r="DO148" s="1007">
        <f t="shared" si="156"/>
        <v>0</v>
      </c>
      <c r="DP148" s="1007">
        <f t="shared" si="156"/>
        <v>0</v>
      </c>
      <c r="DQ148" s="1007">
        <f t="shared" si="156"/>
        <v>0</v>
      </c>
      <c r="DR148" s="1007"/>
      <c r="DS148" s="1007">
        <f t="shared" si="157"/>
        <v>0</v>
      </c>
      <c r="DT148" s="1007">
        <f t="shared" si="157"/>
        <v>0</v>
      </c>
      <c r="DU148" s="1007"/>
      <c r="DV148" s="1007">
        <f t="shared" si="158"/>
        <v>0</v>
      </c>
      <c r="DW148" s="1007">
        <f t="shared" si="158"/>
        <v>0</v>
      </c>
      <c r="DX148" s="1007">
        <f t="shared" si="158"/>
        <v>0</v>
      </c>
      <c r="DY148" s="1007">
        <f t="shared" si="159"/>
        <v>0</v>
      </c>
      <c r="DZ148" s="1007">
        <f t="shared" si="159"/>
        <v>0</v>
      </c>
      <c r="EA148" s="1007">
        <f t="shared" si="159"/>
        <v>0</v>
      </c>
      <c r="EB148" s="1007">
        <f t="shared" si="159"/>
        <v>0</v>
      </c>
      <c r="EC148" s="1007"/>
      <c r="ED148" s="1007">
        <f t="shared" si="160"/>
        <v>0</v>
      </c>
    </row>
    <row r="149" spans="1:134" s="203" customFormat="1" ht="61.5" hidden="1" customHeight="1" x14ac:dyDescent="0.25">
      <c r="A149" s="1590"/>
      <c r="B149" s="989"/>
      <c r="C149" s="1080" t="s">
        <v>4502</v>
      </c>
      <c r="D149" s="1018" t="s">
        <v>4484</v>
      </c>
      <c r="E149" s="996">
        <v>111</v>
      </c>
      <c r="F149" s="1117" t="s">
        <v>4482</v>
      </c>
      <c r="G149" s="1429"/>
      <c r="H149" s="1060">
        <f t="shared" si="143"/>
        <v>0</v>
      </c>
      <c r="I149" s="1060">
        <f t="shared" si="144"/>
        <v>0</v>
      </c>
      <c r="J149" s="1593"/>
      <c r="K149" s="1596"/>
      <c r="L149" s="1258"/>
      <c r="M149" s="1074">
        <v>0</v>
      </c>
      <c r="N149" s="1074">
        <v>0</v>
      </c>
      <c r="O149" s="1074">
        <v>0</v>
      </c>
      <c r="P149" s="1074"/>
      <c r="Q149" s="1074"/>
      <c r="R149" s="1074"/>
      <c r="S149" s="1117"/>
      <c r="T149" s="1117"/>
      <c r="U149" s="1117"/>
      <c r="V149" s="1117"/>
      <c r="W149" s="1117"/>
      <c r="X149" s="1117"/>
      <c r="Y149" s="1066">
        <f t="shared" si="145"/>
        <v>0</v>
      </c>
      <c r="Z149" s="1066"/>
      <c r="AA149" s="1066"/>
      <c r="AB149" s="1066"/>
      <c r="AC149" s="1066">
        <f>2968000000-968000000-897000000-103000000-1000000000</f>
        <v>0</v>
      </c>
      <c r="AD149" s="1066"/>
      <c r="AE149" s="1066"/>
      <c r="AF149" s="1066"/>
      <c r="AG149" s="1066"/>
      <c r="AH149" s="1066"/>
      <c r="AI149" s="1066"/>
      <c r="AJ149" s="1066"/>
      <c r="AK149" s="1066"/>
      <c r="AL149" s="1066"/>
      <c r="AM149" s="1066"/>
      <c r="AN149" s="1066"/>
      <c r="AO149" s="1066"/>
      <c r="AP149" s="1066"/>
      <c r="AQ149" s="1066"/>
      <c r="AR149" s="1066"/>
      <c r="AS149" s="1066"/>
      <c r="AT149" s="1088"/>
      <c r="AU149" s="1081" t="e">
        <f t="shared" si="103"/>
        <v>#DIV/0!</v>
      </c>
      <c r="AV149" s="1066">
        <f t="shared" si="146"/>
        <v>0</v>
      </c>
      <c r="AW149" s="1066"/>
      <c r="AX149" s="1066"/>
      <c r="AY149" s="1066"/>
      <c r="AZ149" s="1066"/>
      <c r="BA149" s="1066"/>
      <c r="BB149" s="1066"/>
      <c r="BC149" s="1066"/>
      <c r="BD149" s="1066"/>
      <c r="BE149" s="1066"/>
      <c r="BF149" s="1066"/>
      <c r="BG149" s="1066"/>
      <c r="BH149" s="1066"/>
      <c r="BI149" s="1066"/>
      <c r="BJ149" s="1066"/>
      <c r="BK149" s="1066"/>
      <c r="BL149" s="1066"/>
      <c r="BM149" s="1066"/>
      <c r="BN149" s="1066"/>
      <c r="BO149" s="1066"/>
      <c r="BP149" s="1066"/>
      <c r="BQ149" s="1081" t="e">
        <f t="shared" si="105"/>
        <v>#DIV/0!</v>
      </c>
      <c r="BR149" s="1066">
        <f t="shared" si="147"/>
        <v>0</v>
      </c>
      <c r="BS149" s="1066">
        <f t="shared" si="148"/>
        <v>0</v>
      </c>
      <c r="BT149" s="1066">
        <f t="shared" si="149"/>
        <v>0</v>
      </c>
      <c r="BU149" s="1066"/>
      <c r="BV149" s="1066">
        <f t="shared" si="150"/>
        <v>0</v>
      </c>
      <c r="BW149" s="1066">
        <f t="shared" si="150"/>
        <v>0</v>
      </c>
      <c r="BX149" s="1066">
        <f t="shared" si="151"/>
        <v>0</v>
      </c>
      <c r="BY149" s="1066">
        <f t="shared" si="151"/>
        <v>0</v>
      </c>
      <c r="BZ149" s="1066"/>
      <c r="CA149" s="1066">
        <f t="shared" si="152"/>
        <v>0</v>
      </c>
      <c r="CB149" s="1066">
        <f t="shared" si="152"/>
        <v>0</v>
      </c>
      <c r="CC149" s="1066">
        <f t="shared" si="152"/>
        <v>0</v>
      </c>
      <c r="CD149" s="1066">
        <f t="shared" si="152"/>
        <v>0</v>
      </c>
      <c r="CE149" s="1066">
        <f t="shared" si="152"/>
        <v>0</v>
      </c>
      <c r="CF149" s="1066">
        <f t="shared" si="152"/>
        <v>0</v>
      </c>
      <c r="CG149" s="1066">
        <f t="shared" si="152"/>
        <v>0</v>
      </c>
      <c r="CH149" s="1066">
        <f t="shared" si="152"/>
        <v>0</v>
      </c>
      <c r="CI149" s="1066">
        <f t="shared" si="152"/>
        <v>0</v>
      </c>
      <c r="CJ149" s="1066"/>
      <c r="CK149" s="1066">
        <f t="shared" si="161"/>
        <v>0</v>
      </c>
      <c r="CL149" s="1066">
        <f t="shared" si="153"/>
        <v>0</v>
      </c>
      <c r="CM149" s="1081" t="e">
        <f t="shared" si="113"/>
        <v>#DIV/0!</v>
      </c>
      <c r="CN149" s="1066">
        <f t="shared" si="154"/>
        <v>0</v>
      </c>
      <c r="CO149" s="1066"/>
      <c r="CP149" s="1066"/>
      <c r="CQ149" s="1066"/>
      <c r="CR149" s="1066"/>
      <c r="CS149" s="1066"/>
      <c r="CT149" s="1066"/>
      <c r="CU149" s="1066"/>
      <c r="CV149" s="1066"/>
      <c r="CW149" s="1066"/>
      <c r="CX149" s="1066"/>
      <c r="CY149" s="1066"/>
      <c r="CZ149" s="1066"/>
      <c r="DA149" s="1066"/>
      <c r="DB149" s="1066"/>
      <c r="DC149" s="1066"/>
      <c r="DD149" s="1066"/>
      <c r="DE149" s="1066"/>
      <c r="DF149" s="1066"/>
      <c r="DG149" s="1066"/>
      <c r="DH149" s="1066"/>
      <c r="DI149" s="1081" t="e">
        <f t="shared" si="115"/>
        <v>#DIV/0!</v>
      </c>
      <c r="DJ149" s="1066">
        <f t="shared" si="155"/>
        <v>0</v>
      </c>
      <c r="DK149" s="1066"/>
      <c r="DL149" s="1066"/>
      <c r="DM149" s="1066"/>
      <c r="DN149" s="1066">
        <f t="shared" si="156"/>
        <v>0</v>
      </c>
      <c r="DO149" s="1066">
        <f t="shared" si="156"/>
        <v>0</v>
      </c>
      <c r="DP149" s="1066">
        <f t="shared" si="156"/>
        <v>0</v>
      </c>
      <c r="DQ149" s="1066">
        <f t="shared" si="156"/>
        <v>0</v>
      </c>
      <c r="DR149" s="1066"/>
      <c r="DS149" s="1066">
        <f t="shared" si="157"/>
        <v>0</v>
      </c>
      <c r="DT149" s="1066">
        <f t="shared" si="157"/>
        <v>0</v>
      </c>
      <c r="DU149" s="1066"/>
      <c r="DV149" s="1066">
        <f t="shared" si="158"/>
        <v>0</v>
      </c>
      <c r="DW149" s="1066">
        <f t="shared" si="158"/>
        <v>0</v>
      </c>
      <c r="DX149" s="1066">
        <f t="shared" si="158"/>
        <v>0</v>
      </c>
      <c r="DY149" s="1066">
        <f t="shared" si="159"/>
        <v>0</v>
      </c>
      <c r="DZ149" s="1066">
        <f t="shared" si="159"/>
        <v>0</v>
      </c>
      <c r="EA149" s="1066">
        <f t="shared" si="159"/>
        <v>0</v>
      </c>
      <c r="EB149" s="1066">
        <f t="shared" si="159"/>
        <v>0</v>
      </c>
      <c r="EC149" s="1066"/>
      <c r="ED149" s="1066">
        <f t="shared" si="160"/>
        <v>0</v>
      </c>
    </row>
    <row r="150" spans="1:134" ht="64.5" hidden="1" customHeight="1" x14ac:dyDescent="0.25">
      <c r="A150" s="1590"/>
      <c r="B150" s="989"/>
      <c r="C150" s="852" t="s">
        <v>4503</v>
      </c>
      <c r="D150" s="1018" t="s">
        <v>4483</v>
      </c>
      <c r="E150" s="994">
        <v>111</v>
      </c>
      <c r="F150" s="1117" t="s">
        <v>4742</v>
      </c>
      <c r="G150" s="1429"/>
      <c r="H150" s="1060">
        <f t="shared" si="143"/>
        <v>53155185</v>
      </c>
      <c r="I150" s="1060">
        <f t="shared" si="144"/>
        <v>18959815</v>
      </c>
      <c r="J150" s="1428">
        <v>3</v>
      </c>
      <c r="K150" s="1257" t="s">
        <v>4928</v>
      </c>
      <c r="L150" s="1257">
        <v>3</v>
      </c>
      <c r="M150" s="1090"/>
      <c r="N150" s="1090"/>
      <c r="O150" s="1090"/>
      <c r="P150" s="1113">
        <v>0</v>
      </c>
      <c r="Q150" s="1113">
        <v>0</v>
      </c>
      <c r="R150" s="1113">
        <v>0</v>
      </c>
      <c r="S150" s="1117"/>
      <c r="T150" s="1117"/>
      <c r="U150" s="1117"/>
      <c r="V150" s="1117"/>
      <c r="W150" s="1117"/>
      <c r="X150" s="1117"/>
      <c r="Y150" s="1007">
        <f t="shared" si="145"/>
        <v>72115000</v>
      </c>
      <c r="Z150" s="1007"/>
      <c r="AA150" s="1007"/>
      <c r="AB150" s="1007"/>
      <c r="AC150" s="1007"/>
      <c r="AD150" s="1007"/>
      <c r="AE150" s="1007"/>
      <c r="AF150" s="1007"/>
      <c r="AG150" s="1007"/>
      <c r="AH150" s="1007"/>
      <c r="AI150" s="1007"/>
      <c r="AJ150" s="1007"/>
      <c r="AK150" s="1007"/>
      <c r="AL150" s="1007"/>
      <c r="AM150" s="1007"/>
      <c r="AN150" s="1007"/>
      <c r="AO150" s="1007"/>
      <c r="AP150" s="1007"/>
      <c r="AQ150" s="1007"/>
      <c r="AR150" s="1007"/>
      <c r="AS150" s="1007">
        <f>587519551+2000000+10000000+37000000-597519551+46500000-13385000</f>
        <v>72115000</v>
      </c>
      <c r="AT150" s="984"/>
      <c r="AU150" s="1010">
        <f t="shared" si="103"/>
        <v>1</v>
      </c>
      <c r="AV150" s="1007">
        <f t="shared" si="146"/>
        <v>72115000</v>
      </c>
      <c r="AW150" s="1007"/>
      <c r="AX150" s="1007"/>
      <c r="AY150" s="1007"/>
      <c r="AZ150" s="1007"/>
      <c r="BA150" s="1007"/>
      <c r="BB150" s="1007"/>
      <c r="BC150" s="1007"/>
      <c r="BD150" s="1007"/>
      <c r="BE150" s="1007"/>
      <c r="BF150" s="1007"/>
      <c r="BG150" s="1007"/>
      <c r="BH150" s="1007"/>
      <c r="BI150" s="1007"/>
      <c r="BJ150" s="1007"/>
      <c r="BK150" s="1007"/>
      <c r="BL150" s="1007"/>
      <c r="BM150" s="1007"/>
      <c r="BN150" s="1007"/>
      <c r="BO150" s="1007"/>
      <c r="BP150" s="1007">
        <f>+'[7]AGOSTO 2015'!$G$156</f>
        <v>72115000</v>
      </c>
      <c r="BQ150" s="1010">
        <f t="shared" si="105"/>
        <v>0</v>
      </c>
      <c r="BR150" s="1007">
        <f t="shared" si="147"/>
        <v>0</v>
      </c>
      <c r="BS150" s="1007">
        <f t="shared" si="148"/>
        <v>0</v>
      </c>
      <c r="BT150" s="1007">
        <f t="shared" si="149"/>
        <v>0</v>
      </c>
      <c r="BU150" s="1007"/>
      <c r="BV150" s="1007">
        <f t="shared" si="150"/>
        <v>0</v>
      </c>
      <c r="BW150" s="1007">
        <f t="shared" si="150"/>
        <v>0</v>
      </c>
      <c r="BX150" s="1007">
        <f t="shared" si="151"/>
        <v>0</v>
      </c>
      <c r="BY150" s="1007">
        <f t="shared" si="151"/>
        <v>0</v>
      </c>
      <c r="BZ150" s="1007"/>
      <c r="CA150" s="1007">
        <f t="shared" si="152"/>
        <v>0</v>
      </c>
      <c r="CB150" s="1007">
        <f t="shared" si="152"/>
        <v>0</v>
      </c>
      <c r="CC150" s="1007">
        <f t="shared" si="152"/>
        <v>0</v>
      </c>
      <c r="CD150" s="1007">
        <f t="shared" si="152"/>
        <v>0</v>
      </c>
      <c r="CE150" s="1007">
        <f t="shared" si="152"/>
        <v>0</v>
      </c>
      <c r="CF150" s="1007">
        <f t="shared" si="152"/>
        <v>0</v>
      </c>
      <c r="CG150" s="1007">
        <f t="shared" si="152"/>
        <v>0</v>
      </c>
      <c r="CH150" s="1007">
        <f t="shared" si="152"/>
        <v>0</v>
      </c>
      <c r="CI150" s="1007">
        <f t="shared" si="152"/>
        <v>0</v>
      </c>
      <c r="CJ150" s="1007"/>
      <c r="CK150" s="1007">
        <f t="shared" si="161"/>
        <v>0</v>
      </c>
      <c r="CL150" s="1007">
        <f t="shared" si="153"/>
        <v>0</v>
      </c>
      <c r="CM150" s="1010">
        <f t="shared" si="113"/>
        <v>0.73708916314220341</v>
      </c>
      <c r="CN150" s="1007">
        <f t="shared" si="154"/>
        <v>53155185</v>
      </c>
      <c r="CO150" s="1007"/>
      <c r="CP150" s="1007"/>
      <c r="CQ150" s="1007"/>
      <c r="CR150" s="1007"/>
      <c r="CS150" s="1007"/>
      <c r="CT150" s="1007"/>
      <c r="CU150" s="1007"/>
      <c r="CV150" s="1007"/>
      <c r="CW150" s="1007"/>
      <c r="CX150" s="1007"/>
      <c r="CY150" s="1007"/>
      <c r="CZ150" s="1007"/>
      <c r="DA150" s="1007"/>
      <c r="DB150" s="1007"/>
      <c r="DC150" s="1007"/>
      <c r="DD150" s="1007"/>
      <c r="DE150" s="1007"/>
      <c r="DF150" s="1007"/>
      <c r="DG150" s="1007"/>
      <c r="DH150" s="1007">
        <f>+'[8]SEPTIEMBRE 2015'!$H$162</f>
        <v>53155185</v>
      </c>
      <c r="DI150" s="1010">
        <f t="shared" si="115"/>
        <v>0.26291083685779659</v>
      </c>
      <c r="DJ150" s="1007">
        <f t="shared" si="155"/>
        <v>18959815</v>
      </c>
      <c r="DK150" s="1007"/>
      <c r="DL150" s="1007"/>
      <c r="DM150" s="1007"/>
      <c r="DN150" s="1007">
        <f t="shared" si="156"/>
        <v>0</v>
      </c>
      <c r="DO150" s="1007">
        <f t="shared" si="156"/>
        <v>0</v>
      </c>
      <c r="DP150" s="1007">
        <f t="shared" si="156"/>
        <v>0</v>
      </c>
      <c r="DQ150" s="1007">
        <f t="shared" si="156"/>
        <v>0</v>
      </c>
      <c r="DR150" s="1007"/>
      <c r="DS150" s="1007">
        <f t="shared" si="157"/>
        <v>0</v>
      </c>
      <c r="DT150" s="1007">
        <f t="shared" si="157"/>
        <v>0</v>
      </c>
      <c r="DU150" s="1007"/>
      <c r="DV150" s="1007">
        <f t="shared" si="158"/>
        <v>0</v>
      </c>
      <c r="DW150" s="1007">
        <f t="shared" si="158"/>
        <v>0</v>
      </c>
      <c r="DX150" s="1007">
        <f t="shared" si="158"/>
        <v>0</v>
      </c>
      <c r="DY150" s="1007">
        <f t="shared" si="159"/>
        <v>0</v>
      </c>
      <c r="DZ150" s="1007">
        <f t="shared" si="159"/>
        <v>0</v>
      </c>
      <c r="EA150" s="1007">
        <f t="shared" si="159"/>
        <v>0</v>
      </c>
      <c r="EB150" s="1007">
        <f t="shared" si="159"/>
        <v>0</v>
      </c>
      <c r="EC150" s="1007"/>
      <c r="ED150" s="1007">
        <f t="shared" si="160"/>
        <v>18959815</v>
      </c>
    </row>
    <row r="151" spans="1:134" s="203" customFormat="1" ht="33.75" hidden="1" customHeight="1" x14ac:dyDescent="0.25">
      <c r="A151" s="1590"/>
      <c r="B151" s="989"/>
      <c r="C151" s="1080" t="s">
        <v>4710</v>
      </c>
      <c r="D151" s="1018" t="s">
        <v>4711</v>
      </c>
      <c r="E151" s="996">
        <v>111</v>
      </c>
      <c r="F151" s="1117" t="s">
        <v>4482</v>
      </c>
      <c r="G151" s="1429"/>
      <c r="H151" s="1060">
        <f t="shared" si="143"/>
        <v>0</v>
      </c>
      <c r="I151" s="1060">
        <f t="shared" si="144"/>
        <v>0</v>
      </c>
      <c r="J151" s="1430"/>
      <c r="K151" s="1258"/>
      <c r="L151" s="1258"/>
      <c r="M151" s="1074">
        <v>0</v>
      </c>
      <c r="N151" s="1074">
        <v>0</v>
      </c>
      <c r="O151" s="1074">
        <v>0</v>
      </c>
      <c r="P151" s="1074"/>
      <c r="Q151" s="1074"/>
      <c r="R151" s="1074"/>
      <c r="S151" s="1117"/>
      <c r="T151" s="1117"/>
      <c r="U151" s="1117"/>
      <c r="V151" s="1117"/>
      <c r="W151" s="1117"/>
      <c r="X151" s="1117"/>
      <c r="Y151" s="1066">
        <f t="shared" si="145"/>
        <v>0</v>
      </c>
      <c r="Z151" s="1066"/>
      <c r="AA151" s="1066"/>
      <c r="AB151" s="1066"/>
      <c r="AC151" s="1066">
        <f>400000000-400000000</f>
        <v>0</v>
      </c>
      <c r="AD151" s="1066"/>
      <c r="AE151" s="1066"/>
      <c r="AF151" s="1066"/>
      <c r="AG151" s="1066"/>
      <c r="AH151" s="1066"/>
      <c r="AI151" s="1066"/>
      <c r="AJ151" s="1066"/>
      <c r="AK151" s="1066"/>
      <c r="AL151" s="1066"/>
      <c r="AM151" s="1066"/>
      <c r="AN151" s="1066"/>
      <c r="AO151" s="1066"/>
      <c r="AP151" s="1066"/>
      <c r="AQ151" s="1066"/>
      <c r="AR151" s="1066"/>
      <c r="AS151" s="1066"/>
      <c r="AT151" s="1089"/>
      <c r="AU151" s="1081" t="e">
        <f t="shared" si="103"/>
        <v>#DIV/0!</v>
      </c>
      <c r="AV151" s="1066">
        <f t="shared" si="146"/>
        <v>0</v>
      </c>
      <c r="AW151" s="1066"/>
      <c r="AX151" s="1066"/>
      <c r="AY151" s="1066"/>
      <c r="AZ151" s="1066"/>
      <c r="BA151" s="1066"/>
      <c r="BB151" s="1066"/>
      <c r="BC151" s="1066"/>
      <c r="BD151" s="1066"/>
      <c r="BE151" s="1066"/>
      <c r="BF151" s="1066"/>
      <c r="BG151" s="1066"/>
      <c r="BH151" s="1066"/>
      <c r="BI151" s="1066"/>
      <c r="BJ151" s="1066"/>
      <c r="BK151" s="1066"/>
      <c r="BL151" s="1066"/>
      <c r="BM151" s="1066"/>
      <c r="BN151" s="1066"/>
      <c r="BO151" s="1066"/>
      <c r="BP151" s="1066"/>
      <c r="BQ151" s="1081" t="e">
        <f t="shared" si="105"/>
        <v>#DIV/0!</v>
      </c>
      <c r="BR151" s="1066">
        <f t="shared" si="147"/>
        <v>0</v>
      </c>
      <c r="BS151" s="1066"/>
      <c r="BT151" s="1066"/>
      <c r="BU151" s="1066"/>
      <c r="BV151" s="1066">
        <f t="shared" ref="BV151:BW194" si="162">AC151-AZ151</f>
        <v>0</v>
      </c>
      <c r="BW151" s="1066"/>
      <c r="BX151" s="1066"/>
      <c r="BY151" s="1066"/>
      <c r="BZ151" s="1066"/>
      <c r="CA151" s="1066"/>
      <c r="CB151" s="1066"/>
      <c r="CC151" s="1066"/>
      <c r="CD151" s="1066"/>
      <c r="CE151" s="1066"/>
      <c r="CF151" s="1066"/>
      <c r="CG151" s="1066"/>
      <c r="CH151" s="1066"/>
      <c r="CI151" s="1066"/>
      <c r="CJ151" s="1066"/>
      <c r="CK151" s="1066"/>
      <c r="CL151" s="1066"/>
      <c r="CM151" s="1081" t="e">
        <f t="shared" si="113"/>
        <v>#DIV/0!</v>
      </c>
      <c r="CN151" s="1066">
        <f t="shared" si="154"/>
        <v>0</v>
      </c>
      <c r="CO151" s="1066"/>
      <c r="CP151" s="1066"/>
      <c r="CQ151" s="1066"/>
      <c r="CR151" s="1066"/>
      <c r="CS151" s="1066"/>
      <c r="CT151" s="1066"/>
      <c r="CU151" s="1066"/>
      <c r="CV151" s="1066"/>
      <c r="CW151" s="1066"/>
      <c r="CX151" s="1066"/>
      <c r="CY151" s="1066"/>
      <c r="CZ151" s="1066"/>
      <c r="DA151" s="1066"/>
      <c r="DB151" s="1066"/>
      <c r="DC151" s="1066"/>
      <c r="DD151" s="1066"/>
      <c r="DE151" s="1066"/>
      <c r="DF151" s="1066"/>
      <c r="DG151" s="1066"/>
      <c r="DH151" s="1066"/>
      <c r="DI151" s="1081" t="e">
        <f t="shared" si="115"/>
        <v>#DIV/0!</v>
      </c>
      <c r="DJ151" s="1066">
        <f t="shared" si="155"/>
        <v>0</v>
      </c>
      <c r="DK151" s="1066"/>
      <c r="DL151" s="1066"/>
      <c r="DM151" s="1066"/>
      <c r="DN151" s="1066">
        <f t="shared" ref="DN151:DQ194" si="163">AC151-CR151</f>
        <v>0</v>
      </c>
      <c r="DO151" s="1066"/>
      <c r="DP151" s="1066"/>
      <c r="DQ151" s="1066"/>
      <c r="DR151" s="1066"/>
      <c r="DS151" s="1066"/>
      <c r="DT151" s="1066"/>
      <c r="DU151" s="1066"/>
      <c r="DV151" s="1066"/>
      <c r="DW151" s="1066"/>
      <c r="DX151" s="1066"/>
      <c r="DY151" s="1066"/>
      <c r="DZ151" s="1066"/>
      <c r="EA151" s="1066"/>
      <c r="EB151" s="1066"/>
      <c r="EC151" s="1066"/>
      <c r="ED151" s="1066"/>
    </row>
    <row r="152" spans="1:134" ht="64.5" hidden="1" customHeight="1" x14ac:dyDescent="0.25">
      <c r="A152" s="1590"/>
      <c r="B152" s="989" t="s">
        <v>4450</v>
      </c>
      <c r="C152" s="852" t="s">
        <v>4513</v>
      </c>
      <c r="D152" s="1018" t="s">
        <v>4549</v>
      </c>
      <c r="E152" s="994">
        <v>211</v>
      </c>
      <c r="F152" s="1117" t="s">
        <v>4482</v>
      </c>
      <c r="G152" s="1429"/>
      <c r="H152" s="1060">
        <f t="shared" si="143"/>
        <v>189556618</v>
      </c>
      <c r="I152" s="1060">
        <f t="shared" si="144"/>
        <v>0</v>
      </c>
      <c r="J152" s="1428">
        <v>117</v>
      </c>
      <c r="K152" s="1257">
        <v>127</v>
      </c>
      <c r="L152" s="1257">
        <v>118</v>
      </c>
      <c r="M152" s="1113">
        <v>0</v>
      </c>
      <c r="N152" s="1113">
        <v>0</v>
      </c>
      <c r="O152" s="1113">
        <v>0</v>
      </c>
      <c r="P152" s="1113">
        <v>100</v>
      </c>
      <c r="Q152" s="1113">
        <v>100</v>
      </c>
      <c r="R152" s="1113">
        <v>100</v>
      </c>
      <c r="S152" s="1117"/>
      <c r="T152" s="1117"/>
      <c r="U152" s="1117"/>
      <c r="V152" s="1117"/>
      <c r="W152" s="1117"/>
      <c r="X152" s="1117"/>
      <c r="Y152" s="1007">
        <f t="shared" si="145"/>
        <v>189556618</v>
      </c>
      <c r="Z152" s="1007"/>
      <c r="AA152" s="1007"/>
      <c r="AB152" s="1007"/>
      <c r="AC152" s="1007">
        <f>500000000-100000000-210443382</f>
        <v>189556618</v>
      </c>
      <c r="AD152" s="1007"/>
      <c r="AE152" s="1007"/>
      <c r="AF152" s="1007"/>
      <c r="AG152" s="1007"/>
      <c r="AH152" s="1007"/>
      <c r="AI152" s="1007"/>
      <c r="AJ152" s="1007"/>
      <c r="AK152" s="1007"/>
      <c r="AL152" s="1007"/>
      <c r="AM152" s="1007"/>
      <c r="AN152" s="1007"/>
      <c r="AO152" s="1007"/>
      <c r="AP152" s="1007"/>
      <c r="AQ152" s="1007"/>
      <c r="AR152" s="1007"/>
      <c r="AS152" s="1007"/>
      <c r="AU152" s="1010">
        <f t="shared" si="103"/>
        <v>1</v>
      </c>
      <c r="AV152" s="1007">
        <f t="shared" si="146"/>
        <v>189556618</v>
      </c>
      <c r="AW152" s="1007"/>
      <c r="AX152" s="1007"/>
      <c r="AY152" s="1007"/>
      <c r="AZ152" s="1007">
        <v>189556618</v>
      </c>
      <c r="BA152" s="1007"/>
      <c r="BB152" s="1007"/>
      <c r="BC152" s="1007"/>
      <c r="BD152" s="1007"/>
      <c r="BE152" s="1007"/>
      <c r="BF152" s="1007"/>
      <c r="BG152" s="1007"/>
      <c r="BH152" s="1007"/>
      <c r="BI152" s="1007"/>
      <c r="BJ152" s="1007"/>
      <c r="BK152" s="1007"/>
      <c r="BL152" s="1007"/>
      <c r="BM152" s="1007"/>
      <c r="BN152" s="1007"/>
      <c r="BO152" s="1007"/>
      <c r="BP152" s="1007"/>
      <c r="BQ152" s="1010">
        <f t="shared" si="105"/>
        <v>0</v>
      </c>
      <c r="BR152" s="1007">
        <f t="shared" si="147"/>
        <v>0</v>
      </c>
      <c r="BS152" s="1007">
        <f t="shared" ref="BS152:BS173" si="164">+Z152-AW152</f>
        <v>0</v>
      </c>
      <c r="BT152" s="1007">
        <f t="shared" ref="BT152:BT173" si="165">AA152-AX152</f>
        <v>0</v>
      </c>
      <c r="BU152" s="1007"/>
      <c r="BV152" s="1007">
        <f t="shared" si="162"/>
        <v>0</v>
      </c>
      <c r="BW152" s="1007">
        <f t="shared" si="162"/>
        <v>0</v>
      </c>
      <c r="BX152" s="1007">
        <f t="shared" ref="BX152:BY173" si="166">+AE152-BB152</f>
        <v>0</v>
      </c>
      <c r="BY152" s="1007">
        <f t="shared" si="166"/>
        <v>0</v>
      </c>
      <c r="BZ152" s="1007"/>
      <c r="CA152" s="1007">
        <f t="shared" ref="CA152:CI173" si="167">+AH152-BE152</f>
        <v>0</v>
      </c>
      <c r="CB152" s="1007">
        <f t="shared" si="167"/>
        <v>0</v>
      </c>
      <c r="CC152" s="1007">
        <f t="shared" si="167"/>
        <v>0</v>
      </c>
      <c r="CD152" s="1007">
        <f t="shared" si="167"/>
        <v>0</v>
      </c>
      <c r="CE152" s="1007">
        <f t="shared" si="167"/>
        <v>0</v>
      </c>
      <c r="CF152" s="1007">
        <f t="shared" si="167"/>
        <v>0</v>
      </c>
      <c r="CG152" s="1007">
        <f t="shared" si="167"/>
        <v>0</v>
      </c>
      <c r="CH152" s="1007">
        <f t="shared" si="167"/>
        <v>0</v>
      </c>
      <c r="CI152" s="1007">
        <f t="shared" si="167"/>
        <v>0</v>
      </c>
      <c r="CJ152" s="1007"/>
      <c r="CK152" s="1007">
        <f t="shared" ref="CK152:CL173" si="168">+AR152-BO152</f>
        <v>0</v>
      </c>
      <c r="CL152" s="1007">
        <f t="shared" si="168"/>
        <v>0</v>
      </c>
      <c r="CM152" s="1010">
        <f t="shared" si="113"/>
        <v>1</v>
      </c>
      <c r="CN152" s="1007">
        <f t="shared" si="154"/>
        <v>189556618</v>
      </c>
      <c r="CO152" s="1007"/>
      <c r="CP152" s="1007"/>
      <c r="CQ152" s="1007"/>
      <c r="CR152" s="1007">
        <f>+'[13]JUNIO 2015'!$H$171</f>
        <v>189556618</v>
      </c>
      <c r="CS152" s="1007"/>
      <c r="CT152" s="1007"/>
      <c r="CU152" s="1007"/>
      <c r="CV152" s="1007"/>
      <c r="CW152" s="1007"/>
      <c r="CX152" s="1007"/>
      <c r="CY152" s="1007"/>
      <c r="CZ152" s="1007"/>
      <c r="DA152" s="1007"/>
      <c r="DB152" s="1007"/>
      <c r="DC152" s="1007"/>
      <c r="DD152" s="1007"/>
      <c r="DE152" s="1007"/>
      <c r="DF152" s="1007"/>
      <c r="DG152" s="1007"/>
      <c r="DH152" s="1007"/>
      <c r="DI152" s="1010">
        <f t="shared" si="115"/>
        <v>0</v>
      </c>
      <c r="DJ152" s="1007">
        <f t="shared" si="155"/>
        <v>0</v>
      </c>
      <c r="DK152" s="1007"/>
      <c r="DL152" s="1007"/>
      <c r="DM152" s="1007"/>
      <c r="DN152" s="1007">
        <f t="shared" si="163"/>
        <v>0</v>
      </c>
      <c r="DO152" s="1007">
        <f t="shared" si="163"/>
        <v>0</v>
      </c>
      <c r="DP152" s="1007">
        <f t="shared" si="163"/>
        <v>0</v>
      </c>
      <c r="DQ152" s="1007">
        <f t="shared" si="163"/>
        <v>0</v>
      </c>
      <c r="DR152" s="1007"/>
      <c r="DS152" s="1007">
        <f t="shared" ref="DS152:DT173" si="169">+AH152-CW152</f>
        <v>0</v>
      </c>
      <c r="DT152" s="1007">
        <f t="shared" si="169"/>
        <v>0</v>
      </c>
      <c r="DU152" s="1007"/>
      <c r="DV152" s="1007">
        <f t="shared" ref="DV152:DX173" si="170">AK152-CZ152</f>
        <v>0</v>
      </c>
      <c r="DW152" s="1007">
        <f t="shared" si="170"/>
        <v>0</v>
      </c>
      <c r="DX152" s="1007">
        <f t="shared" si="170"/>
        <v>0</v>
      </c>
      <c r="DY152" s="1007">
        <f t="shared" ref="DY152:EC173" si="171">+AN152-DC152</f>
        <v>0</v>
      </c>
      <c r="DZ152" s="1007">
        <f t="shared" si="171"/>
        <v>0</v>
      </c>
      <c r="EA152" s="1007">
        <f t="shared" si="171"/>
        <v>0</v>
      </c>
      <c r="EB152" s="1007">
        <f t="shared" si="171"/>
        <v>0</v>
      </c>
      <c r="EC152" s="1007"/>
      <c r="ED152" s="1007">
        <f t="shared" ref="ED152:ED173" si="172">+AS152-DH152</f>
        <v>0</v>
      </c>
    </row>
    <row r="153" spans="1:134" ht="48" hidden="1" customHeight="1" x14ac:dyDescent="0.25">
      <c r="A153" s="1590"/>
      <c r="B153" s="989"/>
      <c r="C153" s="852" t="s">
        <v>4514</v>
      </c>
      <c r="D153" s="1018" t="s">
        <v>4550</v>
      </c>
      <c r="E153" s="994">
        <v>211</v>
      </c>
      <c r="F153" s="1117" t="s">
        <v>4482</v>
      </c>
      <c r="G153" s="1429"/>
      <c r="H153" s="1060">
        <f t="shared" si="143"/>
        <v>48956036</v>
      </c>
      <c r="I153" s="1060">
        <f t="shared" si="144"/>
        <v>60887622</v>
      </c>
      <c r="J153" s="1429"/>
      <c r="K153" s="1562"/>
      <c r="L153" s="1562"/>
      <c r="M153" s="1113">
        <v>2</v>
      </c>
      <c r="N153" s="1113">
        <v>0</v>
      </c>
      <c r="O153" s="1113">
        <v>0</v>
      </c>
      <c r="P153" s="1113">
        <v>45</v>
      </c>
      <c r="Q153" s="1113">
        <v>35</v>
      </c>
      <c r="R153" s="1113">
        <v>16</v>
      </c>
      <c r="S153" s="1117"/>
      <c r="T153" s="1117"/>
      <c r="U153" s="1117"/>
      <c r="V153" s="1117"/>
      <c r="W153" s="1117"/>
      <c r="X153" s="1117"/>
      <c r="Y153" s="1007">
        <f t="shared" si="145"/>
        <v>109843658</v>
      </c>
      <c r="Z153" s="1007"/>
      <c r="AA153" s="1007"/>
      <c r="AB153" s="1007"/>
      <c r="AC153" s="1007">
        <f>498457340+300000000-790156342</f>
        <v>8300998</v>
      </c>
      <c r="AD153" s="1007"/>
      <c r="AE153" s="1007"/>
      <c r="AF153" s="1007"/>
      <c r="AG153" s="1007"/>
      <c r="AH153" s="1007"/>
      <c r="AI153" s="1007"/>
      <c r="AJ153" s="1007"/>
      <c r="AK153" s="1007">
        <v>101542660</v>
      </c>
      <c r="AL153" s="1007"/>
      <c r="AM153" s="1007"/>
      <c r="AN153" s="1007"/>
      <c r="AO153" s="1007"/>
      <c r="AP153" s="1007"/>
      <c r="AQ153" s="1007"/>
      <c r="AR153" s="1007"/>
      <c r="AS153" s="1007"/>
      <c r="AU153" s="1010">
        <f t="shared" si="103"/>
        <v>0.4456883254925833</v>
      </c>
      <c r="AV153" s="1007">
        <f t="shared" si="146"/>
        <v>48956036</v>
      </c>
      <c r="AW153" s="1007"/>
      <c r="AX153" s="1007"/>
      <c r="AY153" s="1007"/>
      <c r="AZ153" s="1007">
        <f>+'[13]JUNIO 2015'!$M$180</f>
        <v>8300998</v>
      </c>
      <c r="BA153" s="1007"/>
      <c r="BB153" s="1007"/>
      <c r="BC153" s="1007"/>
      <c r="BD153" s="1007"/>
      <c r="BE153" s="1007"/>
      <c r="BF153" s="1007"/>
      <c r="BG153" s="1007"/>
      <c r="BH153" s="1007">
        <f>+'[13]JUNIO 2015'!$U$180</f>
        <v>40655038</v>
      </c>
      <c r="BI153" s="1007"/>
      <c r="BJ153" s="1007"/>
      <c r="BK153" s="1007"/>
      <c r="BL153" s="1007"/>
      <c r="BM153" s="1007"/>
      <c r="BN153" s="1007"/>
      <c r="BO153" s="1007"/>
      <c r="BP153" s="1007"/>
      <c r="BQ153" s="1010">
        <f t="shared" si="105"/>
        <v>0.5543116745074167</v>
      </c>
      <c r="BR153" s="1007">
        <f t="shared" si="147"/>
        <v>60887622</v>
      </c>
      <c r="BS153" s="1007">
        <f t="shared" si="164"/>
        <v>0</v>
      </c>
      <c r="BT153" s="1007">
        <f t="shared" si="165"/>
        <v>0</v>
      </c>
      <c r="BU153" s="1007"/>
      <c r="BV153" s="1007">
        <f t="shared" si="162"/>
        <v>0</v>
      </c>
      <c r="BW153" s="1007">
        <f t="shared" si="162"/>
        <v>0</v>
      </c>
      <c r="BX153" s="1007">
        <f t="shared" si="166"/>
        <v>0</v>
      </c>
      <c r="BY153" s="1007">
        <f t="shared" si="166"/>
        <v>0</v>
      </c>
      <c r="BZ153" s="1007"/>
      <c r="CA153" s="1007">
        <f t="shared" si="167"/>
        <v>0</v>
      </c>
      <c r="CB153" s="1007">
        <f t="shared" si="167"/>
        <v>0</v>
      </c>
      <c r="CC153" s="1007">
        <f t="shared" si="167"/>
        <v>0</v>
      </c>
      <c r="CD153" s="1007">
        <f t="shared" si="167"/>
        <v>60887622</v>
      </c>
      <c r="CE153" s="1007">
        <f t="shared" si="167"/>
        <v>0</v>
      </c>
      <c r="CF153" s="1007">
        <f t="shared" si="167"/>
        <v>0</v>
      </c>
      <c r="CG153" s="1007">
        <f t="shared" si="167"/>
        <v>0</v>
      </c>
      <c r="CH153" s="1007">
        <f t="shared" si="167"/>
        <v>0</v>
      </c>
      <c r="CI153" s="1007">
        <f t="shared" si="167"/>
        <v>0</v>
      </c>
      <c r="CJ153" s="1007"/>
      <c r="CK153" s="1007">
        <f t="shared" si="168"/>
        <v>0</v>
      </c>
      <c r="CL153" s="1007">
        <f t="shared" si="168"/>
        <v>0</v>
      </c>
      <c r="CM153" s="1010">
        <f t="shared" si="113"/>
        <v>0.4456883254925833</v>
      </c>
      <c r="CN153" s="1007">
        <f t="shared" si="154"/>
        <v>48956036</v>
      </c>
      <c r="CO153" s="1007"/>
      <c r="CP153" s="1007"/>
      <c r="CQ153" s="1007"/>
      <c r="CR153" s="1007">
        <f>+'[9]ABRIL 2015'!$H$166</f>
        <v>8300998</v>
      </c>
      <c r="CS153" s="1007"/>
      <c r="CT153" s="1007"/>
      <c r="CU153" s="1007"/>
      <c r="CV153" s="1007"/>
      <c r="CW153" s="1007"/>
      <c r="CX153" s="1007"/>
      <c r="CY153" s="1007"/>
      <c r="CZ153" s="1007">
        <f>8301038+32354000</f>
        <v>40655038</v>
      </c>
      <c r="DA153" s="1007"/>
      <c r="DB153" s="1007"/>
      <c r="DC153" s="1007"/>
      <c r="DD153" s="1007"/>
      <c r="DE153" s="1007"/>
      <c r="DF153" s="1007"/>
      <c r="DG153" s="1007"/>
      <c r="DH153" s="1007"/>
      <c r="DI153" s="1010">
        <f t="shared" si="115"/>
        <v>0.5543116745074167</v>
      </c>
      <c r="DJ153" s="1007">
        <f t="shared" si="155"/>
        <v>60887622</v>
      </c>
      <c r="DK153" s="1007"/>
      <c r="DL153" s="1007"/>
      <c r="DM153" s="1007"/>
      <c r="DN153" s="1007">
        <f t="shared" si="163"/>
        <v>0</v>
      </c>
      <c r="DO153" s="1007">
        <f t="shared" si="163"/>
        <v>0</v>
      </c>
      <c r="DP153" s="1007">
        <f t="shared" si="163"/>
        <v>0</v>
      </c>
      <c r="DQ153" s="1007">
        <f t="shared" si="163"/>
        <v>0</v>
      </c>
      <c r="DR153" s="1007"/>
      <c r="DS153" s="1007">
        <f t="shared" si="169"/>
        <v>0</v>
      </c>
      <c r="DT153" s="1007">
        <f t="shared" si="169"/>
        <v>0</v>
      </c>
      <c r="DU153" s="1007"/>
      <c r="DV153" s="1007">
        <f t="shared" si="170"/>
        <v>60887622</v>
      </c>
      <c r="DW153" s="1007">
        <f t="shared" si="170"/>
        <v>0</v>
      </c>
      <c r="DX153" s="1007">
        <f t="shared" si="170"/>
        <v>0</v>
      </c>
      <c r="DY153" s="1007">
        <f t="shared" si="171"/>
        <v>0</v>
      </c>
      <c r="DZ153" s="1007">
        <f t="shared" si="171"/>
        <v>0</v>
      </c>
      <c r="EA153" s="1007">
        <f t="shared" si="171"/>
        <v>0</v>
      </c>
      <c r="EB153" s="1007">
        <f t="shared" si="171"/>
        <v>0</v>
      </c>
      <c r="EC153" s="1007"/>
      <c r="ED153" s="1007">
        <f t="shared" si="172"/>
        <v>0</v>
      </c>
    </row>
    <row r="154" spans="1:134" s="203" customFormat="1" ht="36" hidden="1" customHeight="1" x14ac:dyDescent="0.25">
      <c r="A154" s="1590"/>
      <c r="B154" s="989"/>
      <c r="C154" s="1080" t="s">
        <v>4515</v>
      </c>
      <c r="D154" s="1018" t="s">
        <v>4551</v>
      </c>
      <c r="E154" s="996">
        <v>211</v>
      </c>
      <c r="F154" s="1117" t="s">
        <v>4482</v>
      </c>
      <c r="G154" s="1429"/>
      <c r="H154" s="1060">
        <f t="shared" si="143"/>
        <v>0</v>
      </c>
      <c r="I154" s="1060">
        <f t="shared" si="144"/>
        <v>0</v>
      </c>
      <c r="J154" s="1430"/>
      <c r="K154" s="1258"/>
      <c r="L154" s="1258"/>
      <c r="M154" s="1074">
        <v>0</v>
      </c>
      <c r="N154" s="1074">
        <v>0</v>
      </c>
      <c r="O154" s="1074">
        <v>0</v>
      </c>
      <c r="P154" s="1074"/>
      <c r="Q154" s="1074"/>
      <c r="R154" s="1074"/>
      <c r="S154" s="1117"/>
      <c r="T154" s="1117"/>
      <c r="U154" s="1117"/>
      <c r="V154" s="1117"/>
      <c r="W154" s="1117"/>
      <c r="X154" s="1117"/>
      <c r="Y154" s="1066">
        <f t="shared" si="145"/>
        <v>0</v>
      </c>
      <c r="Z154" s="149"/>
      <c r="AA154" s="149"/>
      <c r="AB154" s="149"/>
      <c r="AC154" s="1066">
        <f>600000000-600000000</f>
        <v>0</v>
      </c>
      <c r="AD154" s="149"/>
      <c r="AE154" s="149"/>
      <c r="AF154" s="1066"/>
      <c r="AG154" s="1066"/>
      <c r="AH154" s="1066"/>
      <c r="AI154" s="1066"/>
      <c r="AJ154" s="1066"/>
      <c r="AK154" s="1066"/>
      <c r="AL154" s="1066"/>
      <c r="AM154" s="149"/>
      <c r="AN154" s="149"/>
      <c r="AO154" s="149"/>
      <c r="AP154" s="149"/>
      <c r="AQ154" s="149"/>
      <c r="AR154" s="149"/>
      <c r="AS154" s="1066"/>
      <c r="AU154" s="1081" t="e">
        <f t="shared" si="103"/>
        <v>#DIV/0!</v>
      </c>
      <c r="AV154" s="1066">
        <f t="shared" si="146"/>
        <v>0</v>
      </c>
      <c r="AW154" s="1066"/>
      <c r="AX154" s="1066"/>
      <c r="AY154" s="1066"/>
      <c r="AZ154" s="1066"/>
      <c r="BA154" s="1066"/>
      <c r="BB154" s="1066"/>
      <c r="BC154" s="1066"/>
      <c r="BD154" s="1066"/>
      <c r="BE154" s="1066"/>
      <c r="BF154" s="1066"/>
      <c r="BG154" s="1066"/>
      <c r="BH154" s="1066"/>
      <c r="BI154" s="1066"/>
      <c r="BJ154" s="1066"/>
      <c r="BK154" s="1066"/>
      <c r="BL154" s="1066"/>
      <c r="BM154" s="1066"/>
      <c r="BN154" s="1066"/>
      <c r="BO154" s="1066"/>
      <c r="BP154" s="1066"/>
      <c r="BQ154" s="1081" t="e">
        <f t="shared" si="105"/>
        <v>#DIV/0!</v>
      </c>
      <c r="BR154" s="1066">
        <f t="shared" si="147"/>
        <v>0</v>
      </c>
      <c r="BS154" s="1066">
        <f t="shared" si="164"/>
        <v>0</v>
      </c>
      <c r="BT154" s="1066">
        <f t="shared" si="165"/>
        <v>0</v>
      </c>
      <c r="BU154" s="1066"/>
      <c r="BV154" s="1066">
        <f t="shared" si="162"/>
        <v>0</v>
      </c>
      <c r="BW154" s="1066">
        <f t="shared" si="162"/>
        <v>0</v>
      </c>
      <c r="BX154" s="1066">
        <f t="shared" si="166"/>
        <v>0</v>
      </c>
      <c r="BY154" s="1066">
        <f t="shared" si="166"/>
        <v>0</v>
      </c>
      <c r="BZ154" s="1066"/>
      <c r="CA154" s="1066">
        <f t="shared" si="167"/>
        <v>0</v>
      </c>
      <c r="CB154" s="1066">
        <f t="shared" si="167"/>
        <v>0</v>
      </c>
      <c r="CC154" s="1066">
        <f t="shared" si="167"/>
        <v>0</v>
      </c>
      <c r="CD154" s="1066">
        <f t="shared" si="167"/>
        <v>0</v>
      </c>
      <c r="CE154" s="1066">
        <f t="shared" si="167"/>
        <v>0</v>
      </c>
      <c r="CF154" s="1066">
        <f t="shared" si="167"/>
        <v>0</v>
      </c>
      <c r="CG154" s="1066">
        <f t="shared" si="167"/>
        <v>0</v>
      </c>
      <c r="CH154" s="1066">
        <f t="shared" si="167"/>
        <v>0</v>
      </c>
      <c r="CI154" s="1066">
        <f t="shared" si="167"/>
        <v>0</v>
      </c>
      <c r="CJ154" s="1066"/>
      <c r="CK154" s="1066">
        <f t="shared" si="168"/>
        <v>0</v>
      </c>
      <c r="CL154" s="1066">
        <f t="shared" si="168"/>
        <v>0</v>
      </c>
      <c r="CM154" s="1081" t="e">
        <f t="shared" si="113"/>
        <v>#DIV/0!</v>
      </c>
      <c r="CN154" s="1066">
        <f t="shared" si="154"/>
        <v>0</v>
      </c>
      <c r="CO154" s="1066"/>
      <c r="CP154" s="1066"/>
      <c r="CQ154" s="1066"/>
      <c r="CR154" s="1066"/>
      <c r="CS154" s="1066"/>
      <c r="CT154" s="1066"/>
      <c r="CU154" s="1066"/>
      <c r="CV154" s="1066"/>
      <c r="CW154" s="1066"/>
      <c r="CX154" s="1066"/>
      <c r="CY154" s="1066"/>
      <c r="CZ154" s="1066"/>
      <c r="DA154" s="1066"/>
      <c r="DB154" s="1066"/>
      <c r="DC154" s="1066"/>
      <c r="DD154" s="1066"/>
      <c r="DE154" s="1066"/>
      <c r="DF154" s="1066"/>
      <c r="DG154" s="1066"/>
      <c r="DH154" s="1066"/>
      <c r="DI154" s="1081" t="e">
        <f t="shared" si="115"/>
        <v>#DIV/0!</v>
      </c>
      <c r="DJ154" s="1066">
        <f t="shared" si="155"/>
        <v>0</v>
      </c>
      <c r="DK154" s="1066"/>
      <c r="DL154" s="1066"/>
      <c r="DM154" s="1066"/>
      <c r="DN154" s="1066">
        <f t="shared" si="163"/>
        <v>0</v>
      </c>
      <c r="DO154" s="1066">
        <f t="shared" si="163"/>
        <v>0</v>
      </c>
      <c r="DP154" s="1066">
        <f t="shared" si="163"/>
        <v>0</v>
      </c>
      <c r="DQ154" s="1066">
        <f t="shared" si="163"/>
        <v>0</v>
      </c>
      <c r="DR154" s="1066"/>
      <c r="DS154" s="1066">
        <f t="shared" si="169"/>
        <v>0</v>
      </c>
      <c r="DT154" s="1066">
        <f t="shared" si="169"/>
        <v>0</v>
      </c>
      <c r="DU154" s="1066"/>
      <c r="DV154" s="1066">
        <f t="shared" si="170"/>
        <v>0</v>
      </c>
      <c r="DW154" s="1066">
        <f t="shared" si="170"/>
        <v>0</v>
      </c>
      <c r="DX154" s="1066">
        <f t="shared" si="170"/>
        <v>0</v>
      </c>
      <c r="DY154" s="1066">
        <f t="shared" si="171"/>
        <v>0</v>
      </c>
      <c r="DZ154" s="1066">
        <f t="shared" si="171"/>
        <v>0</v>
      </c>
      <c r="EA154" s="1066">
        <f t="shared" si="171"/>
        <v>0</v>
      </c>
      <c r="EB154" s="1066">
        <f t="shared" si="171"/>
        <v>0</v>
      </c>
      <c r="EC154" s="1066">
        <f t="shared" si="171"/>
        <v>0</v>
      </c>
      <c r="ED154" s="1066">
        <f t="shared" si="172"/>
        <v>0</v>
      </c>
    </row>
    <row r="155" spans="1:134" ht="48.75" hidden="1" customHeight="1" x14ac:dyDescent="0.25">
      <c r="A155" s="1590"/>
      <c r="B155" s="989"/>
      <c r="C155" s="852" t="s">
        <v>4516</v>
      </c>
      <c r="D155" s="1018" t="s">
        <v>4726</v>
      </c>
      <c r="E155" s="994">
        <v>211</v>
      </c>
      <c r="F155" s="1117" t="s">
        <v>4482</v>
      </c>
      <c r="G155" s="1429"/>
      <c r="H155" s="1060">
        <f t="shared" si="143"/>
        <v>372698968</v>
      </c>
      <c r="I155" s="1060">
        <f t="shared" si="144"/>
        <v>2518133</v>
      </c>
      <c r="J155" s="1597">
        <v>60</v>
      </c>
      <c r="K155" s="1598">
        <v>78</v>
      </c>
      <c r="L155" s="1198">
        <v>62</v>
      </c>
      <c r="M155" s="1116">
        <v>0</v>
      </c>
      <c r="N155" s="1116">
        <v>0</v>
      </c>
      <c r="O155" s="1116">
        <v>0</v>
      </c>
      <c r="P155" s="1113">
        <v>0</v>
      </c>
      <c r="Q155" s="1113">
        <v>0</v>
      </c>
      <c r="R155" s="1113">
        <v>0</v>
      </c>
      <c r="S155" s="1117"/>
      <c r="T155" s="1117"/>
      <c r="U155" s="1117"/>
      <c r="V155" s="1117"/>
      <c r="W155" s="1117"/>
      <c r="X155" s="1117"/>
      <c r="Y155" s="1007">
        <f t="shared" si="145"/>
        <v>375217101</v>
      </c>
      <c r="Z155" s="944"/>
      <c r="AA155" s="944"/>
      <c r="AB155" s="944"/>
      <c r="AC155" s="1007">
        <f>1007000000-631782899</f>
        <v>375217101</v>
      </c>
      <c r="AD155" s="944"/>
      <c r="AE155" s="944"/>
      <c r="AF155" s="1007"/>
      <c r="AG155" s="1007"/>
      <c r="AH155" s="1007"/>
      <c r="AI155" s="1007"/>
      <c r="AJ155" s="1007"/>
      <c r="AK155" s="1007"/>
      <c r="AL155" s="1007"/>
      <c r="AM155" s="149"/>
      <c r="AN155" s="149"/>
      <c r="AO155" s="149"/>
      <c r="AP155" s="149"/>
      <c r="AQ155" s="149"/>
      <c r="AR155" s="149"/>
      <c r="AS155" s="1007"/>
      <c r="AU155" s="1010">
        <f t="shared" si="103"/>
        <v>0.99328886398490668</v>
      </c>
      <c r="AV155" s="1007">
        <f t="shared" si="146"/>
        <v>372698968</v>
      </c>
      <c r="AW155" s="1007"/>
      <c r="AX155" s="1007"/>
      <c r="AY155" s="1007"/>
      <c r="AZ155" s="1007">
        <f>+'[10]JULIO 2015'!$M$208</f>
        <v>372698968</v>
      </c>
      <c r="BA155" s="1007"/>
      <c r="BB155" s="1007"/>
      <c r="BC155" s="1007"/>
      <c r="BD155" s="1007"/>
      <c r="BE155" s="1007"/>
      <c r="BF155" s="1007"/>
      <c r="BG155" s="1007"/>
      <c r="BH155" s="1007"/>
      <c r="BI155" s="1007"/>
      <c r="BJ155" s="1007"/>
      <c r="BK155" s="1007"/>
      <c r="BL155" s="1007"/>
      <c r="BM155" s="1007"/>
      <c r="BN155" s="1007"/>
      <c r="BO155" s="1007"/>
      <c r="BP155" s="1007"/>
      <c r="BQ155" s="1010">
        <f t="shared" si="105"/>
        <v>6.7111360150933219E-3</v>
      </c>
      <c r="BR155" s="1007">
        <f t="shared" si="147"/>
        <v>2518133</v>
      </c>
      <c r="BS155" s="1007">
        <f t="shared" si="164"/>
        <v>0</v>
      </c>
      <c r="BT155" s="1007">
        <f t="shared" si="165"/>
        <v>0</v>
      </c>
      <c r="BU155" s="1007"/>
      <c r="BV155" s="1007">
        <f t="shared" si="162"/>
        <v>2518133</v>
      </c>
      <c r="BW155" s="1007">
        <f t="shared" si="162"/>
        <v>0</v>
      </c>
      <c r="BX155" s="1007">
        <f t="shared" si="166"/>
        <v>0</v>
      </c>
      <c r="BY155" s="1007">
        <f t="shared" si="166"/>
        <v>0</v>
      </c>
      <c r="BZ155" s="1007"/>
      <c r="CA155" s="1007">
        <f t="shared" si="167"/>
        <v>0</v>
      </c>
      <c r="CB155" s="1007">
        <f t="shared" si="167"/>
        <v>0</v>
      </c>
      <c r="CC155" s="1007">
        <f t="shared" si="167"/>
        <v>0</v>
      </c>
      <c r="CD155" s="1007">
        <f t="shared" si="167"/>
        <v>0</v>
      </c>
      <c r="CE155" s="1007">
        <f t="shared" si="167"/>
        <v>0</v>
      </c>
      <c r="CF155" s="1007">
        <f t="shared" si="167"/>
        <v>0</v>
      </c>
      <c r="CG155" s="1007">
        <f t="shared" si="167"/>
        <v>0</v>
      </c>
      <c r="CH155" s="1007">
        <f t="shared" si="167"/>
        <v>0</v>
      </c>
      <c r="CI155" s="1007">
        <f t="shared" si="167"/>
        <v>0</v>
      </c>
      <c r="CJ155" s="1007"/>
      <c r="CK155" s="1007">
        <f t="shared" si="168"/>
        <v>0</v>
      </c>
      <c r="CL155" s="1007">
        <f t="shared" si="168"/>
        <v>0</v>
      </c>
      <c r="CM155" s="1010">
        <f t="shared" si="113"/>
        <v>0.99328886398490668</v>
      </c>
      <c r="CN155" s="1007">
        <f t="shared" si="154"/>
        <v>372698968</v>
      </c>
      <c r="CO155" s="1007"/>
      <c r="CP155" s="1007"/>
      <c r="CQ155" s="1007"/>
      <c r="CR155" s="1007">
        <f>+'[7]AGOSTO 2015'!$H$214</f>
        <v>372698968</v>
      </c>
      <c r="CS155" s="1007"/>
      <c r="CT155" s="1007"/>
      <c r="CU155" s="1007"/>
      <c r="CV155" s="1007"/>
      <c r="CW155" s="1007"/>
      <c r="CX155" s="1007"/>
      <c r="CY155" s="1007"/>
      <c r="CZ155" s="1007"/>
      <c r="DA155" s="1007"/>
      <c r="DB155" s="1007"/>
      <c r="DC155" s="1007"/>
      <c r="DD155" s="1007"/>
      <c r="DE155" s="1007"/>
      <c r="DF155" s="1007"/>
      <c r="DG155" s="1007"/>
      <c r="DH155" s="1007"/>
      <c r="DI155" s="1010">
        <f t="shared" si="115"/>
        <v>6.7111360150933219E-3</v>
      </c>
      <c r="DJ155" s="1007">
        <f t="shared" si="155"/>
        <v>2518133</v>
      </c>
      <c r="DK155" s="1007"/>
      <c r="DL155" s="1007"/>
      <c r="DM155" s="1007"/>
      <c r="DN155" s="1007">
        <f t="shared" si="163"/>
        <v>2518133</v>
      </c>
      <c r="DO155" s="1007">
        <f t="shared" si="163"/>
        <v>0</v>
      </c>
      <c r="DP155" s="1007">
        <f t="shared" si="163"/>
        <v>0</v>
      </c>
      <c r="DQ155" s="1007">
        <f t="shared" si="163"/>
        <v>0</v>
      </c>
      <c r="DR155" s="1007"/>
      <c r="DS155" s="1007">
        <f t="shared" si="169"/>
        <v>0</v>
      </c>
      <c r="DT155" s="1007">
        <f t="shared" si="169"/>
        <v>0</v>
      </c>
      <c r="DU155" s="1007"/>
      <c r="DV155" s="1007">
        <f t="shared" si="170"/>
        <v>0</v>
      </c>
      <c r="DW155" s="1007">
        <f t="shared" si="170"/>
        <v>0</v>
      </c>
      <c r="DX155" s="1007">
        <f t="shared" si="170"/>
        <v>0</v>
      </c>
      <c r="DY155" s="1007">
        <f t="shared" si="171"/>
        <v>0</v>
      </c>
      <c r="DZ155" s="1007">
        <f t="shared" si="171"/>
        <v>0</v>
      </c>
      <c r="EA155" s="1007">
        <f t="shared" si="171"/>
        <v>0</v>
      </c>
      <c r="EB155" s="1007">
        <f t="shared" si="171"/>
        <v>0</v>
      </c>
      <c r="EC155" s="1007">
        <f t="shared" si="171"/>
        <v>0</v>
      </c>
      <c r="ED155" s="1007">
        <f t="shared" si="172"/>
        <v>0</v>
      </c>
    </row>
    <row r="156" spans="1:134" ht="49.5" hidden="1" customHeight="1" x14ac:dyDescent="0.25">
      <c r="A156" s="1590"/>
      <c r="B156" s="989"/>
      <c r="C156" s="852" t="s">
        <v>4517</v>
      </c>
      <c r="D156" s="1018" t="s">
        <v>4552</v>
      </c>
      <c r="E156" s="994">
        <v>211</v>
      </c>
      <c r="F156" s="1117" t="s">
        <v>4482</v>
      </c>
      <c r="G156" s="1429"/>
      <c r="H156" s="1060">
        <f t="shared" si="143"/>
        <v>244800000</v>
      </c>
      <c r="I156" s="1060">
        <f t="shared" si="144"/>
        <v>0</v>
      </c>
      <c r="J156" s="1597"/>
      <c r="K156" s="1598"/>
      <c r="L156" s="1198"/>
      <c r="M156" s="1116">
        <v>0</v>
      </c>
      <c r="N156" s="1116">
        <v>0</v>
      </c>
      <c r="O156" s="1116">
        <v>0</v>
      </c>
      <c r="P156" s="1113">
        <v>100</v>
      </c>
      <c r="Q156" s="1113">
        <v>40</v>
      </c>
      <c r="R156" s="1113">
        <v>40</v>
      </c>
      <c r="S156" s="1117"/>
      <c r="T156" s="1117"/>
      <c r="U156" s="1117"/>
      <c r="V156" s="1117"/>
      <c r="W156" s="1117"/>
      <c r="X156" s="1117"/>
      <c r="Y156" s="1007">
        <f t="shared" si="145"/>
        <v>244800000</v>
      </c>
      <c r="Z156" s="944"/>
      <c r="AA156" s="944"/>
      <c r="AB156" s="944"/>
      <c r="AC156" s="1007">
        <f>2000000000-1755200000</f>
        <v>244800000</v>
      </c>
      <c r="AD156" s="944"/>
      <c r="AE156" s="944"/>
      <c r="AF156" s="1007"/>
      <c r="AG156" s="1007"/>
      <c r="AH156" s="1007"/>
      <c r="AI156" s="1007"/>
      <c r="AJ156" s="1007"/>
      <c r="AK156" s="1007"/>
      <c r="AL156" s="1007"/>
      <c r="AM156" s="149"/>
      <c r="AN156" s="149"/>
      <c r="AO156" s="149"/>
      <c r="AP156" s="149"/>
      <c r="AQ156" s="149"/>
      <c r="AR156" s="149"/>
      <c r="AS156" s="1007"/>
      <c r="AU156" s="1010">
        <f t="shared" si="103"/>
        <v>1</v>
      </c>
      <c r="AV156" s="1007">
        <f t="shared" si="146"/>
        <v>244800000</v>
      </c>
      <c r="AW156" s="1007"/>
      <c r="AX156" s="1007"/>
      <c r="AY156" s="1007"/>
      <c r="AZ156" s="1007">
        <f>+'[9]ABRIL 2015'!$G$182</f>
        <v>244800000</v>
      </c>
      <c r="BA156" s="1007"/>
      <c r="BB156" s="1007"/>
      <c r="BC156" s="1007"/>
      <c r="BD156" s="1007"/>
      <c r="BE156" s="1007"/>
      <c r="BF156" s="1007"/>
      <c r="BG156" s="1007"/>
      <c r="BH156" s="1007"/>
      <c r="BI156" s="1007"/>
      <c r="BJ156" s="1007"/>
      <c r="BK156" s="1007"/>
      <c r="BL156" s="1007"/>
      <c r="BM156" s="1007"/>
      <c r="BN156" s="1007"/>
      <c r="BO156" s="1007"/>
      <c r="BP156" s="1007"/>
      <c r="BQ156" s="1010">
        <f t="shared" si="105"/>
        <v>0</v>
      </c>
      <c r="BR156" s="1007">
        <f t="shared" si="147"/>
        <v>0</v>
      </c>
      <c r="BS156" s="1007">
        <f t="shared" si="164"/>
        <v>0</v>
      </c>
      <c r="BT156" s="1007">
        <f t="shared" si="165"/>
        <v>0</v>
      </c>
      <c r="BU156" s="1007"/>
      <c r="BV156" s="1007">
        <f t="shared" si="162"/>
        <v>0</v>
      </c>
      <c r="BW156" s="1007">
        <f t="shared" si="162"/>
        <v>0</v>
      </c>
      <c r="BX156" s="1007">
        <f t="shared" si="166"/>
        <v>0</v>
      </c>
      <c r="BY156" s="1007">
        <f t="shared" si="166"/>
        <v>0</v>
      </c>
      <c r="BZ156" s="1007"/>
      <c r="CA156" s="1007">
        <f t="shared" si="167"/>
        <v>0</v>
      </c>
      <c r="CB156" s="1007">
        <f t="shared" si="167"/>
        <v>0</v>
      </c>
      <c r="CC156" s="1007">
        <f t="shared" si="167"/>
        <v>0</v>
      </c>
      <c r="CD156" s="1007">
        <f t="shared" si="167"/>
        <v>0</v>
      </c>
      <c r="CE156" s="1007">
        <f t="shared" si="167"/>
        <v>0</v>
      </c>
      <c r="CF156" s="1007">
        <f t="shared" si="167"/>
        <v>0</v>
      </c>
      <c r="CG156" s="1007">
        <f t="shared" si="167"/>
        <v>0</v>
      </c>
      <c r="CH156" s="1007">
        <f t="shared" si="167"/>
        <v>0</v>
      </c>
      <c r="CI156" s="1007">
        <f t="shared" si="167"/>
        <v>0</v>
      </c>
      <c r="CJ156" s="1007"/>
      <c r="CK156" s="1007">
        <f t="shared" si="168"/>
        <v>0</v>
      </c>
      <c r="CL156" s="1007">
        <f t="shared" si="168"/>
        <v>0</v>
      </c>
      <c r="CM156" s="1010">
        <f t="shared" si="113"/>
        <v>1</v>
      </c>
      <c r="CN156" s="1007">
        <f t="shared" si="154"/>
        <v>244800000</v>
      </c>
      <c r="CO156" s="1007"/>
      <c r="CP156" s="1007"/>
      <c r="CQ156" s="1007"/>
      <c r="CR156" s="1007">
        <v>244800000</v>
      </c>
      <c r="CS156" s="1007"/>
      <c r="CT156" s="1007"/>
      <c r="CU156" s="1007"/>
      <c r="CV156" s="1007"/>
      <c r="CW156" s="1007"/>
      <c r="CX156" s="1007"/>
      <c r="CY156" s="1007"/>
      <c r="CZ156" s="1007"/>
      <c r="DA156" s="1007"/>
      <c r="DB156" s="1007"/>
      <c r="DC156" s="1007"/>
      <c r="DD156" s="1007"/>
      <c r="DE156" s="1007"/>
      <c r="DF156" s="1007"/>
      <c r="DG156" s="1007"/>
      <c r="DH156" s="1007"/>
      <c r="DI156" s="1010">
        <f t="shared" si="115"/>
        <v>0</v>
      </c>
      <c r="DJ156" s="1007">
        <f t="shared" si="155"/>
        <v>0</v>
      </c>
      <c r="DK156" s="1007"/>
      <c r="DL156" s="1007"/>
      <c r="DM156" s="1007"/>
      <c r="DN156" s="1007">
        <f t="shared" si="163"/>
        <v>0</v>
      </c>
      <c r="DO156" s="1007">
        <f t="shared" si="163"/>
        <v>0</v>
      </c>
      <c r="DP156" s="1007">
        <f t="shared" si="163"/>
        <v>0</v>
      </c>
      <c r="DQ156" s="1007">
        <f t="shared" si="163"/>
        <v>0</v>
      </c>
      <c r="DR156" s="1007"/>
      <c r="DS156" s="1007">
        <f t="shared" si="169"/>
        <v>0</v>
      </c>
      <c r="DT156" s="1007">
        <f t="shared" si="169"/>
        <v>0</v>
      </c>
      <c r="DU156" s="1007"/>
      <c r="DV156" s="1007">
        <f t="shared" si="170"/>
        <v>0</v>
      </c>
      <c r="DW156" s="1007">
        <f t="shared" si="170"/>
        <v>0</v>
      </c>
      <c r="DX156" s="1007">
        <f t="shared" si="170"/>
        <v>0</v>
      </c>
      <c r="DY156" s="1007">
        <f t="shared" si="171"/>
        <v>0</v>
      </c>
      <c r="DZ156" s="1007">
        <f t="shared" si="171"/>
        <v>0</v>
      </c>
      <c r="EA156" s="1007">
        <f t="shared" si="171"/>
        <v>0</v>
      </c>
      <c r="EB156" s="1007">
        <f t="shared" si="171"/>
        <v>0</v>
      </c>
      <c r="EC156" s="1007">
        <f t="shared" si="171"/>
        <v>0</v>
      </c>
      <c r="ED156" s="1007">
        <f t="shared" si="172"/>
        <v>0</v>
      </c>
    </row>
    <row r="157" spans="1:134" ht="22.5" hidden="1" customHeight="1" x14ac:dyDescent="0.25">
      <c r="A157" s="1590"/>
      <c r="B157" s="989"/>
      <c r="C157" s="852" t="s">
        <v>4518</v>
      </c>
      <c r="D157" s="1018" t="s">
        <v>4553</v>
      </c>
      <c r="E157" s="994">
        <v>211</v>
      </c>
      <c r="F157" s="1117" t="s">
        <v>4482</v>
      </c>
      <c r="G157" s="1429"/>
      <c r="H157" s="1060">
        <f t="shared" si="143"/>
        <v>96000000</v>
      </c>
      <c r="I157" s="1060">
        <f t="shared" si="144"/>
        <v>250985280</v>
      </c>
      <c r="J157" s="1597"/>
      <c r="K157" s="1598"/>
      <c r="L157" s="1198"/>
      <c r="M157" s="1116">
        <v>0</v>
      </c>
      <c r="N157" s="1116">
        <v>0</v>
      </c>
      <c r="O157" s="1116">
        <v>0</v>
      </c>
      <c r="P157" s="1113">
        <v>13</v>
      </c>
      <c r="Q157" s="1113">
        <v>5</v>
      </c>
      <c r="R157" s="1113">
        <v>1</v>
      </c>
      <c r="S157" s="1117"/>
      <c r="T157" s="1117"/>
      <c r="U157" s="1117"/>
      <c r="V157" s="1117"/>
      <c r="W157" s="1117"/>
      <c r="X157" s="1117"/>
      <c r="Y157" s="1007">
        <f t="shared" si="145"/>
        <v>346985280</v>
      </c>
      <c r="Z157" s="944"/>
      <c r="AA157" s="944"/>
      <c r="AB157" s="944"/>
      <c r="AC157" s="1007">
        <f>178840000+200000000-72884540+72884540-31854720</f>
        <v>346985280</v>
      </c>
      <c r="AD157" s="1007">
        <f>72884540-72884540</f>
        <v>0</v>
      </c>
      <c r="AE157" s="944"/>
      <c r="AF157" s="1007"/>
      <c r="AG157" s="1007"/>
      <c r="AH157" s="1007"/>
      <c r="AI157" s="1007"/>
      <c r="AJ157" s="1007"/>
      <c r="AK157" s="1007"/>
      <c r="AL157" s="1007"/>
      <c r="AM157" s="149"/>
      <c r="AN157" s="149"/>
      <c r="AO157" s="149"/>
      <c r="AP157" s="149"/>
      <c r="AQ157" s="149"/>
      <c r="AR157" s="149"/>
      <c r="AS157" s="1007"/>
      <c r="AU157" s="1010">
        <f t="shared" si="103"/>
        <v>0.27666879701640368</v>
      </c>
      <c r="AV157" s="1007">
        <f t="shared" si="146"/>
        <v>96000000</v>
      </c>
      <c r="AW157" s="1007"/>
      <c r="AX157" s="1007"/>
      <c r="AY157" s="1007"/>
      <c r="AZ157" s="1007">
        <f>+'[7]AGOSTO 2015'!$M$233</f>
        <v>96000000</v>
      </c>
      <c r="BA157" s="1007"/>
      <c r="BB157" s="1007"/>
      <c r="BC157" s="1007"/>
      <c r="BD157" s="1007"/>
      <c r="BE157" s="1007"/>
      <c r="BF157" s="1007"/>
      <c r="BG157" s="1007"/>
      <c r="BH157" s="1007"/>
      <c r="BI157" s="1007"/>
      <c r="BJ157" s="1007"/>
      <c r="BK157" s="1007"/>
      <c r="BL157" s="1007"/>
      <c r="BM157" s="1007"/>
      <c r="BN157" s="1007"/>
      <c r="BO157" s="1007"/>
      <c r="BP157" s="1007"/>
      <c r="BQ157" s="1010">
        <f t="shared" si="105"/>
        <v>0.72333120298359632</v>
      </c>
      <c r="BR157" s="1007">
        <f t="shared" si="147"/>
        <v>250985280</v>
      </c>
      <c r="BS157" s="1007">
        <f t="shared" si="164"/>
        <v>0</v>
      </c>
      <c r="BT157" s="1007">
        <f t="shared" si="165"/>
        <v>0</v>
      </c>
      <c r="BU157" s="1007"/>
      <c r="BV157" s="1007">
        <f t="shared" si="162"/>
        <v>250985280</v>
      </c>
      <c r="BW157" s="1007">
        <f t="shared" si="162"/>
        <v>0</v>
      </c>
      <c r="BX157" s="1007">
        <f t="shared" si="166"/>
        <v>0</v>
      </c>
      <c r="BY157" s="1007">
        <f t="shared" si="166"/>
        <v>0</v>
      </c>
      <c r="BZ157" s="1007"/>
      <c r="CA157" s="1007">
        <f t="shared" si="167"/>
        <v>0</v>
      </c>
      <c r="CB157" s="1007">
        <f t="shared" si="167"/>
        <v>0</v>
      </c>
      <c r="CC157" s="1007">
        <f t="shared" si="167"/>
        <v>0</v>
      </c>
      <c r="CD157" s="1007">
        <f t="shared" si="167"/>
        <v>0</v>
      </c>
      <c r="CE157" s="1007">
        <f t="shared" si="167"/>
        <v>0</v>
      </c>
      <c r="CF157" s="1007">
        <f t="shared" si="167"/>
        <v>0</v>
      </c>
      <c r="CG157" s="1007">
        <f t="shared" si="167"/>
        <v>0</v>
      </c>
      <c r="CH157" s="1007">
        <f t="shared" si="167"/>
        <v>0</v>
      </c>
      <c r="CI157" s="1007">
        <f t="shared" si="167"/>
        <v>0</v>
      </c>
      <c r="CJ157" s="1007"/>
      <c r="CK157" s="1007">
        <f t="shared" si="168"/>
        <v>0</v>
      </c>
      <c r="CL157" s="1007">
        <f t="shared" si="168"/>
        <v>0</v>
      </c>
      <c r="CM157" s="1010">
        <f t="shared" si="113"/>
        <v>0.27666879701640368</v>
      </c>
      <c r="CN157" s="1007">
        <f t="shared" si="154"/>
        <v>96000000</v>
      </c>
      <c r="CO157" s="1007"/>
      <c r="CP157" s="1007"/>
      <c r="CQ157" s="1007"/>
      <c r="CR157" s="1007">
        <f>+'[7]AGOSTO 2015'!$H$231</f>
        <v>96000000</v>
      </c>
      <c r="CS157" s="1007"/>
      <c r="CT157" s="1007"/>
      <c r="CU157" s="1007"/>
      <c r="CV157" s="1007"/>
      <c r="CW157" s="1007"/>
      <c r="CX157" s="1007"/>
      <c r="CY157" s="1007"/>
      <c r="CZ157" s="1007"/>
      <c r="DA157" s="1007"/>
      <c r="DB157" s="1007"/>
      <c r="DC157" s="1007"/>
      <c r="DD157" s="1007"/>
      <c r="DE157" s="1007"/>
      <c r="DF157" s="1007"/>
      <c r="DG157" s="1007"/>
      <c r="DH157" s="1007"/>
      <c r="DI157" s="1010">
        <f t="shared" si="115"/>
        <v>0.72333120298359632</v>
      </c>
      <c r="DJ157" s="1007">
        <f t="shared" si="155"/>
        <v>250985280</v>
      </c>
      <c r="DK157" s="1007"/>
      <c r="DL157" s="1007"/>
      <c r="DM157" s="1007"/>
      <c r="DN157" s="1007">
        <f t="shared" si="163"/>
        <v>250985280</v>
      </c>
      <c r="DO157" s="1007">
        <f t="shared" si="163"/>
        <v>0</v>
      </c>
      <c r="DP157" s="1007">
        <f t="shared" si="163"/>
        <v>0</v>
      </c>
      <c r="DQ157" s="1007">
        <f t="shared" si="163"/>
        <v>0</v>
      </c>
      <c r="DR157" s="1007"/>
      <c r="DS157" s="1007">
        <f t="shared" si="169"/>
        <v>0</v>
      </c>
      <c r="DT157" s="1007">
        <f t="shared" si="169"/>
        <v>0</v>
      </c>
      <c r="DU157" s="1007"/>
      <c r="DV157" s="1007">
        <f t="shared" si="170"/>
        <v>0</v>
      </c>
      <c r="DW157" s="1007">
        <f t="shared" si="170"/>
        <v>0</v>
      </c>
      <c r="DX157" s="1007">
        <f t="shared" si="170"/>
        <v>0</v>
      </c>
      <c r="DY157" s="1007">
        <f t="shared" si="171"/>
        <v>0</v>
      </c>
      <c r="DZ157" s="1007">
        <f t="shared" si="171"/>
        <v>0</v>
      </c>
      <c r="EA157" s="1007">
        <f t="shared" si="171"/>
        <v>0</v>
      </c>
      <c r="EB157" s="1007">
        <f t="shared" si="171"/>
        <v>0</v>
      </c>
      <c r="EC157" s="1007">
        <f t="shared" si="171"/>
        <v>0</v>
      </c>
      <c r="ED157" s="1007">
        <f t="shared" si="172"/>
        <v>0</v>
      </c>
    </row>
    <row r="158" spans="1:134" ht="45.75" hidden="1" customHeight="1" x14ac:dyDescent="0.25">
      <c r="A158" s="1590"/>
      <c r="B158" s="989"/>
      <c r="C158" s="852" t="s">
        <v>4519</v>
      </c>
      <c r="D158" s="1052" t="s">
        <v>4554</v>
      </c>
      <c r="E158" s="994">
        <v>211</v>
      </c>
      <c r="F158" s="1053" t="s">
        <v>4482</v>
      </c>
      <c r="G158" s="1429"/>
      <c r="H158" s="1060">
        <f t="shared" si="143"/>
        <v>186695</v>
      </c>
      <c r="I158" s="1060">
        <f t="shared" si="144"/>
        <v>39813305</v>
      </c>
      <c r="J158" s="1597">
        <v>54</v>
      </c>
      <c r="K158" s="1598">
        <v>71</v>
      </c>
      <c r="L158" s="1198">
        <v>56</v>
      </c>
      <c r="M158" s="1116">
        <v>0</v>
      </c>
      <c r="N158" s="1116">
        <v>0</v>
      </c>
      <c r="O158" s="1116">
        <v>0</v>
      </c>
      <c r="P158" s="1113">
        <v>0</v>
      </c>
      <c r="Q158" s="1113">
        <v>0</v>
      </c>
      <c r="R158" s="1113">
        <v>0</v>
      </c>
      <c r="S158" s="1053"/>
      <c r="T158" s="1053"/>
      <c r="U158" s="1053"/>
      <c r="V158" s="1053"/>
      <c r="W158" s="1053"/>
      <c r="X158" s="1053"/>
      <c r="Y158" s="1007">
        <f t="shared" si="145"/>
        <v>40000000</v>
      </c>
      <c r="Z158" s="944"/>
      <c r="AA158" s="944"/>
      <c r="AB158" s="944"/>
      <c r="AC158" s="1007">
        <f>90000000+500000000-250000000-300000000-39070000</f>
        <v>930000</v>
      </c>
      <c r="AD158" s="944"/>
      <c r="AE158" s="944"/>
      <c r="AF158" s="1007"/>
      <c r="AG158" s="1007"/>
      <c r="AH158" s="1007"/>
      <c r="AI158" s="1007"/>
      <c r="AJ158" s="1007"/>
      <c r="AK158" s="1007"/>
      <c r="AL158" s="1007"/>
      <c r="AM158" s="149"/>
      <c r="AN158" s="149">
        <f>39070000</f>
        <v>39070000</v>
      </c>
      <c r="AO158" s="149"/>
      <c r="AP158" s="149"/>
      <c r="AQ158" s="149"/>
      <c r="AR158" s="149"/>
      <c r="AS158" s="1007"/>
      <c r="AU158" s="1010">
        <f t="shared" si="103"/>
        <v>2.325E-2</v>
      </c>
      <c r="AV158" s="1007">
        <f t="shared" si="146"/>
        <v>930000</v>
      </c>
      <c r="AW158" s="1007"/>
      <c r="AX158" s="1007"/>
      <c r="AY158" s="1007"/>
      <c r="AZ158" s="1007">
        <f>+'[13]JUNIO 2015'!$M$212</f>
        <v>930000</v>
      </c>
      <c r="BA158" s="1007"/>
      <c r="BB158" s="1007"/>
      <c r="BC158" s="1007"/>
      <c r="BD158" s="1007"/>
      <c r="BE158" s="1007"/>
      <c r="BF158" s="1007"/>
      <c r="BG158" s="1007"/>
      <c r="BH158" s="1007"/>
      <c r="BI158" s="1007"/>
      <c r="BJ158" s="1007"/>
      <c r="BK158" s="1007"/>
      <c r="BL158" s="1007"/>
      <c r="BM158" s="1007"/>
      <c r="BN158" s="1007"/>
      <c r="BO158" s="1007"/>
      <c r="BP158" s="1007"/>
      <c r="BQ158" s="1010">
        <f t="shared" si="105"/>
        <v>0.97675000000000001</v>
      </c>
      <c r="BR158" s="1007">
        <f t="shared" si="147"/>
        <v>39070000</v>
      </c>
      <c r="BS158" s="1007">
        <f t="shared" si="164"/>
        <v>0</v>
      </c>
      <c r="BT158" s="1007">
        <f t="shared" si="165"/>
        <v>0</v>
      </c>
      <c r="BU158" s="1007"/>
      <c r="BV158" s="1007">
        <f t="shared" si="162"/>
        <v>0</v>
      </c>
      <c r="BW158" s="1007">
        <f t="shared" si="162"/>
        <v>0</v>
      </c>
      <c r="BX158" s="1007">
        <f t="shared" si="166"/>
        <v>0</v>
      </c>
      <c r="BY158" s="1007">
        <f t="shared" si="166"/>
        <v>0</v>
      </c>
      <c r="BZ158" s="1007"/>
      <c r="CA158" s="1007">
        <f t="shared" si="167"/>
        <v>0</v>
      </c>
      <c r="CB158" s="1007">
        <f t="shared" si="167"/>
        <v>0</v>
      </c>
      <c r="CC158" s="1007">
        <f t="shared" si="167"/>
        <v>0</v>
      </c>
      <c r="CD158" s="1007">
        <f t="shared" si="167"/>
        <v>0</v>
      </c>
      <c r="CE158" s="1007">
        <f t="shared" si="167"/>
        <v>0</v>
      </c>
      <c r="CF158" s="1007">
        <f t="shared" si="167"/>
        <v>0</v>
      </c>
      <c r="CG158" s="1007">
        <f t="shared" si="167"/>
        <v>39070000</v>
      </c>
      <c r="CH158" s="1007">
        <f t="shared" si="167"/>
        <v>0</v>
      </c>
      <c r="CI158" s="1007">
        <f t="shared" si="167"/>
        <v>0</v>
      </c>
      <c r="CJ158" s="1007"/>
      <c r="CK158" s="1007">
        <f t="shared" si="168"/>
        <v>0</v>
      </c>
      <c r="CL158" s="1007">
        <f t="shared" si="168"/>
        <v>0</v>
      </c>
      <c r="CM158" s="1010">
        <f t="shared" si="113"/>
        <v>4.6673749999999996E-3</v>
      </c>
      <c r="CN158" s="1007">
        <f t="shared" si="154"/>
        <v>186695</v>
      </c>
      <c r="CO158" s="1007"/>
      <c r="CP158" s="1007"/>
      <c r="CQ158" s="1007"/>
      <c r="CR158" s="1007">
        <f>+'[13]JUNIO 2015'!$H$210</f>
        <v>186695</v>
      </c>
      <c r="CS158" s="1007"/>
      <c r="CT158" s="1007"/>
      <c r="CU158" s="1007"/>
      <c r="CV158" s="1007"/>
      <c r="CW158" s="1007"/>
      <c r="CX158" s="1007"/>
      <c r="CY158" s="1007"/>
      <c r="CZ158" s="1007"/>
      <c r="DA158" s="1007"/>
      <c r="DB158" s="1007"/>
      <c r="DC158" s="1007"/>
      <c r="DD158" s="1007"/>
      <c r="DE158" s="1007"/>
      <c r="DF158" s="1007"/>
      <c r="DG158" s="1007"/>
      <c r="DH158" s="1007"/>
      <c r="DI158" s="1010">
        <f t="shared" si="115"/>
        <v>0.99533262499999997</v>
      </c>
      <c r="DJ158" s="1007">
        <f t="shared" si="155"/>
        <v>39813305</v>
      </c>
      <c r="DK158" s="1007"/>
      <c r="DL158" s="1007"/>
      <c r="DM158" s="1007"/>
      <c r="DN158" s="1007">
        <f t="shared" si="163"/>
        <v>743305</v>
      </c>
      <c r="DO158" s="1007">
        <f t="shared" si="163"/>
        <v>0</v>
      </c>
      <c r="DP158" s="1007">
        <f t="shared" si="163"/>
        <v>0</v>
      </c>
      <c r="DQ158" s="1007">
        <f t="shared" si="163"/>
        <v>0</v>
      </c>
      <c r="DR158" s="1007"/>
      <c r="DS158" s="1007">
        <f t="shared" si="169"/>
        <v>0</v>
      </c>
      <c r="DT158" s="1007">
        <f t="shared" si="169"/>
        <v>0</v>
      </c>
      <c r="DU158" s="1007"/>
      <c r="DV158" s="1007">
        <f t="shared" si="170"/>
        <v>0</v>
      </c>
      <c r="DW158" s="1007">
        <f t="shared" si="170"/>
        <v>0</v>
      </c>
      <c r="DX158" s="1007">
        <f t="shared" si="170"/>
        <v>0</v>
      </c>
      <c r="DY158" s="1007">
        <f t="shared" si="171"/>
        <v>39070000</v>
      </c>
      <c r="DZ158" s="1007">
        <f t="shared" si="171"/>
        <v>0</v>
      </c>
      <c r="EA158" s="1007">
        <f t="shared" si="171"/>
        <v>0</v>
      </c>
      <c r="EB158" s="1007">
        <f t="shared" si="171"/>
        <v>0</v>
      </c>
      <c r="EC158" s="1007">
        <f t="shared" si="171"/>
        <v>0</v>
      </c>
      <c r="ED158" s="1007">
        <f t="shared" si="172"/>
        <v>0</v>
      </c>
    </row>
    <row r="159" spans="1:134" s="203" customFormat="1" ht="35.25" hidden="1" customHeight="1" x14ac:dyDescent="0.25">
      <c r="A159" s="1590"/>
      <c r="B159" s="989"/>
      <c r="C159" s="1080" t="s">
        <v>4520</v>
      </c>
      <c r="D159" s="1018" t="s">
        <v>4555</v>
      </c>
      <c r="E159" s="996">
        <v>211</v>
      </c>
      <c r="F159" s="1117" t="s">
        <v>4482</v>
      </c>
      <c r="G159" s="1429"/>
      <c r="H159" s="1060">
        <f t="shared" si="143"/>
        <v>0</v>
      </c>
      <c r="I159" s="1060">
        <f t="shared" si="144"/>
        <v>300000000</v>
      </c>
      <c r="J159" s="1597"/>
      <c r="K159" s="1598"/>
      <c r="L159" s="1198"/>
      <c r="M159" s="1076">
        <v>0</v>
      </c>
      <c r="N159" s="1076">
        <v>0</v>
      </c>
      <c r="O159" s="1076">
        <v>0</v>
      </c>
      <c r="P159" s="1074"/>
      <c r="Q159" s="1074"/>
      <c r="R159" s="1074"/>
      <c r="S159" s="1117"/>
      <c r="T159" s="1117"/>
      <c r="U159" s="1117"/>
      <c r="V159" s="1117"/>
      <c r="W159" s="1117"/>
      <c r="X159" s="1117"/>
      <c r="Y159" s="1066">
        <f t="shared" si="145"/>
        <v>300000000</v>
      </c>
      <c r="Z159" s="149"/>
      <c r="AA159" s="149"/>
      <c r="AB159" s="149"/>
      <c r="AC159" s="1066">
        <f>300000000-300000000+300000000</f>
        <v>300000000</v>
      </c>
      <c r="AD159" s="149"/>
      <c r="AE159" s="149"/>
      <c r="AF159" s="1066"/>
      <c r="AG159" s="1066"/>
      <c r="AH159" s="1066"/>
      <c r="AI159" s="1066"/>
      <c r="AJ159" s="1066"/>
      <c r="AK159" s="1066"/>
      <c r="AL159" s="1066"/>
      <c r="AM159" s="149"/>
      <c r="AN159" s="149"/>
      <c r="AO159" s="149"/>
      <c r="AP159" s="149"/>
      <c r="AQ159" s="149"/>
      <c r="AR159" s="149"/>
      <c r="AS159" s="1066"/>
      <c r="AU159" s="1081">
        <f t="shared" si="103"/>
        <v>1</v>
      </c>
      <c r="AV159" s="1066">
        <f t="shared" si="146"/>
        <v>300000000</v>
      </c>
      <c r="AW159" s="1066"/>
      <c r="AX159" s="1066"/>
      <c r="AY159" s="1066"/>
      <c r="AZ159" s="1066">
        <f>+'[10]JULIO 2015'!$M$236</f>
        <v>300000000</v>
      </c>
      <c r="BA159" s="1066"/>
      <c r="BB159" s="1066"/>
      <c r="BC159" s="1066"/>
      <c r="BD159" s="1066"/>
      <c r="BE159" s="1066"/>
      <c r="BF159" s="1066"/>
      <c r="BG159" s="1066"/>
      <c r="BH159" s="1066"/>
      <c r="BI159" s="1066"/>
      <c r="BJ159" s="1066"/>
      <c r="BK159" s="1066"/>
      <c r="BL159" s="1066"/>
      <c r="BM159" s="1066"/>
      <c r="BN159" s="1066"/>
      <c r="BO159" s="1066"/>
      <c r="BP159" s="1066"/>
      <c r="BQ159" s="1081">
        <f t="shared" si="105"/>
        <v>0</v>
      </c>
      <c r="BR159" s="1066">
        <f t="shared" si="147"/>
        <v>0</v>
      </c>
      <c r="BS159" s="1066">
        <f t="shared" si="164"/>
        <v>0</v>
      </c>
      <c r="BT159" s="1066">
        <f t="shared" si="165"/>
        <v>0</v>
      </c>
      <c r="BU159" s="1066"/>
      <c r="BV159" s="1066">
        <f t="shared" si="162"/>
        <v>0</v>
      </c>
      <c r="BW159" s="1066">
        <f t="shared" si="162"/>
        <v>0</v>
      </c>
      <c r="BX159" s="1066">
        <f t="shared" si="166"/>
        <v>0</v>
      </c>
      <c r="BY159" s="1066">
        <f t="shared" si="166"/>
        <v>0</v>
      </c>
      <c r="BZ159" s="1066"/>
      <c r="CA159" s="1066">
        <f t="shared" si="167"/>
        <v>0</v>
      </c>
      <c r="CB159" s="1066">
        <f t="shared" si="167"/>
        <v>0</v>
      </c>
      <c r="CC159" s="1066">
        <f t="shared" si="167"/>
        <v>0</v>
      </c>
      <c r="CD159" s="1066">
        <f t="shared" si="167"/>
        <v>0</v>
      </c>
      <c r="CE159" s="1066">
        <f t="shared" si="167"/>
        <v>0</v>
      </c>
      <c r="CF159" s="1066">
        <f t="shared" si="167"/>
        <v>0</v>
      </c>
      <c r="CG159" s="1066">
        <f t="shared" si="167"/>
        <v>0</v>
      </c>
      <c r="CH159" s="1066">
        <f t="shared" si="167"/>
        <v>0</v>
      </c>
      <c r="CI159" s="1066">
        <f t="shared" si="167"/>
        <v>0</v>
      </c>
      <c r="CJ159" s="1066"/>
      <c r="CK159" s="1066">
        <f t="shared" si="168"/>
        <v>0</v>
      </c>
      <c r="CL159" s="1066">
        <f t="shared" si="168"/>
        <v>0</v>
      </c>
      <c r="CM159" s="1081">
        <f t="shared" si="113"/>
        <v>0</v>
      </c>
      <c r="CN159" s="1066">
        <f t="shared" si="154"/>
        <v>0</v>
      </c>
      <c r="CO159" s="1066"/>
      <c r="CP159" s="1066"/>
      <c r="CQ159" s="1066"/>
      <c r="CR159" s="1066"/>
      <c r="CS159" s="1066"/>
      <c r="CT159" s="1066"/>
      <c r="CU159" s="1066"/>
      <c r="CV159" s="1066"/>
      <c r="CW159" s="1066"/>
      <c r="CX159" s="1066"/>
      <c r="CY159" s="1066"/>
      <c r="CZ159" s="1066"/>
      <c r="DA159" s="1066"/>
      <c r="DB159" s="1066"/>
      <c r="DC159" s="1066"/>
      <c r="DD159" s="1066"/>
      <c r="DE159" s="1066"/>
      <c r="DF159" s="1066"/>
      <c r="DG159" s="1066"/>
      <c r="DH159" s="1066"/>
      <c r="DI159" s="1081">
        <f t="shared" si="115"/>
        <v>1</v>
      </c>
      <c r="DJ159" s="1066">
        <f t="shared" si="155"/>
        <v>300000000</v>
      </c>
      <c r="DK159" s="1066"/>
      <c r="DL159" s="1066"/>
      <c r="DM159" s="1066"/>
      <c r="DN159" s="1066">
        <f t="shared" si="163"/>
        <v>300000000</v>
      </c>
      <c r="DO159" s="1066">
        <f t="shared" si="163"/>
        <v>0</v>
      </c>
      <c r="DP159" s="1066">
        <f t="shared" si="163"/>
        <v>0</v>
      </c>
      <c r="DQ159" s="1066">
        <f t="shared" si="163"/>
        <v>0</v>
      </c>
      <c r="DR159" s="1066"/>
      <c r="DS159" s="1066">
        <f t="shared" si="169"/>
        <v>0</v>
      </c>
      <c r="DT159" s="1066">
        <f t="shared" si="169"/>
        <v>0</v>
      </c>
      <c r="DU159" s="1066"/>
      <c r="DV159" s="1066">
        <f t="shared" si="170"/>
        <v>0</v>
      </c>
      <c r="DW159" s="1066">
        <f t="shared" si="170"/>
        <v>0</v>
      </c>
      <c r="DX159" s="1066">
        <f t="shared" si="170"/>
        <v>0</v>
      </c>
      <c r="DY159" s="1066">
        <f t="shared" si="171"/>
        <v>0</v>
      </c>
      <c r="DZ159" s="1066">
        <f t="shared" si="171"/>
        <v>0</v>
      </c>
      <c r="EA159" s="1066">
        <f t="shared" si="171"/>
        <v>0</v>
      </c>
      <c r="EB159" s="1066">
        <f t="shared" si="171"/>
        <v>0</v>
      </c>
      <c r="EC159" s="1066">
        <f t="shared" si="171"/>
        <v>0</v>
      </c>
      <c r="ED159" s="1066">
        <f t="shared" si="172"/>
        <v>0</v>
      </c>
    </row>
    <row r="160" spans="1:134" ht="36.75" hidden="1" customHeight="1" x14ac:dyDescent="0.25">
      <c r="A160" s="1590"/>
      <c r="B160" s="989"/>
      <c r="C160" s="852" t="s">
        <v>4521</v>
      </c>
      <c r="D160" s="1018" t="s">
        <v>4504</v>
      </c>
      <c r="E160" s="994">
        <v>211</v>
      </c>
      <c r="F160" s="1117" t="s">
        <v>4506</v>
      </c>
      <c r="G160" s="1429"/>
      <c r="H160" s="1060">
        <f t="shared" si="143"/>
        <v>0</v>
      </c>
      <c r="I160" s="1060">
        <f t="shared" si="144"/>
        <v>4200000</v>
      </c>
      <c r="J160" s="1597"/>
      <c r="K160" s="1598"/>
      <c r="L160" s="1198"/>
      <c r="M160" s="1116">
        <v>0</v>
      </c>
      <c r="N160" s="1116">
        <v>0</v>
      </c>
      <c r="O160" s="1116">
        <v>0</v>
      </c>
      <c r="P160" s="1113">
        <v>0</v>
      </c>
      <c r="Q160" s="1113">
        <v>0</v>
      </c>
      <c r="R160" s="1113">
        <v>0</v>
      </c>
      <c r="S160" s="1117"/>
      <c r="T160" s="1117"/>
      <c r="U160" s="1117"/>
      <c r="V160" s="1117"/>
      <c r="W160" s="1117"/>
      <c r="X160" s="1117"/>
      <c r="Y160" s="1007">
        <f t="shared" si="145"/>
        <v>4200000</v>
      </c>
      <c r="Z160" s="944"/>
      <c r="AA160" s="944"/>
      <c r="AB160" s="944"/>
      <c r="AC160" s="1007"/>
      <c r="AD160" s="944"/>
      <c r="AE160" s="944"/>
      <c r="AF160" s="1007"/>
      <c r="AG160" s="1007"/>
      <c r="AH160" s="1007"/>
      <c r="AI160" s="1007"/>
      <c r="AJ160" s="1007"/>
      <c r="AK160" s="1007"/>
      <c r="AL160" s="1007"/>
      <c r="AM160" s="149"/>
      <c r="AN160" s="149"/>
      <c r="AO160" s="149"/>
      <c r="AP160" s="149"/>
      <c r="AQ160" s="149"/>
      <c r="AR160" s="149"/>
      <c r="AS160" s="1007">
        <f>4200000</f>
        <v>4200000</v>
      </c>
      <c r="AU160" s="1010">
        <f t="shared" si="103"/>
        <v>1</v>
      </c>
      <c r="AV160" s="1007">
        <f t="shared" si="146"/>
        <v>4200000</v>
      </c>
      <c r="AW160" s="1007"/>
      <c r="AX160" s="1007"/>
      <c r="AY160" s="1007"/>
      <c r="AZ160" s="1007"/>
      <c r="BA160" s="1007"/>
      <c r="BB160" s="1007"/>
      <c r="BC160" s="1007"/>
      <c r="BD160" s="1007"/>
      <c r="BE160" s="1007"/>
      <c r="BF160" s="1007"/>
      <c r="BG160" s="1007"/>
      <c r="BH160" s="1007"/>
      <c r="BI160" s="1007"/>
      <c r="BJ160" s="1007"/>
      <c r="BK160" s="1007"/>
      <c r="BL160" s="1007"/>
      <c r="BM160" s="1007"/>
      <c r="BN160" s="1007"/>
      <c r="BO160" s="1007"/>
      <c r="BP160" s="1007">
        <f>+'[16]ENERO 2015'!$AA$166</f>
        <v>4200000</v>
      </c>
      <c r="BQ160" s="1010">
        <f t="shared" si="105"/>
        <v>0</v>
      </c>
      <c r="BR160" s="1007">
        <f t="shared" si="147"/>
        <v>0</v>
      </c>
      <c r="BS160" s="1007">
        <f t="shared" si="164"/>
        <v>0</v>
      </c>
      <c r="BT160" s="1007">
        <f t="shared" si="165"/>
        <v>0</v>
      </c>
      <c r="BU160" s="1007"/>
      <c r="BV160" s="1007">
        <f t="shared" si="162"/>
        <v>0</v>
      </c>
      <c r="BW160" s="1007">
        <f t="shared" si="162"/>
        <v>0</v>
      </c>
      <c r="BX160" s="1007">
        <f t="shared" si="166"/>
        <v>0</v>
      </c>
      <c r="BY160" s="1007">
        <f t="shared" si="166"/>
        <v>0</v>
      </c>
      <c r="BZ160" s="1007"/>
      <c r="CA160" s="1007">
        <f t="shared" si="167"/>
        <v>0</v>
      </c>
      <c r="CB160" s="1007">
        <f t="shared" si="167"/>
        <v>0</v>
      </c>
      <c r="CC160" s="1007">
        <f t="shared" si="167"/>
        <v>0</v>
      </c>
      <c r="CD160" s="1007">
        <f t="shared" si="167"/>
        <v>0</v>
      </c>
      <c r="CE160" s="1007">
        <f t="shared" si="167"/>
        <v>0</v>
      </c>
      <c r="CF160" s="1007">
        <f t="shared" si="167"/>
        <v>0</v>
      </c>
      <c r="CG160" s="1007">
        <f t="shared" si="167"/>
        <v>0</v>
      </c>
      <c r="CH160" s="1007">
        <f t="shared" si="167"/>
        <v>0</v>
      </c>
      <c r="CI160" s="1007">
        <f t="shared" si="167"/>
        <v>0</v>
      </c>
      <c r="CJ160" s="1007"/>
      <c r="CK160" s="1007">
        <f t="shared" si="168"/>
        <v>0</v>
      </c>
      <c r="CL160" s="1007">
        <f t="shared" si="168"/>
        <v>0</v>
      </c>
      <c r="CM160" s="1010">
        <f t="shared" si="113"/>
        <v>0</v>
      </c>
      <c r="CN160" s="1007">
        <f t="shared" si="154"/>
        <v>0</v>
      </c>
      <c r="CO160" s="1007"/>
      <c r="CP160" s="1007"/>
      <c r="CQ160" s="1007"/>
      <c r="CR160" s="1007"/>
      <c r="CS160" s="1007"/>
      <c r="CT160" s="1007"/>
      <c r="CU160" s="1007"/>
      <c r="CV160" s="1007"/>
      <c r="CW160" s="1007"/>
      <c r="CX160" s="1007"/>
      <c r="CY160" s="1007"/>
      <c r="CZ160" s="1007"/>
      <c r="DA160" s="1007"/>
      <c r="DB160" s="1007"/>
      <c r="DC160" s="1007"/>
      <c r="DD160" s="1007"/>
      <c r="DE160" s="1007"/>
      <c r="DF160" s="1007"/>
      <c r="DG160" s="1007"/>
      <c r="DH160" s="1007"/>
      <c r="DI160" s="1010">
        <f t="shared" si="115"/>
        <v>1</v>
      </c>
      <c r="DJ160" s="1007">
        <f t="shared" si="155"/>
        <v>4200000</v>
      </c>
      <c r="DK160" s="1007"/>
      <c r="DL160" s="1007"/>
      <c r="DM160" s="1007"/>
      <c r="DN160" s="1007">
        <f t="shared" si="163"/>
        <v>0</v>
      </c>
      <c r="DO160" s="1007">
        <f t="shared" si="163"/>
        <v>0</v>
      </c>
      <c r="DP160" s="1007">
        <f t="shared" si="163"/>
        <v>0</v>
      </c>
      <c r="DQ160" s="1007">
        <f t="shared" si="163"/>
        <v>0</v>
      </c>
      <c r="DR160" s="1007"/>
      <c r="DS160" s="1007">
        <f t="shared" si="169"/>
        <v>0</v>
      </c>
      <c r="DT160" s="1007">
        <f t="shared" si="169"/>
        <v>0</v>
      </c>
      <c r="DU160" s="1007"/>
      <c r="DV160" s="1007">
        <f t="shared" si="170"/>
        <v>0</v>
      </c>
      <c r="DW160" s="1007">
        <f t="shared" si="170"/>
        <v>0</v>
      </c>
      <c r="DX160" s="1007">
        <f t="shared" si="170"/>
        <v>0</v>
      </c>
      <c r="DY160" s="1007">
        <f t="shared" si="171"/>
        <v>0</v>
      </c>
      <c r="DZ160" s="1007">
        <f t="shared" si="171"/>
        <v>0</v>
      </c>
      <c r="EA160" s="1007">
        <f t="shared" si="171"/>
        <v>0</v>
      </c>
      <c r="EB160" s="1007">
        <f t="shared" si="171"/>
        <v>0</v>
      </c>
      <c r="EC160" s="1007">
        <f t="shared" si="171"/>
        <v>0</v>
      </c>
      <c r="ED160" s="1007">
        <f t="shared" si="172"/>
        <v>4200000</v>
      </c>
    </row>
    <row r="161" spans="1:134" ht="21" hidden="1" customHeight="1" x14ac:dyDescent="0.25">
      <c r="A161" s="1590"/>
      <c r="B161" s="989"/>
      <c r="C161" s="852" t="s">
        <v>4522</v>
      </c>
      <c r="D161" s="1018" t="s">
        <v>4505</v>
      </c>
      <c r="E161" s="994">
        <v>211</v>
      </c>
      <c r="F161" s="1117" t="s">
        <v>4482</v>
      </c>
      <c r="G161" s="1429"/>
      <c r="H161" s="1060">
        <f t="shared" si="143"/>
        <v>0</v>
      </c>
      <c r="I161" s="1060">
        <f t="shared" si="144"/>
        <v>30741545</v>
      </c>
      <c r="J161" s="1428">
        <v>299</v>
      </c>
      <c r="K161" s="1257">
        <v>399</v>
      </c>
      <c r="L161" s="1257">
        <v>309</v>
      </c>
      <c r="M161" s="1116">
        <v>0</v>
      </c>
      <c r="N161" s="1116">
        <v>0</v>
      </c>
      <c r="O161" s="1116">
        <v>0</v>
      </c>
      <c r="P161" s="1113">
        <v>0</v>
      </c>
      <c r="Q161" s="1113">
        <v>0</v>
      </c>
      <c r="R161" s="1113">
        <v>0</v>
      </c>
      <c r="S161" s="1117"/>
      <c r="T161" s="1117"/>
      <c r="U161" s="1117"/>
      <c r="V161" s="1117"/>
      <c r="W161" s="1117"/>
      <c r="X161" s="1117"/>
      <c r="Y161" s="1007">
        <f t="shared" si="145"/>
        <v>30741545</v>
      </c>
      <c r="Z161" s="944"/>
      <c r="AA161" s="944"/>
      <c r="AB161" s="944"/>
      <c r="AC161" s="1007">
        <f>124058456-124058456</f>
        <v>0</v>
      </c>
      <c r="AD161" s="944"/>
      <c r="AE161" s="944"/>
      <c r="AF161" s="1007"/>
      <c r="AG161" s="1007"/>
      <c r="AH161" s="1007"/>
      <c r="AI161" s="1007"/>
      <c r="AJ161" s="1007"/>
      <c r="AK161" s="1007">
        <v>30741545</v>
      </c>
      <c r="AL161" s="1007"/>
      <c r="AM161" s="149"/>
      <c r="AN161" s="149"/>
      <c r="AO161" s="149"/>
      <c r="AP161" s="149"/>
      <c r="AQ161" s="149"/>
      <c r="AR161" s="149"/>
      <c r="AS161" s="1007"/>
      <c r="AU161" s="1010">
        <f t="shared" si="103"/>
        <v>0.33179854818617605</v>
      </c>
      <c r="AV161" s="1007">
        <f t="shared" si="146"/>
        <v>10200000</v>
      </c>
      <c r="AW161" s="1007"/>
      <c r="AX161" s="1007"/>
      <c r="AY161" s="1007"/>
      <c r="AZ161" s="1007"/>
      <c r="BA161" s="1007"/>
      <c r="BB161" s="1007"/>
      <c r="BC161" s="1007"/>
      <c r="BD161" s="1007"/>
      <c r="BE161" s="1007"/>
      <c r="BF161" s="1007"/>
      <c r="BG161" s="1007"/>
      <c r="BH161" s="1007">
        <f>+'[8]SEPTIEMBRE 2015'!$U$271</f>
        <v>10200000</v>
      </c>
      <c r="BI161" s="1007"/>
      <c r="BJ161" s="1007"/>
      <c r="BK161" s="1007"/>
      <c r="BL161" s="1007"/>
      <c r="BM161" s="1007"/>
      <c r="BN161" s="1007"/>
      <c r="BO161" s="1007"/>
      <c r="BP161" s="1007"/>
      <c r="BQ161" s="1010">
        <f t="shared" si="105"/>
        <v>0.66820145181382395</v>
      </c>
      <c r="BR161" s="1007">
        <f t="shared" si="147"/>
        <v>20541545</v>
      </c>
      <c r="BS161" s="1007">
        <f t="shared" si="164"/>
        <v>0</v>
      </c>
      <c r="BT161" s="1007">
        <f t="shared" si="165"/>
        <v>0</v>
      </c>
      <c r="BU161" s="1007"/>
      <c r="BV161" s="1007">
        <f t="shared" si="162"/>
        <v>0</v>
      </c>
      <c r="BW161" s="1007">
        <f t="shared" si="162"/>
        <v>0</v>
      </c>
      <c r="BX161" s="1007">
        <f t="shared" si="166"/>
        <v>0</v>
      </c>
      <c r="BY161" s="1007">
        <f t="shared" si="166"/>
        <v>0</v>
      </c>
      <c r="BZ161" s="1007"/>
      <c r="CA161" s="1007">
        <f t="shared" si="167"/>
        <v>0</v>
      </c>
      <c r="CB161" s="1007">
        <f t="shared" si="167"/>
        <v>0</v>
      </c>
      <c r="CC161" s="1007">
        <f t="shared" si="167"/>
        <v>0</v>
      </c>
      <c r="CD161" s="1007">
        <f t="shared" si="167"/>
        <v>20541545</v>
      </c>
      <c r="CE161" s="1007">
        <f t="shared" si="167"/>
        <v>0</v>
      </c>
      <c r="CF161" s="1007">
        <f t="shared" si="167"/>
        <v>0</v>
      </c>
      <c r="CG161" s="1007">
        <f t="shared" si="167"/>
        <v>0</v>
      </c>
      <c r="CH161" s="1007">
        <f t="shared" si="167"/>
        <v>0</v>
      </c>
      <c r="CI161" s="1007">
        <f t="shared" si="167"/>
        <v>0</v>
      </c>
      <c r="CJ161" s="1007"/>
      <c r="CK161" s="1007">
        <f t="shared" si="168"/>
        <v>0</v>
      </c>
      <c r="CL161" s="1007">
        <f t="shared" si="168"/>
        <v>0</v>
      </c>
      <c r="CM161" s="1010">
        <f t="shared" si="113"/>
        <v>0</v>
      </c>
      <c r="CN161" s="1007">
        <f t="shared" si="154"/>
        <v>0</v>
      </c>
      <c r="CO161" s="1007"/>
      <c r="CP161" s="1007"/>
      <c r="CQ161" s="1007"/>
      <c r="CR161" s="1007"/>
      <c r="CS161" s="1007"/>
      <c r="CT161" s="1007"/>
      <c r="CU161" s="1007"/>
      <c r="CV161" s="1007"/>
      <c r="CW161" s="1007"/>
      <c r="CX161" s="1007"/>
      <c r="CY161" s="1007"/>
      <c r="CZ161" s="1007"/>
      <c r="DA161" s="1007"/>
      <c r="DB161" s="1007"/>
      <c r="DC161" s="1007"/>
      <c r="DD161" s="1007"/>
      <c r="DE161" s="1007"/>
      <c r="DF161" s="1007"/>
      <c r="DG161" s="1007"/>
      <c r="DH161" s="1007"/>
      <c r="DI161" s="1010">
        <f t="shared" si="115"/>
        <v>1</v>
      </c>
      <c r="DJ161" s="1007">
        <f t="shared" si="155"/>
        <v>30741545</v>
      </c>
      <c r="DK161" s="1007"/>
      <c r="DL161" s="1007"/>
      <c r="DM161" s="1007"/>
      <c r="DN161" s="1007">
        <f t="shared" si="163"/>
        <v>0</v>
      </c>
      <c r="DO161" s="1007">
        <f t="shared" si="163"/>
        <v>0</v>
      </c>
      <c r="DP161" s="1007">
        <f t="shared" si="163"/>
        <v>0</v>
      </c>
      <c r="DQ161" s="1007">
        <f t="shared" si="163"/>
        <v>0</v>
      </c>
      <c r="DR161" s="1007"/>
      <c r="DS161" s="1007">
        <f t="shared" si="169"/>
        <v>0</v>
      </c>
      <c r="DT161" s="1007">
        <f t="shared" si="169"/>
        <v>0</v>
      </c>
      <c r="DU161" s="1007"/>
      <c r="DV161" s="1007">
        <f t="shared" si="170"/>
        <v>30741545</v>
      </c>
      <c r="DW161" s="1007">
        <f t="shared" si="170"/>
        <v>0</v>
      </c>
      <c r="DX161" s="1007">
        <f t="shared" si="170"/>
        <v>0</v>
      </c>
      <c r="DY161" s="1007">
        <f t="shared" si="171"/>
        <v>0</v>
      </c>
      <c r="DZ161" s="1007">
        <f t="shared" si="171"/>
        <v>0</v>
      </c>
      <c r="EA161" s="1007">
        <f t="shared" si="171"/>
        <v>0</v>
      </c>
      <c r="EB161" s="1007">
        <f t="shared" si="171"/>
        <v>0</v>
      </c>
      <c r="EC161" s="1007">
        <f t="shared" si="171"/>
        <v>0</v>
      </c>
      <c r="ED161" s="1007">
        <f t="shared" si="172"/>
        <v>0</v>
      </c>
    </row>
    <row r="162" spans="1:134" ht="40.5" hidden="1" customHeight="1" x14ac:dyDescent="0.25">
      <c r="A162" s="1590"/>
      <c r="B162" s="989"/>
      <c r="C162" s="852" t="s">
        <v>4523</v>
      </c>
      <c r="D162" s="1018" t="s">
        <v>4507</v>
      </c>
      <c r="E162" s="994">
        <v>211</v>
      </c>
      <c r="F162" s="1117" t="s">
        <v>4482</v>
      </c>
      <c r="G162" s="1429"/>
      <c r="H162" s="1060">
        <f t="shared" si="143"/>
        <v>239816980</v>
      </c>
      <c r="I162" s="1060">
        <f t="shared" si="144"/>
        <v>0</v>
      </c>
      <c r="J162" s="1429"/>
      <c r="K162" s="1562"/>
      <c r="L162" s="1562"/>
      <c r="M162" s="1116">
        <v>0</v>
      </c>
      <c r="N162" s="1116">
        <v>0</v>
      </c>
      <c r="O162" s="1116">
        <v>0</v>
      </c>
      <c r="P162" s="1113">
        <v>100</v>
      </c>
      <c r="Q162" s="1113">
        <v>100</v>
      </c>
      <c r="R162" s="1113">
        <v>100</v>
      </c>
      <c r="S162" s="1117"/>
      <c r="T162" s="1117"/>
      <c r="U162" s="1117"/>
      <c r="V162" s="1117"/>
      <c r="W162" s="1117"/>
      <c r="X162" s="1117"/>
      <c r="Y162" s="1007">
        <f t="shared" ref="Y162:Y193" si="173">SUM(Z162:AS162)</f>
        <v>239816980</v>
      </c>
      <c r="Z162" s="944"/>
      <c r="AA162" s="944"/>
      <c r="AB162" s="944"/>
      <c r="AC162" s="1007">
        <f>101542660+138457340-183020</f>
        <v>239816980</v>
      </c>
      <c r="AD162" s="944"/>
      <c r="AE162" s="944"/>
      <c r="AF162" s="1007">
        <f>169457340-169457340</f>
        <v>0</v>
      </c>
      <c r="AG162" s="1007"/>
      <c r="AH162" s="1007"/>
      <c r="AI162" s="1007"/>
      <c r="AJ162" s="1007"/>
      <c r="AK162" s="1007"/>
      <c r="AL162" s="1007"/>
      <c r="AM162" s="149"/>
      <c r="AN162" s="149"/>
      <c r="AO162" s="149"/>
      <c r="AP162" s="149"/>
      <c r="AQ162" s="149"/>
      <c r="AR162" s="149"/>
      <c r="AS162" s="1007"/>
      <c r="AU162" s="1010">
        <f t="shared" si="103"/>
        <v>1</v>
      </c>
      <c r="AV162" s="1007">
        <f t="shared" ref="AV162:AV193" si="174">SUM(AW162:BP162)</f>
        <v>239816980</v>
      </c>
      <c r="AW162" s="1007"/>
      <c r="AX162" s="1007"/>
      <c r="AY162" s="1007"/>
      <c r="AZ162" s="1007">
        <f>+'[13]JUNIO 2015'!$M$235</f>
        <v>239816980</v>
      </c>
      <c r="BA162" s="1007"/>
      <c r="BB162" s="1007"/>
      <c r="BC162" s="1007"/>
      <c r="BD162" s="1007"/>
      <c r="BE162" s="1007"/>
      <c r="BF162" s="1007"/>
      <c r="BG162" s="1007"/>
      <c r="BH162" s="1007"/>
      <c r="BI162" s="1007"/>
      <c r="BJ162" s="1007"/>
      <c r="BK162" s="1007"/>
      <c r="BL162" s="1007"/>
      <c r="BM162" s="1007"/>
      <c r="BN162" s="1007"/>
      <c r="BO162" s="1007"/>
      <c r="BP162" s="1007"/>
      <c r="BQ162" s="1010">
        <f t="shared" si="105"/>
        <v>0</v>
      </c>
      <c r="BR162" s="1007">
        <f t="shared" ref="BR162:BR194" si="175">SUM(BS162:CL162)</f>
        <v>0</v>
      </c>
      <c r="BS162" s="1007">
        <f t="shared" si="164"/>
        <v>0</v>
      </c>
      <c r="BT162" s="1007">
        <f t="shared" si="165"/>
        <v>0</v>
      </c>
      <c r="BU162" s="1007"/>
      <c r="BV162" s="1007">
        <f t="shared" si="162"/>
        <v>0</v>
      </c>
      <c r="BW162" s="1007">
        <f t="shared" si="162"/>
        <v>0</v>
      </c>
      <c r="BX162" s="1007">
        <f t="shared" si="166"/>
        <v>0</v>
      </c>
      <c r="BY162" s="1007">
        <f t="shared" si="166"/>
        <v>0</v>
      </c>
      <c r="BZ162" s="1007"/>
      <c r="CA162" s="1007">
        <f t="shared" si="167"/>
        <v>0</v>
      </c>
      <c r="CB162" s="1007">
        <f t="shared" si="167"/>
        <v>0</v>
      </c>
      <c r="CC162" s="1007">
        <f t="shared" si="167"/>
        <v>0</v>
      </c>
      <c r="CD162" s="1007">
        <f t="shared" si="167"/>
        <v>0</v>
      </c>
      <c r="CE162" s="1007">
        <f t="shared" si="167"/>
        <v>0</v>
      </c>
      <c r="CF162" s="1007">
        <f t="shared" si="167"/>
        <v>0</v>
      </c>
      <c r="CG162" s="1007">
        <f t="shared" si="167"/>
        <v>0</v>
      </c>
      <c r="CH162" s="1007">
        <f t="shared" si="167"/>
        <v>0</v>
      </c>
      <c r="CI162" s="1007">
        <f t="shared" si="167"/>
        <v>0</v>
      </c>
      <c r="CJ162" s="1007"/>
      <c r="CK162" s="1007">
        <f t="shared" si="168"/>
        <v>0</v>
      </c>
      <c r="CL162" s="1007">
        <f t="shared" si="168"/>
        <v>0</v>
      </c>
      <c r="CM162" s="1010">
        <f t="shared" si="113"/>
        <v>1</v>
      </c>
      <c r="CN162" s="1007">
        <f t="shared" ref="CN162:CN194" si="176">SUM(CO162:DH162)</f>
        <v>239816980</v>
      </c>
      <c r="CO162" s="1007"/>
      <c r="CP162" s="1007"/>
      <c r="CQ162" s="1007"/>
      <c r="CR162" s="1007">
        <f>+'[9]ABRIL 2015'!$H$216</f>
        <v>239816980</v>
      </c>
      <c r="CS162" s="1007"/>
      <c r="CT162" s="1007"/>
      <c r="CU162" s="1007"/>
      <c r="CV162" s="1007"/>
      <c r="CW162" s="1007"/>
      <c r="CX162" s="1007"/>
      <c r="CY162" s="1007"/>
      <c r="CZ162" s="1007"/>
      <c r="DA162" s="1007"/>
      <c r="DB162" s="1007"/>
      <c r="DC162" s="1007"/>
      <c r="DD162" s="1007"/>
      <c r="DE162" s="1007"/>
      <c r="DF162" s="1007"/>
      <c r="DG162" s="1007"/>
      <c r="DH162" s="1007"/>
      <c r="DI162" s="1010">
        <f t="shared" si="115"/>
        <v>0</v>
      </c>
      <c r="DJ162" s="1007">
        <f t="shared" ref="DJ162:DJ194" si="177">SUM(DK162:ED162)</f>
        <v>0</v>
      </c>
      <c r="DK162" s="1007"/>
      <c r="DL162" s="1007"/>
      <c r="DM162" s="1007"/>
      <c r="DN162" s="1007">
        <f t="shared" si="163"/>
        <v>0</v>
      </c>
      <c r="DO162" s="1007">
        <f t="shared" si="163"/>
        <v>0</v>
      </c>
      <c r="DP162" s="1007">
        <f t="shared" si="163"/>
        <v>0</v>
      </c>
      <c r="DQ162" s="1007">
        <f t="shared" si="163"/>
        <v>0</v>
      </c>
      <c r="DR162" s="1007"/>
      <c r="DS162" s="1007">
        <f t="shared" si="169"/>
        <v>0</v>
      </c>
      <c r="DT162" s="1007">
        <f t="shared" si="169"/>
        <v>0</v>
      </c>
      <c r="DU162" s="1007"/>
      <c r="DV162" s="1007">
        <f t="shared" si="170"/>
        <v>0</v>
      </c>
      <c r="DW162" s="1007">
        <f t="shared" si="170"/>
        <v>0</v>
      </c>
      <c r="DX162" s="1007">
        <f t="shared" si="170"/>
        <v>0</v>
      </c>
      <c r="DY162" s="1007">
        <f t="shared" si="171"/>
        <v>0</v>
      </c>
      <c r="DZ162" s="1007">
        <f t="shared" si="171"/>
        <v>0</v>
      </c>
      <c r="EA162" s="1007">
        <f t="shared" si="171"/>
        <v>0</v>
      </c>
      <c r="EB162" s="1007">
        <f t="shared" si="171"/>
        <v>0</v>
      </c>
      <c r="EC162" s="1007">
        <f t="shared" si="171"/>
        <v>0</v>
      </c>
      <c r="ED162" s="1007">
        <f t="shared" si="172"/>
        <v>0</v>
      </c>
    </row>
    <row r="163" spans="1:134" s="203" customFormat="1" ht="33.75" hidden="1" customHeight="1" x14ac:dyDescent="0.25">
      <c r="A163" s="1590"/>
      <c r="B163" s="989"/>
      <c r="C163" s="1080" t="s">
        <v>4524</v>
      </c>
      <c r="D163" s="1018" t="s">
        <v>4508</v>
      </c>
      <c r="E163" s="996">
        <v>211</v>
      </c>
      <c r="F163" s="1117" t="s">
        <v>4482</v>
      </c>
      <c r="G163" s="1429"/>
      <c r="H163" s="1060">
        <f t="shared" si="143"/>
        <v>0</v>
      </c>
      <c r="I163" s="1060">
        <f t="shared" si="144"/>
        <v>0</v>
      </c>
      <c r="J163" s="1430"/>
      <c r="K163" s="1258"/>
      <c r="L163" s="1258"/>
      <c r="M163" s="1076">
        <v>0</v>
      </c>
      <c r="N163" s="1076">
        <v>0</v>
      </c>
      <c r="O163" s="1076">
        <v>0</v>
      </c>
      <c r="P163" s="1074"/>
      <c r="Q163" s="1074"/>
      <c r="R163" s="1074"/>
      <c r="S163" s="1117"/>
      <c r="T163" s="1117"/>
      <c r="U163" s="1117"/>
      <c r="V163" s="1117"/>
      <c r="W163" s="1117"/>
      <c r="X163" s="1117"/>
      <c r="Y163" s="1066">
        <f t="shared" si="173"/>
        <v>0</v>
      </c>
      <c r="Z163" s="149"/>
      <c r="AA163" s="1066">
        <f>353000000-353000000</f>
        <v>0</v>
      </c>
      <c r="AB163" s="1066"/>
      <c r="AC163" s="1066">
        <f>99815599-99815599</f>
        <v>0</v>
      </c>
      <c r="AD163" s="1066"/>
      <c r="AE163" s="1066"/>
      <c r="AF163" s="1066">
        <f>500000000-37000000-110000000-353000000</f>
        <v>0</v>
      </c>
      <c r="AG163" s="149"/>
      <c r="AH163" s="149"/>
      <c r="AI163" s="149"/>
      <c r="AJ163" s="149"/>
      <c r="AK163" s="149"/>
      <c r="AL163" s="149"/>
      <c r="AM163" s="149"/>
      <c r="AN163" s="149"/>
      <c r="AO163" s="149"/>
      <c r="AP163" s="149"/>
      <c r="AQ163" s="149"/>
      <c r="AR163" s="149"/>
      <c r="AS163" s="1066"/>
      <c r="AU163" s="1081" t="e">
        <f t="shared" si="103"/>
        <v>#DIV/0!</v>
      </c>
      <c r="AV163" s="1066">
        <f t="shared" si="174"/>
        <v>0</v>
      </c>
      <c r="AW163" s="1066"/>
      <c r="AX163" s="1066"/>
      <c r="AY163" s="1066"/>
      <c r="AZ163" s="1066"/>
      <c r="BA163" s="1066"/>
      <c r="BB163" s="1066"/>
      <c r="BC163" s="1066"/>
      <c r="BD163" s="1066"/>
      <c r="BE163" s="1066"/>
      <c r="BF163" s="1066"/>
      <c r="BG163" s="1066"/>
      <c r="BH163" s="1066"/>
      <c r="BI163" s="1066"/>
      <c r="BJ163" s="1066"/>
      <c r="BK163" s="1066"/>
      <c r="BL163" s="1066"/>
      <c r="BM163" s="1066"/>
      <c r="BN163" s="1066"/>
      <c r="BO163" s="1066"/>
      <c r="BP163" s="1066"/>
      <c r="BQ163" s="1081" t="e">
        <f t="shared" si="105"/>
        <v>#DIV/0!</v>
      </c>
      <c r="BR163" s="1066">
        <f t="shared" si="175"/>
        <v>0</v>
      </c>
      <c r="BS163" s="1066">
        <f t="shared" si="164"/>
        <v>0</v>
      </c>
      <c r="BT163" s="1066">
        <f t="shared" si="165"/>
        <v>0</v>
      </c>
      <c r="BU163" s="1066"/>
      <c r="BV163" s="1066">
        <f t="shared" si="162"/>
        <v>0</v>
      </c>
      <c r="BW163" s="1066">
        <f t="shared" si="162"/>
        <v>0</v>
      </c>
      <c r="BX163" s="1066">
        <f t="shared" si="166"/>
        <v>0</v>
      </c>
      <c r="BY163" s="1066">
        <f t="shared" si="166"/>
        <v>0</v>
      </c>
      <c r="BZ163" s="1066"/>
      <c r="CA163" s="1066">
        <f t="shared" si="167"/>
        <v>0</v>
      </c>
      <c r="CB163" s="1066">
        <f t="shared" si="167"/>
        <v>0</v>
      </c>
      <c r="CC163" s="1066">
        <f t="shared" si="167"/>
        <v>0</v>
      </c>
      <c r="CD163" s="1066">
        <f t="shared" si="167"/>
        <v>0</v>
      </c>
      <c r="CE163" s="1066">
        <f t="shared" si="167"/>
        <v>0</v>
      </c>
      <c r="CF163" s="1066">
        <f t="shared" si="167"/>
        <v>0</v>
      </c>
      <c r="CG163" s="1066">
        <f t="shared" si="167"/>
        <v>0</v>
      </c>
      <c r="CH163" s="1066">
        <f t="shared" si="167"/>
        <v>0</v>
      </c>
      <c r="CI163" s="1066">
        <f t="shared" si="167"/>
        <v>0</v>
      </c>
      <c r="CJ163" s="1066">
        <f>+AQ163-BN163</f>
        <v>0</v>
      </c>
      <c r="CK163" s="1066">
        <f t="shared" si="168"/>
        <v>0</v>
      </c>
      <c r="CL163" s="1066">
        <f t="shared" si="168"/>
        <v>0</v>
      </c>
      <c r="CM163" s="1081" t="e">
        <f t="shared" si="113"/>
        <v>#DIV/0!</v>
      </c>
      <c r="CN163" s="1066">
        <f t="shared" si="176"/>
        <v>0</v>
      </c>
      <c r="CO163" s="1066"/>
      <c r="CP163" s="1066"/>
      <c r="CQ163" s="1066"/>
      <c r="CR163" s="1066"/>
      <c r="CS163" s="1066"/>
      <c r="CT163" s="1066"/>
      <c r="CU163" s="1066"/>
      <c r="CV163" s="1066"/>
      <c r="CW163" s="1066"/>
      <c r="CX163" s="1066"/>
      <c r="CY163" s="1066"/>
      <c r="CZ163" s="1066"/>
      <c r="DA163" s="1066"/>
      <c r="DB163" s="1066"/>
      <c r="DC163" s="1066"/>
      <c r="DD163" s="1066"/>
      <c r="DE163" s="1066"/>
      <c r="DF163" s="1066"/>
      <c r="DG163" s="1066"/>
      <c r="DH163" s="1066"/>
      <c r="DI163" s="1081" t="e">
        <f t="shared" si="115"/>
        <v>#DIV/0!</v>
      </c>
      <c r="DJ163" s="1066">
        <f t="shared" si="177"/>
        <v>0</v>
      </c>
      <c r="DK163" s="1066"/>
      <c r="DL163" s="1066">
        <f>AA163-CP163</f>
        <v>0</v>
      </c>
      <c r="DM163" s="1066">
        <f>AB163-CQ163</f>
        <v>0</v>
      </c>
      <c r="DN163" s="1066">
        <f t="shared" si="163"/>
        <v>0</v>
      </c>
      <c r="DO163" s="1066">
        <f t="shared" si="163"/>
        <v>0</v>
      </c>
      <c r="DP163" s="1066">
        <f t="shared" si="163"/>
        <v>0</v>
      </c>
      <c r="DQ163" s="1066">
        <f t="shared" si="163"/>
        <v>0</v>
      </c>
      <c r="DR163" s="1066"/>
      <c r="DS163" s="1066">
        <f t="shared" si="169"/>
        <v>0</v>
      </c>
      <c r="DT163" s="1066">
        <f t="shared" si="169"/>
        <v>0</v>
      </c>
      <c r="DU163" s="1066"/>
      <c r="DV163" s="1066">
        <f t="shared" si="170"/>
        <v>0</v>
      </c>
      <c r="DW163" s="1066">
        <f t="shared" si="170"/>
        <v>0</v>
      </c>
      <c r="DX163" s="1066">
        <f t="shared" si="170"/>
        <v>0</v>
      </c>
      <c r="DY163" s="1066">
        <f t="shared" si="171"/>
        <v>0</v>
      </c>
      <c r="DZ163" s="1066">
        <f t="shared" si="171"/>
        <v>0</v>
      </c>
      <c r="EA163" s="1066">
        <f t="shared" si="171"/>
        <v>0</v>
      </c>
      <c r="EB163" s="1066">
        <f t="shared" si="171"/>
        <v>0</v>
      </c>
      <c r="EC163" s="1066">
        <f t="shared" si="171"/>
        <v>0</v>
      </c>
      <c r="ED163" s="1066">
        <f t="shared" si="172"/>
        <v>0</v>
      </c>
    </row>
    <row r="164" spans="1:134" ht="42.75" hidden="1" customHeight="1" x14ac:dyDescent="0.25">
      <c r="A164" s="1590"/>
      <c r="B164" s="989"/>
      <c r="C164" s="852" t="s">
        <v>4525</v>
      </c>
      <c r="D164" s="1018" t="s">
        <v>4673</v>
      </c>
      <c r="E164" s="994">
        <v>211</v>
      </c>
      <c r="F164" s="1117" t="s">
        <v>4819</v>
      </c>
      <c r="G164" s="1429"/>
      <c r="H164" s="1060">
        <f t="shared" si="143"/>
        <v>36999994</v>
      </c>
      <c r="I164" s="1060">
        <f t="shared" si="144"/>
        <v>423775120</v>
      </c>
      <c r="J164" s="1591">
        <v>58</v>
      </c>
      <c r="K164" s="1594">
        <v>98</v>
      </c>
      <c r="L164" s="1257">
        <v>63</v>
      </c>
      <c r="M164" s="1116">
        <v>0</v>
      </c>
      <c r="N164" s="1116">
        <v>0</v>
      </c>
      <c r="O164" s="1116">
        <v>0</v>
      </c>
      <c r="P164" s="1113">
        <v>16</v>
      </c>
      <c r="Q164" s="1113">
        <v>0</v>
      </c>
      <c r="R164" s="1113">
        <v>0</v>
      </c>
      <c r="S164" s="1117"/>
      <c r="T164" s="1117"/>
      <c r="U164" s="1117"/>
      <c r="V164" s="1117"/>
      <c r="W164" s="1117"/>
      <c r="X164" s="1117"/>
      <c r="Y164" s="1007">
        <f t="shared" si="173"/>
        <v>460775114</v>
      </c>
      <c r="Z164" s="944"/>
      <c r="AA164" s="1007"/>
      <c r="AB164" s="1007"/>
      <c r="AC164" s="1007">
        <v>420000000</v>
      </c>
      <c r="AD164" s="1007"/>
      <c r="AE164" s="1007"/>
      <c r="AF164" s="1007"/>
      <c r="AG164" s="944"/>
      <c r="AH164" s="944"/>
      <c r="AI164" s="149"/>
      <c r="AJ164" s="149"/>
      <c r="AK164" s="149"/>
      <c r="AL164" s="149"/>
      <c r="AM164" s="149"/>
      <c r="AN164" s="944"/>
      <c r="AO164" s="944"/>
      <c r="AP164" s="944"/>
      <c r="AQ164" s="944"/>
      <c r="AR164" s="944"/>
      <c r="AS164" s="1007">
        <f>37000000+3775114</f>
        <v>40775114</v>
      </c>
      <c r="AU164" s="1010">
        <f t="shared" si="103"/>
        <v>0.78585471523533712</v>
      </c>
      <c r="AV164" s="1007">
        <f t="shared" si="174"/>
        <v>362102296</v>
      </c>
      <c r="AW164" s="1007"/>
      <c r="AX164" s="1007"/>
      <c r="AY164" s="1007"/>
      <c r="AZ164" s="1007">
        <f>+'[8]SEPTIEMBRE 2015'!$M$291</f>
        <v>325102296</v>
      </c>
      <c r="BA164" s="1007"/>
      <c r="BB164" s="1007"/>
      <c r="BC164" s="1007"/>
      <c r="BD164" s="1007"/>
      <c r="BE164" s="1007"/>
      <c r="BF164" s="1007"/>
      <c r="BG164" s="1007"/>
      <c r="BH164" s="1007"/>
      <c r="BI164" s="1007"/>
      <c r="BJ164" s="1007"/>
      <c r="BK164" s="1007"/>
      <c r="BL164" s="1007"/>
      <c r="BM164" s="1007"/>
      <c r="BN164" s="1007"/>
      <c r="BO164" s="1007"/>
      <c r="BP164" s="1007">
        <f>+'[15]FEBRERO 2015'!$G$196</f>
        <v>37000000</v>
      </c>
      <c r="BQ164" s="1010">
        <f t="shared" si="105"/>
        <v>0.21414528476466288</v>
      </c>
      <c r="BR164" s="1007">
        <f t="shared" si="175"/>
        <v>98672818</v>
      </c>
      <c r="BS164" s="1007">
        <f t="shared" si="164"/>
        <v>0</v>
      </c>
      <c r="BT164" s="1007">
        <f t="shared" si="165"/>
        <v>0</v>
      </c>
      <c r="BU164" s="1007"/>
      <c r="BV164" s="1007">
        <f t="shared" si="162"/>
        <v>94897704</v>
      </c>
      <c r="BW164" s="1007">
        <f t="shared" si="162"/>
        <v>0</v>
      </c>
      <c r="BX164" s="1007">
        <f t="shared" si="166"/>
        <v>0</v>
      </c>
      <c r="BY164" s="1007">
        <f t="shared" si="166"/>
        <v>0</v>
      </c>
      <c r="BZ164" s="1007"/>
      <c r="CA164" s="1007">
        <f t="shared" si="167"/>
        <v>0</v>
      </c>
      <c r="CB164" s="1007">
        <f t="shared" si="167"/>
        <v>0</v>
      </c>
      <c r="CC164" s="1007">
        <f t="shared" si="167"/>
        <v>0</v>
      </c>
      <c r="CD164" s="1007">
        <f t="shared" si="167"/>
        <v>0</v>
      </c>
      <c r="CE164" s="1007">
        <f t="shared" si="167"/>
        <v>0</v>
      </c>
      <c r="CF164" s="1007">
        <f t="shared" si="167"/>
        <v>0</v>
      </c>
      <c r="CG164" s="1007">
        <f t="shared" si="167"/>
        <v>0</v>
      </c>
      <c r="CH164" s="1007">
        <f t="shared" si="167"/>
        <v>0</v>
      </c>
      <c r="CI164" s="1007">
        <f t="shared" si="167"/>
        <v>0</v>
      </c>
      <c r="CJ164" s="1007"/>
      <c r="CK164" s="1007">
        <f t="shared" si="168"/>
        <v>0</v>
      </c>
      <c r="CL164" s="1007">
        <f t="shared" si="168"/>
        <v>3775114</v>
      </c>
      <c r="CM164" s="1010">
        <f t="shared" si="113"/>
        <v>8.0299462526962767E-2</v>
      </c>
      <c r="CN164" s="1007">
        <f t="shared" si="176"/>
        <v>36999994</v>
      </c>
      <c r="CO164" s="1007"/>
      <c r="CP164" s="1007"/>
      <c r="CQ164" s="1007"/>
      <c r="CR164" s="1007"/>
      <c r="CS164" s="1007"/>
      <c r="CT164" s="1007"/>
      <c r="CU164" s="1007"/>
      <c r="CV164" s="1007"/>
      <c r="CW164" s="1007"/>
      <c r="CX164" s="1007"/>
      <c r="CY164" s="1007"/>
      <c r="CZ164" s="1007"/>
      <c r="DA164" s="1007"/>
      <c r="DB164" s="1007"/>
      <c r="DC164" s="1007"/>
      <c r="DD164" s="1007"/>
      <c r="DE164" s="1007"/>
      <c r="DF164" s="1007"/>
      <c r="DG164" s="1007"/>
      <c r="DH164" s="1007">
        <f>+'[8]SEPTIEMBRE 2015'!$H$292</f>
        <v>36999994</v>
      </c>
      <c r="DI164" s="1010">
        <f t="shared" si="115"/>
        <v>0.91970053747303726</v>
      </c>
      <c r="DJ164" s="1007">
        <f t="shared" si="177"/>
        <v>423775120</v>
      </c>
      <c r="DK164" s="1007"/>
      <c r="DL164" s="1007"/>
      <c r="DM164" s="1007"/>
      <c r="DN164" s="1007">
        <f t="shared" si="163"/>
        <v>420000000</v>
      </c>
      <c r="DO164" s="1007">
        <f t="shared" si="163"/>
        <v>0</v>
      </c>
      <c r="DP164" s="1007">
        <f t="shared" si="163"/>
        <v>0</v>
      </c>
      <c r="DQ164" s="1007">
        <f t="shared" si="163"/>
        <v>0</v>
      </c>
      <c r="DR164" s="1007"/>
      <c r="DS164" s="1007">
        <f t="shared" si="169"/>
        <v>0</v>
      </c>
      <c r="DT164" s="1007">
        <f t="shared" si="169"/>
        <v>0</v>
      </c>
      <c r="DU164" s="1007"/>
      <c r="DV164" s="1007">
        <f t="shared" si="170"/>
        <v>0</v>
      </c>
      <c r="DW164" s="1007">
        <f t="shared" si="170"/>
        <v>0</v>
      </c>
      <c r="DX164" s="1007">
        <f t="shared" si="170"/>
        <v>0</v>
      </c>
      <c r="DY164" s="1007">
        <f t="shared" si="171"/>
        <v>0</v>
      </c>
      <c r="DZ164" s="1007">
        <f t="shared" si="171"/>
        <v>0</v>
      </c>
      <c r="EA164" s="1007">
        <f t="shared" si="171"/>
        <v>0</v>
      </c>
      <c r="EB164" s="1007">
        <f t="shared" si="171"/>
        <v>0</v>
      </c>
      <c r="EC164" s="1007">
        <f t="shared" si="171"/>
        <v>0</v>
      </c>
      <c r="ED164" s="1007">
        <f t="shared" si="172"/>
        <v>3775120</v>
      </c>
    </row>
    <row r="165" spans="1:134" ht="81" hidden="1" customHeight="1" x14ac:dyDescent="0.25">
      <c r="A165" s="1590"/>
      <c r="B165" s="989"/>
      <c r="C165" s="852" t="s">
        <v>4526</v>
      </c>
      <c r="D165" s="1018" t="s">
        <v>4641</v>
      </c>
      <c r="E165" s="994">
        <v>211</v>
      </c>
      <c r="F165" s="1117" t="s">
        <v>4672</v>
      </c>
      <c r="G165" s="1429"/>
      <c r="H165" s="1060">
        <f t="shared" si="143"/>
        <v>21204410</v>
      </c>
      <c r="I165" s="1060">
        <f t="shared" si="144"/>
        <v>56002527</v>
      </c>
      <c r="J165" s="1592"/>
      <c r="K165" s="1595"/>
      <c r="L165" s="1562"/>
      <c r="M165" s="1116">
        <v>0</v>
      </c>
      <c r="N165" s="1116">
        <v>0</v>
      </c>
      <c r="O165" s="1116">
        <v>0</v>
      </c>
      <c r="P165" s="1113">
        <v>29</v>
      </c>
      <c r="Q165" s="1113">
        <v>0</v>
      </c>
      <c r="R165" s="1113">
        <v>0</v>
      </c>
      <c r="S165" s="1117"/>
      <c r="T165" s="1117"/>
      <c r="U165" s="1117"/>
      <c r="V165" s="1117"/>
      <c r="W165" s="1117"/>
      <c r="X165" s="1117"/>
      <c r="Y165" s="1007">
        <f t="shared" si="173"/>
        <v>77206937</v>
      </c>
      <c r="Z165" s="944"/>
      <c r="AA165" s="1007"/>
      <c r="AB165" s="1007"/>
      <c r="AC165" s="1007"/>
      <c r="AD165" s="1007"/>
      <c r="AE165" s="1007"/>
      <c r="AF165" s="1007"/>
      <c r="AG165" s="944"/>
      <c r="AH165" s="944"/>
      <c r="AI165" s="149"/>
      <c r="AJ165" s="149"/>
      <c r="AK165" s="149"/>
      <c r="AL165" s="149"/>
      <c r="AM165" s="149"/>
      <c r="AN165" s="944"/>
      <c r="AO165" s="944"/>
      <c r="AP165" s="944"/>
      <c r="AQ165" s="944"/>
      <c r="AR165" s="944"/>
      <c r="AS165" s="1007">
        <f>6158702+2689112+21598701+428146+6000101+7556188+25983466+3000000+3792521</f>
        <v>77206937</v>
      </c>
      <c r="AU165" s="1010">
        <f t="shared" si="103"/>
        <v>0.83788704116056312</v>
      </c>
      <c r="AV165" s="1007">
        <f t="shared" si="174"/>
        <v>64690692</v>
      </c>
      <c r="AW165" s="1007"/>
      <c r="AX165" s="1007"/>
      <c r="AY165" s="1007"/>
      <c r="AZ165" s="1007"/>
      <c r="BA165" s="1007"/>
      <c r="BB165" s="1007"/>
      <c r="BC165" s="1007"/>
      <c r="BD165" s="1007"/>
      <c r="BE165" s="1007"/>
      <c r="BF165" s="1007"/>
      <c r="BG165" s="1007"/>
      <c r="BH165" s="1007"/>
      <c r="BI165" s="1007"/>
      <c r="BJ165" s="1007"/>
      <c r="BK165" s="1007"/>
      <c r="BL165" s="1007"/>
      <c r="BM165" s="1007"/>
      <c r="BN165" s="1007"/>
      <c r="BO165" s="1007"/>
      <c r="BP165" s="1007">
        <f>+'[8]SEPTIEMBRE 2015'!$G$303</f>
        <v>64690692</v>
      </c>
      <c r="BQ165" s="1010">
        <f t="shared" si="105"/>
        <v>0.16211295883943688</v>
      </c>
      <c r="BR165" s="1007">
        <f t="shared" si="175"/>
        <v>12516245</v>
      </c>
      <c r="BS165" s="1007">
        <f t="shared" si="164"/>
        <v>0</v>
      </c>
      <c r="BT165" s="1007">
        <f t="shared" si="165"/>
        <v>0</v>
      </c>
      <c r="BU165" s="1007"/>
      <c r="BV165" s="1007">
        <f t="shared" si="162"/>
        <v>0</v>
      </c>
      <c r="BW165" s="1007">
        <f t="shared" si="162"/>
        <v>0</v>
      </c>
      <c r="BX165" s="1007">
        <f t="shared" si="166"/>
        <v>0</v>
      </c>
      <c r="BY165" s="1007">
        <f t="shared" si="166"/>
        <v>0</v>
      </c>
      <c r="BZ165" s="1007"/>
      <c r="CA165" s="1007">
        <f t="shared" si="167"/>
        <v>0</v>
      </c>
      <c r="CB165" s="1007">
        <f t="shared" si="167"/>
        <v>0</v>
      </c>
      <c r="CC165" s="1007">
        <f t="shared" si="167"/>
        <v>0</v>
      </c>
      <c r="CD165" s="1007">
        <f t="shared" si="167"/>
        <v>0</v>
      </c>
      <c r="CE165" s="1007">
        <f t="shared" si="167"/>
        <v>0</v>
      </c>
      <c r="CF165" s="1007">
        <f t="shared" si="167"/>
        <v>0</v>
      </c>
      <c r="CG165" s="1007">
        <f t="shared" si="167"/>
        <v>0</v>
      </c>
      <c r="CH165" s="1007">
        <f t="shared" si="167"/>
        <v>0</v>
      </c>
      <c r="CI165" s="1007">
        <f t="shared" si="167"/>
        <v>0</v>
      </c>
      <c r="CJ165" s="1007"/>
      <c r="CK165" s="1007">
        <f t="shared" si="168"/>
        <v>0</v>
      </c>
      <c r="CL165" s="1007">
        <f t="shared" si="168"/>
        <v>12516245</v>
      </c>
      <c r="CM165" s="1010">
        <f t="shared" si="113"/>
        <v>0.27464384450324714</v>
      </c>
      <c r="CN165" s="1007">
        <f t="shared" si="176"/>
        <v>21204410</v>
      </c>
      <c r="CO165" s="1007"/>
      <c r="CP165" s="1007"/>
      <c r="CQ165" s="1007"/>
      <c r="CR165" s="1007"/>
      <c r="CS165" s="1007"/>
      <c r="CT165" s="1007"/>
      <c r="CU165" s="1007"/>
      <c r="CV165" s="1007"/>
      <c r="CW165" s="1007"/>
      <c r="CX165" s="1007"/>
      <c r="CY165" s="1007"/>
      <c r="CZ165" s="1007"/>
      <c r="DA165" s="1007"/>
      <c r="DB165" s="1007"/>
      <c r="DC165" s="1007"/>
      <c r="DD165" s="1007"/>
      <c r="DE165" s="1007"/>
      <c r="DF165" s="1007"/>
      <c r="DG165" s="1007"/>
      <c r="DH165" s="1007">
        <f>+'[7]AGOSTO 2015'!$H$284</f>
        <v>21204410</v>
      </c>
      <c r="DI165" s="1010">
        <f t="shared" si="115"/>
        <v>0.72535615549675292</v>
      </c>
      <c r="DJ165" s="1007">
        <f t="shared" si="177"/>
        <v>56002527</v>
      </c>
      <c r="DK165" s="1007"/>
      <c r="DL165" s="1007"/>
      <c r="DM165" s="1007"/>
      <c r="DN165" s="1007">
        <f t="shared" si="163"/>
        <v>0</v>
      </c>
      <c r="DO165" s="1007">
        <f t="shared" si="163"/>
        <v>0</v>
      </c>
      <c r="DP165" s="1007">
        <f t="shared" si="163"/>
        <v>0</v>
      </c>
      <c r="DQ165" s="1007">
        <f t="shared" si="163"/>
        <v>0</v>
      </c>
      <c r="DR165" s="1007"/>
      <c r="DS165" s="1007">
        <f t="shared" si="169"/>
        <v>0</v>
      </c>
      <c r="DT165" s="1007">
        <f t="shared" si="169"/>
        <v>0</v>
      </c>
      <c r="DU165" s="1007"/>
      <c r="DV165" s="1007">
        <f t="shared" si="170"/>
        <v>0</v>
      </c>
      <c r="DW165" s="1007">
        <f t="shared" si="170"/>
        <v>0</v>
      </c>
      <c r="DX165" s="1007">
        <f t="shared" si="170"/>
        <v>0</v>
      </c>
      <c r="DY165" s="1007">
        <f t="shared" si="171"/>
        <v>0</v>
      </c>
      <c r="DZ165" s="1007">
        <f t="shared" si="171"/>
        <v>0</v>
      </c>
      <c r="EA165" s="1007">
        <f t="shared" si="171"/>
        <v>0</v>
      </c>
      <c r="EB165" s="1007">
        <f t="shared" si="171"/>
        <v>0</v>
      </c>
      <c r="EC165" s="1007">
        <f t="shared" si="171"/>
        <v>0</v>
      </c>
      <c r="ED165" s="1007">
        <f t="shared" si="172"/>
        <v>56002527</v>
      </c>
    </row>
    <row r="166" spans="1:134" s="203" customFormat="1" ht="27.75" hidden="1" customHeight="1" x14ac:dyDescent="0.25">
      <c r="A166" s="1590"/>
      <c r="B166" s="989"/>
      <c r="C166" s="1080" t="s">
        <v>4527</v>
      </c>
      <c r="D166" s="1018" t="s">
        <v>4509</v>
      </c>
      <c r="E166" s="996">
        <v>211</v>
      </c>
      <c r="F166" s="1117" t="s">
        <v>4482</v>
      </c>
      <c r="G166" s="1429"/>
      <c r="H166" s="1060">
        <f t="shared" si="143"/>
        <v>0</v>
      </c>
      <c r="I166" s="1060">
        <f t="shared" si="144"/>
        <v>0</v>
      </c>
      <c r="J166" s="1593"/>
      <c r="K166" s="1596"/>
      <c r="L166" s="1258"/>
      <c r="M166" s="1076">
        <v>0</v>
      </c>
      <c r="N166" s="1076">
        <v>0</v>
      </c>
      <c r="O166" s="1076">
        <v>0</v>
      </c>
      <c r="P166" s="1074"/>
      <c r="Q166" s="1074"/>
      <c r="R166" s="1074"/>
      <c r="S166" s="1117"/>
      <c r="T166" s="1117"/>
      <c r="U166" s="1117"/>
      <c r="V166" s="1117"/>
      <c r="W166" s="1117"/>
      <c r="X166" s="1117"/>
      <c r="Y166" s="1066">
        <f t="shared" si="173"/>
        <v>0</v>
      </c>
      <c r="Z166" s="149"/>
      <c r="AA166" s="1066">
        <f>270014856-270014856</f>
        <v>0</v>
      </c>
      <c r="AB166" s="1066"/>
      <c r="AC166" s="1066">
        <f>65677916-65677916</f>
        <v>0</v>
      </c>
      <c r="AD166" s="1066"/>
      <c r="AE166" s="1066"/>
      <c r="AF166" s="1066">
        <f>335692772-270014856-65677916</f>
        <v>0</v>
      </c>
      <c r="AG166" s="149"/>
      <c r="AH166" s="149"/>
      <c r="AI166" s="149"/>
      <c r="AJ166" s="149"/>
      <c r="AK166" s="149"/>
      <c r="AL166" s="149"/>
      <c r="AM166" s="149"/>
      <c r="AN166" s="149"/>
      <c r="AO166" s="149"/>
      <c r="AP166" s="149"/>
      <c r="AQ166" s="149"/>
      <c r="AR166" s="149"/>
      <c r="AS166" s="149"/>
      <c r="AU166" s="1081" t="e">
        <f t="shared" si="103"/>
        <v>#DIV/0!</v>
      </c>
      <c r="AV166" s="1066">
        <f t="shared" si="174"/>
        <v>0</v>
      </c>
      <c r="AW166" s="1066"/>
      <c r="AX166" s="1066"/>
      <c r="AY166" s="1066"/>
      <c r="AZ166" s="1066"/>
      <c r="BA166" s="1066"/>
      <c r="BB166" s="1066"/>
      <c r="BC166" s="1066"/>
      <c r="BD166" s="1066"/>
      <c r="BE166" s="1066"/>
      <c r="BF166" s="1066"/>
      <c r="BG166" s="1066"/>
      <c r="BH166" s="1066"/>
      <c r="BI166" s="1066"/>
      <c r="BJ166" s="1066"/>
      <c r="BK166" s="1066"/>
      <c r="BL166" s="1066"/>
      <c r="BM166" s="1066"/>
      <c r="BN166" s="1066"/>
      <c r="BO166" s="1066"/>
      <c r="BP166" s="1066"/>
      <c r="BQ166" s="1081" t="e">
        <f t="shared" si="105"/>
        <v>#DIV/0!</v>
      </c>
      <c r="BR166" s="1066">
        <f t="shared" si="175"/>
        <v>0</v>
      </c>
      <c r="BS166" s="1066">
        <f t="shared" si="164"/>
        <v>0</v>
      </c>
      <c r="BT166" s="1066">
        <f t="shared" si="165"/>
        <v>0</v>
      </c>
      <c r="BU166" s="1066"/>
      <c r="BV166" s="1066">
        <f t="shared" si="162"/>
        <v>0</v>
      </c>
      <c r="BW166" s="1066">
        <f t="shared" si="162"/>
        <v>0</v>
      </c>
      <c r="BX166" s="1066">
        <f t="shared" si="166"/>
        <v>0</v>
      </c>
      <c r="BY166" s="1066">
        <f t="shared" si="166"/>
        <v>0</v>
      </c>
      <c r="BZ166" s="1066"/>
      <c r="CA166" s="1066">
        <f t="shared" si="167"/>
        <v>0</v>
      </c>
      <c r="CB166" s="1066">
        <f t="shared" si="167"/>
        <v>0</v>
      </c>
      <c r="CC166" s="1066">
        <f t="shared" si="167"/>
        <v>0</v>
      </c>
      <c r="CD166" s="1066">
        <f t="shared" si="167"/>
        <v>0</v>
      </c>
      <c r="CE166" s="1066">
        <f t="shared" si="167"/>
        <v>0</v>
      </c>
      <c r="CF166" s="1066">
        <f t="shared" si="167"/>
        <v>0</v>
      </c>
      <c r="CG166" s="1066">
        <f t="shared" si="167"/>
        <v>0</v>
      </c>
      <c r="CH166" s="1066">
        <f t="shared" si="167"/>
        <v>0</v>
      </c>
      <c r="CI166" s="1066">
        <f t="shared" si="167"/>
        <v>0</v>
      </c>
      <c r="CJ166" s="1066"/>
      <c r="CK166" s="1066">
        <f t="shared" si="168"/>
        <v>0</v>
      </c>
      <c r="CL166" s="1066">
        <f t="shared" si="168"/>
        <v>0</v>
      </c>
      <c r="CM166" s="1081" t="e">
        <f t="shared" si="113"/>
        <v>#DIV/0!</v>
      </c>
      <c r="CN166" s="1066">
        <f t="shared" si="176"/>
        <v>0</v>
      </c>
      <c r="CO166" s="1066"/>
      <c r="CP166" s="1066"/>
      <c r="CQ166" s="1066"/>
      <c r="CR166" s="1066"/>
      <c r="CS166" s="1066"/>
      <c r="CT166" s="1066"/>
      <c r="CU166" s="1066"/>
      <c r="CV166" s="1066"/>
      <c r="CW166" s="1066"/>
      <c r="CX166" s="1066"/>
      <c r="CY166" s="1066"/>
      <c r="CZ166" s="1066"/>
      <c r="DA166" s="1066"/>
      <c r="DB166" s="1066"/>
      <c r="DC166" s="1066"/>
      <c r="DD166" s="1066"/>
      <c r="DE166" s="1066"/>
      <c r="DF166" s="1066"/>
      <c r="DG166" s="1066"/>
      <c r="DH166" s="1066"/>
      <c r="DI166" s="1081" t="e">
        <f t="shared" si="115"/>
        <v>#DIV/0!</v>
      </c>
      <c r="DJ166" s="1066">
        <f t="shared" si="177"/>
        <v>0</v>
      </c>
      <c r="DK166" s="1066"/>
      <c r="DL166" s="1066">
        <f>AA166-CP166</f>
        <v>0</v>
      </c>
      <c r="DM166" s="1066">
        <f>AB166-CQ166</f>
        <v>0</v>
      </c>
      <c r="DN166" s="1066">
        <f t="shared" si="163"/>
        <v>0</v>
      </c>
      <c r="DO166" s="1066">
        <f t="shared" si="163"/>
        <v>0</v>
      </c>
      <c r="DP166" s="1066">
        <f t="shared" si="163"/>
        <v>0</v>
      </c>
      <c r="DQ166" s="1066">
        <f t="shared" si="163"/>
        <v>0</v>
      </c>
      <c r="DR166" s="1066"/>
      <c r="DS166" s="1066">
        <f t="shared" si="169"/>
        <v>0</v>
      </c>
      <c r="DT166" s="1066">
        <f t="shared" si="169"/>
        <v>0</v>
      </c>
      <c r="DU166" s="1066"/>
      <c r="DV166" s="1066">
        <f t="shared" si="170"/>
        <v>0</v>
      </c>
      <c r="DW166" s="1066">
        <f t="shared" si="170"/>
        <v>0</v>
      </c>
      <c r="DX166" s="1066">
        <f t="shared" si="170"/>
        <v>0</v>
      </c>
      <c r="DY166" s="1066">
        <f t="shared" si="171"/>
        <v>0</v>
      </c>
      <c r="DZ166" s="1066">
        <f t="shared" si="171"/>
        <v>0</v>
      </c>
      <c r="EA166" s="1066">
        <f t="shared" si="171"/>
        <v>0</v>
      </c>
      <c r="EB166" s="1066">
        <f t="shared" si="171"/>
        <v>0</v>
      </c>
      <c r="EC166" s="1066">
        <f t="shared" si="171"/>
        <v>0</v>
      </c>
      <c r="ED166" s="1066">
        <f t="shared" si="172"/>
        <v>0</v>
      </c>
    </row>
    <row r="167" spans="1:134" ht="35.25" hidden="1" customHeight="1" x14ac:dyDescent="0.25">
      <c r="A167" s="1590"/>
      <c r="B167" s="989"/>
      <c r="C167" s="852" t="s">
        <v>4528</v>
      </c>
      <c r="D167" s="1018" t="s">
        <v>4723</v>
      </c>
      <c r="E167" s="994">
        <v>211</v>
      </c>
      <c r="F167" s="1117" t="s">
        <v>4482</v>
      </c>
      <c r="G167" s="1429"/>
      <c r="H167" s="1060">
        <f t="shared" si="143"/>
        <v>167851094</v>
      </c>
      <c r="I167" s="1060">
        <f t="shared" si="144"/>
        <v>32148906</v>
      </c>
      <c r="J167" s="1591">
        <v>120</v>
      </c>
      <c r="K167" s="1594">
        <v>600</v>
      </c>
      <c r="L167" s="1257">
        <v>168</v>
      </c>
      <c r="M167" s="1116">
        <v>0</v>
      </c>
      <c r="N167" s="1116">
        <v>0</v>
      </c>
      <c r="O167" s="1116">
        <v>0</v>
      </c>
      <c r="P167" s="1113">
        <v>51</v>
      </c>
      <c r="Q167" s="1113">
        <v>35</v>
      </c>
      <c r="R167" s="1113">
        <v>18</v>
      </c>
      <c r="S167" s="1117"/>
      <c r="T167" s="1117"/>
      <c r="U167" s="1117"/>
      <c r="V167" s="1117"/>
      <c r="W167" s="1117"/>
      <c r="X167" s="1117"/>
      <c r="Y167" s="1007">
        <f t="shared" si="173"/>
        <v>200000000</v>
      </c>
      <c r="Z167" s="944"/>
      <c r="AA167" s="1007"/>
      <c r="AB167" s="1007"/>
      <c r="AC167" s="1007">
        <f>300000000-100000000</f>
        <v>200000000</v>
      </c>
      <c r="AD167" s="1007"/>
      <c r="AE167" s="1007"/>
      <c r="AF167" s="1007">
        <f>300000000-300000000</f>
        <v>0</v>
      </c>
      <c r="AG167" s="1007"/>
      <c r="AH167" s="1007"/>
      <c r="AI167" s="1007"/>
      <c r="AJ167" s="1007"/>
      <c r="AK167" s="1007"/>
      <c r="AL167" s="1007"/>
      <c r="AM167" s="1007"/>
      <c r="AN167" s="1007"/>
      <c r="AO167" s="1007"/>
      <c r="AP167" s="1007"/>
      <c r="AQ167" s="1007"/>
      <c r="AR167" s="1007"/>
      <c r="AS167" s="1007"/>
      <c r="AT167" s="1007"/>
      <c r="AU167" s="1010">
        <f t="shared" si="103"/>
        <v>0.91125051999999995</v>
      </c>
      <c r="AV167" s="1007">
        <f t="shared" si="174"/>
        <v>182250104</v>
      </c>
      <c r="AW167" s="1007"/>
      <c r="AX167" s="1007"/>
      <c r="AY167" s="1007"/>
      <c r="AZ167" s="1007">
        <f>+'[8]SEPTIEMBRE 2015'!$M$327</f>
        <v>182250104</v>
      </c>
      <c r="BA167" s="1007"/>
      <c r="BB167" s="1007"/>
      <c r="BC167" s="1007"/>
      <c r="BD167" s="1007"/>
      <c r="BE167" s="1007"/>
      <c r="BF167" s="1007"/>
      <c r="BG167" s="1007"/>
      <c r="BH167" s="1007"/>
      <c r="BI167" s="1007"/>
      <c r="BJ167" s="1007"/>
      <c r="BK167" s="1007"/>
      <c r="BL167" s="1007"/>
      <c r="BM167" s="1007"/>
      <c r="BN167" s="1007"/>
      <c r="BO167" s="1007"/>
      <c r="BP167" s="1007"/>
      <c r="BQ167" s="1010">
        <f t="shared" si="105"/>
        <v>8.8749480000000047E-2</v>
      </c>
      <c r="BR167" s="1007">
        <f t="shared" si="175"/>
        <v>17749896</v>
      </c>
      <c r="BS167" s="1007">
        <f t="shared" si="164"/>
        <v>0</v>
      </c>
      <c r="BT167" s="1007">
        <f t="shared" si="165"/>
        <v>0</v>
      </c>
      <c r="BU167" s="1007"/>
      <c r="BV167" s="1007">
        <f t="shared" si="162"/>
        <v>17749896</v>
      </c>
      <c r="BW167" s="1007">
        <f t="shared" si="162"/>
        <v>0</v>
      </c>
      <c r="BX167" s="1007">
        <f t="shared" si="166"/>
        <v>0</v>
      </c>
      <c r="BY167" s="1007">
        <f t="shared" si="166"/>
        <v>0</v>
      </c>
      <c r="BZ167" s="1007"/>
      <c r="CA167" s="1007">
        <f t="shared" si="167"/>
        <v>0</v>
      </c>
      <c r="CB167" s="1007">
        <f t="shared" si="167"/>
        <v>0</v>
      </c>
      <c r="CC167" s="1007">
        <f t="shared" si="167"/>
        <v>0</v>
      </c>
      <c r="CD167" s="1007">
        <f t="shared" si="167"/>
        <v>0</v>
      </c>
      <c r="CE167" s="1007">
        <f t="shared" si="167"/>
        <v>0</v>
      </c>
      <c r="CF167" s="1007">
        <f t="shared" si="167"/>
        <v>0</v>
      </c>
      <c r="CG167" s="1007">
        <f t="shared" si="167"/>
        <v>0</v>
      </c>
      <c r="CH167" s="1007">
        <f t="shared" si="167"/>
        <v>0</v>
      </c>
      <c r="CI167" s="1007">
        <f t="shared" si="167"/>
        <v>0</v>
      </c>
      <c r="CJ167" s="1007"/>
      <c r="CK167" s="1007">
        <f t="shared" si="168"/>
        <v>0</v>
      </c>
      <c r="CL167" s="1007">
        <f t="shared" si="168"/>
        <v>0</v>
      </c>
      <c r="CM167" s="1010">
        <f t="shared" si="113"/>
        <v>0.83925547</v>
      </c>
      <c r="CN167" s="1007">
        <f t="shared" si="176"/>
        <v>167851094</v>
      </c>
      <c r="CO167" s="1007"/>
      <c r="CP167" s="1007"/>
      <c r="CQ167" s="1007"/>
      <c r="CR167" s="1007">
        <f>+'[7]AGOSTO 2015'!$H$305</f>
        <v>167851094</v>
      </c>
      <c r="CS167" s="1007"/>
      <c r="CT167" s="1007"/>
      <c r="CU167" s="1007"/>
      <c r="CV167" s="1007"/>
      <c r="CW167" s="1007"/>
      <c r="CX167" s="1007"/>
      <c r="CY167" s="1007"/>
      <c r="CZ167" s="1007"/>
      <c r="DA167" s="1007"/>
      <c r="DB167" s="1007"/>
      <c r="DC167" s="1007"/>
      <c r="DD167" s="1007"/>
      <c r="DE167" s="1007"/>
      <c r="DF167" s="1007"/>
      <c r="DG167" s="1007"/>
      <c r="DH167" s="1007"/>
      <c r="DI167" s="1010">
        <f t="shared" si="115"/>
        <v>0.16074453</v>
      </c>
      <c r="DJ167" s="1007">
        <f t="shared" si="177"/>
        <v>32148906</v>
      </c>
      <c r="DK167" s="1007"/>
      <c r="DL167" s="1007"/>
      <c r="DM167" s="1007"/>
      <c r="DN167" s="1007">
        <f t="shared" si="163"/>
        <v>32148906</v>
      </c>
      <c r="DO167" s="1007">
        <f t="shared" si="163"/>
        <v>0</v>
      </c>
      <c r="DP167" s="1007">
        <f t="shared" si="163"/>
        <v>0</v>
      </c>
      <c r="DQ167" s="1007">
        <f t="shared" si="163"/>
        <v>0</v>
      </c>
      <c r="DR167" s="1007"/>
      <c r="DS167" s="1007">
        <f t="shared" si="169"/>
        <v>0</v>
      </c>
      <c r="DT167" s="1007">
        <f t="shared" si="169"/>
        <v>0</v>
      </c>
      <c r="DU167" s="1007"/>
      <c r="DV167" s="1007">
        <f t="shared" si="170"/>
        <v>0</v>
      </c>
      <c r="DW167" s="1007">
        <f t="shared" si="170"/>
        <v>0</v>
      </c>
      <c r="DX167" s="1007">
        <f t="shared" si="170"/>
        <v>0</v>
      </c>
      <c r="DY167" s="1007">
        <f t="shared" si="171"/>
        <v>0</v>
      </c>
      <c r="DZ167" s="1007">
        <f t="shared" si="171"/>
        <v>0</v>
      </c>
      <c r="EA167" s="1007">
        <f t="shared" si="171"/>
        <v>0</v>
      </c>
      <c r="EB167" s="1007">
        <f t="shared" si="171"/>
        <v>0</v>
      </c>
      <c r="EC167" s="1007">
        <f t="shared" si="171"/>
        <v>0</v>
      </c>
      <c r="ED167" s="1007">
        <f t="shared" si="172"/>
        <v>0</v>
      </c>
    </row>
    <row r="168" spans="1:134" ht="55.5" hidden="1" customHeight="1" x14ac:dyDescent="0.25">
      <c r="A168" s="1590"/>
      <c r="B168" s="989"/>
      <c r="C168" s="852" t="s">
        <v>4529</v>
      </c>
      <c r="D168" s="1018" t="s">
        <v>4642</v>
      </c>
      <c r="E168" s="994">
        <v>211</v>
      </c>
      <c r="F168" s="1117" t="s">
        <v>4743</v>
      </c>
      <c r="G168" s="1429"/>
      <c r="H168" s="1060">
        <f t="shared" si="143"/>
        <v>168595305</v>
      </c>
      <c r="I168" s="1060">
        <f t="shared" si="144"/>
        <v>394603405</v>
      </c>
      <c r="J168" s="1592"/>
      <c r="K168" s="1595"/>
      <c r="L168" s="1562"/>
      <c r="M168" s="1113">
        <v>1</v>
      </c>
      <c r="N168" s="1113">
        <v>0</v>
      </c>
      <c r="O168" s="1113">
        <v>0</v>
      </c>
      <c r="P168" s="1113">
        <v>0</v>
      </c>
      <c r="Q168" s="1113">
        <v>0</v>
      </c>
      <c r="R168" s="1113">
        <v>0</v>
      </c>
      <c r="S168" s="1117"/>
      <c r="T168" s="1117"/>
      <c r="U168" s="1117"/>
      <c r="V168" s="1117"/>
      <c r="W168" s="1117"/>
      <c r="X168" s="1117"/>
      <c r="Y168" s="1007">
        <f t="shared" si="173"/>
        <v>563198710</v>
      </c>
      <c r="Z168" s="944"/>
      <c r="AA168" s="1007"/>
      <c r="AB168" s="1007"/>
      <c r="AC168" s="1007">
        <f>200000000+194000000-116541544+210000000</f>
        <v>487458456</v>
      </c>
      <c r="AD168" s="1007"/>
      <c r="AE168" s="1007"/>
      <c r="AF168" s="1007">
        <f>194000000-194000000</f>
        <v>0</v>
      </c>
      <c r="AG168" s="1007"/>
      <c r="AH168" s="1007"/>
      <c r="AI168" s="1007"/>
      <c r="AJ168" s="1007"/>
      <c r="AK168" s="1007"/>
      <c r="AL168" s="1007"/>
      <c r="AM168" s="1007"/>
      <c r="AN168" s="1007"/>
      <c r="AO168" s="1007"/>
      <c r="AP168" s="1007"/>
      <c r="AQ168" s="1007"/>
      <c r="AR168" s="1007"/>
      <c r="AS168" s="1007">
        <f>45131378+17223876+13385000</f>
        <v>75740254</v>
      </c>
      <c r="AT168" s="1007"/>
      <c r="AU168" s="1010">
        <f t="shared" si="103"/>
        <v>0.96941776375872735</v>
      </c>
      <c r="AV168" s="1007">
        <f t="shared" si="174"/>
        <v>545974834</v>
      </c>
      <c r="AW168" s="1007"/>
      <c r="AX168" s="1007"/>
      <c r="AY168" s="1007"/>
      <c r="AZ168" s="1007">
        <f>+'[8]SEPTIEMBRE 2015'!$M$341</f>
        <v>487458456</v>
      </c>
      <c r="BA168" s="1007"/>
      <c r="BB168" s="1007"/>
      <c r="BC168" s="1007"/>
      <c r="BD168" s="1007"/>
      <c r="BE168" s="1007"/>
      <c r="BF168" s="1007"/>
      <c r="BG168" s="1007"/>
      <c r="BH168" s="1007"/>
      <c r="BI168" s="1007"/>
      <c r="BJ168" s="1007"/>
      <c r="BK168" s="1007"/>
      <c r="BL168" s="1007"/>
      <c r="BM168" s="1007"/>
      <c r="BN168" s="1007"/>
      <c r="BO168" s="1007"/>
      <c r="BP168" s="1007">
        <f>+'[8]SEPTIEMBRE 2015'!$AD$341</f>
        <v>58516378</v>
      </c>
      <c r="BQ168" s="1010">
        <f t="shared" si="105"/>
        <v>3.0582236241272653E-2</v>
      </c>
      <c r="BR168" s="1007">
        <f t="shared" si="175"/>
        <v>17223876</v>
      </c>
      <c r="BS168" s="1007">
        <f t="shared" si="164"/>
        <v>0</v>
      </c>
      <c r="BT168" s="1007">
        <f t="shared" si="165"/>
        <v>0</v>
      </c>
      <c r="BU168" s="1007"/>
      <c r="BV168" s="1007">
        <f t="shared" si="162"/>
        <v>0</v>
      </c>
      <c r="BW168" s="1007">
        <f t="shared" si="162"/>
        <v>0</v>
      </c>
      <c r="BX168" s="1007">
        <f t="shared" si="166"/>
        <v>0</v>
      </c>
      <c r="BY168" s="1007">
        <f t="shared" si="166"/>
        <v>0</v>
      </c>
      <c r="BZ168" s="1007"/>
      <c r="CA168" s="1007">
        <f t="shared" si="167"/>
        <v>0</v>
      </c>
      <c r="CB168" s="1007">
        <f t="shared" si="167"/>
        <v>0</v>
      </c>
      <c r="CC168" s="1007">
        <f t="shared" si="167"/>
        <v>0</v>
      </c>
      <c r="CD168" s="1007">
        <f t="shared" si="167"/>
        <v>0</v>
      </c>
      <c r="CE168" s="1007">
        <f t="shared" si="167"/>
        <v>0</v>
      </c>
      <c r="CF168" s="1007">
        <f t="shared" si="167"/>
        <v>0</v>
      </c>
      <c r="CG168" s="1007">
        <f t="shared" si="167"/>
        <v>0</v>
      </c>
      <c r="CH168" s="1007">
        <f t="shared" si="167"/>
        <v>0</v>
      </c>
      <c r="CI168" s="1007">
        <f t="shared" si="167"/>
        <v>0</v>
      </c>
      <c r="CJ168" s="1007"/>
      <c r="CK168" s="1007">
        <f t="shared" si="168"/>
        <v>0</v>
      </c>
      <c r="CL168" s="1007">
        <f t="shared" si="168"/>
        <v>17223876</v>
      </c>
      <c r="CM168" s="1010">
        <f t="shared" si="113"/>
        <v>0.29935314482520742</v>
      </c>
      <c r="CN168" s="1007">
        <f t="shared" si="176"/>
        <v>168595305</v>
      </c>
      <c r="CO168" s="1007"/>
      <c r="CP168" s="1007"/>
      <c r="CQ168" s="1007"/>
      <c r="CR168" s="1007">
        <f>+'[7]AGOSTO 2015'!$H$322+'[7]AGOSTO 2015'!$H$328+'[7]AGOSTO 2015'!$H$330+'[7]AGOSTO 2015'!$H$335</f>
        <v>149011305</v>
      </c>
      <c r="CS168" s="1007"/>
      <c r="CT168" s="1007"/>
      <c r="CU168" s="1007"/>
      <c r="CV168" s="1007"/>
      <c r="CW168" s="1007"/>
      <c r="CX168" s="1007"/>
      <c r="CY168" s="1007"/>
      <c r="CZ168" s="1007"/>
      <c r="DA168" s="1007"/>
      <c r="DB168" s="1007"/>
      <c r="DC168" s="1007"/>
      <c r="DD168" s="1007"/>
      <c r="DE168" s="1007"/>
      <c r="DF168" s="1007"/>
      <c r="DG168" s="1007"/>
      <c r="DH168" s="1007">
        <f>+'[8]SEPTIEMBRE 2015'!$H$344+'[8]SEPTIEMBRE 2015'!$H$346+'[8]SEPTIEMBRE 2015'!$H$354</f>
        <v>19584000</v>
      </c>
      <c r="DI168" s="1010">
        <f t="shared" si="115"/>
        <v>0.70064685517479264</v>
      </c>
      <c r="DJ168" s="1007">
        <f t="shared" si="177"/>
        <v>394603405</v>
      </c>
      <c r="DK168" s="1007"/>
      <c r="DL168" s="1007"/>
      <c r="DM168" s="1007"/>
      <c r="DN168" s="1007">
        <f t="shared" si="163"/>
        <v>338447151</v>
      </c>
      <c r="DO168" s="1007">
        <f t="shared" si="163"/>
        <v>0</v>
      </c>
      <c r="DP168" s="1007">
        <f t="shared" si="163"/>
        <v>0</v>
      </c>
      <c r="DQ168" s="1007">
        <f t="shared" si="163"/>
        <v>0</v>
      </c>
      <c r="DR168" s="1007"/>
      <c r="DS168" s="1007">
        <f t="shared" si="169"/>
        <v>0</v>
      </c>
      <c r="DT168" s="1007">
        <f t="shared" si="169"/>
        <v>0</v>
      </c>
      <c r="DU168" s="1007"/>
      <c r="DV168" s="1007">
        <f t="shared" si="170"/>
        <v>0</v>
      </c>
      <c r="DW168" s="1007">
        <f t="shared" si="170"/>
        <v>0</v>
      </c>
      <c r="DX168" s="1007">
        <f t="shared" si="170"/>
        <v>0</v>
      </c>
      <c r="DY168" s="1007">
        <f t="shared" si="171"/>
        <v>0</v>
      </c>
      <c r="DZ168" s="1007">
        <f t="shared" si="171"/>
        <v>0</v>
      </c>
      <c r="EA168" s="1007">
        <f t="shared" si="171"/>
        <v>0</v>
      </c>
      <c r="EB168" s="1007">
        <f t="shared" si="171"/>
        <v>0</v>
      </c>
      <c r="EC168" s="1007">
        <f t="shared" si="171"/>
        <v>0</v>
      </c>
      <c r="ED168" s="1007">
        <f t="shared" si="172"/>
        <v>56156254</v>
      </c>
    </row>
    <row r="169" spans="1:134" ht="36" hidden="1" customHeight="1" x14ac:dyDescent="0.25">
      <c r="A169" s="1590"/>
      <c r="B169" s="989"/>
      <c r="C169" s="852" t="s">
        <v>4530</v>
      </c>
      <c r="D169" s="1052" t="s">
        <v>4510</v>
      </c>
      <c r="E169" s="994">
        <v>211</v>
      </c>
      <c r="F169" s="1117" t="s">
        <v>4670</v>
      </c>
      <c r="G169" s="1429"/>
      <c r="H169" s="1060">
        <f t="shared" si="143"/>
        <v>3525240</v>
      </c>
      <c r="I169" s="1060">
        <f t="shared" si="144"/>
        <v>0</v>
      </c>
      <c r="J169" s="1593"/>
      <c r="K169" s="1596"/>
      <c r="L169" s="1258"/>
      <c r="M169" s="1113">
        <v>59</v>
      </c>
      <c r="N169" s="1113">
        <v>0</v>
      </c>
      <c r="O169" s="1113">
        <v>0</v>
      </c>
      <c r="P169" s="1113">
        <v>44</v>
      </c>
      <c r="Q169" s="1113">
        <v>60</v>
      </c>
      <c r="R169" s="1113">
        <v>26</v>
      </c>
      <c r="S169" s="1117"/>
      <c r="T169" s="1117"/>
      <c r="U169" s="1117"/>
      <c r="V169" s="1117"/>
      <c r="W169" s="1117"/>
      <c r="X169" s="1117"/>
      <c r="Y169" s="1007">
        <f t="shared" si="173"/>
        <v>3525240</v>
      </c>
      <c r="Z169" s="944"/>
      <c r="AA169" s="1007"/>
      <c r="AB169" s="1007"/>
      <c r="AC169" s="1007"/>
      <c r="AD169" s="1007"/>
      <c r="AE169" s="1007"/>
      <c r="AF169" s="1007"/>
      <c r="AG169" s="1007"/>
      <c r="AH169" s="1007"/>
      <c r="AI169" s="1007"/>
      <c r="AJ169" s="1007"/>
      <c r="AK169" s="1007"/>
      <c r="AL169" s="1007"/>
      <c r="AM169" s="1007"/>
      <c r="AN169" s="1007"/>
      <c r="AO169" s="1007"/>
      <c r="AP169" s="1007"/>
      <c r="AQ169" s="1007"/>
      <c r="AR169" s="1007"/>
      <c r="AS169" s="1007">
        <f>6000000+2000000-4474760</f>
        <v>3525240</v>
      </c>
      <c r="AT169" s="1007"/>
      <c r="AU169" s="1010">
        <f t="shared" si="103"/>
        <v>1</v>
      </c>
      <c r="AV169" s="1007">
        <f t="shared" si="174"/>
        <v>3525240</v>
      </c>
      <c r="AW169" s="1007"/>
      <c r="AX169" s="1007"/>
      <c r="AY169" s="1007"/>
      <c r="AZ169" s="1007"/>
      <c r="BA169" s="1007"/>
      <c r="BB169" s="1007"/>
      <c r="BC169" s="1007"/>
      <c r="BD169" s="1007"/>
      <c r="BE169" s="1007"/>
      <c r="BF169" s="1007"/>
      <c r="BG169" s="1007"/>
      <c r="BH169" s="1007"/>
      <c r="BI169" s="1007"/>
      <c r="BJ169" s="1007"/>
      <c r="BK169" s="1007"/>
      <c r="BL169" s="1007"/>
      <c r="BM169" s="1007"/>
      <c r="BN169" s="1007"/>
      <c r="BO169" s="1007"/>
      <c r="BP169" s="1007">
        <f>+'[7]AGOSTO 2015'!$AD$339</f>
        <v>3525240</v>
      </c>
      <c r="BQ169" s="1010">
        <f t="shared" si="105"/>
        <v>0</v>
      </c>
      <c r="BR169" s="1007">
        <f t="shared" si="175"/>
        <v>0</v>
      </c>
      <c r="BS169" s="1007">
        <f t="shared" si="164"/>
        <v>0</v>
      </c>
      <c r="BT169" s="1007">
        <f t="shared" si="165"/>
        <v>0</v>
      </c>
      <c r="BU169" s="1007"/>
      <c r="BV169" s="1007">
        <f t="shared" si="162"/>
        <v>0</v>
      </c>
      <c r="BW169" s="1007">
        <f t="shared" si="162"/>
        <v>0</v>
      </c>
      <c r="BX169" s="1007">
        <f t="shared" si="166"/>
        <v>0</v>
      </c>
      <c r="BY169" s="1007">
        <f t="shared" si="166"/>
        <v>0</v>
      </c>
      <c r="BZ169" s="1007"/>
      <c r="CA169" s="1007">
        <f t="shared" si="167"/>
        <v>0</v>
      </c>
      <c r="CB169" s="1007">
        <f t="shared" si="167"/>
        <v>0</v>
      </c>
      <c r="CC169" s="1007">
        <f t="shared" si="167"/>
        <v>0</v>
      </c>
      <c r="CD169" s="1007">
        <f t="shared" si="167"/>
        <v>0</v>
      </c>
      <c r="CE169" s="1007">
        <f t="shared" si="167"/>
        <v>0</v>
      </c>
      <c r="CF169" s="1007">
        <f t="shared" si="167"/>
        <v>0</v>
      </c>
      <c r="CG169" s="1007">
        <f t="shared" si="167"/>
        <v>0</v>
      </c>
      <c r="CH169" s="1007">
        <f t="shared" si="167"/>
        <v>0</v>
      </c>
      <c r="CI169" s="1007">
        <f t="shared" si="167"/>
        <v>0</v>
      </c>
      <c r="CJ169" s="1007"/>
      <c r="CK169" s="1007">
        <f t="shared" si="168"/>
        <v>0</v>
      </c>
      <c r="CL169" s="1007">
        <f t="shared" si="168"/>
        <v>0</v>
      </c>
      <c r="CM169" s="1010">
        <f t="shared" si="113"/>
        <v>1</v>
      </c>
      <c r="CN169" s="1007">
        <f t="shared" si="176"/>
        <v>3525240</v>
      </c>
      <c r="CO169" s="1007"/>
      <c r="CP169" s="1007"/>
      <c r="CQ169" s="1007"/>
      <c r="CR169" s="1007"/>
      <c r="CS169" s="1007"/>
      <c r="CT169" s="1007"/>
      <c r="CU169" s="1007"/>
      <c r="CV169" s="1007"/>
      <c r="CW169" s="1007"/>
      <c r="CX169" s="1007"/>
      <c r="CY169" s="1007"/>
      <c r="CZ169" s="1007"/>
      <c r="DA169" s="1007"/>
      <c r="DB169" s="1007"/>
      <c r="DC169" s="1007"/>
      <c r="DD169" s="1007"/>
      <c r="DE169" s="1007"/>
      <c r="DF169" s="1007"/>
      <c r="DG169" s="1007"/>
      <c r="DH169" s="1007">
        <f>+'[12]FEBRERO 2015'!$H$228</f>
        <v>3525240</v>
      </c>
      <c r="DI169" s="1010">
        <f t="shared" si="115"/>
        <v>0</v>
      </c>
      <c r="DJ169" s="1007">
        <f t="shared" si="177"/>
        <v>0</v>
      </c>
      <c r="DK169" s="1007"/>
      <c r="DL169" s="1007"/>
      <c r="DM169" s="1007"/>
      <c r="DN169" s="1007">
        <f t="shared" si="163"/>
        <v>0</v>
      </c>
      <c r="DO169" s="1007">
        <f t="shared" si="163"/>
        <v>0</v>
      </c>
      <c r="DP169" s="1007">
        <f t="shared" si="163"/>
        <v>0</v>
      </c>
      <c r="DQ169" s="1007">
        <f t="shared" si="163"/>
        <v>0</v>
      </c>
      <c r="DR169" s="1007"/>
      <c r="DS169" s="1007">
        <f t="shared" si="169"/>
        <v>0</v>
      </c>
      <c r="DT169" s="1007">
        <f t="shared" si="169"/>
        <v>0</v>
      </c>
      <c r="DU169" s="1007"/>
      <c r="DV169" s="1007">
        <f t="shared" si="170"/>
        <v>0</v>
      </c>
      <c r="DW169" s="1007">
        <f t="shared" si="170"/>
        <v>0</v>
      </c>
      <c r="DX169" s="1007">
        <f t="shared" si="170"/>
        <v>0</v>
      </c>
      <c r="DY169" s="1007">
        <f t="shared" si="171"/>
        <v>0</v>
      </c>
      <c r="DZ169" s="1007">
        <f t="shared" si="171"/>
        <v>0</v>
      </c>
      <c r="EA169" s="1007">
        <f t="shared" si="171"/>
        <v>0</v>
      </c>
      <c r="EB169" s="1007">
        <f t="shared" si="171"/>
        <v>0</v>
      </c>
      <c r="EC169" s="1007">
        <f t="shared" si="171"/>
        <v>0</v>
      </c>
      <c r="ED169" s="1007">
        <f t="shared" si="172"/>
        <v>0</v>
      </c>
    </row>
    <row r="170" spans="1:134" ht="29.25" hidden="1" customHeight="1" x14ac:dyDescent="0.25">
      <c r="A170" s="1590"/>
      <c r="B170" s="989"/>
      <c r="C170" s="852" t="s">
        <v>4531</v>
      </c>
      <c r="D170" s="1018" t="s">
        <v>4511</v>
      </c>
      <c r="E170" s="994">
        <v>211</v>
      </c>
      <c r="F170" s="1117" t="s">
        <v>4482</v>
      </c>
      <c r="G170" s="1429"/>
      <c r="H170" s="1060">
        <f t="shared" si="143"/>
        <v>293993067</v>
      </c>
      <c r="I170" s="1060">
        <f t="shared" si="144"/>
        <v>21537385</v>
      </c>
      <c r="J170" s="1428">
        <v>60</v>
      </c>
      <c r="K170" s="1257">
        <v>117</v>
      </c>
      <c r="L170" s="1257">
        <v>117</v>
      </c>
      <c r="M170" s="1113">
        <v>56</v>
      </c>
      <c r="N170" s="1113">
        <v>0</v>
      </c>
      <c r="O170" s="1113">
        <v>0</v>
      </c>
      <c r="P170" s="1113">
        <v>49</v>
      </c>
      <c r="Q170" s="1113">
        <v>51</v>
      </c>
      <c r="R170" s="1113">
        <v>25</v>
      </c>
      <c r="S170" s="1117"/>
      <c r="T170" s="1117"/>
      <c r="U170" s="1117"/>
      <c r="V170" s="1117"/>
      <c r="W170" s="1117"/>
      <c r="X170" s="1117"/>
      <c r="Y170" s="1007">
        <f t="shared" si="173"/>
        <v>315530452</v>
      </c>
      <c r="Z170" s="944"/>
      <c r="AA170" s="944"/>
      <c r="AB170" s="944"/>
      <c r="AC170" s="1007">
        <v>80000000</v>
      </c>
      <c r="AD170" s="944"/>
      <c r="AE170" s="1007">
        <v>210000000</v>
      </c>
      <c r="AF170" s="1007"/>
      <c r="AG170" s="1007"/>
      <c r="AH170" s="1007"/>
      <c r="AI170" s="1007"/>
      <c r="AJ170" s="1007"/>
      <c r="AK170" s="1007"/>
      <c r="AL170" s="1007"/>
      <c r="AM170" s="1007"/>
      <c r="AN170" s="1007"/>
      <c r="AO170" s="1007">
        <v>25530452</v>
      </c>
      <c r="AP170" s="1007"/>
      <c r="AQ170" s="1007"/>
      <c r="AR170" s="1007"/>
      <c r="AS170" s="1007"/>
      <c r="AT170" s="1007"/>
      <c r="AU170" s="1010">
        <f t="shared" si="103"/>
        <v>0.99152227627145162</v>
      </c>
      <c r="AV170" s="1007">
        <f t="shared" si="174"/>
        <v>312855472</v>
      </c>
      <c r="AW170" s="1007"/>
      <c r="AX170" s="1007"/>
      <c r="AY170" s="1007"/>
      <c r="AZ170" s="1007">
        <f>+'[8]SEPTIEMBRE 2015'!$M$371</f>
        <v>77325020</v>
      </c>
      <c r="BA170" s="1007"/>
      <c r="BB170" s="1007">
        <f>+'[13]JUNIO 2015'!$O$297</f>
        <v>210000000</v>
      </c>
      <c r="BC170" s="1007"/>
      <c r="BD170" s="1007"/>
      <c r="BE170" s="1007"/>
      <c r="BF170" s="1007"/>
      <c r="BG170" s="1007"/>
      <c r="BH170" s="1007"/>
      <c r="BI170" s="1007"/>
      <c r="BJ170" s="1007"/>
      <c r="BK170" s="1007"/>
      <c r="BL170" s="1007">
        <f>+'[13]JUNIO 2015'!$Y$297</f>
        <v>25530452</v>
      </c>
      <c r="BM170" s="1007"/>
      <c r="BN170" s="1007"/>
      <c r="BO170" s="1007"/>
      <c r="BP170" s="1007"/>
      <c r="BQ170" s="1010">
        <f t="shared" si="105"/>
        <v>8.4777237285483809E-3</v>
      </c>
      <c r="BR170" s="1007">
        <f t="shared" si="175"/>
        <v>2674980</v>
      </c>
      <c r="BS170" s="1007">
        <f t="shared" si="164"/>
        <v>0</v>
      </c>
      <c r="BT170" s="1007">
        <f t="shared" si="165"/>
        <v>0</v>
      </c>
      <c r="BU170" s="1007"/>
      <c r="BV170" s="1007">
        <f t="shared" si="162"/>
        <v>2674980</v>
      </c>
      <c r="BW170" s="1007">
        <f t="shared" si="162"/>
        <v>0</v>
      </c>
      <c r="BX170" s="1007">
        <f t="shared" si="166"/>
        <v>0</v>
      </c>
      <c r="BY170" s="1007">
        <f t="shared" si="166"/>
        <v>0</v>
      </c>
      <c r="BZ170" s="1007"/>
      <c r="CA170" s="1007">
        <f t="shared" si="167"/>
        <v>0</v>
      </c>
      <c r="CB170" s="1007">
        <f t="shared" si="167"/>
        <v>0</v>
      </c>
      <c r="CC170" s="1007">
        <f t="shared" si="167"/>
        <v>0</v>
      </c>
      <c r="CD170" s="1007">
        <f t="shared" si="167"/>
        <v>0</v>
      </c>
      <c r="CE170" s="1007">
        <f t="shared" si="167"/>
        <v>0</v>
      </c>
      <c r="CF170" s="1007">
        <f t="shared" si="167"/>
        <v>0</v>
      </c>
      <c r="CG170" s="1007">
        <f t="shared" si="167"/>
        <v>0</v>
      </c>
      <c r="CH170" s="1007">
        <f t="shared" si="167"/>
        <v>0</v>
      </c>
      <c r="CI170" s="1007">
        <f t="shared" si="167"/>
        <v>0</v>
      </c>
      <c r="CJ170" s="1007"/>
      <c r="CK170" s="1007">
        <f t="shared" si="168"/>
        <v>0</v>
      </c>
      <c r="CL170" s="1007">
        <f t="shared" si="168"/>
        <v>0</v>
      </c>
      <c r="CM170" s="1010">
        <f t="shared" si="113"/>
        <v>0.93174229345064929</v>
      </c>
      <c r="CN170" s="1007">
        <f t="shared" si="176"/>
        <v>293993067</v>
      </c>
      <c r="CO170" s="1007"/>
      <c r="CP170" s="1007"/>
      <c r="CQ170" s="1007"/>
      <c r="CR170" s="1007">
        <f>+'[8]SEPTIEMBRE 2015'!$H$400</f>
        <v>77280360</v>
      </c>
      <c r="CS170" s="1007"/>
      <c r="CT170" s="1007">
        <f>+'[10]JULIO 2015'!$H$332+'[10]JULIO 2015'!$H$347</f>
        <v>208736238</v>
      </c>
      <c r="CU170" s="1007"/>
      <c r="CV170" s="1007"/>
      <c r="CW170" s="1007"/>
      <c r="CX170" s="1007"/>
      <c r="CY170" s="1007"/>
      <c r="CZ170" s="1007"/>
      <c r="DA170" s="1007"/>
      <c r="DB170" s="1007"/>
      <c r="DC170" s="1007"/>
      <c r="DD170" s="1007">
        <f>+'[10]JULIO 2015'!$H$358</f>
        <v>7976469</v>
      </c>
      <c r="DE170" s="1007"/>
      <c r="DF170" s="1007"/>
      <c r="DG170" s="1007"/>
      <c r="DH170" s="1007"/>
      <c r="DI170" s="1010">
        <f t="shared" si="115"/>
        <v>6.8257706549350705E-2</v>
      </c>
      <c r="DJ170" s="1007">
        <f t="shared" si="177"/>
        <v>21537385</v>
      </c>
      <c r="DK170" s="1007"/>
      <c r="DL170" s="1007"/>
      <c r="DM170" s="1007"/>
      <c r="DN170" s="1007">
        <f t="shared" si="163"/>
        <v>2719640</v>
      </c>
      <c r="DO170" s="1007">
        <f t="shared" si="163"/>
        <v>0</v>
      </c>
      <c r="DP170" s="1007">
        <f t="shared" si="163"/>
        <v>1263762</v>
      </c>
      <c r="DQ170" s="1007">
        <f t="shared" si="163"/>
        <v>0</v>
      </c>
      <c r="DR170" s="1007"/>
      <c r="DS170" s="1007">
        <f t="shared" si="169"/>
        <v>0</v>
      </c>
      <c r="DT170" s="1007">
        <f t="shared" si="169"/>
        <v>0</v>
      </c>
      <c r="DU170" s="1007"/>
      <c r="DV170" s="1007">
        <f t="shared" si="170"/>
        <v>0</v>
      </c>
      <c r="DW170" s="1007">
        <f t="shared" si="170"/>
        <v>0</v>
      </c>
      <c r="DX170" s="1007">
        <f t="shared" si="170"/>
        <v>0</v>
      </c>
      <c r="DY170" s="1007">
        <f t="shared" si="171"/>
        <v>0</v>
      </c>
      <c r="DZ170" s="1007">
        <f t="shared" si="171"/>
        <v>17553983</v>
      </c>
      <c r="EA170" s="1007">
        <f t="shared" si="171"/>
        <v>0</v>
      </c>
      <c r="EB170" s="1007">
        <f t="shared" si="171"/>
        <v>0</v>
      </c>
      <c r="EC170" s="1007">
        <f t="shared" si="171"/>
        <v>0</v>
      </c>
      <c r="ED170" s="1007">
        <f t="shared" si="172"/>
        <v>0</v>
      </c>
    </row>
    <row r="171" spans="1:134" ht="50.25" hidden="1" customHeight="1" x14ac:dyDescent="0.25">
      <c r="A171" s="1590"/>
      <c r="B171" s="989"/>
      <c r="C171" s="852" t="s">
        <v>4532</v>
      </c>
      <c r="D171" s="1018" t="s">
        <v>4746</v>
      </c>
      <c r="E171" s="994">
        <v>211</v>
      </c>
      <c r="F171" s="1117" t="s">
        <v>4744</v>
      </c>
      <c r="G171" s="1429"/>
      <c r="H171" s="1060">
        <f t="shared" si="143"/>
        <v>0</v>
      </c>
      <c r="I171" s="1060">
        <f t="shared" si="144"/>
        <v>5000000</v>
      </c>
      <c r="J171" s="1429"/>
      <c r="K171" s="1562"/>
      <c r="L171" s="1562"/>
      <c r="M171" s="1113">
        <v>0</v>
      </c>
      <c r="N171" s="1113">
        <v>0</v>
      </c>
      <c r="O171" s="1113">
        <v>0</v>
      </c>
      <c r="P171" s="1113">
        <v>0</v>
      </c>
      <c r="Q171" s="1113">
        <v>0</v>
      </c>
      <c r="R171" s="1113">
        <v>0</v>
      </c>
      <c r="S171" s="1117"/>
      <c r="T171" s="1117"/>
      <c r="U171" s="1117"/>
      <c r="V171" s="1117"/>
      <c r="W171" s="1117"/>
      <c r="X171" s="1117"/>
      <c r="Y171" s="1007">
        <f t="shared" si="173"/>
        <v>5000000</v>
      </c>
      <c r="Z171" s="944"/>
      <c r="AA171" s="944"/>
      <c r="AB171" s="944"/>
      <c r="AC171" s="944">
        <f>97849888-97849888</f>
        <v>0</v>
      </c>
      <c r="AD171" s="944"/>
      <c r="AE171" s="1007"/>
      <c r="AF171" s="1007">
        <f>97849888-97849888</f>
        <v>0</v>
      </c>
      <c r="AG171" s="1007"/>
      <c r="AH171" s="1007"/>
      <c r="AI171" s="1007"/>
      <c r="AJ171" s="1007"/>
      <c r="AK171" s="1007"/>
      <c r="AL171" s="1007"/>
      <c r="AM171" s="1007"/>
      <c r="AN171" s="1007"/>
      <c r="AO171" s="1007"/>
      <c r="AP171" s="1007"/>
      <c r="AQ171" s="1007"/>
      <c r="AR171" s="1007"/>
      <c r="AS171" s="1007">
        <f>5000000</f>
        <v>5000000</v>
      </c>
      <c r="AT171" s="1007"/>
      <c r="AU171" s="1010">
        <f t="shared" si="103"/>
        <v>1</v>
      </c>
      <c r="AV171" s="1007">
        <f t="shared" si="174"/>
        <v>5000000</v>
      </c>
      <c r="AW171" s="1007"/>
      <c r="AX171" s="1007"/>
      <c r="AY171" s="1007"/>
      <c r="AZ171" s="1007"/>
      <c r="BA171" s="1007"/>
      <c r="BB171" s="1007"/>
      <c r="BC171" s="1007"/>
      <c r="BD171" s="1007"/>
      <c r="BE171" s="1007"/>
      <c r="BF171" s="1007"/>
      <c r="BG171" s="1007"/>
      <c r="BH171" s="1007"/>
      <c r="BI171" s="1007"/>
      <c r="BJ171" s="1007"/>
      <c r="BK171" s="1007"/>
      <c r="BL171" s="1007"/>
      <c r="BM171" s="1007"/>
      <c r="BN171" s="1007"/>
      <c r="BO171" s="1007"/>
      <c r="BP171" s="1007">
        <f>+'[10]JULIO 2015'!$AD$363</f>
        <v>5000000</v>
      </c>
      <c r="BQ171" s="1010">
        <f t="shared" si="105"/>
        <v>0</v>
      </c>
      <c r="BR171" s="1007">
        <f t="shared" si="175"/>
        <v>0</v>
      </c>
      <c r="BS171" s="1007">
        <f t="shared" si="164"/>
        <v>0</v>
      </c>
      <c r="BT171" s="1007">
        <f t="shared" si="165"/>
        <v>0</v>
      </c>
      <c r="BU171" s="1007"/>
      <c r="BV171" s="1007">
        <f t="shared" si="162"/>
        <v>0</v>
      </c>
      <c r="BW171" s="1007">
        <f t="shared" si="162"/>
        <v>0</v>
      </c>
      <c r="BX171" s="1007">
        <f t="shared" si="166"/>
        <v>0</v>
      </c>
      <c r="BY171" s="1007">
        <f t="shared" si="166"/>
        <v>0</v>
      </c>
      <c r="BZ171" s="1007"/>
      <c r="CA171" s="1007">
        <f t="shared" si="167"/>
        <v>0</v>
      </c>
      <c r="CB171" s="1007">
        <f t="shared" si="167"/>
        <v>0</v>
      </c>
      <c r="CC171" s="1007">
        <f t="shared" si="167"/>
        <v>0</v>
      </c>
      <c r="CD171" s="1007">
        <f t="shared" si="167"/>
        <v>0</v>
      </c>
      <c r="CE171" s="1007">
        <f t="shared" si="167"/>
        <v>0</v>
      </c>
      <c r="CF171" s="1007">
        <f t="shared" si="167"/>
        <v>0</v>
      </c>
      <c r="CG171" s="1007">
        <f t="shared" si="167"/>
        <v>0</v>
      </c>
      <c r="CH171" s="1007">
        <f t="shared" si="167"/>
        <v>0</v>
      </c>
      <c r="CI171" s="1007">
        <f t="shared" si="167"/>
        <v>0</v>
      </c>
      <c r="CJ171" s="1007"/>
      <c r="CK171" s="1007">
        <f t="shared" si="168"/>
        <v>0</v>
      </c>
      <c r="CL171" s="1007">
        <f t="shared" si="168"/>
        <v>0</v>
      </c>
      <c r="CM171" s="1010">
        <f t="shared" si="113"/>
        <v>0</v>
      </c>
      <c r="CN171" s="1007">
        <f t="shared" si="176"/>
        <v>0</v>
      </c>
      <c r="CO171" s="1007"/>
      <c r="CP171" s="1007"/>
      <c r="CQ171" s="1007"/>
      <c r="CR171" s="1007"/>
      <c r="CS171" s="1007"/>
      <c r="CT171" s="1007"/>
      <c r="CU171" s="1007"/>
      <c r="CV171" s="1007"/>
      <c r="CW171" s="1007"/>
      <c r="CX171" s="1007"/>
      <c r="CY171" s="1007"/>
      <c r="CZ171" s="1007"/>
      <c r="DA171" s="1007"/>
      <c r="DB171" s="1007"/>
      <c r="DC171" s="1007"/>
      <c r="DD171" s="1007"/>
      <c r="DE171" s="1007"/>
      <c r="DF171" s="1007"/>
      <c r="DG171" s="1007"/>
      <c r="DH171" s="1007"/>
      <c r="DI171" s="1010">
        <f t="shared" si="115"/>
        <v>1</v>
      </c>
      <c r="DJ171" s="1007">
        <f t="shared" si="177"/>
        <v>5000000</v>
      </c>
      <c r="DK171" s="1007"/>
      <c r="DL171" s="1007"/>
      <c r="DM171" s="1007"/>
      <c r="DN171" s="1007">
        <f t="shared" si="163"/>
        <v>0</v>
      </c>
      <c r="DO171" s="1007">
        <f t="shared" si="163"/>
        <v>0</v>
      </c>
      <c r="DP171" s="1007">
        <f t="shared" si="163"/>
        <v>0</v>
      </c>
      <c r="DQ171" s="1007">
        <f t="shared" si="163"/>
        <v>0</v>
      </c>
      <c r="DR171" s="1007"/>
      <c r="DS171" s="1007">
        <f t="shared" si="169"/>
        <v>0</v>
      </c>
      <c r="DT171" s="1007">
        <f t="shared" si="169"/>
        <v>0</v>
      </c>
      <c r="DU171" s="1007"/>
      <c r="DV171" s="1007">
        <f t="shared" si="170"/>
        <v>0</v>
      </c>
      <c r="DW171" s="1007">
        <f t="shared" si="170"/>
        <v>0</v>
      </c>
      <c r="DX171" s="1007">
        <f t="shared" si="170"/>
        <v>0</v>
      </c>
      <c r="DY171" s="1007">
        <f t="shared" si="171"/>
        <v>0</v>
      </c>
      <c r="DZ171" s="1007">
        <f t="shared" si="171"/>
        <v>0</v>
      </c>
      <c r="EA171" s="1007">
        <f t="shared" si="171"/>
        <v>0</v>
      </c>
      <c r="EB171" s="1007">
        <f t="shared" si="171"/>
        <v>0</v>
      </c>
      <c r="EC171" s="1007">
        <f t="shared" si="171"/>
        <v>0</v>
      </c>
      <c r="ED171" s="1007">
        <f t="shared" si="172"/>
        <v>5000000</v>
      </c>
    </row>
    <row r="172" spans="1:134" ht="51.75" hidden="1" customHeight="1" x14ac:dyDescent="0.25">
      <c r="A172" s="1590"/>
      <c r="B172" s="989"/>
      <c r="C172" s="852" t="s">
        <v>4533</v>
      </c>
      <c r="D172" s="1018" t="s">
        <v>4537</v>
      </c>
      <c r="E172" s="994">
        <v>211</v>
      </c>
      <c r="F172" s="1117" t="s">
        <v>4512</v>
      </c>
      <c r="G172" s="1429"/>
      <c r="H172" s="1060">
        <f t="shared" si="143"/>
        <v>14364850</v>
      </c>
      <c r="I172" s="1060">
        <f t="shared" si="144"/>
        <v>27985262</v>
      </c>
      <c r="J172" s="1430"/>
      <c r="K172" s="1258"/>
      <c r="L172" s="1258"/>
      <c r="M172" s="1113">
        <v>21</v>
      </c>
      <c r="N172" s="1113">
        <v>0</v>
      </c>
      <c r="O172" s="1113">
        <v>0</v>
      </c>
      <c r="P172" s="1113">
        <v>10</v>
      </c>
      <c r="Q172" s="1113">
        <v>20</v>
      </c>
      <c r="R172" s="1113">
        <v>2</v>
      </c>
      <c r="S172" s="1117"/>
      <c r="T172" s="1117"/>
      <c r="U172" s="1117"/>
      <c r="V172" s="1117"/>
      <c r="W172" s="1117"/>
      <c r="X172" s="1117"/>
      <c r="Y172" s="1007">
        <f t="shared" si="173"/>
        <v>42350112</v>
      </c>
      <c r="Z172" s="944"/>
      <c r="AA172" s="1007"/>
      <c r="AB172" s="1007"/>
      <c r="AC172" s="1007"/>
      <c r="AD172" s="1007"/>
      <c r="AE172" s="1007"/>
      <c r="AF172" s="1007"/>
      <c r="AG172" s="1007"/>
      <c r="AH172" s="1007"/>
      <c r="AI172" s="1007"/>
      <c r="AJ172" s="1007"/>
      <c r="AK172" s="1007"/>
      <c r="AL172" s="1007"/>
      <c r="AM172" s="1007"/>
      <c r="AN172" s="1007"/>
      <c r="AO172" s="1007"/>
      <c r="AP172" s="1007"/>
      <c r="AQ172" s="1007"/>
      <c r="AR172" s="1007"/>
      <c r="AS172" s="1007">
        <f>8134775+1015337+11000000+21000000+1200000</f>
        <v>42350112</v>
      </c>
      <c r="AT172" s="1007"/>
      <c r="AU172" s="1010">
        <f t="shared" si="103"/>
        <v>0.57491994354111742</v>
      </c>
      <c r="AV172" s="1007">
        <f t="shared" si="174"/>
        <v>24347924</v>
      </c>
      <c r="AW172" s="1007"/>
      <c r="AX172" s="1007"/>
      <c r="AY172" s="1007"/>
      <c r="AZ172" s="1007"/>
      <c r="BA172" s="1007"/>
      <c r="BB172" s="1007"/>
      <c r="BC172" s="1007"/>
      <c r="BD172" s="1007"/>
      <c r="BE172" s="1007"/>
      <c r="BF172" s="1007"/>
      <c r="BG172" s="1007"/>
      <c r="BH172" s="1007"/>
      <c r="BI172" s="1007"/>
      <c r="BJ172" s="1007"/>
      <c r="BK172" s="1007"/>
      <c r="BL172" s="1007"/>
      <c r="BM172" s="1007"/>
      <c r="BN172" s="1007"/>
      <c r="BO172" s="1007"/>
      <c r="BP172" s="1007">
        <f>+'[8]SEPTIEMBRE 2015'!$AD$411</f>
        <v>24347924</v>
      </c>
      <c r="BQ172" s="1010">
        <f t="shared" si="105"/>
        <v>0.42508005645888258</v>
      </c>
      <c r="BR172" s="1007">
        <f t="shared" si="175"/>
        <v>18002188</v>
      </c>
      <c r="BS172" s="1007">
        <f t="shared" si="164"/>
        <v>0</v>
      </c>
      <c r="BT172" s="1007">
        <f t="shared" si="165"/>
        <v>0</v>
      </c>
      <c r="BU172" s="1007"/>
      <c r="BV172" s="1007">
        <f t="shared" si="162"/>
        <v>0</v>
      </c>
      <c r="BW172" s="1007">
        <f t="shared" si="162"/>
        <v>0</v>
      </c>
      <c r="BX172" s="1007">
        <f t="shared" si="166"/>
        <v>0</v>
      </c>
      <c r="BY172" s="1007">
        <f t="shared" si="166"/>
        <v>0</v>
      </c>
      <c r="BZ172" s="1007"/>
      <c r="CA172" s="1007">
        <f t="shared" si="167"/>
        <v>0</v>
      </c>
      <c r="CB172" s="1007">
        <f t="shared" si="167"/>
        <v>0</v>
      </c>
      <c r="CC172" s="1007">
        <f t="shared" si="167"/>
        <v>0</v>
      </c>
      <c r="CD172" s="1007">
        <f t="shared" si="167"/>
        <v>0</v>
      </c>
      <c r="CE172" s="1007">
        <f t="shared" si="167"/>
        <v>0</v>
      </c>
      <c r="CF172" s="1007">
        <f t="shared" si="167"/>
        <v>0</v>
      </c>
      <c r="CG172" s="1007">
        <f t="shared" si="167"/>
        <v>0</v>
      </c>
      <c r="CH172" s="1007">
        <f t="shared" si="167"/>
        <v>0</v>
      </c>
      <c r="CI172" s="1007">
        <f t="shared" si="167"/>
        <v>0</v>
      </c>
      <c r="CJ172" s="1007"/>
      <c r="CK172" s="1007">
        <f t="shared" si="168"/>
        <v>0</v>
      </c>
      <c r="CL172" s="1007">
        <f t="shared" si="168"/>
        <v>18002188</v>
      </c>
      <c r="CM172" s="1010">
        <f t="shared" si="113"/>
        <v>0.33919272751864271</v>
      </c>
      <c r="CN172" s="1007">
        <f t="shared" si="176"/>
        <v>14364850</v>
      </c>
      <c r="CO172" s="1007"/>
      <c r="CP172" s="1007"/>
      <c r="CQ172" s="1007"/>
      <c r="CR172" s="1007"/>
      <c r="CS172" s="1007"/>
      <c r="CT172" s="1007"/>
      <c r="CU172" s="1007"/>
      <c r="CV172" s="1007"/>
      <c r="CW172" s="1007"/>
      <c r="CX172" s="1007"/>
      <c r="CY172" s="1007"/>
      <c r="CZ172" s="1007"/>
      <c r="DA172" s="1007"/>
      <c r="DB172" s="1007"/>
      <c r="DC172" s="1007"/>
      <c r="DD172" s="1007"/>
      <c r="DE172" s="1007"/>
      <c r="DF172" s="1007"/>
      <c r="DG172" s="1007"/>
      <c r="DH172" s="1007">
        <f>+'[8]SEPTIEMBRE 2015'!$H$409</f>
        <v>14364850</v>
      </c>
      <c r="DI172" s="1010">
        <f t="shared" si="115"/>
        <v>0.66080727248135729</v>
      </c>
      <c r="DJ172" s="1007">
        <f t="shared" si="177"/>
        <v>27985262</v>
      </c>
      <c r="DK172" s="1007"/>
      <c r="DL172" s="1007"/>
      <c r="DM172" s="1007"/>
      <c r="DN172" s="1007">
        <f t="shared" si="163"/>
        <v>0</v>
      </c>
      <c r="DO172" s="1007">
        <f t="shared" si="163"/>
        <v>0</v>
      </c>
      <c r="DP172" s="1007">
        <f t="shared" si="163"/>
        <v>0</v>
      </c>
      <c r="DQ172" s="1007">
        <f t="shared" si="163"/>
        <v>0</v>
      </c>
      <c r="DR172" s="1007"/>
      <c r="DS172" s="1007">
        <f t="shared" si="169"/>
        <v>0</v>
      </c>
      <c r="DT172" s="1007">
        <f t="shared" si="169"/>
        <v>0</v>
      </c>
      <c r="DU172" s="1007"/>
      <c r="DV172" s="1007">
        <f t="shared" si="170"/>
        <v>0</v>
      </c>
      <c r="DW172" s="1007">
        <f t="shared" si="170"/>
        <v>0</v>
      </c>
      <c r="DX172" s="1007">
        <f t="shared" si="170"/>
        <v>0</v>
      </c>
      <c r="DY172" s="1007">
        <f t="shared" si="171"/>
        <v>0</v>
      </c>
      <c r="DZ172" s="1007">
        <f t="shared" si="171"/>
        <v>0</v>
      </c>
      <c r="EA172" s="1007">
        <f t="shared" si="171"/>
        <v>0</v>
      </c>
      <c r="EB172" s="1007">
        <f t="shared" si="171"/>
        <v>0</v>
      </c>
      <c r="EC172" s="1007">
        <f t="shared" si="171"/>
        <v>0</v>
      </c>
      <c r="ED172" s="1007">
        <f t="shared" si="172"/>
        <v>27985262</v>
      </c>
    </row>
    <row r="173" spans="1:134" ht="51.75" hidden="1" customHeight="1" x14ac:dyDescent="0.25">
      <c r="A173" s="1590"/>
      <c r="B173" s="989"/>
      <c r="C173" s="852" t="s">
        <v>4679</v>
      </c>
      <c r="D173" s="1018" t="s">
        <v>4682</v>
      </c>
      <c r="E173" s="994">
        <v>211</v>
      </c>
      <c r="F173" s="1117" t="s">
        <v>4482</v>
      </c>
      <c r="G173" s="1429"/>
      <c r="H173" s="1060">
        <f t="shared" si="143"/>
        <v>0</v>
      </c>
      <c r="I173" s="1060">
        <f t="shared" si="144"/>
        <v>92524043</v>
      </c>
      <c r="J173" s="1428">
        <v>0</v>
      </c>
      <c r="K173" s="1606">
        <v>1</v>
      </c>
      <c r="L173" s="1257">
        <v>100</v>
      </c>
      <c r="M173" s="1113">
        <v>0</v>
      </c>
      <c r="N173" s="1113">
        <v>0</v>
      </c>
      <c r="O173" s="1113">
        <v>0</v>
      </c>
      <c r="P173" s="1113">
        <v>0</v>
      </c>
      <c r="Q173" s="1113">
        <v>0</v>
      </c>
      <c r="R173" s="1113">
        <v>0</v>
      </c>
      <c r="S173" s="1117"/>
      <c r="T173" s="1117"/>
      <c r="U173" s="1117"/>
      <c r="V173" s="1117"/>
      <c r="W173" s="1117"/>
      <c r="X173" s="1117"/>
      <c r="Y173" s="1007">
        <f t="shared" si="173"/>
        <v>92524043</v>
      </c>
      <c r="Z173" s="944"/>
      <c r="AA173" s="1007"/>
      <c r="AB173" s="1007"/>
      <c r="AC173" s="1007"/>
      <c r="AD173" s="1007"/>
      <c r="AE173" s="1007"/>
      <c r="AF173" s="1007"/>
      <c r="AG173" s="1007"/>
      <c r="AH173" s="1007"/>
      <c r="AI173" s="1007"/>
      <c r="AJ173" s="1007"/>
      <c r="AK173" s="1007"/>
      <c r="AL173" s="1007"/>
      <c r="AM173" s="1007"/>
      <c r="AN173" s="1007"/>
      <c r="AO173" s="1007"/>
      <c r="AP173" s="1007"/>
      <c r="AQ173" s="1007"/>
      <c r="AR173" s="1007">
        <v>92524043</v>
      </c>
      <c r="AS173" s="1007"/>
      <c r="AT173" s="1007"/>
      <c r="AU173" s="1010">
        <f t="shared" si="103"/>
        <v>1</v>
      </c>
      <c r="AV173" s="1007">
        <f t="shared" si="174"/>
        <v>92524043</v>
      </c>
      <c r="AW173" s="1007"/>
      <c r="AX173" s="1007"/>
      <c r="AY173" s="1007"/>
      <c r="AZ173" s="1007"/>
      <c r="BA173" s="1007"/>
      <c r="BB173" s="1007"/>
      <c r="BC173" s="1007"/>
      <c r="BD173" s="1007"/>
      <c r="BE173" s="1007"/>
      <c r="BF173" s="1007"/>
      <c r="BG173" s="1007"/>
      <c r="BH173" s="1007"/>
      <c r="BI173" s="1007"/>
      <c r="BJ173" s="1007"/>
      <c r="BK173" s="1007"/>
      <c r="BL173" s="1007"/>
      <c r="BM173" s="1007"/>
      <c r="BN173" s="1007"/>
      <c r="BO173" s="1007">
        <f>+'[7]AGOSTO 2015'!$AC$401</f>
        <v>92524043</v>
      </c>
      <c r="BP173" s="1007"/>
      <c r="BQ173" s="1010">
        <f t="shared" si="105"/>
        <v>0</v>
      </c>
      <c r="BR173" s="1007">
        <f t="shared" si="175"/>
        <v>0</v>
      </c>
      <c r="BS173" s="1007">
        <f t="shared" si="164"/>
        <v>0</v>
      </c>
      <c r="BT173" s="1007">
        <f t="shared" si="165"/>
        <v>0</v>
      </c>
      <c r="BU173" s="1007"/>
      <c r="BV173" s="1007">
        <f t="shared" si="162"/>
        <v>0</v>
      </c>
      <c r="BW173" s="1007">
        <f t="shared" si="162"/>
        <v>0</v>
      </c>
      <c r="BX173" s="1007">
        <f t="shared" si="166"/>
        <v>0</v>
      </c>
      <c r="BY173" s="1007">
        <f t="shared" si="166"/>
        <v>0</v>
      </c>
      <c r="BZ173" s="1007"/>
      <c r="CA173" s="1007">
        <f t="shared" si="167"/>
        <v>0</v>
      </c>
      <c r="CB173" s="1007">
        <f t="shared" si="167"/>
        <v>0</v>
      </c>
      <c r="CC173" s="1007">
        <f t="shared" si="167"/>
        <v>0</v>
      </c>
      <c r="CD173" s="1007">
        <f t="shared" si="167"/>
        <v>0</v>
      </c>
      <c r="CE173" s="1007">
        <f t="shared" si="167"/>
        <v>0</v>
      </c>
      <c r="CF173" s="1007">
        <f t="shared" si="167"/>
        <v>0</v>
      </c>
      <c r="CG173" s="1007">
        <f t="shared" si="167"/>
        <v>0</v>
      </c>
      <c r="CH173" s="1007">
        <f t="shared" si="167"/>
        <v>0</v>
      </c>
      <c r="CI173" s="1007">
        <f t="shared" si="167"/>
        <v>0</v>
      </c>
      <c r="CJ173" s="1007"/>
      <c r="CK173" s="1007">
        <f t="shared" si="168"/>
        <v>0</v>
      </c>
      <c r="CL173" s="1007">
        <f t="shared" si="168"/>
        <v>0</v>
      </c>
      <c r="CM173" s="1010">
        <f t="shared" si="113"/>
        <v>0</v>
      </c>
      <c r="CN173" s="1007">
        <f t="shared" si="176"/>
        <v>0</v>
      </c>
      <c r="CO173" s="1007"/>
      <c r="CP173" s="1007"/>
      <c r="CQ173" s="1007"/>
      <c r="CR173" s="1007"/>
      <c r="CS173" s="1007"/>
      <c r="CT173" s="1007"/>
      <c r="CU173" s="1007"/>
      <c r="CV173" s="1007"/>
      <c r="CW173" s="1007"/>
      <c r="CX173" s="1007"/>
      <c r="CY173" s="1007"/>
      <c r="CZ173" s="1007"/>
      <c r="DA173" s="1007"/>
      <c r="DB173" s="1007"/>
      <c r="DC173" s="1007"/>
      <c r="DD173" s="1007"/>
      <c r="DE173" s="1007"/>
      <c r="DF173" s="1007"/>
      <c r="DG173" s="1007"/>
      <c r="DH173" s="1007"/>
      <c r="DI173" s="1010">
        <f t="shared" si="115"/>
        <v>1</v>
      </c>
      <c r="DJ173" s="1007">
        <f t="shared" si="177"/>
        <v>92524043</v>
      </c>
      <c r="DK173" s="1007"/>
      <c r="DL173" s="1007"/>
      <c r="DM173" s="1007"/>
      <c r="DN173" s="1007">
        <f t="shared" si="163"/>
        <v>0</v>
      </c>
      <c r="DO173" s="1007">
        <f t="shared" si="163"/>
        <v>0</v>
      </c>
      <c r="DP173" s="1007">
        <f t="shared" si="163"/>
        <v>0</v>
      </c>
      <c r="DQ173" s="1007">
        <f t="shared" si="163"/>
        <v>0</v>
      </c>
      <c r="DR173" s="1007"/>
      <c r="DS173" s="1007">
        <f t="shared" si="169"/>
        <v>0</v>
      </c>
      <c r="DT173" s="1007">
        <f t="shared" si="169"/>
        <v>0</v>
      </c>
      <c r="DU173" s="1007"/>
      <c r="DV173" s="1007">
        <f t="shared" si="170"/>
        <v>0</v>
      </c>
      <c r="DW173" s="1007">
        <f t="shared" si="170"/>
        <v>0</v>
      </c>
      <c r="DX173" s="1007">
        <f t="shared" si="170"/>
        <v>0</v>
      </c>
      <c r="DY173" s="1007">
        <f t="shared" si="171"/>
        <v>0</v>
      </c>
      <c r="DZ173" s="1007">
        <f t="shared" si="171"/>
        <v>0</v>
      </c>
      <c r="EA173" s="1007">
        <f t="shared" si="171"/>
        <v>0</v>
      </c>
      <c r="EB173" s="1007">
        <f t="shared" si="171"/>
        <v>0</v>
      </c>
      <c r="EC173" s="1007">
        <f t="shared" si="171"/>
        <v>92524043</v>
      </c>
      <c r="ED173" s="1007">
        <f t="shared" si="172"/>
        <v>0</v>
      </c>
    </row>
    <row r="174" spans="1:134" s="203" customFormat="1" ht="36" hidden="1" customHeight="1" x14ac:dyDescent="0.25">
      <c r="A174" s="1590"/>
      <c r="B174" s="989"/>
      <c r="C174" s="1080" t="s">
        <v>4708</v>
      </c>
      <c r="D174" s="1018" t="s">
        <v>4709</v>
      </c>
      <c r="E174" s="996">
        <v>211</v>
      </c>
      <c r="F174" s="1117" t="s">
        <v>4482</v>
      </c>
      <c r="G174" s="1429"/>
      <c r="H174" s="1060">
        <f t="shared" si="143"/>
        <v>0</v>
      </c>
      <c r="I174" s="1060">
        <f t="shared" si="144"/>
        <v>0</v>
      </c>
      <c r="J174" s="1429"/>
      <c r="K174" s="1607"/>
      <c r="L174" s="1562"/>
      <c r="M174" s="1074">
        <v>0</v>
      </c>
      <c r="N174" s="1074">
        <v>0</v>
      </c>
      <c r="O174" s="1074">
        <v>0</v>
      </c>
      <c r="P174" s="1074"/>
      <c r="Q174" s="1074"/>
      <c r="R174" s="1074"/>
      <c r="S174" s="1117"/>
      <c r="T174" s="1117"/>
      <c r="U174" s="1117"/>
      <c r="V174" s="1117"/>
      <c r="W174" s="1117"/>
      <c r="X174" s="1117"/>
      <c r="Y174" s="1066">
        <f t="shared" si="173"/>
        <v>0</v>
      </c>
      <c r="Z174" s="149"/>
      <c r="AA174" s="1066"/>
      <c r="AB174" s="1066"/>
      <c r="AC174" s="1066">
        <f>31000000-31000000</f>
        <v>0</v>
      </c>
      <c r="AD174" s="1066"/>
      <c r="AE174" s="1066"/>
      <c r="AF174" s="1066"/>
      <c r="AG174" s="1066"/>
      <c r="AH174" s="1066"/>
      <c r="AI174" s="1066"/>
      <c r="AJ174" s="1066"/>
      <c r="AK174" s="1066"/>
      <c r="AL174" s="1066"/>
      <c r="AM174" s="1066"/>
      <c r="AN174" s="1066"/>
      <c r="AO174" s="1066"/>
      <c r="AP174" s="1066"/>
      <c r="AQ174" s="1066"/>
      <c r="AR174" s="1066"/>
      <c r="AS174" s="1066"/>
      <c r="AT174" s="1066"/>
      <c r="AU174" s="1081" t="e">
        <f t="shared" si="103"/>
        <v>#DIV/0!</v>
      </c>
      <c r="AV174" s="1066">
        <f t="shared" si="174"/>
        <v>0</v>
      </c>
      <c r="AW174" s="1066"/>
      <c r="AX174" s="1066"/>
      <c r="AY174" s="1066"/>
      <c r="AZ174" s="1066"/>
      <c r="BA174" s="1066"/>
      <c r="BB174" s="1066"/>
      <c r="BC174" s="1066"/>
      <c r="BD174" s="1066"/>
      <c r="BE174" s="1066"/>
      <c r="BF174" s="1066"/>
      <c r="BG174" s="1066"/>
      <c r="BH174" s="1066"/>
      <c r="BI174" s="1066"/>
      <c r="BJ174" s="1066"/>
      <c r="BK174" s="1066"/>
      <c r="BL174" s="1066"/>
      <c r="BM174" s="1066"/>
      <c r="BN174" s="1066"/>
      <c r="BO174" s="1066"/>
      <c r="BP174" s="1066"/>
      <c r="BQ174" s="1081" t="e">
        <f t="shared" si="105"/>
        <v>#DIV/0!</v>
      </c>
      <c r="BR174" s="1066">
        <f t="shared" si="175"/>
        <v>0</v>
      </c>
      <c r="BS174" s="1066"/>
      <c r="BT174" s="1066"/>
      <c r="BU174" s="1066"/>
      <c r="BV174" s="1066">
        <f t="shared" si="162"/>
        <v>0</v>
      </c>
      <c r="BW174" s="1066"/>
      <c r="BX174" s="1066"/>
      <c r="BY174" s="1066"/>
      <c r="BZ174" s="1066"/>
      <c r="CA174" s="1066"/>
      <c r="CB174" s="1066"/>
      <c r="CC174" s="1066"/>
      <c r="CD174" s="1066"/>
      <c r="CE174" s="1066"/>
      <c r="CF174" s="1066"/>
      <c r="CG174" s="1066"/>
      <c r="CH174" s="1066"/>
      <c r="CI174" s="1066"/>
      <c r="CJ174" s="1066"/>
      <c r="CK174" s="1066"/>
      <c r="CL174" s="1066"/>
      <c r="CM174" s="1081" t="e">
        <f t="shared" si="113"/>
        <v>#DIV/0!</v>
      </c>
      <c r="CN174" s="1066">
        <f t="shared" si="176"/>
        <v>0</v>
      </c>
      <c r="CO174" s="1066"/>
      <c r="CP174" s="1066"/>
      <c r="CQ174" s="1066"/>
      <c r="CR174" s="1066"/>
      <c r="CS174" s="1066"/>
      <c r="CT174" s="1066"/>
      <c r="CU174" s="1066"/>
      <c r="CV174" s="1066"/>
      <c r="CW174" s="1066"/>
      <c r="CX174" s="1066"/>
      <c r="CY174" s="1066"/>
      <c r="CZ174" s="1066"/>
      <c r="DA174" s="1066"/>
      <c r="DB174" s="1066"/>
      <c r="DC174" s="1066"/>
      <c r="DD174" s="1066"/>
      <c r="DE174" s="1066"/>
      <c r="DF174" s="1066"/>
      <c r="DG174" s="1066"/>
      <c r="DH174" s="1066"/>
      <c r="DI174" s="1081" t="e">
        <f t="shared" si="115"/>
        <v>#DIV/0!</v>
      </c>
      <c r="DJ174" s="1066">
        <f t="shared" si="177"/>
        <v>0</v>
      </c>
      <c r="DK174" s="1066"/>
      <c r="DL174" s="1066"/>
      <c r="DM174" s="1066"/>
      <c r="DN174" s="1066">
        <f t="shared" si="163"/>
        <v>0</v>
      </c>
      <c r="DO174" s="1066"/>
      <c r="DP174" s="1066"/>
      <c r="DQ174" s="1066"/>
      <c r="DR174" s="1066"/>
      <c r="DS174" s="1066"/>
      <c r="DT174" s="1066"/>
      <c r="DU174" s="1066"/>
      <c r="DV174" s="1066"/>
      <c r="DW174" s="1066"/>
      <c r="DX174" s="1066"/>
      <c r="DY174" s="1066"/>
      <c r="DZ174" s="1066"/>
      <c r="EA174" s="1066"/>
      <c r="EB174" s="1066"/>
      <c r="EC174" s="1066"/>
      <c r="ED174" s="1066"/>
    </row>
    <row r="175" spans="1:134" s="203" customFormat="1" ht="31.5" hidden="1" customHeight="1" x14ac:dyDescent="0.25">
      <c r="A175" s="1590"/>
      <c r="B175" s="989"/>
      <c r="C175" s="1080" t="s">
        <v>4712</v>
      </c>
      <c r="D175" s="1018" t="s">
        <v>4713</v>
      </c>
      <c r="E175" s="996">
        <v>211</v>
      </c>
      <c r="F175" s="1117" t="s">
        <v>4482</v>
      </c>
      <c r="G175" s="1429"/>
      <c r="H175" s="1060">
        <f t="shared" si="143"/>
        <v>0</v>
      </c>
      <c r="I175" s="1060">
        <f t="shared" si="144"/>
        <v>0</v>
      </c>
      <c r="J175" s="1429"/>
      <c r="K175" s="1607"/>
      <c r="L175" s="1562"/>
      <c r="M175" s="1074">
        <v>0</v>
      </c>
      <c r="N175" s="1074">
        <v>0</v>
      </c>
      <c r="O175" s="1074">
        <v>0</v>
      </c>
      <c r="P175" s="1074"/>
      <c r="Q175" s="1074"/>
      <c r="R175" s="1074"/>
      <c r="S175" s="1117"/>
      <c r="T175" s="1117"/>
      <c r="U175" s="1117"/>
      <c r="V175" s="1117"/>
      <c r="W175" s="1117"/>
      <c r="X175" s="1117"/>
      <c r="Y175" s="1066">
        <f t="shared" si="173"/>
        <v>0</v>
      </c>
      <c r="Z175" s="149"/>
      <c r="AA175" s="1066"/>
      <c r="AB175" s="1066"/>
      <c r="AC175" s="1066">
        <f>100000000-100000000</f>
        <v>0</v>
      </c>
      <c r="AD175" s="1066"/>
      <c r="AE175" s="1066"/>
      <c r="AF175" s="1066"/>
      <c r="AG175" s="1066"/>
      <c r="AH175" s="1066"/>
      <c r="AI175" s="1066"/>
      <c r="AJ175" s="1066"/>
      <c r="AK175" s="1066"/>
      <c r="AL175" s="1066"/>
      <c r="AM175" s="1066"/>
      <c r="AN175" s="1066"/>
      <c r="AO175" s="1066"/>
      <c r="AP175" s="1066"/>
      <c r="AQ175" s="1066"/>
      <c r="AR175" s="1066"/>
      <c r="AS175" s="1066"/>
      <c r="AT175" s="1066"/>
      <c r="AU175" s="1081" t="e">
        <f t="shared" si="103"/>
        <v>#DIV/0!</v>
      </c>
      <c r="AV175" s="1066">
        <f t="shared" si="174"/>
        <v>0</v>
      </c>
      <c r="AW175" s="1066"/>
      <c r="AX175" s="1066"/>
      <c r="AY175" s="1066"/>
      <c r="AZ175" s="1066"/>
      <c r="BA175" s="1066"/>
      <c r="BB175" s="1066"/>
      <c r="BC175" s="1066"/>
      <c r="BD175" s="1066"/>
      <c r="BE175" s="1066"/>
      <c r="BF175" s="1066"/>
      <c r="BG175" s="1066"/>
      <c r="BH175" s="1066"/>
      <c r="BI175" s="1066"/>
      <c r="BJ175" s="1066"/>
      <c r="BK175" s="1066"/>
      <c r="BL175" s="1066"/>
      <c r="BM175" s="1066"/>
      <c r="BN175" s="1066"/>
      <c r="BO175" s="1066"/>
      <c r="BP175" s="1066"/>
      <c r="BQ175" s="1081" t="e">
        <f t="shared" si="105"/>
        <v>#DIV/0!</v>
      </c>
      <c r="BR175" s="1066">
        <f t="shared" si="175"/>
        <v>0</v>
      </c>
      <c r="BS175" s="1066"/>
      <c r="BT175" s="1066"/>
      <c r="BU175" s="1066"/>
      <c r="BV175" s="1066">
        <f t="shared" si="162"/>
        <v>0</v>
      </c>
      <c r="BW175" s="1066"/>
      <c r="BX175" s="1066"/>
      <c r="BY175" s="1066"/>
      <c r="BZ175" s="1066"/>
      <c r="CA175" s="1066"/>
      <c r="CB175" s="1066"/>
      <c r="CC175" s="1066"/>
      <c r="CD175" s="1066"/>
      <c r="CE175" s="1066"/>
      <c r="CF175" s="1066"/>
      <c r="CG175" s="1066"/>
      <c r="CH175" s="1066"/>
      <c r="CI175" s="1066"/>
      <c r="CJ175" s="1066"/>
      <c r="CK175" s="1066"/>
      <c r="CL175" s="1066"/>
      <c r="CM175" s="1081" t="e">
        <f t="shared" si="113"/>
        <v>#DIV/0!</v>
      </c>
      <c r="CN175" s="1066">
        <f t="shared" si="176"/>
        <v>0</v>
      </c>
      <c r="CO175" s="1066"/>
      <c r="CP175" s="1066"/>
      <c r="CQ175" s="1066"/>
      <c r="CR175" s="1066"/>
      <c r="CS175" s="1066"/>
      <c r="CT175" s="1066"/>
      <c r="CU175" s="1066"/>
      <c r="CV175" s="1066"/>
      <c r="CW175" s="1066"/>
      <c r="CX175" s="1066"/>
      <c r="CY175" s="1066"/>
      <c r="CZ175" s="1066"/>
      <c r="DA175" s="1066"/>
      <c r="DB175" s="1066"/>
      <c r="DC175" s="1066"/>
      <c r="DD175" s="1066"/>
      <c r="DE175" s="1066"/>
      <c r="DF175" s="1066"/>
      <c r="DG175" s="1066"/>
      <c r="DH175" s="1066"/>
      <c r="DI175" s="1081" t="e">
        <f t="shared" si="115"/>
        <v>#DIV/0!</v>
      </c>
      <c r="DJ175" s="1066">
        <f t="shared" si="177"/>
        <v>0</v>
      </c>
      <c r="DK175" s="1066"/>
      <c r="DL175" s="1066"/>
      <c r="DM175" s="1066"/>
      <c r="DN175" s="1066">
        <f t="shared" si="163"/>
        <v>0</v>
      </c>
      <c r="DO175" s="1066"/>
      <c r="DP175" s="1066"/>
      <c r="DQ175" s="1066"/>
      <c r="DR175" s="1066"/>
      <c r="DS175" s="1066"/>
      <c r="DT175" s="1066"/>
      <c r="DU175" s="1066"/>
      <c r="DV175" s="1066"/>
      <c r="DW175" s="1066"/>
      <c r="DX175" s="1066"/>
      <c r="DY175" s="1066"/>
      <c r="DZ175" s="1066"/>
      <c r="EA175" s="1066"/>
      <c r="EB175" s="1066"/>
      <c r="EC175" s="1066"/>
      <c r="ED175" s="1066"/>
    </row>
    <row r="176" spans="1:134" s="203" customFormat="1" ht="24" hidden="1" customHeight="1" x14ac:dyDescent="0.25">
      <c r="A176" s="1590"/>
      <c r="B176" s="989"/>
      <c r="C176" s="1080" t="s">
        <v>4717</v>
      </c>
      <c r="D176" s="1018" t="s">
        <v>4722</v>
      </c>
      <c r="E176" s="996">
        <v>211</v>
      </c>
      <c r="F176" s="1117" t="s">
        <v>4482</v>
      </c>
      <c r="G176" s="1430"/>
      <c r="H176" s="1060">
        <f t="shared" si="143"/>
        <v>0</v>
      </c>
      <c r="I176" s="1060">
        <f t="shared" si="144"/>
        <v>0</v>
      </c>
      <c r="J176" s="1430"/>
      <c r="K176" s="1608"/>
      <c r="L176" s="1258"/>
      <c r="M176" s="1074"/>
      <c r="N176" s="1074"/>
      <c r="O176" s="1074"/>
      <c r="P176" s="1074">
        <v>0</v>
      </c>
      <c r="Q176" s="1074">
        <v>0</v>
      </c>
      <c r="R176" s="1074">
        <v>0</v>
      </c>
      <c r="S176" s="1117"/>
      <c r="T176" s="1117"/>
      <c r="U176" s="1117"/>
      <c r="V176" s="1117"/>
      <c r="W176" s="1117"/>
      <c r="X176" s="1117"/>
      <c r="Y176" s="1066">
        <f t="shared" si="173"/>
        <v>0</v>
      </c>
      <c r="Z176" s="149"/>
      <c r="AA176" s="1066"/>
      <c r="AB176" s="1066"/>
      <c r="AC176" s="1066">
        <f>1000000000-710000000-290000000</f>
        <v>0</v>
      </c>
      <c r="AD176" s="1066"/>
      <c r="AE176" s="1066"/>
      <c r="AF176" s="1066"/>
      <c r="AG176" s="1066"/>
      <c r="AH176" s="1066"/>
      <c r="AI176" s="1066"/>
      <c r="AJ176" s="1066"/>
      <c r="AK176" s="1066"/>
      <c r="AL176" s="1066"/>
      <c r="AM176" s="1066"/>
      <c r="AN176" s="1066"/>
      <c r="AO176" s="1066"/>
      <c r="AP176" s="1066"/>
      <c r="AQ176" s="1066"/>
      <c r="AR176" s="1066"/>
      <c r="AS176" s="1066"/>
      <c r="AT176" s="1066"/>
      <c r="AU176" s="1081"/>
      <c r="AV176" s="1066">
        <f t="shared" si="174"/>
        <v>0</v>
      </c>
      <c r="AW176" s="1066"/>
      <c r="AX176" s="1066"/>
      <c r="AY176" s="1066"/>
      <c r="AZ176" s="1066"/>
      <c r="BA176" s="1066"/>
      <c r="BB176" s="1066"/>
      <c r="BC176" s="1066"/>
      <c r="BD176" s="1066"/>
      <c r="BE176" s="1066"/>
      <c r="BF176" s="1066"/>
      <c r="BG176" s="1066"/>
      <c r="BH176" s="1066"/>
      <c r="BI176" s="1066"/>
      <c r="BJ176" s="1066"/>
      <c r="BK176" s="1066"/>
      <c r="BL176" s="1066"/>
      <c r="BM176" s="1066"/>
      <c r="BN176" s="1066"/>
      <c r="BO176" s="1066"/>
      <c r="BP176" s="1066"/>
      <c r="BQ176" s="1081"/>
      <c r="BR176" s="1066">
        <f t="shared" si="175"/>
        <v>0</v>
      </c>
      <c r="BS176" s="1066"/>
      <c r="BT176" s="1066"/>
      <c r="BU176" s="1066"/>
      <c r="BV176" s="1066">
        <f t="shared" si="162"/>
        <v>0</v>
      </c>
      <c r="BW176" s="1066"/>
      <c r="BX176" s="1066"/>
      <c r="BY176" s="1066"/>
      <c r="BZ176" s="1066"/>
      <c r="CA176" s="1066"/>
      <c r="CB176" s="1066"/>
      <c r="CC176" s="1066"/>
      <c r="CD176" s="1066"/>
      <c r="CE176" s="1066"/>
      <c r="CF176" s="1066"/>
      <c r="CG176" s="1066"/>
      <c r="CH176" s="1066"/>
      <c r="CI176" s="1066"/>
      <c r="CJ176" s="1066"/>
      <c r="CK176" s="1066"/>
      <c r="CL176" s="1066"/>
      <c r="CM176" s="1081" t="e">
        <f t="shared" si="113"/>
        <v>#DIV/0!</v>
      </c>
      <c r="CN176" s="1066">
        <f t="shared" si="176"/>
        <v>0</v>
      </c>
      <c r="CO176" s="1066"/>
      <c r="CP176" s="1066"/>
      <c r="CQ176" s="1066"/>
      <c r="CR176" s="1066"/>
      <c r="CS176" s="1066"/>
      <c r="CT176" s="1066"/>
      <c r="CU176" s="1066"/>
      <c r="CV176" s="1066"/>
      <c r="CW176" s="1066"/>
      <c r="CX176" s="1066"/>
      <c r="CY176" s="1066"/>
      <c r="CZ176" s="1066"/>
      <c r="DA176" s="1066"/>
      <c r="DB176" s="1066"/>
      <c r="DC176" s="1066"/>
      <c r="DD176" s="1066"/>
      <c r="DE176" s="1066"/>
      <c r="DF176" s="1066"/>
      <c r="DG176" s="1066"/>
      <c r="DH176" s="1066"/>
      <c r="DI176" s="1081"/>
      <c r="DJ176" s="1066">
        <f t="shared" si="177"/>
        <v>0</v>
      </c>
      <c r="DK176" s="1066"/>
      <c r="DL176" s="1066"/>
      <c r="DM176" s="1066"/>
      <c r="DN176" s="1066">
        <f t="shared" si="163"/>
        <v>0</v>
      </c>
      <c r="DO176" s="1066"/>
      <c r="DP176" s="1066"/>
      <c r="DQ176" s="1066"/>
      <c r="DR176" s="1066"/>
      <c r="DS176" s="1066"/>
      <c r="DT176" s="1066"/>
      <c r="DU176" s="1066"/>
      <c r="DV176" s="1066"/>
      <c r="DW176" s="1066"/>
      <c r="DX176" s="1066"/>
      <c r="DY176" s="1066"/>
      <c r="DZ176" s="1066"/>
      <c r="EA176" s="1066"/>
      <c r="EB176" s="1066"/>
      <c r="EC176" s="1066"/>
      <c r="ED176" s="1066"/>
    </row>
    <row r="177" spans="1:134" ht="47.25" hidden="1" customHeight="1" x14ac:dyDescent="0.25">
      <c r="A177" s="1590"/>
      <c r="B177" s="989" t="s">
        <v>4451</v>
      </c>
      <c r="C177" s="852" t="s">
        <v>4534</v>
      </c>
      <c r="D177" s="1018" t="s">
        <v>4538</v>
      </c>
      <c r="E177" s="994">
        <v>510</v>
      </c>
      <c r="F177" s="1117" t="s">
        <v>4536</v>
      </c>
      <c r="G177" s="1428">
        <v>260000000</v>
      </c>
      <c r="H177" s="1060">
        <f t="shared" si="143"/>
        <v>83465123</v>
      </c>
      <c r="I177" s="1060">
        <f t="shared" si="144"/>
        <v>3034877</v>
      </c>
      <c r="J177" s="1609">
        <v>1</v>
      </c>
      <c r="K177" s="1606">
        <v>1</v>
      </c>
      <c r="L177" s="1257">
        <v>100</v>
      </c>
      <c r="M177" s="1113">
        <v>63</v>
      </c>
      <c r="N177" s="1113">
        <v>30</v>
      </c>
      <c r="O177" s="1113">
        <v>19</v>
      </c>
      <c r="P177" s="1113">
        <v>58</v>
      </c>
      <c r="Q177" s="1113">
        <v>50</v>
      </c>
      <c r="R177" s="1113">
        <v>29</v>
      </c>
      <c r="S177" s="1117"/>
      <c r="T177" s="1117"/>
      <c r="U177" s="1117"/>
      <c r="V177" s="1117"/>
      <c r="W177" s="1117"/>
      <c r="X177" s="1117"/>
      <c r="Y177" s="1007">
        <f t="shared" si="173"/>
        <v>86500000</v>
      </c>
      <c r="Z177" s="944"/>
      <c r="AA177" s="1007"/>
      <c r="AB177" s="1007"/>
      <c r="AC177" s="1007"/>
      <c r="AD177" s="1007"/>
      <c r="AE177" s="1007">
        <f>85000000-16000000+16000000</f>
        <v>85000000</v>
      </c>
      <c r="AF177" s="1007"/>
      <c r="AG177" s="1007"/>
      <c r="AH177" s="1007"/>
      <c r="AI177" s="1007"/>
      <c r="AJ177" s="1007"/>
      <c r="AK177" s="1007"/>
      <c r="AL177" s="1007"/>
      <c r="AM177" s="1007"/>
      <c r="AN177" s="1007"/>
      <c r="AO177" s="1007">
        <v>1500000</v>
      </c>
      <c r="AP177" s="1007"/>
      <c r="AQ177" s="1007"/>
      <c r="AR177" s="1007"/>
      <c r="AS177" s="1007"/>
      <c r="AT177" s="1007"/>
      <c r="AU177" s="1010">
        <f t="shared" ref="AU177:AU195" si="178">+AV177/Y177</f>
        <v>1</v>
      </c>
      <c r="AV177" s="1007">
        <f t="shared" si="174"/>
        <v>86500000</v>
      </c>
      <c r="AW177" s="1007"/>
      <c r="AX177" s="1007"/>
      <c r="AY177" s="1007"/>
      <c r="AZ177" s="1007"/>
      <c r="BA177" s="1007"/>
      <c r="BB177" s="1007">
        <f>+'[13]JUNIO 2015'!$O$1705</f>
        <v>85000000</v>
      </c>
      <c r="BC177" s="1007"/>
      <c r="BD177" s="1007"/>
      <c r="BE177" s="1007"/>
      <c r="BF177" s="1007"/>
      <c r="BG177" s="1007"/>
      <c r="BH177" s="1007"/>
      <c r="BI177" s="1007"/>
      <c r="BJ177" s="1007"/>
      <c r="BK177" s="1007"/>
      <c r="BL177" s="1007">
        <f>+'[13]JUNIO 2015'!$Y$1705</f>
        <v>1500000</v>
      </c>
      <c r="BM177" s="1007"/>
      <c r="BN177" s="1007"/>
      <c r="BO177" s="1007"/>
      <c r="BP177" s="1007"/>
      <c r="BQ177" s="1010">
        <f t="shared" ref="BQ177:BQ195" si="179">1-AU177</f>
        <v>0</v>
      </c>
      <c r="BR177" s="1007">
        <f t="shared" si="175"/>
        <v>0</v>
      </c>
      <c r="BS177" s="1007">
        <f t="shared" ref="BS177:BS194" si="180">+Z177-AW177</f>
        <v>0</v>
      </c>
      <c r="BT177" s="1007">
        <f t="shared" ref="BT177:BT194" si="181">AA177-AX177</f>
        <v>0</v>
      </c>
      <c r="BU177" s="1007"/>
      <c r="BV177" s="1007">
        <f t="shared" si="162"/>
        <v>0</v>
      </c>
      <c r="BW177" s="1007">
        <f t="shared" si="162"/>
        <v>0</v>
      </c>
      <c r="BX177" s="1007">
        <f t="shared" ref="BX177:BY194" si="182">+AE177-BB177</f>
        <v>0</v>
      </c>
      <c r="BY177" s="1007">
        <f t="shared" si="182"/>
        <v>0</v>
      </c>
      <c r="BZ177" s="1007"/>
      <c r="CA177" s="1007">
        <f t="shared" ref="CA177:CI194" si="183">+AH177-BE177</f>
        <v>0</v>
      </c>
      <c r="CB177" s="1007">
        <f t="shared" si="183"/>
        <v>0</v>
      </c>
      <c r="CC177" s="1007">
        <f t="shared" si="183"/>
        <v>0</v>
      </c>
      <c r="CD177" s="1007">
        <f t="shared" si="183"/>
        <v>0</v>
      </c>
      <c r="CE177" s="1007">
        <f t="shared" si="183"/>
        <v>0</v>
      </c>
      <c r="CF177" s="1007">
        <f t="shared" si="183"/>
        <v>0</v>
      </c>
      <c r="CG177" s="1007">
        <f t="shared" si="183"/>
        <v>0</v>
      </c>
      <c r="CH177" s="1007">
        <f t="shared" si="183"/>
        <v>0</v>
      </c>
      <c r="CI177" s="1007">
        <f t="shared" si="183"/>
        <v>0</v>
      </c>
      <c r="CJ177" s="1007"/>
      <c r="CK177" s="1007">
        <f t="shared" ref="CK177:CL192" si="184">+AR177-BO177</f>
        <v>0</v>
      </c>
      <c r="CL177" s="1007">
        <f t="shared" si="184"/>
        <v>0</v>
      </c>
      <c r="CM177" s="1010">
        <f t="shared" ref="CM177:CM195" si="185">+CN177/Y177</f>
        <v>0.96491471676300578</v>
      </c>
      <c r="CN177" s="1007">
        <f t="shared" si="176"/>
        <v>83465123</v>
      </c>
      <c r="CO177" s="1007"/>
      <c r="CP177" s="1007"/>
      <c r="CQ177" s="1007"/>
      <c r="CR177" s="1007"/>
      <c r="CS177" s="1007"/>
      <c r="CT177" s="1007">
        <f>+'[10]JULIO 2015'!$H$1989+'[10]JULIO 2015'!$H$1995+'[10]JULIO 2015'!$H$1997</f>
        <v>83465123</v>
      </c>
      <c r="CU177" s="1007"/>
      <c r="CV177" s="1007"/>
      <c r="CW177" s="1007"/>
      <c r="CX177" s="1007"/>
      <c r="CY177" s="1007"/>
      <c r="CZ177" s="1007"/>
      <c r="DA177" s="1007"/>
      <c r="DB177" s="1007"/>
      <c r="DC177" s="1007"/>
      <c r="DD177" s="1007"/>
      <c r="DE177" s="1007"/>
      <c r="DF177" s="1007"/>
      <c r="DG177" s="1007"/>
      <c r="DH177" s="1007"/>
      <c r="DI177" s="1010">
        <f t="shared" ref="DI177:DI195" si="186">1-CM177</f>
        <v>3.5085283236994225E-2</v>
      </c>
      <c r="DJ177" s="1007">
        <f t="shared" si="177"/>
        <v>3034877</v>
      </c>
      <c r="DK177" s="1007"/>
      <c r="DL177" s="1007">
        <f>AA177-CP177</f>
        <v>0</v>
      </c>
      <c r="DM177" s="1007"/>
      <c r="DN177" s="1007">
        <f t="shared" si="163"/>
        <v>0</v>
      </c>
      <c r="DO177" s="1007">
        <f t="shared" si="163"/>
        <v>0</v>
      </c>
      <c r="DP177" s="1007">
        <f t="shared" si="163"/>
        <v>1534877</v>
      </c>
      <c r="DQ177" s="1007">
        <f t="shared" si="163"/>
        <v>0</v>
      </c>
      <c r="DR177" s="1007"/>
      <c r="DS177" s="1007">
        <f t="shared" ref="DS177:DT194" si="187">+AH177-CW177</f>
        <v>0</v>
      </c>
      <c r="DT177" s="1007">
        <f t="shared" si="187"/>
        <v>0</v>
      </c>
      <c r="DU177" s="1007"/>
      <c r="DV177" s="1007">
        <f t="shared" ref="DV177:DX194" si="188">AK177-CZ177</f>
        <v>0</v>
      </c>
      <c r="DW177" s="1007">
        <f t="shared" si="188"/>
        <v>0</v>
      </c>
      <c r="DX177" s="1007">
        <f t="shared" si="188"/>
        <v>0</v>
      </c>
      <c r="DY177" s="1007">
        <f t="shared" ref="DY177:ED194" si="189">+AN177-DC177</f>
        <v>0</v>
      </c>
      <c r="DZ177" s="1007">
        <f t="shared" si="189"/>
        <v>1500000</v>
      </c>
      <c r="EA177" s="1007">
        <f t="shared" si="189"/>
        <v>0</v>
      </c>
      <c r="EB177" s="1007">
        <f t="shared" si="189"/>
        <v>0</v>
      </c>
      <c r="EC177" s="1007">
        <f t="shared" si="189"/>
        <v>0</v>
      </c>
      <c r="ED177" s="1007">
        <f t="shared" si="189"/>
        <v>0</v>
      </c>
    </row>
    <row r="178" spans="1:134" ht="50.25" hidden="1" customHeight="1" x14ac:dyDescent="0.25">
      <c r="A178" s="1590"/>
      <c r="B178" s="989"/>
      <c r="C178" s="852" t="s">
        <v>4540</v>
      </c>
      <c r="D178" s="1018" t="s">
        <v>4539</v>
      </c>
      <c r="E178" s="994">
        <v>510</v>
      </c>
      <c r="F178" s="1117" t="s">
        <v>4536</v>
      </c>
      <c r="G178" s="1429"/>
      <c r="H178" s="1060">
        <f t="shared" si="143"/>
        <v>5703720</v>
      </c>
      <c r="I178" s="1060">
        <f t="shared" si="144"/>
        <v>4296280</v>
      </c>
      <c r="J178" s="1610"/>
      <c r="K178" s="1607"/>
      <c r="L178" s="1562"/>
      <c r="M178" s="1113">
        <v>0</v>
      </c>
      <c r="N178" s="1113">
        <v>14</v>
      </c>
      <c r="O178" s="1113">
        <v>0</v>
      </c>
      <c r="P178" s="1113">
        <v>0</v>
      </c>
      <c r="Q178" s="1113">
        <v>35</v>
      </c>
      <c r="R178" s="1113">
        <v>0</v>
      </c>
      <c r="S178" s="1117"/>
      <c r="T178" s="1117"/>
      <c r="U178" s="1117"/>
      <c r="V178" s="1117"/>
      <c r="W178" s="1117"/>
      <c r="X178" s="1117"/>
      <c r="Y178" s="1007">
        <f t="shared" si="173"/>
        <v>10000000</v>
      </c>
      <c r="Z178" s="944"/>
      <c r="AA178" s="1007"/>
      <c r="AB178" s="1007"/>
      <c r="AC178" s="1007">
        <f>16000000-16000000</f>
        <v>0</v>
      </c>
      <c r="AD178" s="1007"/>
      <c r="AE178" s="1007">
        <f>16000000-16000000</f>
        <v>0</v>
      </c>
      <c r="AF178" s="1007"/>
      <c r="AG178" s="1007"/>
      <c r="AH178" s="1007"/>
      <c r="AI178" s="1007"/>
      <c r="AJ178" s="1007"/>
      <c r="AK178" s="1007"/>
      <c r="AL178" s="1007"/>
      <c r="AM178" s="1007"/>
      <c r="AN178" s="1007"/>
      <c r="AO178" s="1007">
        <v>10000000</v>
      </c>
      <c r="AP178" s="1007"/>
      <c r="AQ178" s="1007"/>
      <c r="AR178" s="1007"/>
      <c r="AS178" s="1007"/>
      <c r="AU178" s="1010">
        <f t="shared" si="178"/>
        <v>0.57037199999999999</v>
      </c>
      <c r="AV178" s="1007">
        <f t="shared" si="174"/>
        <v>5703720</v>
      </c>
      <c r="AW178" s="1007"/>
      <c r="AX178" s="1007"/>
      <c r="AY178" s="1007"/>
      <c r="AZ178" s="1007"/>
      <c r="BA178" s="1007"/>
      <c r="BB178" s="1007"/>
      <c r="BC178" s="1007"/>
      <c r="BD178" s="1007"/>
      <c r="BE178" s="1007"/>
      <c r="BF178" s="1007"/>
      <c r="BG178" s="1007"/>
      <c r="BH178" s="1007"/>
      <c r="BI178" s="1007"/>
      <c r="BJ178" s="1007"/>
      <c r="BK178" s="1007"/>
      <c r="BL178" s="1007">
        <f>+'[7]AGOSTO 2015'!$Y$2243</f>
        <v>5703720</v>
      </c>
      <c r="BM178" s="1007"/>
      <c r="BN178" s="1007"/>
      <c r="BO178" s="1007"/>
      <c r="BP178" s="1007"/>
      <c r="BQ178" s="1010">
        <f t="shared" si="179"/>
        <v>0.42962800000000001</v>
      </c>
      <c r="BR178" s="1007">
        <f t="shared" si="175"/>
        <v>4296280</v>
      </c>
      <c r="BS178" s="1007">
        <f t="shared" si="180"/>
        <v>0</v>
      </c>
      <c r="BT178" s="1007">
        <f t="shared" si="181"/>
        <v>0</v>
      </c>
      <c r="BU178" s="1007"/>
      <c r="BV178" s="1007">
        <f t="shared" si="162"/>
        <v>0</v>
      </c>
      <c r="BW178" s="1007">
        <f t="shared" si="162"/>
        <v>0</v>
      </c>
      <c r="BX178" s="1007">
        <f t="shared" si="182"/>
        <v>0</v>
      </c>
      <c r="BY178" s="1007">
        <f t="shared" si="182"/>
        <v>0</v>
      </c>
      <c r="BZ178" s="1007"/>
      <c r="CA178" s="1007">
        <f t="shared" si="183"/>
        <v>0</v>
      </c>
      <c r="CB178" s="1007">
        <f t="shared" si="183"/>
        <v>0</v>
      </c>
      <c r="CC178" s="1007">
        <f t="shared" si="183"/>
        <v>0</v>
      </c>
      <c r="CD178" s="1007">
        <f t="shared" si="183"/>
        <v>0</v>
      </c>
      <c r="CE178" s="1007">
        <f t="shared" si="183"/>
        <v>0</v>
      </c>
      <c r="CF178" s="1007">
        <f t="shared" si="183"/>
        <v>0</v>
      </c>
      <c r="CG178" s="1007">
        <f t="shared" si="183"/>
        <v>0</v>
      </c>
      <c r="CH178" s="1007">
        <f t="shared" si="183"/>
        <v>4296280</v>
      </c>
      <c r="CI178" s="1007">
        <f t="shared" si="183"/>
        <v>0</v>
      </c>
      <c r="CJ178" s="1007"/>
      <c r="CK178" s="1007">
        <f t="shared" si="184"/>
        <v>0</v>
      </c>
      <c r="CL178" s="1007">
        <f t="shared" si="184"/>
        <v>0</v>
      </c>
      <c r="CM178" s="1010">
        <f t="shared" si="185"/>
        <v>0.57037199999999999</v>
      </c>
      <c r="CN178" s="1007">
        <f t="shared" si="176"/>
        <v>5703720</v>
      </c>
      <c r="CO178" s="1007"/>
      <c r="CP178" s="1007"/>
      <c r="CQ178" s="1007"/>
      <c r="CR178" s="1007"/>
      <c r="CS178" s="1007"/>
      <c r="CT178" s="1007"/>
      <c r="CU178" s="1007"/>
      <c r="CV178" s="1007"/>
      <c r="CW178" s="1007"/>
      <c r="CX178" s="1007"/>
      <c r="CY178" s="1007"/>
      <c r="CZ178" s="1007"/>
      <c r="DA178" s="1007"/>
      <c r="DB178" s="1007"/>
      <c r="DC178" s="1007"/>
      <c r="DD178" s="1007">
        <f>+'[8]SEPTIEMBRE 2015'!$H$2748</f>
        <v>5703720</v>
      </c>
      <c r="DE178" s="1007"/>
      <c r="DF178" s="1007"/>
      <c r="DG178" s="1007"/>
      <c r="DH178" s="1007"/>
      <c r="DI178" s="1010">
        <f t="shared" si="186"/>
        <v>0.42962800000000001</v>
      </c>
      <c r="DJ178" s="1007">
        <f t="shared" si="177"/>
        <v>4296280</v>
      </c>
      <c r="DK178" s="1007"/>
      <c r="DL178" s="1007"/>
      <c r="DM178" s="1007"/>
      <c r="DN178" s="1007">
        <f t="shared" si="163"/>
        <v>0</v>
      </c>
      <c r="DO178" s="1007">
        <f t="shared" si="163"/>
        <v>0</v>
      </c>
      <c r="DP178" s="1007">
        <f t="shared" si="163"/>
        <v>0</v>
      </c>
      <c r="DQ178" s="1007">
        <f t="shared" si="163"/>
        <v>0</v>
      </c>
      <c r="DR178" s="1007"/>
      <c r="DS178" s="1007">
        <f t="shared" si="187"/>
        <v>0</v>
      </c>
      <c r="DT178" s="1007">
        <f t="shared" si="187"/>
        <v>0</v>
      </c>
      <c r="DU178" s="1007"/>
      <c r="DV178" s="1007">
        <f t="shared" si="188"/>
        <v>0</v>
      </c>
      <c r="DW178" s="1007">
        <f t="shared" si="188"/>
        <v>0</v>
      </c>
      <c r="DX178" s="1007">
        <f t="shared" si="188"/>
        <v>0</v>
      </c>
      <c r="DY178" s="1007">
        <f t="shared" si="189"/>
        <v>0</v>
      </c>
      <c r="DZ178" s="1007">
        <f t="shared" si="189"/>
        <v>4296280</v>
      </c>
      <c r="EA178" s="1007">
        <f t="shared" si="189"/>
        <v>0</v>
      </c>
      <c r="EB178" s="1007">
        <f t="shared" si="189"/>
        <v>0</v>
      </c>
      <c r="EC178" s="1007">
        <f t="shared" si="189"/>
        <v>0</v>
      </c>
      <c r="ED178" s="1007">
        <f t="shared" si="189"/>
        <v>0</v>
      </c>
    </row>
    <row r="179" spans="1:134" ht="41.25" hidden="1" customHeight="1" x14ac:dyDescent="0.25">
      <c r="A179" s="1590"/>
      <c r="B179" s="989"/>
      <c r="C179" s="852" t="s">
        <v>4541</v>
      </c>
      <c r="D179" s="1018" t="s">
        <v>4696</v>
      </c>
      <c r="E179" s="994">
        <v>510</v>
      </c>
      <c r="F179" s="1117" t="s">
        <v>4669</v>
      </c>
      <c r="G179" s="1429"/>
      <c r="H179" s="1060">
        <f t="shared" si="143"/>
        <v>0</v>
      </c>
      <c r="I179" s="1060">
        <f t="shared" si="144"/>
        <v>8000000</v>
      </c>
      <c r="J179" s="1610"/>
      <c r="K179" s="1607"/>
      <c r="L179" s="1562"/>
      <c r="M179" s="1113">
        <v>0</v>
      </c>
      <c r="N179" s="1113">
        <v>0</v>
      </c>
      <c r="O179" s="1113">
        <v>0</v>
      </c>
      <c r="P179" s="1113">
        <v>0</v>
      </c>
      <c r="Q179" s="1113">
        <v>55</v>
      </c>
      <c r="R179" s="1113">
        <v>0</v>
      </c>
      <c r="S179" s="1117"/>
      <c r="T179" s="1117"/>
      <c r="U179" s="1117"/>
      <c r="V179" s="1117"/>
      <c r="W179" s="1117"/>
      <c r="X179" s="1117"/>
      <c r="Y179" s="1007">
        <f t="shared" si="173"/>
        <v>8000000</v>
      </c>
      <c r="Z179" s="944"/>
      <c r="AA179" s="1007"/>
      <c r="AB179" s="1007"/>
      <c r="AC179" s="1007"/>
      <c r="AD179" s="1007"/>
      <c r="AE179" s="1007">
        <v>8000000</v>
      </c>
      <c r="AF179" s="1007"/>
      <c r="AG179" s="1007"/>
      <c r="AH179" s="1007"/>
      <c r="AI179" s="1007"/>
      <c r="AJ179" s="1007"/>
      <c r="AK179" s="1007"/>
      <c r="AL179" s="1007"/>
      <c r="AM179" s="1007"/>
      <c r="AN179" s="1007"/>
      <c r="AO179" s="1007"/>
      <c r="AP179" s="1007"/>
      <c r="AQ179" s="1007"/>
      <c r="AR179" s="1007"/>
      <c r="AS179" s="1007"/>
      <c r="AU179" s="1010">
        <f t="shared" si="178"/>
        <v>0</v>
      </c>
      <c r="AV179" s="1007">
        <f t="shared" si="174"/>
        <v>0</v>
      </c>
      <c r="AW179" s="1007"/>
      <c r="AX179" s="1007"/>
      <c r="AY179" s="1007"/>
      <c r="AZ179" s="1007"/>
      <c r="BA179" s="1007"/>
      <c r="BB179" s="1007"/>
      <c r="BC179" s="1007"/>
      <c r="BD179" s="1007"/>
      <c r="BE179" s="1007"/>
      <c r="BF179" s="1007"/>
      <c r="BG179" s="1007"/>
      <c r="BH179" s="1007"/>
      <c r="BI179" s="1007"/>
      <c r="BJ179" s="1007"/>
      <c r="BK179" s="1007"/>
      <c r="BL179" s="1007"/>
      <c r="BM179" s="1007"/>
      <c r="BN179" s="1007"/>
      <c r="BO179" s="1007"/>
      <c r="BP179" s="1007"/>
      <c r="BQ179" s="1010">
        <f t="shared" si="179"/>
        <v>1</v>
      </c>
      <c r="BR179" s="1007">
        <f t="shared" si="175"/>
        <v>8000000</v>
      </c>
      <c r="BS179" s="1007">
        <f t="shared" si="180"/>
        <v>0</v>
      </c>
      <c r="BT179" s="1007">
        <f t="shared" si="181"/>
        <v>0</v>
      </c>
      <c r="BU179" s="1007"/>
      <c r="BV179" s="1007">
        <f t="shared" si="162"/>
        <v>0</v>
      </c>
      <c r="BW179" s="1007">
        <f t="shared" si="162"/>
        <v>0</v>
      </c>
      <c r="BX179" s="1007">
        <f t="shared" si="182"/>
        <v>8000000</v>
      </c>
      <c r="BY179" s="1007">
        <f t="shared" si="182"/>
        <v>0</v>
      </c>
      <c r="BZ179" s="1007"/>
      <c r="CA179" s="1007">
        <f t="shared" si="183"/>
        <v>0</v>
      </c>
      <c r="CB179" s="1007">
        <f t="shared" si="183"/>
        <v>0</v>
      </c>
      <c r="CC179" s="1007">
        <f t="shared" si="183"/>
        <v>0</v>
      </c>
      <c r="CD179" s="1007">
        <f t="shared" si="183"/>
        <v>0</v>
      </c>
      <c r="CE179" s="1007">
        <f t="shared" si="183"/>
        <v>0</v>
      </c>
      <c r="CF179" s="1007">
        <f t="shared" si="183"/>
        <v>0</v>
      </c>
      <c r="CG179" s="1007">
        <f t="shared" si="183"/>
        <v>0</v>
      </c>
      <c r="CH179" s="1007">
        <f t="shared" si="183"/>
        <v>0</v>
      </c>
      <c r="CI179" s="1007">
        <f t="shared" si="183"/>
        <v>0</v>
      </c>
      <c r="CJ179" s="1007"/>
      <c r="CK179" s="1007">
        <f t="shared" si="184"/>
        <v>0</v>
      </c>
      <c r="CL179" s="1007">
        <f t="shared" si="184"/>
        <v>0</v>
      </c>
      <c r="CM179" s="1010">
        <f t="shared" si="185"/>
        <v>0</v>
      </c>
      <c r="CN179" s="1007">
        <f t="shared" si="176"/>
        <v>0</v>
      </c>
      <c r="CO179" s="1007"/>
      <c r="CP179" s="1007"/>
      <c r="CQ179" s="1007"/>
      <c r="CR179" s="1007"/>
      <c r="CS179" s="1007"/>
      <c r="CT179" s="1007"/>
      <c r="CU179" s="1007"/>
      <c r="CV179" s="1007"/>
      <c r="CW179" s="1007"/>
      <c r="CX179" s="1007"/>
      <c r="CY179" s="1007"/>
      <c r="CZ179" s="1007"/>
      <c r="DA179" s="1007"/>
      <c r="DB179" s="1007"/>
      <c r="DC179" s="1007"/>
      <c r="DD179" s="1007"/>
      <c r="DE179" s="1007"/>
      <c r="DF179" s="1007"/>
      <c r="DG179" s="1007"/>
      <c r="DH179" s="1007"/>
      <c r="DI179" s="1010">
        <f t="shared" si="186"/>
        <v>1</v>
      </c>
      <c r="DJ179" s="1007">
        <f t="shared" si="177"/>
        <v>8000000</v>
      </c>
      <c r="DK179" s="1007"/>
      <c r="DL179" s="1007"/>
      <c r="DM179" s="1007"/>
      <c r="DN179" s="1007">
        <f t="shared" si="163"/>
        <v>0</v>
      </c>
      <c r="DO179" s="1007">
        <f t="shared" si="163"/>
        <v>0</v>
      </c>
      <c r="DP179" s="1007">
        <f t="shared" si="163"/>
        <v>8000000</v>
      </c>
      <c r="DQ179" s="1007">
        <f t="shared" si="163"/>
        <v>0</v>
      </c>
      <c r="DR179" s="1007"/>
      <c r="DS179" s="1007">
        <f t="shared" si="187"/>
        <v>0</v>
      </c>
      <c r="DT179" s="1007">
        <f t="shared" si="187"/>
        <v>0</v>
      </c>
      <c r="DU179" s="1007"/>
      <c r="DV179" s="1007">
        <f t="shared" si="188"/>
        <v>0</v>
      </c>
      <c r="DW179" s="1007">
        <f t="shared" si="188"/>
        <v>0</v>
      </c>
      <c r="DX179" s="1007">
        <f t="shared" si="188"/>
        <v>0</v>
      </c>
      <c r="DY179" s="1007">
        <f t="shared" si="189"/>
        <v>0</v>
      </c>
      <c r="DZ179" s="1007">
        <f t="shared" si="189"/>
        <v>0</v>
      </c>
      <c r="EA179" s="1007">
        <f t="shared" si="189"/>
        <v>0</v>
      </c>
      <c r="EB179" s="1007">
        <f t="shared" si="189"/>
        <v>0</v>
      </c>
      <c r="EC179" s="1007">
        <f t="shared" si="189"/>
        <v>0</v>
      </c>
      <c r="ED179" s="1007">
        <f t="shared" si="189"/>
        <v>0</v>
      </c>
    </row>
    <row r="180" spans="1:134" s="203" customFormat="1" ht="51" hidden="1" customHeight="1" x14ac:dyDescent="0.25">
      <c r="A180" s="1590"/>
      <c r="B180" s="989"/>
      <c r="C180" s="1080" t="s">
        <v>4542</v>
      </c>
      <c r="D180" s="1018" t="s">
        <v>4535</v>
      </c>
      <c r="E180" s="996">
        <v>510</v>
      </c>
      <c r="F180" s="1117" t="s">
        <v>4536</v>
      </c>
      <c r="G180" s="1429"/>
      <c r="H180" s="1060">
        <f t="shared" si="143"/>
        <v>0</v>
      </c>
      <c r="I180" s="1060">
        <f t="shared" si="144"/>
        <v>0</v>
      </c>
      <c r="J180" s="1610"/>
      <c r="K180" s="1607"/>
      <c r="L180" s="1562"/>
      <c r="M180" s="1074">
        <v>0</v>
      </c>
      <c r="N180" s="1074">
        <v>20</v>
      </c>
      <c r="O180" s="1074">
        <v>0</v>
      </c>
      <c r="P180" s="1074"/>
      <c r="Q180" s="1074"/>
      <c r="R180" s="1074"/>
      <c r="S180" s="1117"/>
      <c r="T180" s="1117"/>
      <c r="U180" s="1117"/>
      <c r="V180" s="1117"/>
      <c r="W180" s="1117"/>
      <c r="X180" s="1117"/>
      <c r="Y180" s="1066">
        <f t="shared" si="173"/>
        <v>0</v>
      </c>
      <c r="Z180" s="149"/>
      <c r="AA180" s="1066"/>
      <c r="AB180" s="1066"/>
      <c r="AC180" s="1066">
        <f>16000000-16000000</f>
        <v>0</v>
      </c>
      <c r="AD180" s="1066"/>
      <c r="AE180" s="1066"/>
      <c r="AF180" s="1066"/>
      <c r="AG180" s="1066"/>
      <c r="AH180" s="1066"/>
      <c r="AI180" s="1066"/>
      <c r="AJ180" s="1066"/>
      <c r="AK180" s="1066"/>
      <c r="AL180" s="1066"/>
      <c r="AM180" s="1066"/>
      <c r="AN180" s="1066"/>
      <c r="AO180" s="1066"/>
      <c r="AP180" s="1066"/>
      <c r="AQ180" s="1066"/>
      <c r="AR180" s="1066"/>
      <c r="AS180" s="1066"/>
      <c r="AU180" s="1081" t="e">
        <f t="shared" si="178"/>
        <v>#DIV/0!</v>
      </c>
      <c r="AV180" s="1066">
        <f t="shared" si="174"/>
        <v>0</v>
      </c>
      <c r="AW180" s="1066"/>
      <c r="AX180" s="1066"/>
      <c r="AY180" s="1066"/>
      <c r="AZ180" s="1066"/>
      <c r="BA180" s="1066"/>
      <c r="BB180" s="1066"/>
      <c r="BC180" s="1066"/>
      <c r="BD180" s="1066"/>
      <c r="BE180" s="1066"/>
      <c r="BF180" s="1066"/>
      <c r="BG180" s="1066"/>
      <c r="BH180" s="1066"/>
      <c r="BI180" s="1066"/>
      <c r="BJ180" s="1066"/>
      <c r="BK180" s="1066"/>
      <c r="BL180" s="1066"/>
      <c r="BM180" s="1066"/>
      <c r="BN180" s="1066"/>
      <c r="BO180" s="1066"/>
      <c r="BP180" s="1066"/>
      <c r="BQ180" s="1081" t="e">
        <f t="shared" si="179"/>
        <v>#DIV/0!</v>
      </c>
      <c r="BR180" s="1066">
        <f t="shared" si="175"/>
        <v>0</v>
      </c>
      <c r="BS180" s="1066">
        <f t="shared" si="180"/>
        <v>0</v>
      </c>
      <c r="BT180" s="1066">
        <f t="shared" si="181"/>
        <v>0</v>
      </c>
      <c r="BU180" s="1066"/>
      <c r="BV180" s="1066">
        <f t="shared" si="162"/>
        <v>0</v>
      </c>
      <c r="BW180" s="1066">
        <f t="shared" si="162"/>
        <v>0</v>
      </c>
      <c r="BX180" s="1066">
        <f t="shared" si="182"/>
        <v>0</v>
      </c>
      <c r="BY180" s="1066">
        <f t="shared" si="182"/>
        <v>0</v>
      </c>
      <c r="BZ180" s="1066"/>
      <c r="CA180" s="1066">
        <f t="shared" si="183"/>
        <v>0</v>
      </c>
      <c r="CB180" s="1066">
        <f t="shared" si="183"/>
        <v>0</v>
      </c>
      <c r="CC180" s="1066">
        <f t="shared" si="183"/>
        <v>0</v>
      </c>
      <c r="CD180" s="1066">
        <f t="shared" si="183"/>
        <v>0</v>
      </c>
      <c r="CE180" s="1066">
        <f t="shared" si="183"/>
        <v>0</v>
      </c>
      <c r="CF180" s="1066">
        <f t="shared" si="183"/>
        <v>0</v>
      </c>
      <c r="CG180" s="1066">
        <f t="shared" si="183"/>
        <v>0</v>
      </c>
      <c r="CH180" s="1066">
        <f t="shared" si="183"/>
        <v>0</v>
      </c>
      <c r="CI180" s="1066">
        <f t="shared" si="183"/>
        <v>0</v>
      </c>
      <c r="CJ180" s="1066"/>
      <c r="CK180" s="1066">
        <f t="shared" si="184"/>
        <v>0</v>
      </c>
      <c r="CL180" s="1066">
        <f t="shared" si="184"/>
        <v>0</v>
      </c>
      <c r="CM180" s="1081" t="e">
        <f t="shared" si="185"/>
        <v>#DIV/0!</v>
      </c>
      <c r="CN180" s="1066">
        <f t="shared" si="176"/>
        <v>0</v>
      </c>
      <c r="CO180" s="1066"/>
      <c r="CP180" s="1066"/>
      <c r="CQ180" s="1066"/>
      <c r="CR180" s="1066"/>
      <c r="CS180" s="1066"/>
      <c r="CT180" s="1066"/>
      <c r="CU180" s="1066"/>
      <c r="CV180" s="1066"/>
      <c r="CW180" s="1066"/>
      <c r="CX180" s="1066"/>
      <c r="CY180" s="1066"/>
      <c r="CZ180" s="1066"/>
      <c r="DA180" s="1066"/>
      <c r="DB180" s="1066"/>
      <c r="DC180" s="1066"/>
      <c r="DD180" s="1066"/>
      <c r="DE180" s="1066"/>
      <c r="DF180" s="1066"/>
      <c r="DG180" s="1066"/>
      <c r="DH180" s="1066"/>
      <c r="DI180" s="1081" t="e">
        <f t="shared" si="186"/>
        <v>#DIV/0!</v>
      </c>
      <c r="DJ180" s="1066">
        <f t="shared" si="177"/>
        <v>0</v>
      </c>
      <c r="DK180" s="1066"/>
      <c r="DL180" s="1066"/>
      <c r="DM180" s="1066"/>
      <c r="DN180" s="1066">
        <f t="shared" si="163"/>
        <v>0</v>
      </c>
      <c r="DO180" s="1066">
        <f t="shared" si="163"/>
        <v>0</v>
      </c>
      <c r="DP180" s="1066">
        <f t="shared" si="163"/>
        <v>0</v>
      </c>
      <c r="DQ180" s="1066">
        <f t="shared" si="163"/>
        <v>0</v>
      </c>
      <c r="DR180" s="1066"/>
      <c r="DS180" s="1066">
        <f t="shared" si="187"/>
        <v>0</v>
      </c>
      <c r="DT180" s="1066">
        <f t="shared" si="187"/>
        <v>0</v>
      </c>
      <c r="DU180" s="1066"/>
      <c r="DV180" s="1066">
        <f t="shared" si="188"/>
        <v>0</v>
      </c>
      <c r="DW180" s="1066">
        <f t="shared" si="188"/>
        <v>0</v>
      </c>
      <c r="DX180" s="1066">
        <f t="shared" si="188"/>
        <v>0</v>
      </c>
      <c r="DY180" s="1066">
        <f t="shared" si="189"/>
        <v>0</v>
      </c>
      <c r="DZ180" s="1066">
        <f t="shared" si="189"/>
        <v>0</v>
      </c>
      <c r="EA180" s="1066">
        <f t="shared" si="189"/>
        <v>0</v>
      </c>
      <c r="EB180" s="1066">
        <f t="shared" si="189"/>
        <v>0</v>
      </c>
      <c r="EC180" s="1066">
        <f t="shared" si="189"/>
        <v>0</v>
      </c>
      <c r="ED180" s="1066">
        <f t="shared" si="189"/>
        <v>0</v>
      </c>
    </row>
    <row r="181" spans="1:134" s="203" customFormat="1" ht="48.75" hidden="1" customHeight="1" x14ac:dyDescent="0.25">
      <c r="A181" s="1590"/>
      <c r="B181" s="989"/>
      <c r="C181" s="1080" t="s">
        <v>4543</v>
      </c>
      <c r="D181" s="1018" t="s">
        <v>4691</v>
      </c>
      <c r="E181" s="996">
        <v>510</v>
      </c>
      <c r="F181" s="1117" t="s">
        <v>4536</v>
      </c>
      <c r="G181" s="1429"/>
      <c r="H181" s="1060">
        <f t="shared" si="143"/>
        <v>0</v>
      </c>
      <c r="I181" s="1060">
        <f t="shared" si="144"/>
        <v>0</v>
      </c>
      <c r="J181" s="1610"/>
      <c r="K181" s="1607"/>
      <c r="L181" s="1562"/>
      <c r="M181" s="1074">
        <v>0</v>
      </c>
      <c r="N181" s="1074">
        <v>0</v>
      </c>
      <c r="O181" s="1074">
        <v>0</v>
      </c>
      <c r="P181" s="1074"/>
      <c r="Q181" s="1074"/>
      <c r="R181" s="1074"/>
      <c r="S181" s="1117"/>
      <c r="T181" s="1117"/>
      <c r="U181" s="1117"/>
      <c r="V181" s="1117"/>
      <c r="W181" s="1117"/>
      <c r="X181" s="1117"/>
      <c r="Y181" s="1066">
        <f t="shared" si="173"/>
        <v>0</v>
      </c>
      <c r="Z181" s="149"/>
      <c r="AA181" s="1066"/>
      <c r="AB181" s="1066"/>
      <c r="AC181" s="1066">
        <f>5000000-5000000</f>
        <v>0</v>
      </c>
      <c r="AD181" s="1066"/>
      <c r="AE181" s="1066"/>
      <c r="AF181" s="1066"/>
      <c r="AG181" s="1066"/>
      <c r="AH181" s="1066"/>
      <c r="AI181" s="1066"/>
      <c r="AJ181" s="1066"/>
      <c r="AK181" s="1066"/>
      <c r="AL181" s="1066"/>
      <c r="AM181" s="1066"/>
      <c r="AN181" s="1066"/>
      <c r="AO181" s="1066"/>
      <c r="AP181" s="1066"/>
      <c r="AQ181" s="1066"/>
      <c r="AR181" s="1066"/>
      <c r="AS181" s="1066"/>
      <c r="AU181" s="1081" t="e">
        <f t="shared" si="178"/>
        <v>#DIV/0!</v>
      </c>
      <c r="AV181" s="1066">
        <f t="shared" si="174"/>
        <v>0</v>
      </c>
      <c r="AW181" s="1066"/>
      <c r="AX181" s="1066"/>
      <c r="AY181" s="1066"/>
      <c r="AZ181" s="1066"/>
      <c r="BA181" s="1066"/>
      <c r="BB181" s="1066"/>
      <c r="BC181" s="1066"/>
      <c r="BD181" s="1066"/>
      <c r="BE181" s="1066"/>
      <c r="BF181" s="1066"/>
      <c r="BG181" s="1066"/>
      <c r="BH181" s="1066"/>
      <c r="BI181" s="1066"/>
      <c r="BJ181" s="1066"/>
      <c r="BK181" s="1066"/>
      <c r="BL181" s="1066"/>
      <c r="BM181" s="1066"/>
      <c r="BN181" s="1066"/>
      <c r="BO181" s="1066"/>
      <c r="BP181" s="1066"/>
      <c r="BQ181" s="1081" t="e">
        <f t="shared" si="179"/>
        <v>#DIV/0!</v>
      </c>
      <c r="BR181" s="1066">
        <f t="shared" si="175"/>
        <v>0</v>
      </c>
      <c r="BS181" s="1066">
        <f t="shared" si="180"/>
        <v>0</v>
      </c>
      <c r="BT181" s="1066">
        <f t="shared" si="181"/>
        <v>0</v>
      </c>
      <c r="BU181" s="1066"/>
      <c r="BV181" s="1066">
        <f t="shared" si="162"/>
        <v>0</v>
      </c>
      <c r="BW181" s="1066">
        <f t="shared" si="162"/>
        <v>0</v>
      </c>
      <c r="BX181" s="1066">
        <f t="shared" si="182"/>
        <v>0</v>
      </c>
      <c r="BY181" s="1066">
        <f t="shared" si="182"/>
        <v>0</v>
      </c>
      <c r="BZ181" s="1066"/>
      <c r="CA181" s="1066">
        <f t="shared" si="183"/>
        <v>0</v>
      </c>
      <c r="CB181" s="1066">
        <f t="shared" si="183"/>
        <v>0</v>
      </c>
      <c r="CC181" s="1066">
        <f t="shared" si="183"/>
        <v>0</v>
      </c>
      <c r="CD181" s="1066">
        <f t="shared" si="183"/>
        <v>0</v>
      </c>
      <c r="CE181" s="1066">
        <f t="shared" si="183"/>
        <v>0</v>
      </c>
      <c r="CF181" s="1066">
        <f t="shared" si="183"/>
        <v>0</v>
      </c>
      <c r="CG181" s="1066">
        <f t="shared" si="183"/>
        <v>0</v>
      </c>
      <c r="CH181" s="1066">
        <f t="shared" si="183"/>
        <v>0</v>
      </c>
      <c r="CI181" s="1066">
        <f t="shared" si="183"/>
        <v>0</v>
      </c>
      <c r="CJ181" s="1066"/>
      <c r="CK181" s="1066">
        <f t="shared" si="184"/>
        <v>0</v>
      </c>
      <c r="CL181" s="1066">
        <f t="shared" si="184"/>
        <v>0</v>
      </c>
      <c r="CM181" s="1081" t="e">
        <f t="shared" si="185"/>
        <v>#DIV/0!</v>
      </c>
      <c r="CN181" s="1066">
        <f t="shared" si="176"/>
        <v>0</v>
      </c>
      <c r="CO181" s="1066"/>
      <c r="CP181" s="1066"/>
      <c r="CQ181" s="1066"/>
      <c r="CR181" s="1066"/>
      <c r="CS181" s="1066"/>
      <c r="CT181" s="1066"/>
      <c r="CU181" s="1066"/>
      <c r="CV181" s="1066"/>
      <c r="CW181" s="1066"/>
      <c r="CX181" s="1066"/>
      <c r="CY181" s="1066"/>
      <c r="CZ181" s="1066"/>
      <c r="DA181" s="1066"/>
      <c r="DB181" s="1066"/>
      <c r="DC181" s="1066"/>
      <c r="DD181" s="1066"/>
      <c r="DE181" s="1066"/>
      <c r="DF181" s="1066"/>
      <c r="DG181" s="1066"/>
      <c r="DH181" s="1066"/>
      <c r="DI181" s="1081" t="e">
        <f t="shared" si="186"/>
        <v>#DIV/0!</v>
      </c>
      <c r="DJ181" s="1066">
        <f t="shared" si="177"/>
        <v>0</v>
      </c>
      <c r="DK181" s="1066"/>
      <c r="DL181" s="1066"/>
      <c r="DM181" s="1066"/>
      <c r="DN181" s="1066">
        <f t="shared" si="163"/>
        <v>0</v>
      </c>
      <c r="DO181" s="1066">
        <f t="shared" si="163"/>
        <v>0</v>
      </c>
      <c r="DP181" s="1066">
        <f t="shared" si="163"/>
        <v>0</v>
      </c>
      <c r="DQ181" s="1066">
        <f t="shared" si="163"/>
        <v>0</v>
      </c>
      <c r="DR181" s="1066"/>
      <c r="DS181" s="1066">
        <f t="shared" si="187"/>
        <v>0</v>
      </c>
      <c r="DT181" s="1066">
        <f t="shared" si="187"/>
        <v>0</v>
      </c>
      <c r="DU181" s="1066"/>
      <c r="DV181" s="1066">
        <f t="shared" si="188"/>
        <v>0</v>
      </c>
      <c r="DW181" s="1066">
        <f t="shared" si="188"/>
        <v>0</v>
      </c>
      <c r="DX181" s="1066">
        <f t="shared" si="188"/>
        <v>0</v>
      </c>
      <c r="DY181" s="1066">
        <f t="shared" si="189"/>
        <v>0</v>
      </c>
      <c r="DZ181" s="1066">
        <f t="shared" si="189"/>
        <v>0</v>
      </c>
      <c r="EA181" s="1066">
        <f t="shared" si="189"/>
        <v>0</v>
      </c>
      <c r="EB181" s="1066">
        <f t="shared" si="189"/>
        <v>0</v>
      </c>
      <c r="EC181" s="1066">
        <f t="shared" si="189"/>
        <v>0</v>
      </c>
      <c r="ED181" s="1066">
        <f t="shared" si="189"/>
        <v>0</v>
      </c>
    </row>
    <row r="182" spans="1:134" ht="49.5" hidden="1" customHeight="1" x14ac:dyDescent="0.25">
      <c r="A182" s="1590"/>
      <c r="B182" s="989"/>
      <c r="C182" s="852" t="s">
        <v>4544</v>
      </c>
      <c r="D182" s="1018" t="s">
        <v>4692</v>
      </c>
      <c r="E182" s="994">
        <v>510</v>
      </c>
      <c r="F182" s="1117" t="s">
        <v>4536</v>
      </c>
      <c r="G182" s="1429"/>
      <c r="H182" s="1060">
        <f t="shared" si="143"/>
        <v>0</v>
      </c>
      <c r="I182" s="1060">
        <f t="shared" si="144"/>
        <v>8000000</v>
      </c>
      <c r="J182" s="1610"/>
      <c r="K182" s="1607"/>
      <c r="L182" s="1562"/>
      <c r="M182" s="1113">
        <v>0</v>
      </c>
      <c r="N182" s="1113">
        <v>0</v>
      </c>
      <c r="O182" s="1113">
        <v>0</v>
      </c>
      <c r="P182" s="1113">
        <v>0</v>
      </c>
      <c r="Q182" s="1113">
        <v>0</v>
      </c>
      <c r="R182" s="1113">
        <v>0</v>
      </c>
      <c r="S182" s="1117"/>
      <c r="T182" s="1117"/>
      <c r="U182" s="1117"/>
      <c r="V182" s="1117"/>
      <c r="W182" s="1117"/>
      <c r="X182" s="1117"/>
      <c r="Y182" s="1007">
        <f t="shared" si="173"/>
        <v>8000000</v>
      </c>
      <c r="Z182" s="944"/>
      <c r="AA182" s="1007"/>
      <c r="AB182" s="1007"/>
      <c r="AC182" s="1007">
        <f>8000000-8000000</f>
        <v>0</v>
      </c>
      <c r="AD182" s="1007"/>
      <c r="AE182" s="1007"/>
      <c r="AF182" s="1007"/>
      <c r="AG182" s="1007"/>
      <c r="AH182" s="1007"/>
      <c r="AI182" s="1007"/>
      <c r="AJ182" s="1007"/>
      <c r="AK182" s="1007"/>
      <c r="AL182" s="1007"/>
      <c r="AM182" s="1007"/>
      <c r="AN182" s="1007"/>
      <c r="AO182" s="1007">
        <v>8000000</v>
      </c>
      <c r="AP182" s="1007"/>
      <c r="AQ182" s="1007"/>
      <c r="AR182" s="1007"/>
      <c r="AS182" s="1007"/>
      <c r="AU182" s="1010">
        <f t="shared" si="178"/>
        <v>0</v>
      </c>
      <c r="AV182" s="1007">
        <f t="shared" si="174"/>
        <v>0</v>
      </c>
      <c r="AW182" s="1007"/>
      <c r="AX182" s="1007"/>
      <c r="AY182" s="1007"/>
      <c r="AZ182" s="1007"/>
      <c r="BA182" s="1007"/>
      <c r="BB182" s="1007"/>
      <c r="BC182" s="1007"/>
      <c r="BD182" s="1007"/>
      <c r="BE182" s="1007"/>
      <c r="BF182" s="1007"/>
      <c r="BG182" s="1007"/>
      <c r="BH182" s="1007"/>
      <c r="BI182" s="1007"/>
      <c r="BJ182" s="1007"/>
      <c r="BK182" s="1007"/>
      <c r="BL182" s="1007"/>
      <c r="BM182" s="1007"/>
      <c r="BN182" s="1007"/>
      <c r="BO182" s="1007"/>
      <c r="BP182" s="1007"/>
      <c r="BQ182" s="1010">
        <f t="shared" si="179"/>
        <v>1</v>
      </c>
      <c r="BR182" s="1007">
        <f t="shared" si="175"/>
        <v>8000000</v>
      </c>
      <c r="BS182" s="1007">
        <f t="shared" si="180"/>
        <v>0</v>
      </c>
      <c r="BT182" s="1007">
        <f t="shared" si="181"/>
        <v>0</v>
      </c>
      <c r="BU182" s="1007"/>
      <c r="BV182" s="1007">
        <f t="shared" si="162"/>
        <v>0</v>
      </c>
      <c r="BW182" s="1007">
        <f t="shared" si="162"/>
        <v>0</v>
      </c>
      <c r="BX182" s="1007">
        <f t="shared" si="182"/>
        <v>0</v>
      </c>
      <c r="BY182" s="1007">
        <f t="shared" si="182"/>
        <v>0</v>
      </c>
      <c r="BZ182" s="1007"/>
      <c r="CA182" s="1007">
        <f t="shared" si="183"/>
        <v>0</v>
      </c>
      <c r="CB182" s="1007">
        <f t="shared" si="183"/>
        <v>0</v>
      </c>
      <c r="CC182" s="1007">
        <f t="shared" si="183"/>
        <v>0</v>
      </c>
      <c r="CD182" s="1007">
        <f t="shared" si="183"/>
        <v>0</v>
      </c>
      <c r="CE182" s="1007">
        <f t="shared" si="183"/>
        <v>0</v>
      </c>
      <c r="CF182" s="1007">
        <f t="shared" si="183"/>
        <v>0</v>
      </c>
      <c r="CG182" s="1007">
        <f t="shared" si="183"/>
        <v>0</v>
      </c>
      <c r="CH182" s="1007">
        <f t="shared" si="183"/>
        <v>8000000</v>
      </c>
      <c r="CI182" s="1007">
        <f t="shared" si="183"/>
        <v>0</v>
      </c>
      <c r="CJ182" s="1007"/>
      <c r="CK182" s="1007">
        <f t="shared" si="184"/>
        <v>0</v>
      </c>
      <c r="CL182" s="1007">
        <f t="shared" si="184"/>
        <v>0</v>
      </c>
      <c r="CM182" s="1010">
        <f t="shared" si="185"/>
        <v>0</v>
      </c>
      <c r="CN182" s="1007">
        <f t="shared" si="176"/>
        <v>0</v>
      </c>
      <c r="CO182" s="1007"/>
      <c r="CP182" s="1007"/>
      <c r="CQ182" s="1007"/>
      <c r="CR182" s="1007"/>
      <c r="CS182" s="1007"/>
      <c r="CT182" s="1007"/>
      <c r="CU182" s="1007"/>
      <c r="CV182" s="1007"/>
      <c r="CW182" s="1007"/>
      <c r="CX182" s="1007"/>
      <c r="CY182" s="1007"/>
      <c r="CZ182" s="1007"/>
      <c r="DA182" s="1007"/>
      <c r="DB182" s="1007"/>
      <c r="DC182" s="1007"/>
      <c r="DD182" s="1007"/>
      <c r="DE182" s="1007"/>
      <c r="DF182" s="1007"/>
      <c r="DG182" s="1007"/>
      <c r="DH182" s="1007"/>
      <c r="DI182" s="1010">
        <f t="shared" si="186"/>
        <v>1</v>
      </c>
      <c r="DJ182" s="1007">
        <f t="shared" si="177"/>
        <v>8000000</v>
      </c>
      <c r="DK182" s="1007"/>
      <c r="DL182" s="1007"/>
      <c r="DM182" s="1007"/>
      <c r="DN182" s="1007">
        <f t="shared" si="163"/>
        <v>0</v>
      </c>
      <c r="DO182" s="1007">
        <f t="shared" si="163"/>
        <v>0</v>
      </c>
      <c r="DP182" s="1007">
        <f t="shared" si="163"/>
        <v>0</v>
      </c>
      <c r="DQ182" s="1007">
        <f t="shared" si="163"/>
        <v>0</v>
      </c>
      <c r="DR182" s="1007"/>
      <c r="DS182" s="1007">
        <f t="shared" si="187"/>
        <v>0</v>
      </c>
      <c r="DT182" s="1007">
        <f t="shared" si="187"/>
        <v>0</v>
      </c>
      <c r="DU182" s="1007"/>
      <c r="DV182" s="1007">
        <f t="shared" si="188"/>
        <v>0</v>
      </c>
      <c r="DW182" s="1007">
        <f t="shared" si="188"/>
        <v>0</v>
      </c>
      <c r="DX182" s="1007">
        <f t="shared" si="188"/>
        <v>0</v>
      </c>
      <c r="DY182" s="1007">
        <f t="shared" si="189"/>
        <v>0</v>
      </c>
      <c r="DZ182" s="1007">
        <f t="shared" si="189"/>
        <v>8000000</v>
      </c>
      <c r="EA182" s="1007">
        <f t="shared" si="189"/>
        <v>0</v>
      </c>
      <c r="EB182" s="1007">
        <f t="shared" si="189"/>
        <v>0</v>
      </c>
      <c r="EC182" s="1007">
        <f t="shared" si="189"/>
        <v>0</v>
      </c>
      <c r="ED182" s="1007">
        <f t="shared" si="189"/>
        <v>0</v>
      </c>
    </row>
    <row r="183" spans="1:134" ht="36" hidden="1" customHeight="1" x14ac:dyDescent="0.25">
      <c r="A183" s="1590"/>
      <c r="B183" s="989"/>
      <c r="C183" s="852" t="s">
        <v>4545</v>
      </c>
      <c r="D183" s="1018" t="s">
        <v>4693</v>
      </c>
      <c r="E183" s="994">
        <v>510</v>
      </c>
      <c r="F183" s="1117" t="s">
        <v>4536</v>
      </c>
      <c r="G183" s="1429"/>
      <c r="H183" s="1060">
        <f t="shared" si="143"/>
        <v>74061157</v>
      </c>
      <c r="I183" s="1060">
        <f t="shared" si="144"/>
        <v>32938843</v>
      </c>
      <c r="J183" s="1610"/>
      <c r="K183" s="1607"/>
      <c r="L183" s="1562"/>
      <c r="M183" s="1113">
        <v>30</v>
      </c>
      <c r="N183" s="1113">
        <v>30</v>
      </c>
      <c r="O183" s="1113">
        <v>9</v>
      </c>
      <c r="P183" s="1113">
        <v>30</v>
      </c>
      <c r="Q183" s="1113">
        <v>60</v>
      </c>
      <c r="R183" s="1113">
        <v>18</v>
      </c>
      <c r="S183" s="1117"/>
      <c r="T183" s="1117"/>
      <c r="U183" s="1117"/>
      <c r="V183" s="1117"/>
      <c r="W183" s="1117"/>
      <c r="X183" s="1117"/>
      <c r="Y183" s="1007">
        <f t="shared" si="173"/>
        <v>107000000</v>
      </c>
      <c r="Z183" s="944"/>
      <c r="AA183" s="1007"/>
      <c r="AB183" s="1007"/>
      <c r="AC183" s="1007"/>
      <c r="AD183" s="1007"/>
      <c r="AE183" s="1007">
        <v>107000000</v>
      </c>
      <c r="AF183" s="1007"/>
      <c r="AG183" s="1007"/>
      <c r="AH183" s="1007"/>
      <c r="AI183" s="1007"/>
      <c r="AJ183" s="1007"/>
      <c r="AK183" s="1007"/>
      <c r="AL183" s="1007"/>
      <c r="AM183" s="1007"/>
      <c r="AN183" s="1007"/>
      <c r="AO183" s="1007"/>
      <c r="AP183" s="1007"/>
      <c r="AQ183" s="1007"/>
      <c r="AR183" s="1007"/>
      <c r="AS183" s="1007"/>
      <c r="AU183" s="1010">
        <f t="shared" si="178"/>
        <v>0.69216034579439256</v>
      </c>
      <c r="AV183" s="1007">
        <f t="shared" si="174"/>
        <v>74061157</v>
      </c>
      <c r="AW183" s="1007"/>
      <c r="AX183" s="1007"/>
      <c r="AY183" s="1007"/>
      <c r="AZ183" s="1007"/>
      <c r="BA183" s="1007"/>
      <c r="BB183" s="1007">
        <f>+'[7]AGOSTO 2015'!$O$2267</f>
        <v>74061157</v>
      </c>
      <c r="BC183" s="1007"/>
      <c r="BD183" s="1007"/>
      <c r="BE183" s="1007"/>
      <c r="BF183" s="1007"/>
      <c r="BG183" s="1007"/>
      <c r="BH183" s="1007"/>
      <c r="BI183" s="1007"/>
      <c r="BJ183" s="1007"/>
      <c r="BK183" s="1007"/>
      <c r="BL183" s="1007"/>
      <c r="BM183" s="1007"/>
      <c r="BN183" s="1007"/>
      <c r="BO183" s="1007"/>
      <c r="BP183" s="1007"/>
      <c r="BQ183" s="1010">
        <f t="shared" si="179"/>
        <v>0.30783965420560744</v>
      </c>
      <c r="BR183" s="1007">
        <f t="shared" si="175"/>
        <v>32938843</v>
      </c>
      <c r="BS183" s="1007">
        <f t="shared" si="180"/>
        <v>0</v>
      </c>
      <c r="BT183" s="1007">
        <f t="shared" si="181"/>
        <v>0</v>
      </c>
      <c r="BU183" s="1007"/>
      <c r="BV183" s="1007">
        <f t="shared" si="162"/>
        <v>0</v>
      </c>
      <c r="BW183" s="1007">
        <f t="shared" si="162"/>
        <v>0</v>
      </c>
      <c r="BX183" s="1007">
        <f t="shared" si="182"/>
        <v>32938843</v>
      </c>
      <c r="BY183" s="1007">
        <f t="shared" si="182"/>
        <v>0</v>
      </c>
      <c r="BZ183" s="1007"/>
      <c r="CA183" s="1007">
        <f t="shared" si="183"/>
        <v>0</v>
      </c>
      <c r="CB183" s="1007">
        <f t="shared" si="183"/>
        <v>0</v>
      </c>
      <c r="CC183" s="1007">
        <f t="shared" si="183"/>
        <v>0</v>
      </c>
      <c r="CD183" s="1007">
        <f t="shared" si="183"/>
        <v>0</v>
      </c>
      <c r="CE183" s="1007">
        <f t="shared" si="183"/>
        <v>0</v>
      </c>
      <c r="CF183" s="1007">
        <f t="shared" si="183"/>
        <v>0</v>
      </c>
      <c r="CG183" s="1007">
        <f t="shared" si="183"/>
        <v>0</v>
      </c>
      <c r="CH183" s="1007">
        <f t="shared" si="183"/>
        <v>0</v>
      </c>
      <c r="CI183" s="1007">
        <f t="shared" si="183"/>
        <v>0</v>
      </c>
      <c r="CJ183" s="1007"/>
      <c r="CK183" s="1007"/>
      <c r="CL183" s="1007">
        <f t="shared" si="184"/>
        <v>0</v>
      </c>
      <c r="CM183" s="1010">
        <f t="shared" si="185"/>
        <v>0.69216034579439256</v>
      </c>
      <c r="CN183" s="1007">
        <f t="shared" si="176"/>
        <v>74061157</v>
      </c>
      <c r="CO183" s="1007"/>
      <c r="CP183" s="1007"/>
      <c r="CQ183" s="1007"/>
      <c r="CR183" s="1007"/>
      <c r="CS183" s="1007"/>
      <c r="CT183" s="1007">
        <f>+'[7]AGOSTO 2015'!$H$2265</f>
        <v>74061157</v>
      </c>
      <c r="CU183" s="1007"/>
      <c r="CV183" s="1007"/>
      <c r="CW183" s="1007"/>
      <c r="CX183" s="1007"/>
      <c r="CY183" s="1007"/>
      <c r="CZ183" s="1007"/>
      <c r="DA183" s="1007"/>
      <c r="DB183" s="1007"/>
      <c r="DC183" s="1007"/>
      <c r="DD183" s="1007"/>
      <c r="DE183" s="1007"/>
      <c r="DF183" s="1007"/>
      <c r="DG183" s="1007"/>
      <c r="DH183" s="1007"/>
      <c r="DI183" s="1010">
        <f t="shared" si="186"/>
        <v>0.30783965420560744</v>
      </c>
      <c r="DJ183" s="1007">
        <f t="shared" si="177"/>
        <v>32938843</v>
      </c>
      <c r="DK183" s="1007"/>
      <c r="DL183" s="1007"/>
      <c r="DM183" s="1007"/>
      <c r="DN183" s="1007">
        <f t="shared" si="163"/>
        <v>0</v>
      </c>
      <c r="DO183" s="1007">
        <f t="shared" si="163"/>
        <v>0</v>
      </c>
      <c r="DP183" s="1007">
        <f t="shared" si="163"/>
        <v>32938843</v>
      </c>
      <c r="DQ183" s="1007">
        <f t="shared" si="163"/>
        <v>0</v>
      </c>
      <c r="DR183" s="1007"/>
      <c r="DS183" s="1007">
        <f t="shared" si="187"/>
        <v>0</v>
      </c>
      <c r="DT183" s="1007">
        <f t="shared" si="187"/>
        <v>0</v>
      </c>
      <c r="DU183" s="1007"/>
      <c r="DV183" s="1007">
        <f t="shared" si="188"/>
        <v>0</v>
      </c>
      <c r="DW183" s="1007">
        <f t="shared" si="188"/>
        <v>0</v>
      </c>
      <c r="DX183" s="1007">
        <f t="shared" si="188"/>
        <v>0</v>
      </c>
      <c r="DY183" s="1007">
        <f t="shared" si="189"/>
        <v>0</v>
      </c>
      <c r="DZ183" s="1007">
        <f t="shared" si="189"/>
        <v>0</v>
      </c>
      <c r="EA183" s="1007">
        <f t="shared" si="189"/>
        <v>0</v>
      </c>
      <c r="EB183" s="1007">
        <f t="shared" si="189"/>
        <v>0</v>
      </c>
      <c r="EC183" s="1007">
        <f t="shared" si="189"/>
        <v>0</v>
      </c>
      <c r="ED183" s="1007">
        <f t="shared" si="189"/>
        <v>0</v>
      </c>
    </row>
    <row r="184" spans="1:134" s="203" customFormat="1" ht="33" hidden="1" customHeight="1" x14ac:dyDescent="0.25">
      <c r="A184" s="1590"/>
      <c r="B184" s="989"/>
      <c r="C184" s="1080" t="s">
        <v>4668</v>
      </c>
      <c r="D184" s="1018" t="s">
        <v>4655</v>
      </c>
      <c r="E184" s="996">
        <v>510</v>
      </c>
      <c r="F184" s="1117" t="s">
        <v>4536</v>
      </c>
      <c r="G184" s="1430"/>
      <c r="H184" s="1060">
        <f t="shared" si="143"/>
        <v>0</v>
      </c>
      <c r="I184" s="1060">
        <f t="shared" si="144"/>
        <v>0</v>
      </c>
      <c r="J184" s="1611"/>
      <c r="K184" s="1608"/>
      <c r="L184" s="1258"/>
      <c r="M184" s="1074">
        <v>0</v>
      </c>
      <c r="N184" s="1074">
        <v>0</v>
      </c>
      <c r="O184" s="1074">
        <v>0</v>
      </c>
      <c r="P184" s="1074"/>
      <c r="Q184" s="1074"/>
      <c r="R184" s="1074"/>
      <c r="S184" s="1117"/>
      <c r="T184" s="1117"/>
      <c r="U184" s="1117"/>
      <c r="V184" s="1117"/>
      <c r="W184" s="1117"/>
      <c r="X184" s="1117"/>
      <c r="Y184" s="1066">
        <f t="shared" si="173"/>
        <v>0</v>
      </c>
      <c r="Z184" s="149"/>
      <c r="AA184" s="1066"/>
      <c r="AB184" s="1066"/>
      <c r="AC184" s="1066">
        <f>15000000-15000000</f>
        <v>0</v>
      </c>
      <c r="AD184" s="1066"/>
      <c r="AE184" s="1066"/>
      <c r="AF184" s="1066"/>
      <c r="AG184" s="1066"/>
      <c r="AH184" s="1066"/>
      <c r="AI184" s="1066"/>
      <c r="AJ184" s="1066"/>
      <c r="AK184" s="1066"/>
      <c r="AL184" s="1066"/>
      <c r="AM184" s="1066"/>
      <c r="AN184" s="1066"/>
      <c r="AO184" s="1066"/>
      <c r="AP184" s="1066"/>
      <c r="AQ184" s="1066"/>
      <c r="AR184" s="1066"/>
      <c r="AS184" s="1066"/>
      <c r="AU184" s="1081" t="e">
        <f t="shared" si="178"/>
        <v>#DIV/0!</v>
      </c>
      <c r="AV184" s="1066">
        <f t="shared" si="174"/>
        <v>0</v>
      </c>
      <c r="AW184" s="1066"/>
      <c r="AX184" s="1066"/>
      <c r="AY184" s="1066"/>
      <c r="AZ184" s="1066"/>
      <c r="BA184" s="1066"/>
      <c r="BB184" s="1066"/>
      <c r="BC184" s="1066"/>
      <c r="BD184" s="1066"/>
      <c r="BE184" s="1066"/>
      <c r="BF184" s="1066"/>
      <c r="BG184" s="1066"/>
      <c r="BH184" s="1066"/>
      <c r="BI184" s="1066"/>
      <c r="BJ184" s="1066"/>
      <c r="BK184" s="1066"/>
      <c r="BL184" s="1066"/>
      <c r="BM184" s="1066"/>
      <c r="BN184" s="1066"/>
      <c r="BO184" s="1066"/>
      <c r="BP184" s="1066"/>
      <c r="BQ184" s="1081" t="e">
        <f t="shared" si="179"/>
        <v>#DIV/0!</v>
      </c>
      <c r="BR184" s="1066">
        <f t="shared" si="175"/>
        <v>0</v>
      </c>
      <c r="BS184" s="1066">
        <f t="shared" si="180"/>
        <v>0</v>
      </c>
      <c r="BT184" s="1066">
        <f t="shared" si="181"/>
        <v>0</v>
      </c>
      <c r="BU184" s="1066"/>
      <c r="BV184" s="1066">
        <f t="shared" si="162"/>
        <v>0</v>
      </c>
      <c r="BW184" s="1066">
        <f t="shared" si="162"/>
        <v>0</v>
      </c>
      <c r="BX184" s="1066">
        <f t="shared" si="182"/>
        <v>0</v>
      </c>
      <c r="BY184" s="1066">
        <f t="shared" si="182"/>
        <v>0</v>
      </c>
      <c r="BZ184" s="1066"/>
      <c r="CA184" s="1066">
        <f t="shared" si="183"/>
        <v>0</v>
      </c>
      <c r="CB184" s="1066">
        <f t="shared" si="183"/>
        <v>0</v>
      </c>
      <c r="CC184" s="1066">
        <f t="shared" si="183"/>
        <v>0</v>
      </c>
      <c r="CD184" s="1066">
        <f t="shared" si="183"/>
        <v>0</v>
      </c>
      <c r="CE184" s="1066">
        <f t="shared" si="183"/>
        <v>0</v>
      </c>
      <c r="CF184" s="1066">
        <f t="shared" si="183"/>
        <v>0</v>
      </c>
      <c r="CG184" s="1066">
        <f t="shared" si="183"/>
        <v>0</v>
      </c>
      <c r="CH184" s="1066">
        <f t="shared" si="183"/>
        <v>0</v>
      </c>
      <c r="CI184" s="1066">
        <f t="shared" si="183"/>
        <v>0</v>
      </c>
      <c r="CJ184" s="1066"/>
      <c r="CK184" s="1066"/>
      <c r="CL184" s="1066">
        <f t="shared" si="184"/>
        <v>0</v>
      </c>
      <c r="CM184" s="1081" t="e">
        <f t="shared" si="185"/>
        <v>#DIV/0!</v>
      </c>
      <c r="CN184" s="1066">
        <f t="shared" si="176"/>
        <v>0</v>
      </c>
      <c r="CO184" s="1066"/>
      <c r="CP184" s="1066"/>
      <c r="CQ184" s="1066"/>
      <c r="CR184" s="1066"/>
      <c r="CS184" s="1066"/>
      <c r="CT184" s="1066"/>
      <c r="CU184" s="1066"/>
      <c r="CV184" s="1066"/>
      <c r="CW184" s="1066"/>
      <c r="CX184" s="1066"/>
      <c r="CY184" s="1066"/>
      <c r="CZ184" s="1066"/>
      <c r="DA184" s="1066"/>
      <c r="DB184" s="1066"/>
      <c r="DC184" s="1066"/>
      <c r="DD184" s="1066"/>
      <c r="DE184" s="1066"/>
      <c r="DF184" s="1066"/>
      <c r="DG184" s="1066"/>
      <c r="DH184" s="1066"/>
      <c r="DI184" s="1081" t="e">
        <f t="shared" si="186"/>
        <v>#DIV/0!</v>
      </c>
      <c r="DJ184" s="1066">
        <f t="shared" si="177"/>
        <v>0</v>
      </c>
      <c r="DK184" s="1066"/>
      <c r="DL184" s="1066"/>
      <c r="DM184" s="1066"/>
      <c r="DN184" s="1066">
        <f t="shared" si="163"/>
        <v>0</v>
      </c>
      <c r="DO184" s="1066">
        <f t="shared" si="163"/>
        <v>0</v>
      </c>
      <c r="DP184" s="1066">
        <f t="shared" si="163"/>
        <v>0</v>
      </c>
      <c r="DQ184" s="1066">
        <f t="shared" si="163"/>
        <v>0</v>
      </c>
      <c r="DR184" s="1066"/>
      <c r="DS184" s="1066">
        <f t="shared" si="187"/>
        <v>0</v>
      </c>
      <c r="DT184" s="1066">
        <f t="shared" si="187"/>
        <v>0</v>
      </c>
      <c r="DU184" s="1066"/>
      <c r="DV184" s="1066">
        <f t="shared" si="188"/>
        <v>0</v>
      </c>
      <c r="DW184" s="1066">
        <f t="shared" si="188"/>
        <v>0</v>
      </c>
      <c r="DX184" s="1066">
        <f t="shared" si="188"/>
        <v>0</v>
      </c>
      <c r="DY184" s="1066">
        <f t="shared" si="189"/>
        <v>0</v>
      </c>
      <c r="DZ184" s="1066">
        <f t="shared" si="189"/>
        <v>0</v>
      </c>
      <c r="EA184" s="1066">
        <f t="shared" si="189"/>
        <v>0</v>
      </c>
      <c r="EB184" s="1066">
        <f t="shared" si="189"/>
        <v>0</v>
      </c>
      <c r="EC184" s="1066">
        <f t="shared" si="189"/>
        <v>0</v>
      </c>
      <c r="ED184" s="1066">
        <f t="shared" si="189"/>
        <v>0</v>
      </c>
    </row>
    <row r="185" spans="1:134" ht="39" hidden="1" customHeight="1" x14ac:dyDescent="0.25">
      <c r="A185" s="1590"/>
      <c r="B185" s="989" t="s">
        <v>4452</v>
      </c>
      <c r="C185" s="852" t="s">
        <v>4643</v>
      </c>
      <c r="D185" s="1018" t="s">
        <v>4705</v>
      </c>
      <c r="E185" s="994">
        <v>510</v>
      </c>
      <c r="F185" s="1117" t="s">
        <v>4591</v>
      </c>
      <c r="G185" s="1117">
        <v>80000000</v>
      </c>
      <c r="H185" s="1060">
        <f t="shared" si="143"/>
        <v>61291800</v>
      </c>
      <c r="I185" s="1060">
        <f t="shared" si="144"/>
        <v>18708200</v>
      </c>
      <c r="J185" s="1068">
        <v>0</v>
      </c>
      <c r="K185" s="1131">
        <v>1</v>
      </c>
      <c r="L185" s="1113">
        <v>30</v>
      </c>
      <c r="M185" s="1113">
        <v>7</v>
      </c>
      <c r="N185" s="1113">
        <v>100</v>
      </c>
      <c r="O185" s="1113">
        <v>7</v>
      </c>
      <c r="P185" s="1113">
        <v>64</v>
      </c>
      <c r="Q185" s="1113">
        <v>100</v>
      </c>
      <c r="R185" s="1113">
        <v>64</v>
      </c>
      <c r="S185" s="1117"/>
      <c r="T185" s="1117"/>
      <c r="U185" s="1117"/>
      <c r="V185" s="1117"/>
      <c r="W185" s="1117"/>
      <c r="X185" s="1117"/>
      <c r="Y185" s="1007">
        <f t="shared" si="173"/>
        <v>80000000</v>
      </c>
      <c r="Z185" s="944"/>
      <c r="AA185" s="1007"/>
      <c r="AB185" s="1007"/>
      <c r="AC185" s="1007"/>
      <c r="AD185" s="1007"/>
      <c r="AE185" s="1007">
        <v>80000000</v>
      </c>
      <c r="AF185" s="1007"/>
      <c r="AG185" s="1007"/>
      <c r="AH185" s="1007"/>
      <c r="AI185" s="1007"/>
      <c r="AJ185" s="1007"/>
      <c r="AK185" s="1007"/>
      <c r="AL185" s="1007"/>
      <c r="AM185" s="1007"/>
      <c r="AN185" s="1007"/>
      <c r="AO185" s="1007"/>
      <c r="AP185" s="1007"/>
      <c r="AQ185" s="1007"/>
      <c r="AR185" s="1007"/>
      <c r="AS185" s="1007"/>
      <c r="AU185" s="1010">
        <f t="shared" si="178"/>
        <v>0.88364750000000003</v>
      </c>
      <c r="AV185" s="1007">
        <f t="shared" si="174"/>
        <v>70691800</v>
      </c>
      <c r="AW185" s="1007"/>
      <c r="AX185" s="1007"/>
      <c r="AY185" s="1007"/>
      <c r="AZ185" s="1007"/>
      <c r="BA185" s="1007"/>
      <c r="BB185" s="1007">
        <f>+'[8]SEPTIEMBRE 2015'!$O$2797</f>
        <v>70691800</v>
      </c>
      <c r="BC185" s="1007"/>
      <c r="BD185" s="1007"/>
      <c r="BE185" s="1007"/>
      <c r="BF185" s="1007"/>
      <c r="BG185" s="1007"/>
      <c r="BH185" s="1007"/>
      <c r="BI185" s="1007"/>
      <c r="BJ185" s="1007"/>
      <c r="BK185" s="1007"/>
      <c r="BL185" s="1007"/>
      <c r="BM185" s="1007"/>
      <c r="BN185" s="1007"/>
      <c r="BO185" s="1007"/>
      <c r="BP185" s="1007"/>
      <c r="BQ185" s="1010">
        <f t="shared" si="179"/>
        <v>0.11635249999999997</v>
      </c>
      <c r="BR185" s="1007">
        <f t="shared" si="175"/>
        <v>9308200</v>
      </c>
      <c r="BS185" s="1007">
        <f t="shared" si="180"/>
        <v>0</v>
      </c>
      <c r="BT185" s="1007">
        <f t="shared" si="181"/>
        <v>0</v>
      </c>
      <c r="BU185" s="1007"/>
      <c r="BV185" s="1007">
        <f t="shared" si="162"/>
        <v>0</v>
      </c>
      <c r="BW185" s="1007">
        <f t="shared" si="162"/>
        <v>0</v>
      </c>
      <c r="BX185" s="1007">
        <f t="shared" si="182"/>
        <v>9308200</v>
      </c>
      <c r="BY185" s="1007">
        <f t="shared" si="182"/>
        <v>0</v>
      </c>
      <c r="BZ185" s="1007"/>
      <c r="CA185" s="1007">
        <f t="shared" si="183"/>
        <v>0</v>
      </c>
      <c r="CB185" s="1007">
        <f t="shared" si="183"/>
        <v>0</v>
      </c>
      <c r="CC185" s="1007">
        <f t="shared" si="183"/>
        <v>0</v>
      </c>
      <c r="CD185" s="1007">
        <f t="shared" si="183"/>
        <v>0</v>
      </c>
      <c r="CE185" s="1007">
        <f t="shared" si="183"/>
        <v>0</v>
      </c>
      <c r="CF185" s="1007">
        <f t="shared" si="183"/>
        <v>0</v>
      </c>
      <c r="CG185" s="1007">
        <f t="shared" si="183"/>
        <v>0</v>
      </c>
      <c r="CH185" s="1007">
        <f t="shared" si="183"/>
        <v>0</v>
      </c>
      <c r="CI185" s="1007">
        <f t="shared" si="183"/>
        <v>0</v>
      </c>
      <c r="CJ185" s="1007"/>
      <c r="CK185" s="1007"/>
      <c r="CL185" s="1007">
        <f t="shared" si="184"/>
        <v>0</v>
      </c>
      <c r="CM185" s="1010">
        <f t="shared" si="185"/>
        <v>0.76614749999999998</v>
      </c>
      <c r="CN185" s="1007">
        <f t="shared" si="176"/>
        <v>61291800</v>
      </c>
      <c r="CO185" s="1007"/>
      <c r="CP185" s="1007"/>
      <c r="CQ185" s="1007"/>
      <c r="CR185" s="1007"/>
      <c r="CS185" s="1007"/>
      <c r="CT185" s="1007">
        <f>+'[8]SEPTIEMBRE 2015'!$H$2795</f>
        <v>61291800</v>
      </c>
      <c r="CU185" s="1007"/>
      <c r="CV185" s="1007"/>
      <c r="CW185" s="1007"/>
      <c r="CX185" s="1007"/>
      <c r="CY185" s="1007"/>
      <c r="CZ185" s="1007"/>
      <c r="DA185" s="1007"/>
      <c r="DB185" s="1007"/>
      <c r="DC185" s="1007"/>
      <c r="DD185" s="1007"/>
      <c r="DE185" s="1007"/>
      <c r="DF185" s="1007"/>
      <c r="DG185" s="1007"/>
      <c r="DH185" s="1007"/>
      <c r="DI185" s="1010">
        <f t="shared" si="186"/>
        <v>0.23385250000000002</v>
      </c>
      <c r="DJ185" s="1007">
        <f t="shared" si="177"/>
        <v>18708200</v>
      </c>
      <c r="DK185" s="1007"/>
      <c r="DL185" s="1007"/>
      <c r="DM185" s="1007"/>
      <c r="DN185" s="1007">
        <f t="shared" si="163"/>
        <v>0</v>
      </c>
      <c r="DO185" s="1007">
        <f t="shared" si="163"/>
        <v>0</v>
      </c>
      <c r="DP185" s="1007">
        <f t="shared" si="163"/>
        <v>18708200</v>
      </c>
      <c r="DQ185" s="1007">
        <f t="shared" si="163"/>
        <v>0</v>
      </c>
      <c r="DR185" s="1007"/>
      <c r="DS185" s="1007">
        <f t="shared" si="187"/>
        <v>0</v>
      </c>
      <c r="DT185" s="1007">
        <f t="shared" si="187"/>
        <v>0</v>
      </c>
      <c r="DU185" s="1007"/>
      <c r="DV185" s="1007">
        <f t="shared" si="188"/>
        <v>0</v>
      </c>
      <c r="DW185" s="1007">
        <f t="shared" si="188"/>
        <v>0</v>
      </c>
      <c r="DX185" s="1007">
        <f t="shared" si="188"/>
        <v>0</v>
      </c>
      <c r="DY185" s="1007">
        <f t="shared" si="189"/>
        <v>0</v>
      </c>
      <c r="DZ185" s="1007">
        <f t="shared" si="189"/>
        <v>0</v>
      </c>
      <c r="EA185" s="1007">
        <f t="shared" si="189"/>
        <v>0</v>
      </c>
      <c r="EB185" s="1007">
        <f t="shared" si="189"/>
        <v>0</v>
      </c>
      <c r="EC185" s="1007">
        <f t="shared" si="189"/>
        <v>0</v>
      </c>
      <c r="ED185" s="1007">
        <f t="shared" si="189"/>
        <v>0</v>
      </c>
    </row>
    <row r="186" spans="1:134" ht="45" hidden="1" customHeight="1" x14ac:dyDescent="0.25">
      <c r="A186" s="1590"/>
      <c r="B186" s="989" t="s">
        <v>4453</v>
      </c>
      <c r="C186" s="852" t="s">
        <v>4647</v>
      </c>
      <c r="D186" s="1018" t="s">
        <v>4694</v>
      </c>
      <c r="E186" s="994">
        <v>510</v>
      </c>
      <c r="F186" s="1117" t="s">
        <v>4482</v>
      </c>
      <c r="G186" s="1428">
        <v>120000000</v>
      </c>
      <c r="H186" s="1060">
        <f t="shared" si="143"/>
        <v>0</v>
      </c>
      <c r="I186" s="1060">
        <f t="shared" si="144"/>
        <v>1000000</v>
      </c>
      <c r="J186" s="1117">
        <v>0</v>
      </c>
      <c r="K186" s="1131">
        <v>1</v>
      </c>
      <c r="L186" s="1113">
        <v>100</v>
      </c>
      <c r="M186" s="1113">
        <v>0</v>
      </c>
      <c r="N186" s="1113">
        <v>0</v>
      </c>
      <c r="O186" s="1113">
        <v>0</v>
      </c>
      <c r="P186" s="1113">
        <v>0</v>
      </c>
      <c r="Q186" s="1113">
        <v>0</v>
      </c>
      <c r="R186" s="1113">
        <v>0</v>
      </c>
      <c r="S186" s="1117"/>
      <c r="T186" s="1117"/>
      <c r="U186" s="1117"/>
      <c r="V186" s="1117"/>
      <c r="W186" s="1117"/>
      <c r="X186" s="1117"/>
      <c r="Y186" s="1007">
        <f t="shared" si="173"/>
        <v>1000000</v>
      </c>
      <c r="Z186" s="944"/>
      <c r="AA186" s="1007"/>
      <c r="AB186" s="1007"/>
      <c r="AC186" s="1007"/>
      <c r="AD186" s="1007"/>
      <c r="AE186" s="1007">
        <v>1000000</v>
      </c>
      <c r="AF186" s="1007"/>
      <c r="AG186" s="1007"/>
      <c r="AH186" s="1007"/>
      <c r="AI186" s="1007"/>
      <c r="AJ186" s="1007"/>
      <c r="AK186" s="1007"/>
      <c r="AL186" s="1007"/>
      <c r="AM186" s="1007"/>
      <c r="AN186" s="1007"/>
      <c r="AO186" s="1007"/>
      <c r="AP186" s="1007"/>
      <c r="AQ186" s="1007"/>
      <c r="AR186" s="1007"/>
      <c r="AS186" s="1007"/>
      <c r="AU186" s="1010">
        <f t="shared" si="178"/>
        <v>0</v>
      </c>
      <c r="AV186" s="1007">
        <f t="shared" si="174"/>
        <v>0</v>
      </c>
      <c r="AW186" s="1007"/>
      <c r="AX186" s="1007"/>
      <c r="AY186" s="1007"/>
      <c r="AZ186" s="1007"/>
      <c r="BA186" s="1007"/>
      <c r="BB186" s="1007"/>
      <c r="BC186" s="1007"/>
      <c r="BD186" s="1007"/>
      <c r="BE186" s="1007"/>
      <c r="BF186" s="1007"/>
      <c r="BG186" s="1007"/>
      <c r="BH186" s="1007"/>
      <c r="BI186" s="1007"/>
      <c r="BJ186" s="1007"/>
      <c r="BK186" s="1007"/>
      <c r="BL186" s="1007"/>
      <c r="BM186" s="1007"/>
      <c r="BN186" s="1007"/>
      <c r="BO186" s="1007"/>
      <c r="BP186" s="1007"/>
      <c r="BQ186" s="1010">
        <f t="shared" si="179"/>
        <v>1</v>
      </c>
      <c r="BR186" s="1007">
        <f t="shared" si="175"/>
        <v>1000000</v>
      </c>
      <c r="BS186" s="1007">
        <f t="shared" si="180"/>
        <v>0</v>
      </c>
      <c r="BT186" s="1007">
        <f t="shared" si="181"/>
        <v>0</v>
      </c>
      <c r="BU186" s="1007"/>
      <c r="BV186" s="1007">
        <f t="shared" si="162"/>
        <v>0</v>
      </c>
      <c r="BW186" s="1007">
        <f t="shared" si="162"/>
        <v>0</v>
      </c>
      <c r="BX186" s="1007">
        <f t="shared" si="182"/>
        <v>1000000</v>
      </c>
      <c r="BY186" s="1007">
        <f t="shared" si="182"/>
        <v>0</v>
      </c>
      <c r="BZ186" s="1007"/>
      <c r="CA186" s="1007">
        <f t="shared" si="183"/>
        <v>0</v>
      </c>
      <c r="CB186" s="1007">
        <f t="shared" si="183"/>
        <v>0</v>
      </c>
      <c r="CC186" s="1007">
        <f t="shared" si="183"/>
        <v>0</v>
      </c>
      <c r="CD186" s="1007">
        <f t="shared" si="183"/>
        <v>0</v>
      </c>
      <c r="CE186" s="1007">
        <f t="shared" si="183"/>
        <v>0</v>
      </c>
      <c r="CF186" s="1007">
        <f t="shared" si="183"/>
        <v>0</v>
      </c>
      <c r="CG186" s="1007">
        <f t="shared" si="183"/>
        <v>0</v>
      </c>
      <c r="CH186" s="1007">
        <f t="shared" si="183"/>
        <v>0</v>
      </c>
      <c r="CI186" s="1007">
        <f t="shared" si="183"/>
        <v>0</v>
      </c>
      <c r="CJ186" s="1007"/>
      <c r="CK186" s="1007"/>
      <c r="CL186" s="1007">
        <f t="shared" si="184"/>
        <v>0</v>
      </c>
      <c r="CM186" s="1010">
        <f t="shared" si="185"/>
        <v>0</v>
      </c>
      <c r="CN186" s="1007">
        <f t="shared" si="176"/>
        <v>0</v>
      </c>
      <c r="CO186" s="1007"/>
      <c r="CP186" s="1007"/>
      <c r="CQ186" s="1007"/>
      <c r="CR186" s="1007"/>
      <c r="CS186" s="1007"/>
      <c r="CT186" s="1007"/>
      <c r="CU186" s="1007"/>
      <c r="CV186" s="1007"/>
      <c r="CW186" s="1007"/>
      <c r="CX186" s="1007"/>
      <c r="CY186" s="1007"/>
      <c r="CZ186" s="1007"/>
      <c r="DA186" s="1007"/>
      <c r="DB186" s="1007"/>
      <c r="DC186" s="1007"/>
      <c r="DD186" s="1007"/>
      <c r="DE186" s="1007"/>
      <c r="DF186" s="1007"/>
      <c r="DG186" s="1007"/>
      <c r="DH186" s="1007"/>
      <c r="DI186" s="1010">
        <f t="shared" si="186"/>
        <v>1</v>
      </c>
      <c r="DJ186" s="1007">
        <f t="shared" si="177"/>
        <v>1000000</v>
      </c>
      <c r="DK186" s="1007"/>
      <c r="DL186" s="1007"/>
      <c r="DM186" s="1007"/>
      <c r="DN186" s="1007">
        <f t="shared" si="163"/>
        <v>0</v>
      </c>
      <c r="DO186" s="1007">
        <f t="shared" si="163"/>
        <v>0</v>
      </c>
      <c r="DP186" s="1007">
        <f t="shared" si="163"/>
        <v>1000000</v>
      </c>
      <c r="DQ186" s="1007">
        <f t="shared" si="163"/>
        <v>0</v>
      </c>
      <c r="DR186" s="1007"/>
      <c r="DS186" s="1007">
        <f t="shared" si="187"/>
        <v>0</v>
      </c>
      <c r="DT186" s="1007">
        <f t="shared" si="187"/>
        <v>0</v>
      </c>
      <c r="DU186" s="1007"/>
      <c r="DV186" s="1007">
        <f t="shared" si="188"/>
        <v>0</v>
      </c>
      <c r="DW186" s="1007">
        <f t="shared" si="188"/>
        <v>0</v>
      </c>
      <c r="DX186" s="1007">
        <f t="shared" si="188"/>
        <v>0</v>
      </c>
      <c r="DY186" s="1007">
        <f t="shared" si="189"/>
        <v>0</v>
      </c>
      <c r="DZ186" s="1007">
        <f t="shared" si="189"/>
        <v>0</v>
      </c>
      <c r="EA186" s="1007">
        <f t="shared" si="189"/>
        <v>0</v>
      </c>
      <c r="EB186" s="1007">
        <f t="shared" si="189"/>
        <v>0</v>
      </c>
      <c r="EC186" s="1007">
        <f t="shared" si="189"/>
        <v>0</v>
      </c>
      <c r="ED186" s="1007">
        <f t="shared" si="189"/>
        <v>0</v>
      </c>
    </row>
    <row r="187" spans="1:134" ht="24" hidden="1" customHeight="1" x14ac:dyDescent="0.25">
      <c r="A187" s="1590"/>
      <c r="B187" s="989"/>
      <c r="C187" s="852" t="s">
        <v>4648</v>
      </c>
      <c r="D187" s="1018" t="s">
        <v>4695</v>
      </c>
      <c r="E187" s="994">
        <v>510</v>
      </c>
      <c r="F187" s="1117" t="s">
        <v>4482</v>
      </c>
      <c r="G187" s="1429"/>
      <c r="H187" s="1060">
        <f t="shared" si="143"/>
        <v>0</v>
      </c>
      <c r="I187" s="1060">
        <f t="shared" si="144"/>
        <v>5000000</v>
      </c>
      <c r="J187" s="1283">
        <v>0</v>
      </c>
      <c r="K187" s="1605">
        <v>1</v>
      </c>
      <c r="L187" s="1198">
        <v>100</v>
      </c>
      <c r="M187" s="1113">
        <v>0</v>
      </c>
      <c r="N187" s="1113">
        <v>0</v>
      </c>
      <c r="O187" s="1113">
        <v>0</v>
      </c>
      <c r="P187" s="1113">
        <v>0</v>
      </c>
      <c r="Q187" s="1113">
        <v>0</v>
      </c>
      <c r="R187" s="1113">
        <v>0</v>
      </c>
      <c r="S187" s="1117"/>
      <c r="T187" s="1117"/>
      <c r="U187" s="1117"/>
      <c r="V187" s="1117"/>
      <c r="W187" s="1117"/>
      <c r="X187" s="1117"/>
      <c r="Y187" s="1007">
        <f t="shared" si="173"/>
        <v>5000000</v>
      </c>
      <c r="Z187" s="944"/>
      <c r="AA187" s="1007"/>
      <c r="AB187" s="1007"/>
      <c r="AC187" s="1007"/>
      <c r="AD187" s="1007"/>
      <c r="AE187" s="1007">
        <v>5000000</v>
      </c>
      <c r="AF187" s="1007"/>
      <c r="AG187" s="1007"/>
      <c r="AH187" s="1007"/>
      <c r="AI187" s="1007"/>
      <c r="AJ187" s="1007"/>
      <c r="AK187" s="1007"/>
      <c r="AL187" s="1007"/>
      <c r="AM187" s="1007"/>
      <c r="AN187" s="1007"/>
      <c r="AO187" s="1007"/>
      <c r="AP187" s="1007"/>
      <c r="AQ187" s="1007"/>
      <c r="AR187" s="1007"/>
      <c r="AS187" s="1007"/>
      <c r="AU187" s="1010">
        <f t="shared" si="178"/>
        <v>0</v>
      </c>
      <c r="AV187" s="1007">
        <f t="shared" si="174"/>
        <v>0</v>
      </c>
      <c r="AW187" s="1007"/>
      <c r="AX187" s="1007"/>
      <c r="AY187" s="1007"/>
      <c r="AZ187" s="1007"/>
      <c r="BA187" s="1007"/>
      <c r="BB187" s="1007"/>
      <c r="BC187" s="1007"/>
      <c r="BD187" s="1007"/>
      <c r="BE187" s="1007"/>
      <c r="BF187" s="1007"/>
      <c r="BG187" s="1007"/>
      <c r="BH187" s="1007"/>
      <c r="BI187" s="1007"/>
      <c r="BJ187" s="1007"/>
      <c r="BK187" s="1007"/>
      <c r="BL187" s="1007"/>
      <c r="BM187" s="1007"/>
      <c r="BN187" s="1007"/>
      <c r="BO187" s="1007"/>
      <c r="BP187" s="1007"/>
      <c r="BQ187" s="1010">
        <f t="shared" si="179"/>
        <v>1</v>
      </c>
      <c r="BR187" s="1007">
        <f t="shared" si="175"/>
        <v>5000000</v>
      </c>
      <c r="BS187" s="1007">
        <f t="shared" si="180"/>
        <v>0</v>
      </c>
      <c r="BT187" s="1007">
        <f t="shared" si="181"/>
        <v>0</v>
      </c>
      <c r="BU187" s="1007"/>
      <c r="BV187" s="1007">
        <f t="shared" si="162"/>
        <v>0</v>
      </c>
      <c r="BW187" s="1007">
        <f t="shared" si="162"/>
        <v>0</v>
      </c>
      <c r="BX187" s="1007">
        <f t="shared" si="182"/>
        <v>5000000</v>
      </c>
      <c r="BY187" s="1007">
        <f t="shared" si="182"/>
        <v>0</v>
      </c>
      <c r="BZ187" s="1007"/>
      <c r="CA187" s="1007">
        <f t="shared" si="183"/>
        <v>0</v>
      </c>
      <c r="CB187" s="1007">
        <f t="shared" si="183"/>
        <v>0</v>
      </c>
      <c r="CC187" s="1007">
        <f t="shared" si="183"/>
        <v>0</v>
      </c>
      <c r="CD187" s="1007">
        <f t="shared" si="183"/>
        <v>0</v>
      </c>
      <c r="CE187" s="1007">
        <f t="shared" si="183"/>
        <v>0</v>
      </c>
      <c r="CF187" s="1007">
        <f t="shared" si="183"/>
        <v>0</v>
      </c>
      <c r="CG187" s="1007">
        <f t="shared" si="183"/>
        <v>0</v>
      </c>
      <c r="CH187" s="1007">
        <f t="shared" si="183"/>
        <v>0</v>
      </c>
      <c r="CI187" s="1007">
        <f t="shared" si="183"/>
        <v>0</v>
      </c>
      <c r="CJ187" s="1007"/>
      <c r="CK187" s="1007"/>
      <c r="CL187" s="1007">
        <f t="shared" si="184"/>
        <v>0</v>
      </c>
      <c r="CM187" s="1010">
        <f t="shared" si="185"/>
        <v>0</v>
      </c>
      <c r="CN187" s="1007">
        <f t="shared" si="176"/>
        <v>0</v>
      </c>
      <c r="CO187" s="1007"/>
      <c r="CP187" s="1007"/>
      <c r="CQ187" s="1007"/>
      <c r="CR187" s="1007"/>
      <c r="CS187" s="1007"/>
      <c r="CT187" s="1007"/>
      <c r="CU187" s="1007"/>
      <c r="CV187" s="1007"/>
      <c r="CW187" s="1007"/>
      <c r="CX187" s="1007"/>
      <c r="CY187" s="1007"/>
      <c r="CZ187" s="1007"/>
      <c r="DA187" s="1007"/>
      <c r="DB187" s="1007"/>
      <c r="DC187" s="1007"/>
      <c r="DD187" s="1007"/>
      <c r="DE187" s="1007"/>
      <c r="DF187" s="1007"/>
      <c r="DG187" s="1007"/>
      <c r="DH187" s="1007"/>
      <c r="DI187" s="1010">
        <f t="shared" si="186"/>
        <v>1</v>
      </c>
      <c r="DJ187" s="1007">
        <f t="shared" si="177"/>
        <v>5000000</v>
      </c>
      <c r="DK187" s="1007"/>
      <c r="DL187" s="1007"/>
      <c r="DM187" s="1007"/>
      <c r="DN187" s="1007">
        <f t="shared" si="163"/>
        <v>0</v>
      </c>
      <c r="DO187" s="1007">
        <f t="shared" si="163"/>
        <v>0</v>
      </c>
      <c r="DP187" s="1007">
        <f t="shared" si="163"/>
        <v>5000000</v>
      </c>
      <c r="DQ187" s="1007">
        <f t="shared" si="163"/>
        <v>0</v>
      </c>
      <c r="DR187" s="1007"/>
      <c r="DS187" s="1007">
        <f t="shared" si="187"/>
        <v>0</v>
      </c>
      <c r="DT187" s="1007">
        <f t="shared" si="187"/>
        <v>0</v>
      </c>
      <c r="DU187" s="1007"/>
      <c r="DV187" s="1007">
        <f t="shared" si="188"/>
        <v>0</v>
      </c>
      <c r="DW187" s="1007">
        <f t="shared" si="188"/>
        <v>0</v>
      </c>
      <c r="DX187" s="1007">
        <f t="shared" si="188"/>
        <v>0</v>
      </c>
      <c r="DY187" s="1007">
        <f t="shared" si="189"/>
        <v>0</v>
      </c>
      <c r="DZ187" s="1007">
        <f t="shared" si="189"/>
        <v>0</v>
      </c>
      <c r="EA187" s="1007">
        <f t="shared" si="189"/>
        <v>0</v>
      </c>
      <c r="EB187" s="1007">
        <f t="shared" si="189"/>
        <v>0</v>
      </c>
      <c r="EC187" s="1007">
        <f t="shared" si="189"/>
        <v>0</v>
      </c>
      <c r="ED187" s="1007">
        <f t="shared" si="189"/>
        <v>0</v>
      </c>
    </row>
    <row r="188" spans="1:134" ht="51" hidden="1" customHeight="1" x14ac:dyDescent="0.25">
      <c r="A188" s="1590"/>
      <c r="B188" s="989"/>
      <c r="C188" s="852" t="s">
        <v>4649</v>
      </c>
      <c r="D188" s="1018" t="s">
        <v>4645</v>
      </c>
      <c r="E188" s="994">
        <v>510</v>
      </c>
      <c r="F188" s="1117" t="s">
        <v>4482</v>
      </c>
      <c r="G188" s="1429"/>
      <c r="H188" s="1060">
        <f t="shared" si="143"/>
        <v>23930000</v>
      </c>
      <c r="I188" s="1060">
        <f t="shared" si="144"/>
        <v>87070000</v>
      </c>
      <c r="J188" s="1283"/>
      <c r="K188" s="1605"/>
      <c r="L188" s="1198"/>
      <c r="M188" s="1113">
        <v>0</v>
      </c>
      <c r="N188" s="1113">
        <v>0</v>
      </c>
      <c r="O188" s="1113">
        <v>0</v>
      </c>
      <c r="P188" s="1113">
        <v>0</v>
      </c>
      <c r="Q188" s="1113">
        <v>0</v>
      </c>
      <c r="R188" s="1113">
        <v>0</v>
      </c>
      <c r="S188" s="1117"/>
      <c r="T188" s="1117"/>
      <c r="U188" s="1117"/>
      <c r="V188" s="1117"/>
      <c r="W188" s="1117"/>
      <c r="X188" s="1117"/>
      <c r="Y188" s="1007">
        <f t="shared" si="173"/>
        <v>111000000</v>
      </c>
      <c r="Z188" s="944"/>
      <c r="AA188" s="1007"/>
      <c r="AB188" s="1007"/>
      <c r="AC188" s="1007"/>
      <c r="AD188" s="1007"/>
      <c r="AE188" s="1007">
        <v>111000000</v>
      </c>
      <c r="AF188" s="1007"/>
      <c r="AG188" s="1007"/>
      <c r="AH188" s="1007"/>
      <c r="AI188" s="1007"/>
      <c r="AJ188" s="1007"/>
      <c r="AK188" s="1007"/>
      <c r="AL188" s="1007"/>
      <c r="AM188" s="1007"/>
      <c r="AN188" s="1007"/>
      <c r="AO188" s="1007"/>
      <c r="AP188" s="1007"/>
      <c r="AQ188" s="1007"/>
      <c r="AR188" s="1007"/>
      <c r="AS188" s="1007"/>
      <c r="AU188" s="1010">
        <f t="shared" si="178"/>
        <v>0.27027027027027029</v>
      </c>
      <c r="AV188" s="1007">
        <f t="shared" si="174"/>
        <v>30000000</v>
      </c>
      <c r="AW188" s="1007"/>
      <c r="AX188" s="1007"/>
      <c r="AY188" s="1007"/>
      <c r="AZ188" s="1007"/>
      <c r="BA188" s="1007"/>
      <c r="BB188" s="1007">
        <f>+'[7]AGOSTO 2015'!$O$2319</f>
        <v>30000000</v>
      </c>
      <c r="BC188" s="1007"/>
      <c r="BD188" s="1007"/>
      <c r="BE188" s="1007"/>
      <c r="BF188" s="1007"/>
      <c r="BG188" s="1007"/>
      <c r="BH188" s="1007"/>
      <c r="BI188" s="1007"/>
      <c r="BJ188" s="1007"/>
      <c r="BK188" s="1007"/>
      <c r="BL188" s="1007"/>
      <c r="BM188" s="1007"/>
      <c r="BN188" s="1007"/>
      <c r="BO188" s="1007"/>
      <c r="BP188" s="1007"/>
      <c r="BQ188" s="1010">
        <f t="shared" si="179"/>
        <v>0.72972972972972971</v>
      </c>
      <c r="BR188" s="1007">
        <f t="shared" si="175"/>
        <v>81000000</v>
      </c>
      <c r="BS188" s="1007">
        <f t="shared" si="180"/>
        <v>0</v>
      </c>
      <c r="BT188" s="1007">
        <f t="shared" si="181"/>
        <v>0</v>
      </c>
      <c r="BU188" s="1007"/>
      <c r="BV188" s="1007">
        <f t="shared" si="162"/>
        <v>0</v>
      </c>
      <c r="BW188" s="1007">
        <f t="shared" si="162"/>
        <v>0</v>
      </c>
      <c r="BX188" s="1007">
        <f t="shared" si="182"/>
        <v>81000000</v>
      </c>
      <c r="BY188" s="1007">
        <f t="shared" si="182"/>
        <v>0</v>
      </c>
      <c r="BZ188" s="1007"/>
      <c r="CA188" s="1007">
        <f t="shared" si="183"/>
        <v>0</v>
      </c>
      <c r="CB188" s="1007">
        <f t="shared" si="183"/>
        <v>0</v>
      </c>
      <c r="CC188" s="1007">
        <f t="shared" si="183"/>
        <v>0</v>
      </c>
      <c r="CD188" s="1007">
        <f t="shared" si="183"/>
        <v>0</v>
      </c>
      <c r="CE188" s="1007">
        <f t="shared" si="183"/>
        <v>0</v>
      </c>
      <c r="CF188" s="1007">
        <f t="shared" si="183"/>
        <v>0</v>
      </c>
      <c r="CG188" s="1007">
        <f t="shared" si="183"/>
        <v>0</v>
      </c>
      <c r="CH188" s="1007">
        <f t="shared" si="183"/>
        <v>0</v>
      </c>
      <c r="CI188" s="1007">
        <f t="shared" si="183"/>
        <v>0</v>
      </c>
      <c r="CJ188" s="1007"/>
      <c r="CK188" s="1007"/>
      <c r="CL188" s="1007">
        <f t="shared" si="184"/>
        <v>0</v>
      </c>
      <c r="CM188" s="1010">
        <f t="shared" si="185"/>
        <v>0.21558558558558558</v>
      </c>
      <c r="CN188" s="1007">
        <f t="shared" si="176"/>
        <v>23930000</v>
      </c>
      <c r="CO188" s="1007"/>
      <c r="CP188" s="1007"/>
      <c r="CQ188" s="1007"/>
      <c r="CR188" s="1007"/>
      <c r="CS188" s="1007"/>
      <c r="CT188" s="1007">
        <f>+'[7]AGOSTO 2015'!$H$2317</f>
        <v>23930000</v>
      </c>
      <c r="CU188" s="1007"/>
      <c r="CV188" s="1007"/>
      <c r="CW188" s="1007"/>
      <c r="CX188" s="1007"/>
      <c r="CY188" s="1007"/>
      <c r="CZ188" s="1007"/>
      <c r="DA188" s="1007"/>
      <c r="DB188" s="1007"/>
      <c r="DC188" s="1007"/>
      <c r="DD188" s="1007"/>
      <c r="DE188" s="1007"/>
      <c r="DF188" s="1007"/>
      <c r="DG188" s="1007"/>
      <c r="DH188" s="1007"/>
      <c r="DI188" s="1010">
        <f t="shared" si="186"/>
        <v>0.7844144144144144</v>
      </c>
      <c r="DJ188" s="1007">
        <f t="shared" si="177"/>
        <v>87070000</v>
      </c>
      <c r="DK188" s="1007"/>
      <c r="DL188" s="1007"/>
      <c r="DM188" s="1007"/>
      <c r="DN188" s="1007">
        <f t="shared" si="163"/>
        <v>0</v>
      </c>
      <c r="DO188" s="1007">
        <f t="shared" si="163"/>
        <v>0</v>
      </c>
      <c r="DP188" s="1007">
        <f t="shared" si="163"/>
        <v>87070000</v>
      </c>
      <c r="DQ188" s="1007">
        <f t="shared" si="163"/>
        <v>0</v>
      </c>
      <c r="DR188" s="1007"/>
      <c r="DS188" s="1007">
        <f t="shared" si="187"/>
        <v>0</v>
      </c>
      <c r="DT188" s="1007">
        <f t="shared" si="187"/>
        <v>0</v>
      </c>
      <c r="DU188" s="1007"/>
      <c r="DV188" s="1007">
        <f t="shared" si="188"/>
        <v>0</v>
      </c>
      <c r="DW188" s="1007">
        <f t="shared" si="188"/>
        <v>0</v>
      </c>
      <c r="DX188" s="1007">
        <f t="shared" si="188"/>
        <v>0</v>
      </c>
      <c r="DY188" s="1007">
        <f t="shared" si="189"/>
        <v>0</v>
      </c>
      <c r="DZ188" s="1007">
        <f t="shared" si="189"/>
        <v>0</v>
      </c>
      <c r="EA188" s="1007">
        <f t="shared" si="189"/>
        <v>0</v>
      </c>
      <c r="EB188" s="1007">
        <f t="shared" si="189"/>
        <v>0</v>
      </c>
      <c r="EC188" s="1007">
        <f t="shared" si="189"/>
        <v>0</v>
      </c>
      <c r="ED188" s="1007">
        <f t="shared" si="189"/>
        <v>0</v>
      </c>
    </row>
    <row r="189" spans="1:134" ht="34.5" hidden="1" customHeight="1" x14ac:dyDescent="0.25">
      <c r="A189" s="1590"/>
      <c r="B189" s="989"/>
      <c r="C189" s="852" t="s">
        <v>4650</v>
      </c>
      <c r="D189" s="1018" t="s">
        <v>4646</v>
      </c>
      <c r="E189" s="994">
        <v>510</v>
      </c>
      <c r="F189" s="1117" t="s">
        <v>4482</v>
      </c>
      <c r="G189" s="1429"/>
      <c r="H189" s="1060">
        <f t="shared" si="143"/>
        <v>0</v>
      </c>
      <c r="I189" s="1060">
        <f t="shared" si="144"/>
        <v>3000000</v>
      </c>
      <c r="J189" s="1283">
        <v>0</v>
      </c>
      <c r="K189" s="1605">
        <v>1</v>
      </c>
      <c r="L189" s="1198">
        <v>50</v>
      </c>
      <c r="M189" s="1113">
        <v>0</v>
      </c>
      <c r="N189" s="1113">
        <v>0</v>
      </c>
      <c r="O189" s="1113">
        <v>0</v>
      </c>
      <c r="P189" s="1113">
        <v>0</v>
      </c>
      <c r="Q189" s="1113">
        <v>0</v>
      </c>
      <c r="R189" s="1113">
        <v>0</v>
      </c>
      <c r="S189" s="1117"/>
      <c r="T189" s="1117"/>
      <c r="U189" s="1117"/>
      <c r="V189" s="1117"/>
      <c r="W189" s="1117"/>
      <c r="X189" s="1117"/>
      <c r="Y189" s="1007">
        <f t="shared" si="173"/>
        <v>3000000</v>
      </c>
      <c r="Z189" s="944"/>
      <c r="AA189" s="1007"/>
      <c r="AB189" s="1007"/>
      <c r="AC189" s="1007"/>
      <c r="AD189" s="1007"/>
      <c r="AE189" s="1007">
        <v>3000000</v>
      </c>
      <c r="AF189" s="1007"/>
      <c r="AG189" s="1007"/>
      <c r="AH189" s="1007"/>
      <c r="AI189" s="1007"/>
      <c r="AJ189" s="1007"/>
      <c r="AK189" s="1007"/>
      <c r="AL189" s="1007"/>
      <c r="AM189" s="1007"/>
      <c r="AN189" s="1007"/>
      <c r="AO189" s="1007"/>
      <c r="AP189" s="1007"/>
      <c r="AQ189" s="1007"/>
      <c r="AR189" s="1007"/>
      <c r="AS189" s="1007"/>
      <c r="AU189" s="1010">
        <f t="shared" si="178"/>
        <v>0</v>
      </c>
      <c r="AV189" s="1007">
        <f t="shared" si="174"/>
        <v>0</v>
      </c>
      <c r="AW189" s="1007"/>
      <c r="AX189" s="1007"/>
      <c r="AY189" s="1007"/>
      <c r="AZ189" s="1007"/>
      <c r="BA189" s="1007"/>
      <c r="BB189" s="1007"/>
      <c r="BC189" s="1007"/>
      <c r="BD189" s="1007"/>
      <c r="BE189" s="1007"/>
      <c r="BF189" s="1007"/>
      <c r="BG189" s="1007"/>
      <c r="BH189" s="1007"/>
      <c r="BI189" s="1007"/>
      <c r="BJ189" s="1007"/>
      <c r="BK189" s="1007"/>
      <c r="BL189" s="1007"/>
      <c r="BM189" s="1007"/>
      <c r="BN189" s="1007"/>
      <c r="BO189" s="1007"/>
      <c r="BP189" s="1007"/>
      <c r="BQ189" s="1010">
        <f t="shared" si="179"/>
        <v>1</v>
      </c>
      <c r="BR189" s="1007">
        <f t="shared" si="175"/>
        <v>3000000</v>
      </c>
      <c r="BS189" s="1007">
        <f t="shared" si="180"/>
        <v>0</v>
      </c>
      <c r="BT189" s="1007">
        <f t="shared" si="181"/>
        <v>0</v>
      </c>
      <c r="BU189" s="1007"/>
      <c r="BV189" s="1007">
        <f t="shared" si="162"/>
        <v>0</v>
      </c>
      <c r="BW189" s="1007">
        <f t="shared" si="162"/>
        <v>0</v>
      </c>
      <c r="BX189" s="1007">
        <f t="shared" si="182"/>
        <v>3000000</v>
      </c>
      <c r="BY189" s="1007">
        <f t="shared" si="182"/>
        <v>0</v>
      </c>
      <c r="BZ189" s="1007"/>
      <c r="CA189" s="1007">
        <f t="shared" si="183"/>
        <v>0</v>
      </c>
      <c r="CB189" s="1007">
        <f t="shared" si="183"/>
        <v>0</v>
      </c>
      <c r="CC189" s="1007">
        <f t="shared" si="183"/>
        <v>0</v>
      </c>
      <c r="CD189" s="1007">
        <f t="shared" si="183"/>
        <v>0</v>
      </c>
      <c r="CE189" s="1007">
        <f t="shared" si="183"/>
        <v>0</v>
      </c>
      <c r="CF189" s="1007">
        <f t="shared" si="183"/>
        <v>0</v>
      </c>
      <c r="CG189" s="1007">
        <f t="shared" si="183"/>
        <v>0</v>
      </c>
      <c r="CH189" s="1007">
        <f t="shared" si="183"/>
        <v>0</v>
      </c>
      <c r="CI189" s="1007">
        <f t="shared" si="183"/>
        <v>0</v>
      </c>
      <c r="CJ189" s="1007"/>
      <c r="CK189" s="1007"/>
      <c r="CL189" s="1007">
        <f t="shared" si="184"/>
        <v>0</v>
      </c>
      <c r="CM189" s="1010">
        <f t="shared" si="185"/>
        <v>0</v>
      </c>
      <c r="CN189" s="1007">
        <f t="shared" si="176"/>
        <v>0</v>
      </c>
      <c r="CO189" s="1007"/>
      <c r="CP189" s="1007"/>
      <c r="CQ189" s="1007"/>
      <c r="CR189" s="1007"/>
      <c r="CS189" s="1007"/>
      <c r="CT189" s="1007"/>
      <c r="CU189" s="1007"/>
      <c r="CV189" s="1007"/>
      <c r="CW189" s="1007"/>
      <c r="CX189" s="1007"/>
      <c r="CY189" s="1007"/>
      <c r="CZ189" s="1007"/>
      <c r="DA189" s="1007"/>
      <c r="DB189" s="1007"/>
      <c r="DC189" s="1007"/>
      <c r="DD189" s="1007"/>
      <c r="DE189" s="1007"/>
      <c r="DF189" s="1007"/>
      <c r="DG189" s="1007"/>
      <c r="DH189" s="1007"/>
      <c r="DI189" s="1010">
        <f t="shared" si="186"/>
        <v>1</v>
      </c>
      <c r="DJ189" s="1007">
        <f t="shared" si="177"/>
        <v>3000000</v>
      </c>
      <c r="DK189" s="1007"/>
      <c r="DL189" s="1007"/>
      <c r="DM189" s="1007"/>
      <c r="DN189" s="1007">
        <f t="shared" si="163"/>
        <v>0</v>
      </c>
      <c r="DO189" s="1007">
        <f t="shared" si="163"/>
        <v>0</v>
      </c>
      <c r="DP189" s="1007">
        <f t="shared" si="163"/>
        <v>3000000</v>
      </c>
      <c r="DQ189" s="1007">
        <f t="shared" si="163"/>
        <v>0</v>
      </c>
      <c r="DR189" s="1007"/>
      <c r="DS189" s="1007">
        <f t="shared" si="187"/>
        <v>0</v>
      </c>
      <c r="DT189" s="1007">
        <f t="shared" si="187"/>
        <v>0</v>
      </c>
      <c r="DU189" s="1007"/>
      <c r="DV189" s="1007">
        <f t="shared" si="188"/>
        <v>0</v>
      </c>
      <c r="DW189" s="1007">
        <f t="shared" si="188"/>
        <v>0</v>
      </c>
      <c r="DX189" s="1007">
        <f t="shared" si="188"/>
        <v>0</v>
      </c>
      <c r="DY189" s="1007">
        <f t="shared" si="189"/>
        <v>0</v>
      </c>
      <c r="DZ189" s="1007">
        <f t="shared" si="189"/>
        <v>0</v>
      </c>
      <c r="EA189" s="1007">
        <f t="shared" si="189"/>
        <v>0</v>
      </c>
      <c r="EB189" s="1007">
        <f t="shared" si="189"/>
        <v>0</v>
      </c>
      <c r="EC189" s="1007">
        <f t="shared" si="189"/>
        <v>0</v>
      </c>
      <c r="ED189" s="1007">
        <f t="shared" si="189"/>
        <v>0</v>
      </c>
    </row>
    <row r="190" spans="1:134" ht="23.25" hidden="1" customHeight="1" x14ac:dyDescent="0.25">
      <c r="A190" s="1590"/>
      <c r="B190" s="989"/>
      <c r="C190" s="852" t="s">
        <v>4678</v>
      </c>
      <c r="D190" s="1018" t="s">
        <v>4677</v>
      </c>
      <c r="E190" s="994">
        <v>510</v>
      </c>
      <c r="F190" s="1117" t="s">
        <v>4482</v>
      </c>
      <c r="G190" s="1430"/>
      <c r="H190" s="1060">
        <f t="shared" si="143"/>
        <v>80640865</v>
      </c>
      <c r="I190" s="1060">
        <f t="shared" si="144"/>
        <v>19359135</v>
      </c>
      <c r="J190" s="1283"/>
      <c r="K190" s="1605"/>
      <c r="L190" s="1198"/>
      <c r="M190" s="1113">
        <v>9</v>
      </c>
      <c r="N190" s="1113"/>
      <c r="O190" s="1113">
        <v>0</v>
      </c>
      <c r="P190" s="1113">
        <v>56</v>
      </c>
      <c r="Q190" s="1113">
        <v>60</v>
      </c>
      <c r="R190" s="1113">
        <v>33</v>
      </c>
      <c r="S190" s="1117"/>
      <c r="T190" s="1117"/>
      <c r="U190" s="1117"/>
      <c r="V190" s="1117"/>
      <c r="W190" s="1117"/>
      <c r="X190" s="1117"/>
      <c r="Y190" s="1007">
        <f t="shared" si="173"/>
        <v>100000000</v>
      </c>
      <c r="Z190" s="944"/>
      <c r="AA190" s="1007"/>
      <c r="AB190" s="1007"/>
      <c r="AC190" s="1007"/>
      <c r="AD190" s="1007"/>
      <c r="AE190" s="1007"/>
      <c r="AF190" s="1007"/>
      <c r="AG190" s="1007"/>
      <c r="AH190" s="1007"/>
      <c r="AI190" s="1007"/>
      <c r="AJ190" s="1007"/>
      <c r="AK190" s="1007"/>
      <c r="AL190" s="1007"/>
      <c r="AM190" s="1007"/>
      <c r="AN190" s="1007">
        <v>100000000</v>
      </c>
      <c r="AO190" s="1007"/>
      <c r="AP190" s="1007"/>
      <c r="AQ190" s="1007"/>
      <c r="AR190" s="1007"/>
      <c r="AS190" s="1007"/>
      <c r="AU190" s="1010">
        <f t="shared" si="178"/>
        <v>0.99939999999999996</v>
      </c>
      <c r="AV190" s="1007">
        <f t="shared" si="174"/>
        <v>99940000</v>
      </c>
      <c r="AW190" s="1007"/>
      <c r="AX190" s="1007"/>
      <c r="AY190" s="1007"/>
      <c r="AZ190" s="1007"/>
      <c r="BA190" s="1007"/>
      <c r="BB190" s="1007"/>
      <c r="BC190" s="1007"/>
      <c r="BD190" s="1007"/>
      <c r="BE190" s="1007"/>
      <c r="BF190" s="1007"/>
      <c r="BG190" s="1007"/>
      <c r="BH190" s="1007"/>
      <c r="BI190" s="1007"/>
      <c r="BJ190" s="1007"/>
      <c r="BK190" s="1007">
        <f>+'[7]AGOSTO 2015'!$G$2329</f>
        <v>99940000</v>
      </c>
      <c r="BL190" s="1007"/>
      <c r="BM190" s="1007"/>
      <c r="BN190" s="1007"/>
      <c r="BO190" s="1007"/>
      <c r="BP190" s="1007"/>
      <c r="BQ190" s="1010">
        <f t="shared" si="179"/>
        <v>6.0000000000004494E-4</v>
      </c>
      <c r="BR190" s="1007">
        <f t="shared" si="175"/>
        <v>60000</v>
      </c>
      <c r="BS190" s="1007">
        <f t="shared" si="180"/>
        <v>0</v>
      </c>
      <c r="BT190" s="1007">
        <f t="shared" si="181"/>
        <v>0</v>
      </c>
      <c r="BU190" s="1007"/>
      <c r="BV190" s="1007">
        <f t="shared" si="162"/>
        <v>0</v>
      </c>
      <c r="BW190" s="1007">
        <f t="shared" si="162"/>
        <v>0</v>
      </c>
      <c r="BX190" s="1007">
        <f t="shared" si="182"/>
        <v>0</v>
      </c>
      <c r="BY190" s="1007">
        <f t="shared" si="182"/>
        <v>0</v>
      </c>
      <c r="BZ190" s="1007"/>
      <c r="CA190" s="1007">
        <f t="shared" si="183"/>
        <v>0</v>
      </c>
      <c r="CB190" s="1007">
        <f t="shared" si="183"/>
        <v>0</v>
      </c>
      <c r="CC190" s="1007">
        <f t="shared" si="183"/>
        <v>0</v>
      </c>
      <c r="CD190" s="1007">
        <f t="shared" si="183"/>
        <v>0</v>
      </c>
      <c r="CE190" s="1007">
        <f t="shared" si="183"/>
        <v>0</v>
      </c>
      <c r="CF190" s="1007">
        <f t="shared" si="183"/>
        <v>0</v>
      </c>
      <c r="CG190" s="1007">
        <f t="shared" si="183"/>
        <v>60000</v>
      </c>
      <c r="CH190" s="1007">
        <f t="shared" si="183"/>
        <v>0</v>
      </c>
      <c r="CI190" s="1007">
        <f t="shared" si="183"/>
        <v>0</v>
      </c>
      <c r="CJ190" s="1007"/>
      <c r="CK190" s="1007"/>
      <c r="CL190" s="1007">
        <f t="shared" si="184"/>
        <v>0</v>
      </c>
      <c r="CM190" s="1010">
        <f t="shared" si="185"/>
        <v>0.80640864999999995</v>
      </c>
      <c r="CN190" s="1007">
        <f t="shared" si="176"/>
        <v>80640865</v>
      </c>
      <c r="CO190" s="1007"/>
      <c r="CP190" s="1007"/>
      <c r="CQ190" s="1007"/>
      <c r="CR190" s="1007"/>
      <c r="CS190" s="1007"/>
      <c r="CT190" s="1007"/>
      <c r="CU190" s="1007"/>
      <c r="CV190" s="1007"/>
      <c r="CW190" s="1007"/>
      <c r="CX190" s="1007"/>
      <c r="CY190" s="1007"/>
      <c r="CZ190" s="1007"/>
      <c r="DA190" s="1007"/>
      <c r="DB190" s="1007"/>
      <c r="DC190" s="1007">
        <f>+'[8]SEPTIEMBRE 2015'!$H$2839</f>
        <v>80640865</v>
      </c>
      <c r="DD190" s="1007"/>
      <c r="DE190" s="1007"/>
      <c r="DF190" s="1007"/>
      <c r="DG190" s="1007"/>
      <c r="DH190" s="1007"/>
      <c r="DI190" s="1010">
        <f t="shared" si="186"/>
        <v>0.19359135000000005</v>
      </c>
      <c r="DJ190" s="1007">
        <f t="shared" si="177"/>
        <v>19359135</v>
      </c>
      <c r="DK190" s="1007"/>
      <c r="DL190" s="1007"/>
      <c r="DM190" s="1007"/>
      <c r="DN190" s="1007">
        <f t="shared" si="163"/>
        <v>0</v>
      </c>
      <c r="DO190" s="1007">
        <f t="shared" si="163"/>
        <v>0</v>
      </c>
      <c r="DP190" s="1007">
        <f t="shared" si="163"/>
        <v>0</v>
      </c>
      <c r="DQ190" s="1007">
        <f t="shared" si="163"/>
        <v>0</v>
      </c>
      <c r="DR190" s="1007"/>
      <c r="DS190" s="1007">
        <f t="shared" si="187"/>
        <v>0</v>
      </c>
      <c r="DT190" s="1007">
        <f t="shared" si="187"/>
        <v>0</v>
      </c>
      <c r="DU190" s="1007"/>
      <c r="DV190" s="1007">
        <f t="shared" si="188"/>
        <v>0</v>
      </c>
      <c r="DW190" s="1007">
        <f t="shared" si="188"/>
        <v>0</v>
      </c>
      <c r="DX190" s="1007">
        <f t="shared" si="188"/>
        <v>0</v>
      </c>
      <c r="DY190" s="1007">
        <f t="shared" si="189"/>
        <v>19359135</v>
      </c>
      <c r="DZ190" s="1007">
        <f t="shared" si="189"/>
        <v>0</v>
      </c>
      <c r="EA190" s="1007">
        <f t="shared" si="189"/>
        <v>0</v>
      </c>
      <c r="EB190" s="1007">
        <f t="shared" si="189"/>
        <v>0</v>
      </c>
      <c r="EC190" s="1007">
        <f t="shared" si="189"/>
        <v>0</v>
      </c>
      <c r="ED190" s="1007">
        <f t="shared" si="189"/>
        <v>0</v>
      </c>
    </row>
    <row r="191" spans="1:134" s="203" customFormat="1" ht="54" hidden="1" customHeight="1" x14ac:dyDescent="0.25">
      <c r="A191" s="1590"/>
      <c r="B191" s="989" t="s">
        <v>4454</v>
      </c>
      <c r="C191" s="1080" t="s">
        <v>4667</v>
      </c>
      <c r="D191" s="1018" t="s">
        <v>4666</v>
      </c>
      <c r="E191" s="996">
        <v>510</v>
      </c>
      <c r="F191" s="1117" t="s">
        <v>4482</v>
      </c>
      <c r="G191" s="1117">
        <v>5000000</v>
      </c>
      <c r="H191" s="1060">
        <f t="shared" si="143"/>
        <v>0</v>
      </c>
      <c r="I191" s="1060">
        <f t="shared" si="144"/>
        <v>0</v>
      </c>
      <c r="J191" s="1117">
        <v>0</v>
      </c>
      <c r="K191" s="1131">
        <v>1</v>
      </c>
      <c r="L191" s="1113">
        <v>50</v>
      </c>
      <c r="M191" s="1074">
        <v>0</v>
      </c>
      <c r="N191" s="1074">
        <v>0</v>
      </c>
      <c r="O191" s="1074">
        <v>0</v>
      </c>
      <c r="P191" s="1074"/>
      <c r="Q191" s="1074"/>
      <c r="R191" s="1074"/>
      <c r="S191" s="1117"/>
      <c r="T191" s="1117"/>
      <c r="U191" s="1117"/>
      <c r="V191" s="1117"/>
      <c r="W191" s="1117"/>
      <c r="X191" s="1117"/>
      <c r="Y191" s="1066">
        <f t="shared" si="173"/>
        <v>0</v>
      </c>
      <c r="Z191" s="149"/>
      <c r="AA191" s="1066"/>
      <c r="AB191" s="1066"/>
      <c r="AC191" s="1066"/>
      <c r="AD191" s="1066"/>
      <c r="AE191" s="1066">
        <f>5000000-5000000</f>
        <v>0</v>
      </c>
      <c r="AF191" s="1066"/>
      <c r="AG191" s="1066"/>
      <c r="AH191" s="1066"/>
      <c r="AI191" s="1066"/>
      <c r="AJ191" s="1066"/>
      <c r="AK191" s="1066"/>
      <c r="AL191" s="1066"/>
      <c r="AM191" s="1066"/>
      <c r="AN191" s="1066"/>
      <c r="AO191" s="1066"/>
      <c r="AP191" s="1066"/>
      <c r="AQ191" s="1066"/>
      <c r="AR191" s="1066"/>
      <c r="AS191" s="1066"/>
      <c r="AU191" s="1081" t="e">
        <f t="shared" si="178"/>
        <v>#DIV/0!</v>
      </c>
      <c r="AV191" s="1066">
        <f t="shared" si="174"/>
        <v>0</v>
      </c>
      <c r="AW191" s="1066"/>
      <c r="AX191" s="1066"/>
      <c r="AY191" s="1066"/>
      <c r="AZ191" s="1066"/>
      <c r="BA191" s="1066"/>
      <c r="BB191" s="1066"/>
      <c r="BC191" s="1066"/>
      <c r="BD191" s="1066"/>
      <c r="BE191" s="1066"/>
      <c r="BF191" s="1066"/>
      <c r="BG191" s="1066"/>
      <c r="BH191" s="1066"/>
      <c r="BI191" s="1066"/>
      <c r="BJ191" s="1066"/>
      <c r="BK191" s="1066"/>
      <c r="BL191" s="1066"/>
      <c r="BM191" s="1066"/>
      <c r="BN191" s="1066"/>
      <c r="BO191" s="1066"/>
      <c r="BP191" s="1066"/>
      <c r="BQ191" s="1081" t="e">
        <f t="shared" si="179"/>
        <v>#DIV/0!</v>
      </c>
      <c r="BR191" s="1066">
        <f t="shared" si="175"/>
        <v>0</v>
      </c>
      <c r="BS191" s="1066">
        <f t="shared" si="180"/>
        <v>0</v>
      </c>
      <c r="BT191" s="1066">
        <f t="shared" si="181"/>
        <v>0</v>
      </c>
      <c r="BU191" s="1066"/>
      <c r="BV191" s="1066">
        <f t="shared" si="162"/>
        <v>0</v>
      </c>
      <c r="BW191" s="1066">
        <f t="shared" si="162"/>
        <v>0</v>
      </c>
      <c r="BX191" s="1066">
        <f t="shared" si="182"/>
        <v>0</v>
      </c>
      <c r="BY191" s="1066">
        <f t="shared" si="182"/>
        <v>0</v>
      </c>
      <c r="BZ191" s="1066"/>
      <c r="CA191" s="1066">
        <f t="shared" si="183"/>
        <v>0</v>
      </c>
      <c r="CB191" s="1066">
        <f t="shared" si="183"/>
        <v>0</v>
      </c>
      <c r="CC191" s="1066">
        <f t="shared" si="183"/>
        <v>0</v>
      </c>
      <c r="CD191" s="1066">
        <f t="shared" si="183"/>
        <v>0</v>
      </c>
      <c r="CE191" s="1066">
        <f t="shared" si="183"/>
        <v>0</v>
      </c>
      <c r="CF191" s="1066">
        <f t="shared" si="183"/>
        <v>0</v>
      </c>
      <c r="CG191" s="1066">
        <f t="shared" si="183"/>
        <v>0</v>
      </c>
      <c r="CH191" s="1066">
        <f t="shared" si="183"/>
        <v>0</v>
      </c>
      <c r="CI191" s="1066">
        <f t="shared" si="183"/>
        <v>0</v>
      </c>
      <c r="CJ191" s="1066"/>
      <c r="CK191" s="1066"/>
      <c r="CL191" s="1066">
        <f t="shared" si="184"/>
        <v>0</v>
      </c>
      <c r="CM191" s="1081" t="e">
        <f t="shared" si="185"/>
        <v>#DIV/0!</v>
      </c>
      <c r="CN191" s="1066">
        <f t="shared" si="176"/>
        <v>0</v>
      </c>
      <c r="CO191" s="1066"/>
      <c r="CP191" s="1066"/>
      <c r="CQ191" s="1066"/>
      <c r="CR191" s="1066"/>
      <c r="CS191" s="1066"/>
      <c r="CT191" s="1066"/>
      <c r="CU191" s="1066"/>
      <c r="CV191" s="1066"/>
      <c r="CW191" s="1066"/>
      <c r="CX191" s="1066"/>
      <c r="CY191" s="1066"/>
      <c r="CZ191" s="1066"/>
      <c r="DA191" s="1066"/>
      <c r="DB191" s="1066"/>
      <c r="DC191" s="1066"/>
      <c r="DD191" s="1066"/>
      <c r="DE191" s="1066"/>
      <c r="DF191" s="1066"/>
      <c r="DG191" s="1066"/>
      <c r="DH191" s="1066"/>
      <c r="DI191" s="1081" t="e">
        <f t="shared" si="186"/>
        <v>#DIV/0!</v>
      </c>
      <c r="DJ191" s="1066">
        <f t="shared" si="177"/>
        <v>0</v>
      </c>
      <c r="DK191" s="1066"/>
      <c r="DL191" s="1066"/>
      <c r="DM191" s="1066"/>
      <c r="DN191" s="1066">
        <f t="shared" si="163"/>
        <v>0</v>
      </c>
      <c r="DO191" s="1066">
        <f t="shared" si="163"/>
        <v>0</v>
      </c>
      <c r="DP191" s="1066">
        <f t="shared" si="163"/>
        <v>0</v>
      </c>
      <c r="DQ191" s="1066">
        <f t="shared" si="163"/>
        <v>0</v>
      </c>
      <c r="DR191" s="1066"/>
      <c r="DS191" s="1066">
        <f t="shared" si="187"/>
        <v>0</v>
      </c>
      <c r="DT191" s="1066">
        <f t="shared" si="187"/>
        <v>0</v>
      </c>
      <c r="DU191" s="1066"/>
      <c r="DV191" s="1066">
        <f t="shared" si="188"/>
        <v>0</v>
      </c>
      <c r="DW191" s="1066">
        <f t="shared" si="188"/>
        <v>0</v>
      </c>
      <c r="DX191" s="1066">
        <f t="shared" si="188"/>
        <v>0</v>
      </c>
      <c r="DY191" s="1066">
        <f t="shared" si="189"/>
        <v>0</v>
      </c>
      <c r="DZ191" s="1066">
        <f t="shared" si="189"/>
        <v>0</v>
      </c>
      <c r="EA191" s="1066">
        <f t="shared" si="189"/>
        <v>0</v>
      </c>
      <c r="EB191" s="1066">
        <f t="shared" si="189"/>
        <v>0</v>
      </c>
      <c r="EC191" s="1066">
        <f t="shared" si="189"/>
        <v>0</v>
      </c>
      <c r="ED191" s="1066">
        <f t="shared" si="189"/>
        <v>0</v>
      </c>
    </row>
    <row r="192" spans="1:134" ht="48.75" hidden="1" customHeight="1" x14ac:dyDescent="0.25">
      <c r="A192" s="1590"/>
      <c r="B192" s="989" t="s">
        <v>4455</v>
      </c>
      <c r="C192" s="1114" t="s">
        <v>4664</v>
      </c>
      <c r="D192" s="1018" t="s">
        <v>4663</v>
      </c>
      <c r="E192" s="994">
        <v>310</v>
      </c>
      <c r="F192" s="1117" t="s">
        <v>4482</v>
      </c>
      <c r="G192" s="1428">
        <v>287000000</v>
      </c>
      <c r="H192" s="1060">
        <f t="shared" si="143"/>
        <v>180676074</v>
      </c>
      <c r="I192" s="1060">
        <f t="shared" si="144"/>
        <v>92668347</v>
      </c>
      <c r="J192" s="1283">
        <v>180</v>
      </c>
      <c r="K192" s="1198">
        <v>206</v>
      </c>
      <c r="L192" s="1198">
        <v>206</v>
      </c>
      <c r="M192" s="1113">
        <v>18</v>
      </c>
      <c r="N192" s="1113">
        <v>32</v>
      </c>
      <c r="O192" s="1113">
        <v>6</v>
      </c>
      <c r="P192" s="1113">
        <v>53</v>
      </c>
      <c r="Q192" s="1113">
        <v>32</v>
      </c>
      <c r="R192" s="1113">
        <v>17</v>
      </c>
      <c r="S192" s="1117"/>
      <c r="T192" s="1117"/>
      <c r="U192" s="1117"/>
      <c r="V192" s="1117"/>
      <c r="W192" s="1117"/>
      <c r="X192" s="1117"/>
      <c r="Y192" s="1007">
        <f t="shared" si="173"/>
        <v>273344421</v>
      </c>
      <c r="Z192" s="944"/>
      <c r="AA192" s="1007"/>
      <c r="AB192" s="1007"/>
      <c r="AC192" s="1007"/>
      <c r="AD192" s="1007"/>
      <c r="AE192" s="1007"/>
      <c r="AF192" s="1007"/>
      <c r="AG192" s="1007"/>
      <c r="AH192" s="1007"/>
      <c r="AI192" s="1007"/>
      <c r="AJ192" s="1007"/>
      <c r="AK192" s="1007"/>
      <c r="AL192" s="1007"/>
      <c r="AM192" s="1007"/>
      <c r="AN192" s="1007"/>
      <c r="AO192" s="1007">
        <f>273344421</f>
        <v>273344421</v>
      </c>
      <c r="AP192" s="1007"/>
      <c r="AQ192" s="1007"/>
      <c r="AR192" s="1007"/>
      <c r="AS192" s="1007"/>
      <c r="AU192" s="1010">
        <f t="shared" si="178"/>
        <v>1</v>
      </c>
      <c r="AV192" s="1007">
        <f t="shared" si="174"/>
        <v>273344421</v>
      </c>
      <c r="AW192" s="1007"/>
      <c r="AX192" s="1007"/>
      <c r="AY192" s="1007"/>
      <c r="AZ192" s="1007"/>
      <c r="BA192" s="1007"/>
      <c r="BB192" s="1007"/>
      <c r="BC192" s="1007"/>
      <c r="BD192" s="1007"/>
      <c r="BE192" s="1007"/>
      <c r="BF192" s="1007"/>
      <c r="BG192" s="1007"/>
      <c r="BH192" s="1007"/>
      <c r="BI192" s="1007"/>
      <c r="BJ192" s="1007"/>
      <c r="BK192" s="1007"/>
      <c r="BL192" s="1007">
        <f>+'[12]FEBRERO 2015'!$X$334</f>
        <v>273344421</v>
      </c>
      <c r="BM192" s="1007"/>
      <c r="BN192" s="1007"/>
      <c r="BO192" s="1007"/>
      <c r="BP192" s="1007"/>
      <c r="BQ192" s="1010">
        <f t="shared" si="179"/>
        <v>0</v>
      </c>
      <c r="BR192" s="1007">
        <f t="shared" si="175"/>
        <v>0</v>
      </c>
      <c r="BS192" s="1007">
        <f t="shared" si="180"/>
        <v>0</v>
      </c>
      <c r="BT192" s="1007">
        <f t="shared" si="181"/>
        <v>0</v>
      </c>
      <c r="BU192" s="1007"/>
      <c r="BV192" s="1007">
        <f t="shared" si="162"/>
        <v>0</v>
      </c>
      <c r="BW192" s="1007">
        <f t="shared" si="162"/>
        <v>0</v>
      </c>
      <c r="BX192" s="1007">
        <f t="shared" si="182"/>
        <v>0</v>
      </c>
      <c r="BY192" s="1007">
        <f t="shared" si="182"/>
        <v>0</v>
      </c>
      <c r="BZ192" s="1007"/>
      <c r="CA192" s="1007">
        <f t="shared" si="183"/>
        <v>0</v>
      </c>
      <c r="CB192" s="1007">
        <f t="shared" si="183"/>
        <v>0</v>
      </c>
      <c r="CC192" s="1007">
        <f t="shared" si="183"/>
        <v>0</v>
      </c>
      <c r="CD192" s="1007">
        <f t="shared" si="183"/>
        <v>0</v>
      </c>
      <c r="CE192" s="1007">
        <f t="shared" si="183"/>
        <v>0</v>
      </c>
      <c r="CF192" s="1007">
        <f t="shared" si="183"/>
        <v>0</v>
      </c>
      <c r="CG192" s="1007">
        <f t="shared" si="183"/>
        <v>0</v>
      </c>
      <c r="CH192" s="1007">
        <f t="shared" si="183"/>
        <v>0</v>
      </c>
      <c r="CI192" s="1007">
        <f t="shared" si="183"/>
        <v>0</v>
      </c>
      <c r="CJ192" s="1007"/>
      <c r="CK192" s="1007"/>
      <c r="CL192" s="1007">
        <f t="shared" si="184"/>
        <v>0</v>
      </c>
      <c r="CM192" s="1010">
        <f t="shared" si="185"/>
        <v>0.66098321428700391</v>
      </c>
      <c r="CN192" s="1007">
        <f t="shared" si="176"/>
        <v>180676074</v>
      </c>
      <c r="CO192" s="1007"/>
      <c r="CP192" s="1007"/>
      <c r="CQ192" s="1007"/>
      <c r="CR192" s="1007"/>
      <c r="CS192" s="1007"/>
      <c r="CT192" s="1007"/>
      <c r="CU192" s="1007"/>
      <c r="CV192" s="1007"/>
      <c r="CW192" s="1007"/>
      <c r="CX192" s="1007"/>
      <c r="CY192" s="1007"/>
      <c r="CZ192" s="1007"/>
      <c r="DA192" s="1007"/>
      <c r="DB192" s="1007"/>
      <c r="DC192" s="1007"/>
      <c r="DD192" s="1007">
        <f>+'[8]SEPTIEMBRE 2015'!$H$807</f>
        <v>180676074</v>
      </c>
      <c r="DE192" s="1007"/>
      <c r="DF192" s="1007"/>
      <c r="DG192" s="1007"/>
      <c r="DH192" s="1007"/>
      <c r="DI192" s="1010">
        <f t="shared" si="186"/>
        <v>0.33901678571299609</v>
      </c>
      <c r="DJ192" s="1007">
        <f t="shared" si="177"/>
        <v>92668347</v>
      </c>
      <c r="DK192" s="1007"/>
      <c r="DL192" s="1007"/>
      <c r="DM192" s="1007"/>
      <c r="DN192" s="1007">
        <f t="shared" si="163"/>
        <v>0</v>
      </c>
      <c r="DO192" s="1007">
        <f t="shared" si="163"/>
        <v>0</v>
      </c>
      <c r="DP192" s="1007">
        <f t="shared" si="163"/>
        <v>0</v>
      </c>
      <c r="DQ192" s="1007">
        <f t="shared" si="163"/>
        <v>0</v>
      </c>
      <c r="DR192" s="1007"/>
      <c r="DS192" s="1007">
        <f t="shared" si="187"/>
        <v>0</v>
      </c>
      <c r="DT192" s="1007">
        <f t="shared" si="187"/>
        <v>0</v>
      </c>
      <c r="DU192" s="1007"/>
      <c r="DV192" s="1007">
        <f t="shared" si="188"/>
        <v>0</v>
      </c>
      <c r="DW192" s="1007">
        <f t="shared" si="188"/>
        <v>0</v>
      </c>
      <c r="DX192" s="1007">
        <f t="shared" si="188"/>
        <v>0</v>
      </c>
      <c r="DY192" s="1007">
        <f t="shared" si="189"/>
        <v>0</v>
      </c>
      <c r="DZ192" s="1007">
        <f t="shared" si="189"/>
        <v>92668347</v>
      </c>
      <c r="EA192" s="1007">
        <f t="shared" si="189"/>
        <v>0</v>
      </c>
      <c r="EB192" s="1007">
        <f t="shared" si="189"/>
        <v>0</v>
      </c>
      <c r="EC192" s="1007">
        <f t="shared" si="189"/>
        <v>0</v>
      </c>
      <c r="ED192" s="1007">
        <f t="shared" si="189"/>
        <v>0</v>
      </c>
    </row>
    <row r="193" spans="1:145" ht="45" hidden="1" customHeight="1" x14ac:dyDescent="0.25">
      <c r="A193" s="1590"/>
      <c r="B193" s="1006"/>
      <c r="C193" s="1114" t="s">
        <v>4665</v>
      </c>
      <c r="D193" s="1018" t="s">
        <v>4546</v>
      </c>
      <c r="E193" s="1049">
        <v>310</v>
      </c>
      <c r="F193" s="1117" t="s">
        <v>4547</v>
      </c>
      <c r="G193" s="1430"/>
      <c r="H193" s="1060">
        <f t="shared" si="143"/>
        <v>11972498</v>
      </c>
      <c r="I193" s="1060">
        <f t="shared" si="144"/>
        <v>18027502</v>
      </c>
      <c r="J193" s="1283"/>
      <c r="K193" s="1198"/>
      <c r="L193" s="1198"/>
      <c r="M193" s="1113">
        <v>13</v>
      </c>
      <c r="N193" s="1113">
        <v>0</v>
      </c>
      <c r="O193" s="1113">
        <v>0</v>
      </c>
      <c r="P193" s="1113">
        <v>16</v>
      </c>
      <c r="Q193" s="1113">
        <v>0</v>
      </c>
      <c r="R193" s="1113">
        <v>0</v>
      </c>
      <c r="S193" s="1117"/>
      <c r="T193" s="1117"/>
      <c r="U193" s="1117"/>
      <c r="V193" s="1117"/>
      <c r="W193" s="1117"/>
      <c r="X193" s="1117"/>
      <c r="Y193" s="1007">
        <f t="shared" si="173"/>
        <v>30000000</v>
      </c>
      <c r="Z193" s="995"/>
      <c r="AA193" s="995"/>
      <c r="AB193" s="995"/>
      <c r="AC193" s="995"/>
      <c r="AD193" s="995"/>
      <c r="AE193" s="995"/>
      <c r="AF193" s="995"/>
      <c r="AG193" s="995"/>
      <c r="AH193" s="995"/>
      <c r="AI193" s="241"/>
      <c r="AJ193" s="241"/>
      <c r="AK193" s="241"/>
      <c r="AL193" s="241"/>
      <c r="AM193" s="241"/>
      <c r="AN193" s="995"/>
      <c r="AO193" s="995"/>
      <c r="AP193" s="995"/>
      <c r="AQ193" s="995"/>
      <c r="AR193" s="995"/>
      <c r="AS193" s="1007">
        <f>10000000+4000000+16000000</f>
        <v>30000000</v>
      </c>
      <c r="AU193" s="1010">
        <f t="shared" si="178"/>
        <v>0.66666666666666663</v>
      </c>
      <c r="AV193" s="1007">
        <f t="shared" si="174"/>
        <v>20000000</v>
      </c>
      <c r="AW193" s="1007"/>
      <c r="AX193" s="1007"/>
      <c r="AY193" s="1007"/>
      <c r="AZ193" s="1007"/>
      <c r="BA193" s="1007"/>
      <c r="BB193" s="1007"/>
      <c r="BC193" s="1007"/>
      <c r="BD193" s="1007"/>
      <c r="BE193" s="1007"/>
      <c r="BF193" s="1007"/>
      <c r="BG193" s="1007"/>
      <c r="BH193" s="1007"/>
      <c r="BI193" s="1007"/>
      <c r="BJ193" s="1007"/>
      <c r="BK193" s="1007"/>
      <c r="BL193" s="1007"/>
      <c r="BM193" s="1007"/>
      <c r="BN193" s="1007"/>
      <c r="BO193" s="1007"/>
      <c r="BP193" s="1007">
        <f>+'[10]JULIO 2015'!$G$716</f>
        <v>20000000</v>
      </c>
      <c r="BQ193" s="1010">
        <f t="shared" si="179"/>
        <v>0.33333333333333337</v>
      </c>
      <c r="BR193" s="1007">
        <f t="shared" si="175"/>
        <v>10000000</v>
      </c>
      <c r="BS193" s="1007">
        <f t="shared" si="180"/>
        <v>0</v>
      </c>
      <c r="BT193" s="1007">
        <f t="shared" si="181"/>
        <v>0</v>
      </c>
      <c r="BU193" s="1007"/>
      <c r="BV193" s="1007">
        <f t="shared" si="162"/>
        <v>0</v>
      </c>
      <c r="BW193" s="1007">
        <f t="shared" si="162"/>
        <v>0</v>
      </c>
      <c r="BX193" s="1007">
        <f t="shared" si="182"/>
        <v>0</v>
      </c>
      <c r="BY193" s="1007">
        <f t="shared" si="182"/>
        <v>0</v>
      </c>
      <c r="BZ193" s="1007"/>
      <c r="CA193" s="1007">
        <f t="shared" si="183"/>
        <v>0</v>
      </c>
      <c r="CB193" s="1007">
        <f t="shared" si="183"/>
        <v>0</v>
      </c>
      <c r="CC193" s="1007">
        <f t="shared" si="183"/>
        <v>0</v>
      </c>
      <c r="CD193" s="1007">
        <f t="shared" si="183"/>
        <v>0</v>
      </c>
      <c r="CE193" s="1007">
        <f t="shared" si="183"/>
        <v>0</v>
      </c>
      <c r="CF193" s="1007">
        <f t="shared" si="183"/>
        <v>0</v>
      </c>
      <c r="CG193" s="1007">
        <f t="shared" si="183"/>
        <v>0</v>
      </c>
      <c r="CH193" s="1007">
        <f t="shared" si="183"/>
        <v>0</v>
      </c>
      <c r="CI193" s="1007">
        <f t="shared" si="183"/>
        <v>0</v>
      </c>
      <c r="CJ193" s="1007"/>
      <c r="CK193" s="1007"/>
      <c r="CL193" s="1007">
        <f t="shared" ref="CL193:CL194" si="190">+AS193-BP193</f>
        <v>10000000</v>
      </c>
      <c r="CM193" s="1010">
        <f t="shared" si="185"/>
        <v>0.39908326666666666</v>
      </c>
      <c r="CN193" s="1007">
        <f t="shared" si="176"/>
        <v>11972498</v>
      </c>
      <c r="CO193" s="1007"/>
      <c r="CP193" s="1007"/>
      <c r="CQ193" s="1007"/>
      <c r="CR193" s="1007"/>
      <c r="CS193" s="1007"/>
      <c r="CT193" s="1007"/>
      <c r="CU193" s="1007"/>
      <c r="CV193" s="1007"/>
      <c r="CW193" s="1007"/>
      <c r="CX193" s="1007"/>
      <c r="CY193" s="1007"/>
      <c r="CZ193" s="1007"/>
      <c r="DA193" s="1007"/>
      <c r="DB193" s="1007"/>
      <c r="DC193" s="1007"/>
      <c r="DD193" s="1007"/>
      <c r="DE193" s="1007"/>
      <c r="DF193" s="1007"/>
      <c r="DG193" s="1007"/>
      <c r="DH193" s="1007">
        <f>+'[8]SEPTIEMBRE 2015'!$H$938</f>
        <v>11972498</v>
      </c>
      <c r="DI193" s="1010">
        <f t="shared" si="186"/>
        <v>0.6009167333333334</v>
      </c>
      <c r="DJ193" s="1007">
        <f t="shared" si="177"/>
        <v>18027502</v>
      </c>
      <c r="DK193" s="1007"/>
      <c r="DL193" s="1007"/>
      <c r="DM193" s="1007"/>
      <c r="DN193" s="1007">
        <f t="shared" si="163"/>
        <v>0</v>
      </c>
      <c r="DO193" s="1007">
        <f t="shared" si="163"/>
        <v>0</v>
      </c>
      <c r="DP193" s="1007">
        <f t="shared" si="163"/>
        <v>0</v>
      </c>
      <c r="DQ193" s="1007">
        <f t="shared" si="163"/>
        <v>0</v>
      </c>
      <c r="DR193" s="1007"/>
      <c r="DS193" s="1007">
        <f t="shared" si="187"/>
        <v>0</v>
      </c>
      <c r="DT193" s="1007">
        <f t="shared" si="187"/>
        <v>0</v>
      </c>
      <c r="DU193" s="1007"/>
      <c r="DV193" s="1007">
        <f t="shared" si="188"/>
        <v>0</v>
      </c>
      <c r="DW193" s="1007">
        <f t="shared" si="188"/>
        <v>0</v>
      </c>
      <c r="DX193" s="1007">
        <f t="shared" si="188"/>
        <v>0</v>
      </c>
      <c r="DY193" s="1007">
        <f t="shared" si="189"/>
        <v>0</v>
      </c>
      <c r="DZ193" s="1007">
        <f t="shared" si="189"/>
        <v>0</v>
      </c>
      <c r="EA193" s="1007">
        <f t="shared" si="189"/>
        <v>0</v>
      </c>
      <c r="EB193" s="1007">
        <f t="shared" si="189"/>
        <v>0</v>
      </c>
      <c r="EC193" s="1007">
        <f t="shared" si="189"/>
        <v>0</v>
      </c>
      <c r="ED193" s="1007">
        <f t="shared" si="189"/>
        <v>18027502</v>
      </c>
    </row>
    <row r="194" spans="1:145" s="203" customFormat="1" ht="24" hidden="1" customHeight="1" x14ac:dyDescent="0.25">
      <c r="A194" s="1590"/>
      <c r="B194" s="1006"/>
      <c r="C194" s="1080" t="s">
        <v>4680</v>
      </c>
      <c r="D194" s="1018" t="s">
        <v>4681</v>
      </c>
      <c r="E194" s="996">
        <v>111</v>
      </c>
      <c r="F194" s="1117" t="s">
        <v>4482</v>
      </c>
      <c r="G194" s="1117"/>
      <c r="H194" s="1060">
        <f t="shared" ref="H194" si="191">+CN194</f>
        <v>0</v>
      </c>
      <c r="I194" s="1060">
        <f t="shared" ref="I194" si="192">Y194-H194</f>
        <v>0</v>
      </c>
      <c r="J194" s="771"/>
      <c r="K194" s="1117"/>
      <c r="L194" s="1117"/>
      <c r="M194" s="1070"/>
      <c r="N194" s="1070"/>
      <c r="O194" s="1070"/>
      <c r="P194" s="1070"/>
      <c r="Q194" s="1070"/>
      <c r="R194" s="1070"/>
      <c r="S194" s="1117"/>
      <c r="T194" s="1117"/>
      <c r="U194" s="1117"/>
      <c r="V194" s="1117"/>
      <c r="W194" s="1117"/>
      <c r="X194" s="1117"/>
      <c r="Y194" s="1066">
        <f>SUM(AA194:AS194)</f>
        <v>0</v>
      </c>
      <c r="Z194" s="241"/>
      <c r="AA194" s="241"/>
      <c r="AB194" s="241"/>
      <c r="AC194" s="241">
        <f>417803755-417803755</f>
        <v>0</v>
      </c>
      <c r="AD194" s="241"/>
      <c r="AE194" s="241"/>
      <c r="AF194" s="241"/>
      <c r="AG194" s="241"/>
      <c r="AH194" s="241"/>
      <c r="AI194" s="241"/>
      <c r="AJ194" s="241"/>
      <c r="AK194" s="241"/>
      <c r="AL194" s="241"/>
      <c r="AM194" s="241"/>
      <c r="AN194" s="241"/>
      <c r="AO194" s="241"/>
      <c r="AP194" s="241"/>
      <c r="AQ194" s="241"/>
      <c r="AR194" s="241"/>
      <c r="AS194" s="1066"/>
      <c r="AU194" s="1081" t="e">
        <f t="shared" si="178"/>
        <v>#DIV/0!</v>
      </c>
      <c r="AV194" s="1066">
        <f t="shared" ref="AV194" si="193">SUM(AW194:BP194)</f>
        <v>0</v>
      </c>
      <c r="AW194" s="1066"/>
      <c r="AX194" s="1066"/>
      <c r="AY194" s="1066"/>
      <c r="AZ194" s="1066"/>
      <c r="BA194" s="1066"/>
      <c r="BB194" s="1066"/>
      <c r="BC194" s="1066"/>
      <c r="BD194" s="1066"/>
      <c r="BE194" s="1066"/>
      <c r="BF194" s="1066"/>
      <c r="BG194" s="1066"/>
      <c r="BH194" s="1066"/>
      <c r="BI194" s="1066"/>
      <c r="BJ194" s="1066"/>
      <c r="BK194" s="1066"/>
      <c r="BL194" s="1066"/>
      <c r="BM194" s="1066"/>
      <c r="BN194" s="1066"/>
      <c r="BO194" s="1066"/>
      <c r="BP194" s="1066"/>
      <c r="BQ194" s="1081" t="e">
        <f t="shared" si="179"/>
        <v>#DIV/0!</v>
      </c>
      <c r="BR194" s="1066">
        <f t="shared" si="175"/>
        <v>0</v>
      </c>
      <c r="BS194" s="1066">
        <f t="shared" si="180"/>
        <v>0</v>
      </c>
      <c r="BT194" s="1066">
        <f t="shared" si="181"/>
        <v>0</v>
      </c>
      <c r="BU194" s="1066"/>
      <c r="BV194" s="1066">
        <f t="shared" si="162"/>
        <v>0</v>
      </c>
      <c r="BW194" s="1066">
        <f t="shared" si="162"/>
        <v>0</v>
      </c>
      <c r="BX194" s="1066">
        <f t="shared" si="182"/>
        <v>0</v>
      </c>
      <c r="BY194" s="1066">
        <f t="shared" si="182"/>
        <v>0</v>
      </c>
      <c r="BZ194" s="1066"/>
      <c r="CA194" s="1066">
        <f t="shared" si="183"/>
        <v>0</v>
      </c>
      <c r="CB194" s="1066">
        <f t="shared" si="183"/>
        <v>0</v>
      </c>
      <c r="CC194" s="1066">
        <f t="shared" si="183"/>
        <v>0</v>
      </c>
      <c r="CD194" s="1066">
        <f t="shared" si="183"/>
        <v>0</v>
      </c>
      <c r="CE194" s="1066">
        <f t="shared" si="183"/>
        <v>0</v>
      </c>
      <c r="CF194" s="1066">
        <f t="shared" si="183"/>
        <v>0</v>
      </c>
      <c r="CG194" s="1066">
        <f t="shared" si="183"/>
        <v>0</v>
      </c>
      <c r="CH194" s="1066">
        <f t="shared" si="183"/>
        <v>0</v>
      </c>
      <c r="CI194" s="1066">
        <f t="shared" si="183"/>
        <v>0</v>
      </c>
      <c r="CJ194" s="1066"/>
      <c r="CK194" s="1066"/>
      <c r="CL194" s="1066">
        <f t="shared" si="190"/>
        <v>0</v>
      </c>
      <c r="CM194" s="1081" t="e">
        <f t="shared" si="185"/>
        <v>#DIV/0!</v>
      </c>
      <c r="CN194" s="1066">
        <f t="shared" si="176"/>
        <v>0</v>
      </c>
      <c r="CO194" s="1066"/>
      <c r="CP194" s="1066"/>
      <c r="CQ194" s="1066"/>
      <c r="CR194" s="1066"/>
      <c r="CS194" s="1066"/>
      <c r="CT194" s="1066"/>
      <c r="CU194" s="1066"/>
      <c r="CV194" s="1066"/>
      <c r="CW194" s="1066"/>
      <c r="CX194" s="1066"/>
      <c r="CY194" s="1066"/>
      <c r="CZ194" s="1066"/>
      <c r="DA194" s="1066"/>
      <c r="DB194" s="1066"/>
      <c r="DC194" s="1066"/>
      <c r="DD194" s="1066"/>
      <c r="DE194" s="1066"/>
      <c r="DF194" s="1066"/>
      <c r="DG194" s="1066"/>
      <c r="DH194" s="1066"/>
      <c r="DI194" s="1081" t="e">
        <f t="shared" si="186"/>
        <v>#DIV/0!</v>
      </c>
      <c r="DJ194" s="1066">
        <f t="shared" si="177"/>
        <v>0</v>
      </c>
      <c r="DK194" s="1066"/>
      <c r="DL194" s="1066"/>
      <c r="DM194" s="1066"/>
      <c r="DN194" s="1066">
        <f t="shared" si="163"/>
        <v>0</v>
      </c>
      <c r="DO194" s="1066">
        <f t="shared" si="163"/>
        <v>0</v>
      </c>
      <c r="DP194" s="1066">
        <f t="shared" si="163"/>
        <v>0</v>
      </c>
      <c r="DQ194" s="1066">
        <f t="shared" si="163"/>
        <v>0</v>
      </c>
      <c r="DR194" s="1066"/>
      <c r="DS194" s="1066">
        <f t="shared" si="187"/>
        <v>0</v>
      </c>
      <c r="DT194" s="1066">
        <f t="shared" si="187"/>
        <v>0</v>
      </c>
      <c r="DU194" s="1066"/>
      <c r="DV194" s="1066">
        <f t="shared" si="188"/>
        <v>0</v>
      </c>
      <c r="DW194" s="1066">
        <f t="shared" si="188"/>
        <v>0</v>
      </c>
      <c r="DX194" s="1066">
        <f t="shared" si="188"/>
        <v>0</v>
      </c>
      <c r="DY194" s="1066">
        <f t="shared" si="189"/>
        <v>0</v>
      </c>
      <c r="DZ194" s="1066">
        <f t="shared" si="189"/>
        <v>0</v>
      </c>
      <c r="EA194" s="1066">
        <f t="shared" si="189"/>
        <v>0</v>
      </c>
      <c r="EB194" s="1066">
        <f t="shared" si="189"/>
        <v>0</v>
      </c>
      <c r="EC194" s="1066">
        <f t="shared" si="189"/>
        <v>0</v>
      </c>
      <c r="ED194" s="1066">
        <f t="shared" si="189"/>
        <v>0</v>
      </c>
    </row>
    <row r="195" spans="1:145" s="948" customFormat="1" ht="25.5" customHeight="1" thickTop="1" thickBot="1" x14ac:dyDescent="0.3">
      <c r="A195" s="1058"/>
      <c r="B195" s="1625" t="s">
        <v>4984</v>
      </c>
      <c r="C195" s="1626"/>
      <c r="D195" s="1626"/>
      <c r="E195" s="1002"/>
      <c r="F195" s="1003"/>
      <c r="G195" s="1063">
        <f>SUM(G130:G194)</f>
        <v>20835000000</v>
      </c>
      <c r="H195" s="1063">
        <f>SUM(H130:H194)</f>
        <v>4709181432</v>
      </c>
      <c r="I195" s="1063">
        <f>SUM(I130:I194)</f>
        <v>6422532308</v>
      </c>
      <c r="J195" s="1003"/>
      <c r="K195" s="1003"/>
      <c r="L195" s="1003"/>
      <c r="M195" s="1003"/>
      <c r="N195" s="1003"/>
      <c r="O195" s="1003"/>
      <c r="P195" s="1003"/>
      <c r="Q195" s="1003"/>
      <c r="R195" s="1003"/>
      <c r="S195" s="1003"/>
      <c r="T195" s="1003"/>
      <c r="U195" s="1003"/>
      <c r="V195" s="1003"/>
      <c r="W195" s="1003"/>
      <c r="X195" s="1003"/>
      <c r="Y195" s="1008">
        <f t="shared" ref="Y195:AS195" si="194">SUM(Y130:Y194)</f>
        <v>11131713740</v>
      </c>
      <c r="Z195" s="1008">
        <f t="shared" si="194"/>
        <v>0</v>
      </c>
      <c r="AA195" s="1008">
        <f t="shared" si="194"/>
        <v>0</v>
      </c>
      <c r="AB195" s="1008">
        <f t="shared" si="194"/>
        <v>0</v>
      </c>
      <c r="AC195" s="1008">
        <f t="shared" si="194"/>
        <v>9036421581</v>
      </c>
      <c r="AD195" s="1008">
        <f t="shared" si="194"/>
        <v>20011334</v>
      </c>
      <c r="AE195" s="1008">
        <f t="shared" si="194"/>
        <v>625000000</v>
      </c>
      <c r="AF195" s="1008">
        <f t="shared" si="194"/>
        <v>0</v>
      </c>
      <c r="AG195" s="1008">
        <f t="shared" si="194"/>
        <v>0</v>
      </c>
      <c r="AH195" s="1008">
        <f t="shared" si="194"/>
        <v>0</v>
      </c>
      <c r="AI195" s="1008">
        <f t="shared" si="194"/>
        <v>1940856</v>
      </c>
      <c r="AJ195" s="1008">
        <f t="shared" si="194"/>
        <v>3438802</v>
      </c>
      <c r="AK195" s="1008">
        <f t="shared" si="194"/>
        <v>318664514</v>
      </c>
      <c r="AL195" s="1008">
        <f t="shared" si="194"/>
        <v>0</v>
      </c>
      <c r="AM195" s="1008">
        <f t="shared" si="194"/>
        <v>0</v>
      </c>
      <c r="AN195" s="1008">
        <f t="shared" si="194"/>
        <v>214719551</v>
      </c>
      <c r="AO195" s="1008">
        <f t="shared" si="194"/>
        <v>347080402</v>
      </c>
      <c r="AP195" s="1008">
        <f t="shared" si="194"/>
        <v>0</v>
      </c>
      <c r="AQ195" s="1008">
        <f t="shared" si="194"/>
        <v>0</v>
      </c>
      <c r="AR195" s="1008">
        <f t="shared" si="194"/>
        <v>92524043</v>
      </c>
      <c r="AS195" s="1008">
        <f t="shared" si="194"/>
        <v>471912657</v>
      </c>
      <c r="AU195" s="1133">
        <f t="shared" si="178"/>
        <v>0.54607256815786565</v>
      </c>
      <c r="AV195" s="1008">
        <f>SUM(AV130:AV194)</f>
        <v>6078723510</v>
      </c>
      <c r="AW195" s="1008">
        <f>SUM(AW130:AW194)</f>
        <v>0</v>
      </c>
      <c r="AX195" s="1008">
        <f>SUM(AX130:AX194)</f>
        <v>0</v>
      </c>
      <c r="AY195" s="1008"/>
      <c r="AZ195" s="1008">
        <f t="shared" ref="AZ195:BP195" si="195">SUM(AZ130:AZ194)</f>
        <v>4720183661</v>
      </c>
      <c r="BA195" s="1008">
        <f t="shared" si="195"/>
        <v>17503290</v>
      </c>
      <c r="BB195" s="1008">
        <f t="shared" si="195"/>
        <v>479581957</v>
      </c>
      <c r="BC195" s="1008">
        <f t="shared" si="195"/>
        <v>0</v>
      </c>
      <c r="BD195" s="1008">
        <f t="shared" si="195"/>
        <v>0</v>
      </c>
      <c r="BE195" s="1008">
        <f t="shared" si="195"/>
        <v>0</v>
      </c>
      <c r="BF195" s="1008">
        <f t="shared" si="195"/>
        <v>0</v>
      </c>
      <c r="BG195" s="1008">
        <f t="shared" si="195"/>
        <v>0</v>
      </c>
      <c r="BH195" s="1008">
        <f t="shared" si="195"/>
        <v>50855038</v>
      </c>
      <c r="BI195" s="1008">
        <f t="shared" si="195"/>
        <v>0</v>
      </c>
      <c r="BJ195" s="1008">
        <f t="shared" si="195"/>
        <v>0</v>
      </c>
      <c r="BK195" s="1008">
        <f t="shared" si="195"/>
        <v>99940000</v>
      </c>
      <c r="BL195" s="1008">
        <f t="shared" si="195"/>
        <v>328740287</v>
      </c>
      <c r="BM195" s="1008">
        <f t="shared" si="195"/>
        <v>0</v>
      </c>
      <c r="BN195" s="1008">
        <f t="shared" si="195"/>
        <v>0</v>
      </c>
      <c r="BO195" s="1008">
        <f t="shared" si="195"/>
        <v>92524043</v>
      </c>
      <c r="BP195" s="1008">
        <f t="shared" si="195"/>
        <v>289395234</v>
      </c>
      <c r="BQ195" s="1133">
        <f t="shared" si="179"/>
        <v>0.45392743184213435</v>
      </c>
      <c r="BR195" s="1008">
        <f>SUM(BR130:BR194)</f>
        <v>5052990230</v>
      </c>
      <c r="BS195" s="1008">
        <f>SUM(BS130:BS194)</f>
        <v>0</v>
      </c>
      <c r="BT195" s="1008">
        <f>SUM(BT130:BT194)</f>
        <v>0</v>
      </c>
      <c r="BU195" s="1008"/>
      <c r="BV195" s="1008">
        <f t="shared" ref="BV195:CL195" si="196">SUM(BV130:BV194)</f>
        <v>4316237920</v>
      </c>
      <c r="BW195" s="1008">
        <f t="shared" si="196"/>
        <v>2508044</v>
      </c>
      <c r="BX195" s="1008">
        <f t="shared" si="196"/>
        <v>145418043</v>
      </c>
      <c r="BY195" s="1008">
        <f t="shared" si="196"/>
        <v>0</v>
      </c>
      <c r="BZ195" s="1008">
        <f t="shared" si="196"/>
        <v>0</v>
      </c>
      <c r="CA195" s="1008">
        <f t="shared" si="196"/>
        <v>0</v>
      </c>
      <c r="CB195" s="1008">
        <f t="shared" si="196"/>
        <v>1940856</v>
      </c>
      <c r="CC195" s="1008">
        <f t="shared" si="196"/>
        <v>3438802</v>
      </c>
      <c r="CD195" s="1008">
        <f t="shared" si="196"/>
        <v>267809476</v>
      </c>
      <c r="CE195" s="1008">
        <f t="shared" si="196"/>
        <v>0</v>
      </c>
      <c r="CF195" s="1008">
        <f t="shared" si="196"/>
        <v>0</v>
      </c>
      <c r="CG195" s="1008">
        <f t="shared" si="196"/>
        <v>114779551</v>
      </c>
      <c r="CH195" s="1008">
        <f t="shared" si="196"/>
        <v>18340115</v>
      </c>
      <c r="CI195" s="1008">
        <f t="shared" si="196"/>
        <v>0</v>
      </c>
      <c r="CJ195" s="1008">
        <f t="shared" si="196"/>
        <v>0</v>
      </c>
      <c r="CK195" s="1008">
        <f t="shared" si="196"/>
        <v>0</v>
      </c>
      <c r="CL195" s="1008">
        <f t="shared" si="196"/>
        <v>182517423</v>
      </c>
      <c r="CM195" s="1133">
        <f t="shared" si="185"/>
        <v>0.4230419090888336</v>
      </c>
      <c r="CN195" s="1008">
        <f>SUM(CN130:CN194)</f>
        <v>4709181432</v>
      </c>
      <c r="CO195" s="1008">
        <f>SUM(CO130:CO194)</f>
        <v>0</v>
      </c>
      <c r="CP195" s="1008">
        <f>SUM(CP130:CP194)</f>
        <v>0</v>
      </c>
      <c r="CQ195" s="1008"/>
      <c r="CR195" s="1008">
        <f t="shared" ref="CR195:DH195" si="197">SUM(CR130:CR194)</f>
        <v>3736197573</v>
      </c>
      <c r="CS195" s="1008">
        <f t="shared" si="197"/>
        <v>12550540</v>
      </c>
      <c r="CT195" s="1008">
        <f t="shared" si="197"/>
        <v>461313282</v>
      </c>
      <c r="CU195" s="1008">
        <f t="shared" si="197"/>
        <v>0</v>
      </c>
      <c r="CV195" s="1008">
        <f t="shared" si="197"/>
        <v>0</v>
      </c>
      <c r="CW195" s="1008">
        <f t="shared" si="197"/>
        <v>0</v>
      </c>
      <c r="CX195" s="1008">
        <f t="shared" si="197"/>
        <v>0</v>
      </c>
      <c r="CY195" s="1008">
        <f t="shared" si="197"/>
        <v>0</v>
      </c>
      <c r="CZ195" s="1008">
        <f t="shared" si="197"/>
        <v>40655038</v>
      </c>
      <c r="DA195" s="1008">
        <f t="shared" si="197"/>
        <v>0</v>
      </c>
      <c r="DB195" s="1008">
        <f t="shared" si="197"/>
        <v>0</v>
      </c>
      <c r="DC195" s="1008">
        <f t="shared" si="197"/>
        <v>80640865</v>
      </c>
      <c r="DD195" s="1008">
        <f t="shared" si="197"/>
        <v>217017957</v>
      </c>
      <c r="DE195" s="1008">
        <f t="shared" si="197"/>
        <v>0</v>
      </c>
      <c r="DF195" s="1008">
        <f t="shared" si="197"/>
        <v>0</v>
      </c>
      <c r="DG195" s="1008">
        <f t="shared" si="197"/>
        <v>0</v>
      </c>
      <c r="DH195" s="1008">
        <f t="shared" si="197"/>
        <v>160806177</v>
      </c>
      <c r="DI195" s="1133">
        <f t="shared" si="186"/>
        <v>0.57695809091116645</v>
      </c>
      <c r="DJ195" s="1008">
        <f t="shared" ref="DJ195:ED195" si="198">SUM(DJ130:DJ194)</f>
        <v>6422532308</v>
      </c>
      <c r="DK195" s="1008">
        <f t="shared" si="198"/>
        <v>0</v>
      </c>
      <c r="DL195" s="1008">
        <f t="shared" si="198"/>
        <v>0</v>
      </c>
      <c r="DM195" s="1008">
        <f t="shared" si="198"/>
        <v>0</v>
      </c>
      <c r="DN195" s="1008">
        <f t="shared" si="198"/>
        <v>5300224008</v>
      </c>
      <c r="DO195" s="1008">
        <f t="shared" si="198"/>
        <v>7460794</v>
      </c>
      <c r="DP195" s="1008">
        <f t="shared" si="198"/>
        <v>163686718</v>
      </c>
      <c r="DQ195" s="1008">
        <f t="shared" si="198"/>
        <v>0</v>
      </c>
      <c r="DR195" s="1008">
        <f t="shared" si="198"/>
        <v>0</v>
      </c>
      <c r="DS195" s="1008">
        <f t="shared" si="198"/>
        <v>0</v>
      </c>
      <c r="DT195" s="1008">
        <f t="shared" si="198"/>
        <v>1940856</v>
      </c>
      <c r="DU195" s="1008">
        <f t="shared" si="198"/>
        <v>3438802</v>
      </c>
      <c r="DV195" s="1008">
        <f t="shared" si="198"/>
        <v>278009476</v>
      </c>
      <c r="DW195" s="1008">
        <f t="shared" si="198"/>
        <v>0</v>
      </c>
      <c r="DX195" s="1008">
        <f t="shared" si="198"/>
        <v>0</v>
      </c>
      <c r="DY195" s="1008">
        <f t="shared" si="198"/>
        <v>134078686</v>
      </c>
      <c r="DZ195" s="1008">
        <f t="shared" si="198"/>
        <v>130062445</v>
      </c>
      <c r="EA195" s="1008">
        <f t="shared" si="198"/>
        <v>0</v>
      </c>
      <c r="EB195" s="1008">
        <f t="shared" si="198"/>
        <v>0</v>
      </c>
      <c r="EC195" s="1008">
        <f t="shared" si="198"/>
        <v>92524043</v>
      </c>
      <c r="ED195" s="1008">
        <f t="shared" si="198"/>
        <v>311106480</v>
      </c>
    </row>
    <row r="196" spans="1:145" ht="12" customHeight="1" thickTop="1" x14ac:dyDescent="0.25">
      <c r="C196" s="963"/>
      <c r="D196" s="963"/>
      <c r="E196" s="963"/>
      <c r="F196" s="963"/>
      <c r="G196" s="963"/>
      <c r="H196" s="963"/>
      <c r="I196" s="963"/>
      <c r="J196" s="963"/>
      <c r="K196" s="963"/>
      <c r="L196" s="963"/>
      <c r="M196" s="963"/>
      <c r="N196" s="963"/>
      <c r="O196" s="963"/>
      <c r="P196" s="963"/>
      <c r="Q196" s="963"/>
      <c r="R196" s="963"/>
      <c r="S196" s="963"/>
      <c r="T196" s="963"/>
      <c r="U196" s="963"/>
      <c r="V196" s="963"/>
      <c r="W196" s="963"/>
      <c r="X196" s="963"/>
      <c r="Y196" s="992"/>
      <c r="Z196" s="992"/>
      <c r="AA196" s="992"/>
      <c r="AB196" s="992"/>
      <c r="AC196" s="993"/>
      <c r="AD196" s="992"/>
      <c r="AE196" s="686"/>
      <c r="AF196" s="686"/>
      <c r="AG196" s="686"/>
      <c r="AH196" s="686"/>
      <c r="AI196" s="686"/>
      <c r="AJ196" s="686"/>
      <c r="AK196" s="686"/>
      <c r="AL196" s="686"/>
      <c r="AM196" s="686"/>
      <c r="AN196" s="686"/>
      <c r="AO196" s="686"/>
      <c r="AP196" s="686"/>
      <c r="AQ196" s="686"/>
      <c r="AR196" s="686"/>
      <c r="AS196" s="686"/>
      <c r="AU196" s="1004"/>
      <c r="AV196" s="875"/>
      <c r="AW196" s="875"/>
      <c r="AX196" s="875"/>
      <c r="AY196" s="875"/>
      <c r="AZ196" s="875"/>
      <c r="BA196" s="875"/>
      <c r="BB196" s="875"/>
      <c r="BC196" s="875"/>
      <c r="BD196" s="875"/>
      <c r="BE196" s="875"/>
      <c r="BF196" s="875"/>
      <c r="BG196" s="875"/>
      <c r="BH196" s="875"/>
      <c r="BI196" s="875"/>
      <c r="BJ196" s="875"/>
      <c r="BK196" s="875"/>
      <c r="BL196" s="875"/>
      <c r="BM196" s="875"/>
      <c r="BN196" s="875"/>
      <c r="BO196" s="875"/>
      <c r="BP196" s="875"/>
      <c r="BQ196" s="1004"/>
      <c r="BR196" s="875"/>
      <c r="BS196" s="875"/>
      <c r="BT196" s="875"/>
      <c r="BU196" s="875"/>
      <c r="BV196" s="875"/>
      <c r="BW196" s="875"/>
      <c r="BX196" s="875"/>
      <c r="BY196" s="875"/>
      <c r="BZ196" s="875"/>
      <c r="CA196" s="875"/>
      <c r="CB196" s="875"/>
      <c r="CC196" s="875"/>
      <c r="CD196" s="875"/>
      <c r="CE196" s="875"/>
      <c r="CF196" s="875"/>
      <c r="CG196" s="875"/>
      <c r="CH196" s="875"/>
      <c r="CI196" s="875"/>
      <c r="CJ196" s="875"/>
      <c r="CK196" s="875"/>
      <c r="CL196" s="875"/>
      <c r="CM196" s="1004"/>
      <c r="CN196" s="1044"/>
      <c r="CO196" s="875"/>
      <c r="CP196" s="875"/>
      <c r="CQ196" s="875"/>
      <c r="CR196" s="875"/>
      <c r="CS196" s="875"/>
      <c r="CT196" s="875"/>
      <c r="CU196" s="875"/>
      <c r="CV196" s="875"/>
      <c r="CW196" s="875"/>
      <c r="CX196" s="875"/>
      <c r="CY196" s="875"/>
      <c r="CZ196" s="875"/>
      <c r="DA196" s="875"/>
      <c r="DB196" s="875"/>
      <c r="DC196" s="875"/>
      <c r="DD196" s="875"/>
      <c r="DE196" s="875"/>
      <c r="DF196" s="875"/>
      <c r="DG196" s="875"/>
      <c r="DH196" s="875"/>
      <c r="DI196" s="1004"/>
      <c r="DJ196" s="875"/>
      <c r="DK196" s="875"/>
      <c r="DL196" s="875"/>
      <c r="DM196" s="875"/>
      <c r="DN196" s="875"/>
      <c r="DO196" s="875"/>
      <c r="DP196" s="875"/>
      <c r="DQ196" s="875"/>
      <c r="DR196" s="875"/>
      <c r="DS196" s="875"/>
      <c r="DT196" s="875"/>
      <c r="DU196" s="875"/>
      <c r="DV196" s="875"/>
      <c r="DW196" s="875"/>
      <c r="DX196" s="875"/>
      <c r="DY196" s="875"/>
      <c r="DZ196" s="875"/>
      <c r="EA196" s="875"/>
      <c r="EB196" s="875"/>
      <c r="EC196" s="875"/>
      <c r="ED196" s="875"/>
      <c r="EF196" s="1632"/>
      <c r="EG196" s="1632"/>
      <c r="EH196" s="1632"/>
      <c r="EI196" s="1632"/>
      <c r="EJ196" s="1632"/>
      <c r="EK196" s="1632"/>
      <c r="EL196" s="1632"/>
      <c r="EM196" s="1632"/>
      <c r="EN196" s="1632"/>
      <c r="EO196" s="1632"/>
    </row>
    <row r="197" spans="1:145" ht="19.5" customHeight="1" x14ac:dyDescent="0.25">
      <c r="C197" s="1207" t="s">
        <v>622</v>
      </c>
      <c r="D197" s="1208"/>
      <c r="E197" s="1217"/>
      <c r="F197" s="242"/>
      <c r="G197" s="875">
        <f>G34+G67+G104+G129+G195</f>
        <v>31953000000</v>
      </c>
      <c r="H197" s="1059">
        <f>H34+H67+H104+H129+H195</f>
        <v>13002235707</v>
      </c>
      <c r="I197" s="1059">
        <f>I34+I67+I104+I129+I195</f>
        <v>12086857596</v>
      </c>
      <c r="J197" s="242"/>
      <c r="K197" s="242"/>
      <c r="L197" s="242"/>
      <c r="M197" s="242"/>
      <c r="N197" s="242"/>
      <c r="O197" s="242"/>
      <c r="P197" s="242"/>
      <c r="Q197" s="242"/>
      <c r="R197" s="242"/>
      <c r="S197" s="242"/>
      <c r="T197" s="242"/>
      <c r="U197" s="242"/>
      <c r="V197" s="242"/>
      <c r="W197" s="242"/>
      <c r="X197" s="242"/>
      <c r="Y197" s="875">
        <f t="shared" ref="Y197:AS197" si="199">Y34+Y67+Y104+Y129+Y195</f>
        <v>25089093303</v>
      </c>
      <c r="Z197" s="875">
        <f t="shared" si="199"/>
        <v>104079469</v>
      </c>
      <c r="AA197" s="875">
        <f t="shared" si="199"/>
        <v>134533656</v>
      </c>
      <c r="AB197" s="875">
        <f t="shared" si="199"/>
        <v>396726534</v>
      </c>
      <c r="AC197" s="875">
        <f t="shared" si="199"/>
        <v>9862143612</v>
      </c>
      <c r="AD197" s="875">
        <f t="shared" si="199"/>
        <v>92895874</v>
      </c>
      <c r="AE197" s="875">
        <f t="shared" si="199"/>
        <v>2509180877</v>
      </c>
      <c r="AF197" s="875">
        <f t="shared" si="199"/>
        <v>1300000000</v>
      </c>
      <c r="AG197" s="875">
        <f t="shared" si="199"/>
        <v>102810569</v>
      </c>
      <c r="AH197" s="875">
        <f t="shared" si="199"/>
        <v>219471348</v>
      </c>
      <c r="AI197" s="875">
        <f t="shared" si="199"/>
        <v>1940856</v>
      </c>
      <c r="AJ197" s="875">
        <f t="shared" si="199"/>
        <v>3438802</v>
      </c>
      <c r="AK197" s="875">
        <f t="shared" si="199"/>
        <v>318664514</v>
      </c>
      <c r="AL197" s="875">
        <f t="shared" si="199"/>
        <v>4114878115</v>
      </c>
      <c r="AM197" s="875">
        <f t="shared" si="199"/>
        <v>1077016006</v>
      </c>
      <c r="AN197" s="875">
        <f t="shared" si="199"/>
        <v>1074256830</v>
      </c>
      <c r="AO197" s="875">
        <f t="shared" si="199"/>
        <v>999377331</v>
      </c>
      <c r="AP197" s="875">
        <f t="shared" si="199"/>
        <v>1181607989</v>
      </c>
      <c r="AQ197" s="875">
        <f t="shared" si="199"/>
        <v>80844085</v>
      </c>
      <c r="AR197" s="875">
        <f t="shared" si="199"/>
        <v>92524043</v>
      </c>
      <c r="AS197" s="875">
        <f t="shared" si="199"/>
        <v>1422702793</v>
      </c>
      <c r="AU197" s="238">
        <f>+AV197/Y197</f>
        <v>0.69682194361760907</v>
      </c>
      <c r="AV197" s="875">
        <f t="shared" ref="AV197:BP197" si="200">AV34+AV67+AV104+AV129+AV195</f>
        <v>17482630759</v>
      </c>
      <c r="AW197" s="875">
        <f t="shared" si="200"/>
        <v>103245422</v>
      </c>
      <c r="AX197" s="875">
        <f t="shared" si="200"/>
        <v>133268976</v>
      </c>
      <c r="AY197" s="875">
        <f t="shared" si="200"/>
        <v>396726534</v>
      </c>
      <c r="AZ197" s="875">
        <f t="shared" si="200"/>
        <v>5545905692</v>
      </c>
      <c r="BA197" s="875">
        <f t="shared" si="200"/>
        <v>17503290</v>
      </c>
      <c r="BB197" s="875">
        <f t="shared" si="200"/>
        <v>2038364580</v>
      </c>
      <c r="BC197" s="875">
        <f t="shared" si="200"/>
        <v>1199755531</v>
      </c>
      <c r="BD197" s="875">
        <f t="shared" si="200"/>
        <v>102810569</v>
      </c>
      <c r="BE197" s="875">
        <f t="shared" si="200"/>
        <v>219471348</v>
      </c>
      <c r="BF197" s="875">
        <f t="shared" si="200"/>
        <v>0</v>
      </c>
      <c r="BG197" s="875">
        <f t="shared" si="200"/>
        <v>0</v>
      </c>
      <c r="BH197" s="875">
        <f t="shared" si="200"/>
        <v>50855038</v>
      </c>
      <c r="BI197" s="875">
        <f t="shared" si="200"/>
        <v>2645702520</v>
      </c>
      <c r="BJ197" s="875">
        <f t="shared" si="200"/>
        <v>911709578</v>
      </c>
      <c r="BK197" s="875">
        <f t="shared" si="200"/>
        <v>749094856</v>
      </c>
      <c r="BL197" s="875">
        <f t="shared" si="200"/>
        <v>915082987</v>
      </c>
      <c r="BM197" s="875">
        <f t="shared" si="200"/>
        <v>1157607989</v>
      </c>
      <c r="BN197" s="875">
        <f t="shared" si="200"/>
        <v>80844085</v>
      </c>
      <c r="BO197" s="875">
        <f t="shared" si="200"/>
        <v>92524043</v>
      </c>
      <c r="BP197" s="875">
        <f t="shared" si="200"/>
        <v>1122157721</v>
      </c>
      <c r="BQ197" s="950">
        <f>1-AU197</f>
        <v>0.30317805638239093</v>
      </c>
      <c r="BR197" s="875">
        <f t="shared" ref="BR197:CL197" si="201">BR34+BR67+BR104+BR129+BR195</f>
        <v>7606462544</v>
      </c>
      <c r="BS197" s="875">
        <f t="shared" si="201"/>
        <v>834047</v>
      </c>
      <c r="BT197" s="875">
        <f t="shared" si="201"/>
        <v>1264680</v>
      </c>
      <c r="BU197" s="875">
        <f t="shared" si="201"/>
        <v>0</v>
      </c>
      <c r="BV197" s="875">
        <f t="shared" si="201"/>
        <v>4316237920</v>
      </c>
      <c r="BW197" s="875">
        <f t="shared" si="201"/>
        <v>75392584</v>
      </c>
      <c r="BX197" s="875">
        <f t="shared" si="201"/>
        <v>470816297</v>
      </c>
      <c r="BY197" s="875">
        <f t="shared" si="201"/>
        <v>100244469</v>
      </c>
      <c r="BZ197" s="875">
        <f t="shared" si="201"/>
        <v>0</v>
      </c>
      <c r="CA197" s="875">
        <f t="shared" si="201"/>
        <v>0</v>
      </c>
      <c r="CB197" s="875">
        <f t="shared" si="201"/>
        <v>1940856</v>
      </c>
      <c r="CC197" s="875">
        <f t="shared" si="201"/>
        <v>3438802</v>
      </c>
      <c r="CD197" s="875">
        <f t="shared" si="201"/>
        <v>267809476</v>
      </c>
      <c r="CE197" s="875">
        <f t="shared" si="201"/>
        <v>1469175595</v>
      </c>
      <c r="CF197" s="875">
        <f t="shared" si="201"/>
        <v>165306428</v>
      </c>
      <c r="CG197" s="875">
        <f t="shared" si="201"/>
        <v>325161974</v>
      </c>
      <c r="CH197" s="875">
        <f t="shared" si="201"/>
        <v>84294344</v>
      </c>
      <c r="CI197" s="875">
        <f t="shared" si="201"/>
        <v>24000000</v>
      </c>
      <c r="CJ197" s="875">
        <f t="shared" si="201"/>
        <v>0</v>
      </c>
      <c r="CK197" s="875">
        <f t="shared" si="201"/>
        <v>0</v>
      </c>
      <c r="CL197" s="875">
        <f t="shared" si="201"/>
        <v>300545072</v>
      </c>
      <c r="CM197" s="950">
        <f>+CN197/Y197</f>
        <v>0.51824255065627556</v>
      </c>
      <c r="CN197" s="875">
        <f t="shared" ref="CN197:ED197" si="202">CN34+CN67+CN104+CN129+CN195</f>
        <v>13002235707</v>
      </c>
      <c r="CO197" s="875">
        <f t="shared" si="202"/>
        <v>57672466</v>
      </c>
      <c r="CP197" s="875">
        <f t="shared" si="202"/>
        <v>133268976</v>
      </c>
      <c r="CQ197" s="875">
        <f t="shared" si="202"/>
        <v>396726534</v>
      </c>
      <c r="CR197" s="875">
        <f t="shared" si="202"/>
        <v>4337667454</v>
      </c>
      <c r="CS197" s="875">
        <f t="shared" si="202"/>
        <v>12550540</v>
      </c>
      <c r="CT197" s="875">
        <f t="shared" si="202"/>
        <v>1755841308</v>
      </c>
      <c r="CU197" s="875">
        <f t="shared" si="202"/>
        <v>942943109</v>
      </c>
      <c r="CV197" s="875">
        <f t="shared" si="202"/>
        <v>102810569</v>
      </c>
      <c r="CW197" s="875">
        <f t="shared" si="202"/>
        <v>129471348</v>
      </c>
      <c r="CX197" s="875">
        <f t="shared" si="202"/>
        <v>0</v>
      </c>
      <c r="CY197" s="875">
        <f t="shared" si="202"/>
        <v>0</v>
      </c>
      <c r="CZ197" s="875">
        <f t="shared" si="202"/>
        <v>40655038</v>
      </c>
      <c r="DA197" s="875">
        <f t="shared" si="202"/>
        <v>1399823494</v>
      </c>
      <c r="DB197" s="875">
        <f t="shared" si="202"/>
        <v>605846601</v>
      </c>
      <c r="DC197" s="875">
        <f t="shared" si="202"/>
        <v>632155275</v>
      </c>
      <c r="DD197" s="875">
        <f t="shared" si="202"/>
        <v>570906811</v>
      </c>
      <c r="DE197" s="875">
        <f t="shared" si="202"/>
        <v>1046363025</v>
      </c>
      <c r="DF197" s="875">
        <f t="shared" si="202"/>
        <v>30228561</v>
      </c>
      <c r="DG197" s="875">
        <f t="shared" si="202"/>
        <v>0</v>
      </c>
      <c r="DH197" s="875">
        <f t="shared" si="202"/>
        <v>807304598</v>
      </c>
      <c r="DI197" s="1010">
        <f t="shared" ref="DI197:DI207" si="203">1-CM197</f>
        <v>0.48175744934372444</v>
      </c>
      <c r="DJ197" s="875">
        <f t="shared" si="202"/>
        <v>12086857596</v>
      </c>
      <c r="DK197" s="875">
        <f t="shared" si="202"/>
        <v>46407003</v>
      </c>
      <c r="DL197" s="875">
        <f t="shared" si="202"/>
        <v>1264680</v>
      </c>
      <c r="DM197" s="875">
        <f t="shared" si="202"/>
        <v>0</v>
      </c>
      <c r="DN197" s="875">
        <f t="shared" si="202"/>
        <v>5524476158</v>
      </c>
      <c r="DO197" s="875">
        <f t="shared" si="202"/>
        <v>80345334</v>
      </c>
      <c r="DP197" s="875">
        <f t="shared" si="202"/>
        <v>753339569</v>
      </c>
      <c r="DQ197" s="875">
        <f t="shared" si="202"/>
        <v>357056891</v>
      </c>
      <c r="DR197" s="875">
        <f t="shared" si="202"/>
        <v>0</v>
      </c>
      <c r="DS197" s="875">
        <f t="shared" si="202"/>
        <v>90000000</v>
      </c>
      <c r="DT197" s="875">
        <f t="shared" si="202"/>
        <v>1940856</v>
      </c>
      <c r="DU197" s="875">
        <f t="shared" si="202"/>
        <v>3438802</v>
      </c>
      <c r="DV197" s="875">
        <f t="shared" si="202"/>
        <v>278009476</v>
      </c>
      <c r="DW197" s="875">
        <f t="shared" si="202"/>
        <v>2715054621</v>
      </c>
      <c r="DX197" s="875">
        <f t="shared" si="202"/>
        <v>471169405</v>
      </c>
      <c r="DY197" s="875">
        <f t="shared" si="202"/>
        <v>442101555</v>
      </c>
      <c r="DZ197" s="875">
        <f t="shared" si="202"/>
        <v>428470520</v>
      </c>
      <c r="EA197" s="875">
        <f t="shared" si="202"/>
        <v>135244964</v>
      </c>
      <c r="EB197" s="875">
        <f t="shared" si="202"/>
        <v>50615524</v>
      </c>
      <c r="EC197" s="875">
        <f t="shared" si="202"/>
        <v>92524043</v>
      </c>
      <c r="ED197" s="875">
        <f t="shared" si="202"/>
        <v>615398195</v>
      </c>
      <c r="EF197" s="1632"/>
      <c r="EG197" s="1633"/>
      <c r="EH197" s="1632"/>
      <c r="EI197" s="1632"/>
      <c r="EJ197" s="1632"/>
      <c r="EK197" s="1632"/>
      <c r="EL197" s="1632"/>
      <c r="EM197" s="1632"/>
      <c r="EN197" s="1632"/>
      <c r="EO197" s="1632"/>
    </row>
    <row r="198" spans="1:145" ht="13.5" customHeight="1" x14ac:dyDescent="0.25">
      <c r="C198" s="118"/>
      <c r="D198" s="118"/>
      <c r="E198" s="123"/>
      <c r="F198" s="123"/>
      <c r="G198" s="1091"/>
      <c r="H198" s="123"/>
      <c r="I198" s="123"/>
      <c r="J198" s="123"/>
      <c r="K198" s="123"/>
      <c r="L198" s="123"/>
      <c r="M198" s="123"/>
      <c r="N198" s="123"/>
      <c r="O198" s="123"/>
      <c r="P198" s="123"/>
      <c r="Q198" s="123"/>
      <c r="R198" s="123"/>
      <c r="S198" s="123"/>
      <c r="T198" s="123"/>
      <c r="U198" s="123"/>
      <c r="V198" s="123"/>
      <c r="W198" s="123"/>
      <c r="X198" s="123"/>
      <c r="Y198" s="961"/>
      <c r="Z198" s="961"/>
      <c r="AA198" s="961"/>
      <c r="AB198" s="961"/>
      <c r="AC198" s="979"/>
      <c r="AD198" s="961"/>
      <c r="AE198" s="122"/>
      <c r="AF198" s="122"/>
      <c r="AG198" s="122"/>
      <c r="AH198" s="122"/>
      <c r="AI198" s="122"/>
      <c r="AJ198" s="122"/>
      <c r="AK198" s="122"/>
      <c r="AL198" s="122"/>
      <c r="AM198" s="122"/>
      <c r="AN198" s="122"/>
      <c r="AO198" s="122"/>
      <c r="AP198" s="122"/>
      <c r="AQ198" s="122"/>
      <c r="AR198" s="122"/>
      <c r="AS198" s="122"/>
      <c r="AU198" s="239"/>
      <c r="AV198" s="148"/>
      <c r="AW198" s="148"/>
      <c r="AX198" s="148"/>
      <c r="AY198" s="148"/>
      <c r="AZ198" s="148"/>
      <c r="BA198" s="148"/>
      <c r="BB198" s="122"/>
      <c r="BC198" s="122"/>
      <c r="BD198" s="122"/>
      <c r="BE198" s="122"/>
      <c r="BF198" s="122"/>
      <c r="BG198" s="122"/>
      <c r="BH198" s="122"/>
      <c r="BI198" s="122"/>
      <c r="BJ198" s="122"/>
      <c r="BK198" s="122"/>
      <c r="BL198" s="122"/>
      <c r="BM198" s="122"/>
      <c r="BN198" s="122"/>
      <c r="BO198" s="122"/>
      <c r="BP198" s="122"/>
      <c r="BQ198" s="239"/>
      <c r="BR198" s="148"/>
      <c r="BS198" s="148"/>
      <c r="BT198" s="148"/>
      <c r="BU198" s="148"/>
      <c r="BV198" s="148"/>
      <c r="BW198" s="148"/>
      <c r="BX198" s="207"/>
      <c r="BY198" s="207"/>
      <c r="BZ198" s="207"/>
      <c r="CA198" s="207"/>
      <c r="CB198" s="207"/>
      <c r="CC198" s="207"/>
      <c r="CD198" s="207"/>
      <c r="CE198" s="207"/>
      <c r="CF198" s="207"/>
      <c r="CG198" s="207"/>
      <c r="CH198" s="207"/>
      <c r="CI198" s="207"/>
      <c r="CJ198" s="207"/>
      <c r="CK198" s="207"/>
      <c r="CL198" s="207"/>
      <c r="CM198" s="239"/>
      <c r="CN198" s="1045"/>
      <c r="CO198" s="169"/>
      <c r="CP198" s="169"/>
      <c r="CQ198" s="169"/>
      <c r="CR198" s="169"/>
      <c r="CS198" s="169"/>
      <c r="CT198" s="122"/>
      <c r="CU198" s="122"/>
      <c r="CV198" s="122"/>
      <c r="CW198" s="122"/>
      <c r="CX198" s="122"/>
      <c r="CY198" s="122"/>
      <c r="CZ198" s="122"/>
      <c r="DA198" s="122"/>
      <c r="DB198" s="122"/>
      <c r="DC198" s="122"/>
      <c r="DD198" s="122"/>
      <c r="DE198" s="122"/>
      <c r="DF198" s="122"/>
      <c r="DG198" s="122"/>
      <c r="DH198" s="122"/>
      <c r="DI198" s="1010"/>
      <c r="DJ198" s="1038"/>
      <c r="DK198" s="148"/>
      <c r="DL198" s="148"/>
      <c r="DM198" s="148"/>
      <c r="DN198" s="148"/>
      <c r="DO198" s="148"/>
      <c r="DP198" s="207"/>
      <c r="DQ198" s="207"/>
      <c r="DR198" s="207"/>
      <c r="DS198" s="207"/>
      <c r="DT198" s="207"/>
      <c r="DU198" s="207"/>
      <c r="DV198" s="207"/>
      <c r="DW198" s="207"/>
      <c r="DX198" s="207"/>
      <c r="DY198" s="207"/>
      <c r="DZ198" s="207"/>
      <c r="EA198" s="207"/>
      <c r="EB198" s="207"/>
      <c r="EC198" s="207"/>
      <c r="ED198" s="207"/>
      <c r="EF198" s="1632"/>
      <c r="EG198" s="1633" t="s">
        <v>3753</v>
      </c>
      <c r="EH198" s="1632"/>
      <c r="EI198" s="1632"/>
      <c r="EJ198" s="1632"/>
      <c r="EK198" s="1631">
        <v>6657597529</v>
      </c>
      <c r="EL198" s="1631">
        <v>2279061974</v>
      </c>
      <c r="EM198" s="1634">
        <v>0.3423249849623044</v>
      </c>
      <c r="EN198" s="1632"/>
      <c r="EO198" s="1632"/>
    </row>
    <row r="199" spans="1:145" ht="16.5" customHeight="1" x14ac:dyDescent="0.25">
      <c r="C199" s="1047"/>
      <c r="D199" s="1118" t="s">
        <v>3753</v>
      </c>
      <c r="E199" s="239">
        <v>111</v>
      </c>
      <c r="F199" s="133"/>
      <c r="G199" s="875">
        <f>SUMIF($E$4:$E$194,"111",$G$4:$G$194)</f>
        <v>20073000000</v>
      </c>
      <c r="H199" s="1059">
        <f>SUMIF($E$4:$E$194,"111",$H$4:$H$194)</f>
        <v>2279061974</v>
      </c>
      <c r="I199" s="1059">
        <f>SUMIF($E$4:$E$194,"111",$I$4:$I$194)</f>
        <v>4378535555</v>
      </c>
      <c r="J199" s="133"/>
      <c r="K199" s="133"/>
      <c r="L199" s="133"/>
      <c r="M199" s="133"/>
      <c r="N199" s="133"/>
      <c r="O199" s="133"/>
      <c r="P199" s="133"/>
      <c r="Q199" s="133"/>
      <c r="R199" s="133"/>
      <c r="S199" s="133"/>
      <c r="T199" s="133"/>
      <c r="U199" s="133"/>
      <c r="V199" s="133"/>
      <c r="W199" s="133"/>
      <c r="X199" s="133"/>
      <c r="Y199" s="951">
        <f>SUMIF($E$4:$E$194,"111",$Y$4:$Y$194)</f>
        <v>6657597529</v>
      </c>
      <c r="Z199" s="951">
        <f>SUMIF($E$4:$E$194,"111",$Z$4:$Z$194)</f>
        <v>0</v>
      </c>
      <c r="AA199" s="216">
        <f>SUMIF($E$4:$E$195,"111",$AA$4:$AA$195)</f>
        <v>0</v>
      </c>
      <c r="AB199" s="216">
        <f>SUMIF($E$4:$E$195,"111",$AB$4:$AB$195)</f>
        <v>0</v>
      </c>
      <c r="AC199" s="216">
        <f>SUMIF($E$4:$E$195,"111",$AC$4:$AC$195)</f>
        <v>6143356148</v>
      </c>
      <c r="AD199" s="951">
        <f>SUMIF($E$4:$E$194,"111",$AD$4:$AD$194)</f>
        <v>20011334</v>
      </c>
      <c r="AE199" s="133">
        <f>SUMIF($E$4:$E$195,"111",$AE$4:$AE$195)</f>
        <v>5000000</v>
      </c>
      <c r="AF199" s="133">
        <f>SUMIF($E$4:$E$192,"111",$AF$4:$AF$192)</f>
        <v>0</v>
      </c>
      <c r="AG199" s="133">
        <f>SUMIF($E$4:$E$192,"111",$AG$4:$AG$192)</f>
        <v>0</v>
      </c>
      <c r="AH199" s="133">
        <f>SUMIF($E$4:$E$192,"111",$AH$4:$AH$192)</f>
        <v>0</v>
      </c>
      <c r="AI199" s="133">
        <f>SUMIF($E$4:$E$192,"111",$AI$4:$AI$192)</f>
        <v>1940856</v>
      </c>
      <c r="AJ199" s="133">
        <f>SUMIF($E$4:$E$192,"111",$AJ$4:$AJ$192)</f>
        <v>3438802</v>
      </c>
      <c r="AK199" s="133">
        <f>SUMIF($E$4:$E$192,"111",$AK$4:$AK$192)</f>
        <v>186380309</v>
      </c>
      <c r="AL199" s="133">
        <f>SUMIF($E$4:$E$192,"111",$AL$4:$AL$192)</f>
        <v>0</v>
      </c>
      <c r="AM199" s="133">
        <f>SUMIF($E$4:$E$192,"111",$AM$4:$AM$192)</f>
        <v>0</v>
      </c>
      <c r="AN199" s="133">
        <f>SUMIF($E$4:$E$192,"111",$AN$4:$AN$192)</f>
        <v>75649551</v>
      </c>
      <c r="AO199" s="133">
        <f>SUMIF($E$4:$E$192,"111",$AO$4:$AO$192)</f>
        <v>28705529</v>
      </c>
      <c r="AP199" s="133">
        <f>SUMIF($E$4:$E$192,"111",$AP$4:$AP$192)</f>
        <v>0</v>
      </c>
      <c r="AQ199" s="133">
        <f>SUMIF($E$4:$E$192,"111",$AQ$4:$AQ$192)</f>
        <v>0</v>
      </c>
      <c r="AR199" s="133">
        <f>SUMIF($E$4:$E$192,"111",$AR$4:$AR$192)</f>
        <v>0</v>
      </c>
      <c r="AS199" s="133">
        <f>SUMIF($E$4:$E$194,"111",$AS$4:$AS$194)</f>
        <v>193115000</v>
      </c>
      <c r="AU199" s="946">
        <f t="shared" ref="AU199:AU207" si="204">+AV199/Y199</f>
        <v>0.34670527843498306</v>
      </c>
      <c r="AV199" s="218">
        <f t="shared" ref="AV199:AV204" si="205">SUM(AW199:BP199)</f>
        <v>2308224205</v>
      </c>
      <c r="AW199" s="951">
        <f>SUMIF($E$4:$E$194,"111",$AW$4:$AW$194)</f>
        <v>0</v>
      </c>
      <c r="AX199" s="951">
        <f>SUMIF($E$4:$E$194,"111",$AX$4:$AX$194)</f>
        <v>0</v>
      </c>
      <c r="AY199" s="951">
        <f>SUMIF($E$4:$E$194,"111",$AY$4:$AY$194)</f>
        <v>0</v>
      </c>
      <c r="AZ199" s="951">
        <f>SUMIF($E$4:$E$194,"111",$AZ$4:$AZ$194)</f>
        <v>2195944221</v>
      </c>
      <c r="BA199" s="951">
        <f>SUMIF($E$4:$E$194,"111",$BA$4:$BA$194)</f>
        <v>17503290</v>
      </c>
      <c r="BB199" s="951">
        <f>SUMIF($E$4:$E$194,"111",$BB$4:$BB$194)</f>
        <v>0</v>
      </c>
      <c r="BC199" s="951">
        <f>SUMIF($E$4:$E$194,"111",$BC$4:$BC$194)</f>
        <v>0</v>
      </c>
      <c r="BD199" s="951">
        <f>SUMIF($E$4:$E$194,"111",$BD$4:$BD$194)</f>
        <v>0</v>
      </c>
      <c r="BE199" s="951">
        <f>SUMIF($E$4:$E$194,"111",$BE$4:$BE$194)</f>
        <v>0</v>
      </c>
      <c r="BF199" s="951">
        <f>SUMIF($E$4:$E$194,"111",$BF$4:$BF$194)</f>
        <v>0</v>
      </c>
      <c r="BG199" s="951">
        <f>SUMIF($E$4:$E$192,"111",$BG$4:$BG$192)</f>
        <v>0</v>
      </c>
      <c r="BH199" s="951">
        <f>SUMIF($E$4:$E$192,"111",$BH$4:$BH$192)</f>
        <v>0</v>
      </c>
      <c r="BI199" s="951">
        <f>SUMIF($E$4:$E$192,"111",$BI$4:$BI$192)</f>
        <v>0</v>
      </c>
      <c r="BJ199" s="951">
        <f>SUMIF($E$4:$E$192,"111",$BJ$4:$BJ$192)</f>
        <v>0</v>
      </c>
      <c r="BK199" s="951">
        <f>SUMIF($E$4:$E$194,"111",$BK$4:$BK$194)</f>
        <v>0</v>
      </c>
      <c r="BL199" s="951">
        <f>SUMIF($E$4:$E$192,"111",$BL$4:$BL$192)</f>
        <v>22661694</v>
      </c>
      <c r="BM199" s="951">
        <f>SUMIF($E$4:$E$194,"111",$AY$4:$AY$194)</f>
        <v>0</v>
      </c>
      <c r="BN199" s="951">
        <f>SUMIF($E$4:$E$192,"111",$BN$4:$BN$192)</f>
        <v>0</v>
      </c>
      <c r="BO199" s="951">
        <f>SUMIF($E$4:$E$192,"111",$BO$4:$BO$192)</f>
        <v>0</v>
      </c>
      <c r="BP199" s="951">
        <f>SUMIF($E$4:$E$194,"111",$BP$4:$BP$194)</f>
        <v>72115000</v>
      </c>
      <c r="BQ199" s="950">
        <f t="shared" ref="BQ199:BQ207" si="206">1-AU199</f>
        <v>0.65329472156501689</v>
      </c>
      <c r="BR199" s="149">
        <f t="shared" ref="BR199:BR204" si="207">SUM(BS199:CL199)</f>
        <v>4349373324</v>
      </c>
      <c r="BS199" s="951">
        <f>SUMIF($E$4:$E$194,"111",$AY$4:$AY$194)</f>
        <v>0</v>
      </c>
      <c r="BT199" s="953">
        <f>SUMIF($E$4:$E$192,"111",$BT$4:$BT$192)</f>
        <v>0</v>
      </c>
      <c r="BU199" s="953">
        <f>SUMIF($E$4:$E$192,"111",$BU$4:$BU$192)</f>
        <v>0</v>
      </c>
      <c r="BV199" s="953">
        <f>SUMIF($E$4:$E$194,"111",$BV$4:$BV$194)</f>
        <v>3947411927</v>
      </c>
      <c r="BW199" s="953">
        <f>SUMIF($E$4:$E$194,"111",$BW$4:$BW$194)</f>
        <v>2508044</v>
      </c>
      <c r="BX199" s="953">
        <f>SUMIF($E$4:$E$194,"111",$BX$4:$BX$194)</f>
        <v>5000000</v>
      </c>
      <c r="BY199" s="953">
        <f>SUMIF($E$4:$E$194,"111",$BY$4:$BY$194)</f>
        <v>0</v>
      </c>
      <c r="BZ199" s="953">
        <f>SUMIF($E$4:$E$192,"111",$BZ$4:$BZ$192)</f>
        <v>0</v>
      </c>
      <c r="CA199" s="953">
        <f>SUMIF($E$4:$E$195,"111",$CA$4:$CA$195)</f>
        <v>0</v>
      </c>
      <c r="CB199" s="953">
        <f>SUMIF($E$4:$E$192,"111",$CB$4:$CB$192)</f>
        <v>1940856</v>
      </c>
      <c r="CC199" s="953">
        <f>SUMIF($E$4:$E$192,"111",$CC$4:$CC$192)</f>
        <v>3438802</v>
      </c>
      <c r="CD199" s="953">
        <f>SUMIF($E$4:$E$192,"111",$CD$4:$CD$192)</f>
        <v>186380309</v>
      </c>
      <c r="CE199" s="953">
        <f>SUMIF($E$4:$E$192,"111",$CE$4:$CE$192)</f>
        <v>0</v>
      </c>
      <c r="CF199" s="953">
        <f>SUMIF($E$4:$E$192,"111",$CF$4:$CF$192)</f>
        <v>0</v>
      </c>
      <c r="CG199" s="953">
        <f>SUMIF($E$4:$E$192,"111",$CG$4:$CG$192)</f>
        <v>75649551</v>
      </c>
      <c r="CH199" s="953">
        <f>SUMIF($E$4:$E$192,"111",$CH$4:$CH$192)</f>
        <v>6043835</v>
      </c>
      <c r="CI199" s="953">
        <f>SUMIF($E$4:$E$192,"111",$CI$4:$CI$192)</f>
        <v>0</v>
      </c>
      <c r="CJ199" s="953">
        <f>SUMIF($E$4:$E$192,"111",$CJ$4:$CJ$192)</f>
        <v>0</v>
      </c>
      <c r="CK199" s="953">
        <f>SUMIF($E$4:$E$192,"111",$CK$4:$CK$192)</f>
        <v>0</v>
      </c>
      <c r="CL199" s="956">
        <f>SUMIF($E$4:$E$194,"111",$CL$4:$CL$194)</f>
        <v>121000000</v>
      </c>
      <c r="CM199" s="959">
        <f t="shared" ref="CM199:CM207" si="208">+CN199/Y199</f>
        <v>0.3423249849623044</v>
      </c>
      <c r="CN199" s="944">
        <f t="shared" ref="CN199:CN204" si="209">SUM(CO199:DH199)</f>
        <v>2279061974</v>
      </c>
      <c r="CO199" s="951">
        <f>SUMIF($E$4:$E$194,"111",$CO$4:$CO$194)</f>
        <v>0</v>
      </c>
      <c r="CP199" s="951">
        <f>SUMIF($E$4:$E$192,"111",$CP$4:$CP$192)</f>
        <v>0</v>
      </c>
      <c r="CQ199" s="951">
        <f>SUMIF($E$4:$E$192,"111",$CQ$4:$CQ$192)</f>
        <v>0</v>
      </c>
      <c r="CR199" s="951">
        <f>SUMIF($E$4:$E$192,"111",$CR$4:$CR$192)</f>
        <v>2190694555</v>
      </c>
      <c r="CS199" s="951">
        <f>SUMIF($E$4:$E$194,"111",$CS$4:$CS$194)</f>
        <v>12550540</v>
      </c>
      <c r="CT199" s="951">
        <f>SUMIF($E$4:$E$192,"111",$CT$4:$CT$192)</f>
        <v>0</v>
      </c>
      <c r="CU199" s="951">
        <f>SUMIF($E$4:$E$192,"111",$CU$4:$CU$192)</f>
        <v>0</v>
      </c>
      <c r="CV199" s="951">
        <f>SUMIF($E$4:$E$194,"111",$CV$4:$CV$194)</f>
        <v>0</v>
      </c>
      <c r="CW199" s="951">
        <f>SUMIF($E$4:$E$192,"111",$CW$4:$CW$192)</f>
        <v>0</v>
      </c>
      <c r="CX199" s="951">
        <f>SUMIF($E$4:$E$192,"111",$CX$4:$CX$192)</f>
        <v>0</v>
      </c>
      <c r="CY199" s="951">
        <f>SUMIF($E$4:$E$192,"111",$CY$4:$CY$192)</f>
        <v>0</v>
      </c>
      <c r="CZ199" s="951">
        <f>SUMIF($E$4:$E$192,"111",$CZ$4:$CZ$192)</f>
        <v>0</v>
      </c>
      <c r="DA199" s="951">
        <f>SUMIF($E$4:$E$192,"111",$DA$4:$DA$192)</f>
        <v>0</v>
      </c>
      <c r="DB199" s="951">
        <f>SUMIF($E$4:$E$192,"111",$DB$4:$DB$192)</f>
        <v>0</v>
      </c>
      <c r="DC199" s="951">
        <f>SUMIF($E$4:$E$192,"111",$DC$4:$DC$192)</f>
        <v>0</v>
      </c>
      <c r="DD199" s="951">
        <f>SUMIF($E$4:$E$192,"111",$DD$4:$DD$192)</f>
        <v>22661694</v>
      </c>
      <c r="DE199" s="951">
        <f>SUMIF($E$4:$E$192,"111",$DE$4:$DE$192)</f>
        <v>0</v>
      </c>
      <c r="DF199" s="951">
        <f>SUMIF($E$4:$E$192,"111",$DF$4:$DF$192)</f>
        <v>0</v>
      </c>
      <c r="DG199" s="951">
        <f>SUMIF($E$4:$E$192,"111",$DG$4:$DG$192)</f>
        <v>0</v>
      </c>
      <c r="DH199" s="952">
        <f>SUMIF($E$4:$E$192,"111",$DH$4:$DH$192)</f>
        <v>53155185</v>
      </c>
      <c r="DI199" s="1010">
        <f t="shared" si="203"/>
        <v>0.65767501503769554</v>
      </c>
      <c r="DJ199" s="149">
        <f t="shared" ref="DJ199:DJ204" si="210">SUM(DK199:ED199)</f>
        <v>4378535555</v>
      </c>
      <c r="DK199" s="1039">
        <f>SUMIF($E$4:$E$194,"111",$DK$4:$DK$194)</f>
        <v>0</v>
      </c>
      <c r="DL199" s="953">
        <f>SUMIF($E$4:$E$194,"111",$DL$4:$DL$194)</f>
        <v>0</v>
      </c>
      <c r="DM199" s="953">
        <f>SUMIF($E$4:$E$194,"111",$DM$4:$DM$194)</f>
        <v>0</v>
      </c>
      <c r="DN199" s="953">
        <f>SUMIF($E$4:$E$194,"111",$DN$4:$DN$194)</f>
        <v>3952661593</v>
      </c>
      <c r="DO199" s="953">
        <f>SUMIF($E$4:$E$194,"111",$DO$4:$DO$194)</f>
        <v>7460794</v>
      </c>
      <c r="DP199" s="953">
        <f>SUMIF($E$4:$E$194,"111",$DP$4:$DP$194)</f>
        <v>5000000</v>
      </c>
      <c r="DQ199" s="953">
        <f>SUMIF($E$4:$E$194,"111",$DQ$4:$DQ$194)</f>
        <v>0</v>
      </c>
      <c r="DR199" s="953">
        <f>SUMIF($E$4:$E$194,"111",$DR$4:$DR$194)</f>
        <v>0</v>
      </c>
      <c r="DS199" s="208">
        <f>SUMIF($E$4:$E$192,"111",$DS$4:$DS$192)</f>
        <v>0</v>
      </c>
      <c r="DT199" s="208">
        <f>SUMIF($E$4:$E$192,"111",$DT$4:$DT$192)</f>
        <v>1940856</v>
      </c>
      <c r="DU199" s="208">
        <f>SUMIF($E$4:$E$194,"111",$DU$4:$DU$194)</f>
        <v>3438802</v>
      </c>
      <c r="DV199" s="208">
        <f>SUMIF($E$4:$E$192,"111",$DV$4:$DV$192)</f>
        <v>186380309</v>
      </c>
      <c r="DW199" s="208">
        <f>SUMIF($E$4:$E$192,"111",$DW$4:$DW$192)</f>
        <v>0</v>
      </c>
      <c r="DX199" s="208">
        <f>SUMIF($E$4:$E$194,"111",$DX$4:$DX$194)</f>
        <v>0</v>
      </c>
      <c r="DY199" s="208">
        <f>SUMIF($E$4:$E$194,"111",$DY$4:$DY$194)</f>
        <v>75649551</v>
      </c>
      <c r="DZ199" s="208">
        <f>SUMIF($E$4:$E$192,"111",$DZ$4:$DZ$192)</f>
        <v>6043835</v>
      </c>
      <c r="EA199" s="208">
        <f>SUMIF($E$4:$E$192,"111",$EA$4:$EA$192)</f>
        <v>0</v>
      </c>
      <c r="EB199" s="208">
        <f>SUMIF($E$4:$E$192,"111",$EB$4:$EB$192)</f>
        <v>0</v>
      </c>
      <c r="EC199" s="208">
        <f>SUMIF($E$4:$E$192,"111",$EC$4:$EC$192)</f>
        <v>0</v>
      </c>
      <c r="ED199" s="208">
        <f>SUMIF($E$4:$E$194,"111",$ED$4:$ED$194)</f>
        <v>139959815</v>
      </c>
      <c r="EF199" s="1632"/>
      <c r="EG199" s="1633" t="s">
        <v>4589</v>
      </c>
      <c r="EH199" s="1632"/>
      <c r="EI199" s="1632"/>
      <c r="EJ199" s="1632"/>
      <c r="EK199" s="1631">
        <v>3641271790</v>
      </c>
      <c r="EL199" s="1631">
        <v>1898549257</v>
      </c>
      <c r="EM199" s="1634">
        <v>0.5213972937186323</v>
      </c>
      <c r="EN199" s="1632"/>
      <c r="EO199" s="1632"/>
    </row>
    <row r="200" spans="1:145" ht="18" customHeight="1" x14ac:dyDescent="0.25">
      <c r="C200" s="987"/>
      <c r="D200" s="1118" t="s">
        <v>4589</v>
      </c>
      <c r="E200" s="239">
        <v>211</v>
      </c>
      <c r="F200" s="133"/>
      <c r="G200" s="875">
        <f>SUMIF($E$4:$E$194,"211",$G$4:$G$194)</f>
        <v>0</v>
      </c>
      <c r="H200" s="1059">
        <f>SUMIF($E$4:$E$194,"211",$H$4:$H$194)</f>
        <v>1898549257</v>
      </c>
      <c r="I200" s="1059">
        <f>SUMIF($E$4:$E$194,"211",$I$4:$I$194)</f>
        <v>1742722533</v>
      </c>
      <c r="J200" s="133"/>
      <c r="K200" s="133"/>
      <c r="L200" s="133"/>
      <c r="M200" s="133"/>
      <c r="N200" s="133"/>
      <c r="O200" s="133"/>
      <c r="P200" s="133"/>
      <c r="Q200" s="133"/>
      <c r="R200" s="133"/>
      <c r="S200" s="133"/>
      <c r="T200" s="133"/>
      <c r="U200" s="133"/>
      <c r="V200" s="133"/>
      <c r="W200" s="133"/>
      <c r="X200" s="133"/>
      <c r="Y200" s="951">
        <f>SUMIF($E$4:$E$194,"211",$Y$4:$Y$194)</f>
        <v>3641271790</v>
      </c>
      <c r="Z200" s="951">
        <f>SUMIF($E$4:$E$194,"211",$Z$4:$Z$194)</f>
        <v>0</v>
      </c>
      <c r="AA200" s="216">
        <f>SUMIF($E$4:$E$195,"211",$AA$4:$AA$195)</f>
        <v>0</v>
      </c>
      <c r="AB200" s="216">
        <f>SUMIF($E$4:$E$195,"211",$AB$4:$AB$195)</f>
        <v>0</v>
      </c>
      <c r="AC200" s="216">
        <f>SUMIF($E$4:$E$195,"211",$AC$4:$AC$195)</f>
        <v>2893065433</v>
      </c>
      <c r="AD200" s="951">
        <f>SUMIF($E$4:$E$194,"211",$AD$4:$AD$194)</f>
        <v>0</v>
      </c>
      <c r="AE200" s="133">
        <f>SUMIF($E$4:$E$192,"211",$AE$4:$AE$192)</f>
        <v>210000000</v>
      </c>
      <c r="AF200" s="133">
        <f>SUMIF($E$4:$E$192,"211",$AF$4:$AF$192)</f>
        <v>0</v>
      </c>
      <c r="AG200" s="133">
        <f>SUMIF($E$4:$E$192,"211",$AG$4:$AG$192)</f>
        <v>0</v>
      </c>
      <c r="AH200" s="133">
        <f>SUMIF($E$4:$E$192,"211",$AH$4:$AH$192)</f>
        <v>0</v>
      </c>
      <c r="AI200" s="133">
        <f>SUMIF($E$4:$E$192,"211",$AI$4:$AI$192)</f>
        <v>0</v>
      </c>
      <c r="AJ200" s="133">
        <f>SUMIF($E$4:$E$192,"211",$AJ$4:$AJ$192)</f>
        <v>0</v>
      </c>
      <c r="AK200" s="133">
        <f>SUMIF($E$4:$E$192,"211",$AK$4:$AK$192)</f>
        <v>132284205</v>
      </c>
      <c r="AL200" s="133">
        <f>SUMIF($E$4:$E$192,"211",$AL$4:$AL$192)</f>
        <v>0</v>
      </c>
      <c r="AM200" s="133">
        <f>SUMIF($E$4:$E$192,"211",$AM$4:$AM$192)</f>
        <v>0</v>
      </c>
      <c r="AN200" s="133">
        <f>SUMIF($E$4:$E$192,"211",$AN$4:$AN$192)</f>
        <v>39070000</v>
      </c>
      <c r="AO200" s="133">
        <f>SUMIF($E$4:$E$192,"211",$AO$4:$AO$192)</f>
        <v>25530452</v>
      </c>
      <c r="AP200" s="133">
        <f>SUMIF($E$4:$E$192,"211",$AP$4:$AP$192)</f>
        <v>0</v>
      </c>
      <c r="AQ200" s="133">
        <f>SUMIF($E$4:$E$192,"211",$AQ$4:$AQ$192)</f>
        <v>0</v>
      </c>
      <c r="AR200" s="133">
        <f>SUMIF($E$4:$E$192,"211",$AR$4:$AR$192)</f>
        <v>92524043</v>
      </c>
      <c r="AS200" s="133">
        <f>SUMIF($E$4:$E$194,"211",$AS$4:$AS$194)</f>
        <v>248797657</v>
      </c>
      <c r="AU200" s="946">
        <f t="shared" si="204"/>
        <v>0.85146876855352782</v>
      </c>
      <c r="AV200" s="218">
        <f t="shared" si="205"/>
        <v>3100429207</v>
      </c>
      <c r="AW200" s="951">
        <f>SUMIF($E$4:$E$192,"211",$AW$4:$AW$192)</f>
        <v>0</v>
      </c>
      <c r="AX200" s="951">
        <f>SUMIF($E$4:$E$194,"211",$AX$4:$AX$194)</f>
        <v>0</v>
      </c>
      <c r="AY200" s="951">
        <f>SUMIF($E$4:$E$194,"211",$AY$4:$AY$194)</f>
        <v>0</v>
      </c>
      <c r="AZ200" s="951">
        <f>SUMIF($E$4:$E$194,"211",$AZ$4:$AZ$194)</f>
        <v>2524239440</v>
      </c>
      <c r="BA200" s="951">
        <f>SUMIF($E$4:$E$192,"211",$BA$4:$BA$192)</f>
        <v>0</v>
      </c>
      <c r="BB200" s="951">
        <f>SUMIF($E$4:$E$192,"211",$BB$4:$BB$192)</f>
        <v>210000000</v>
      </c>
      <c r="BC200" s="951">
        <f>SUMIF($E$4:$E$194,"211",$BC$4:$BC$194)</f>
        <v>0</v>
      </c>
      <c r="BD200" s="951">
        <f>SUMIF($E$4:$E$194,"211",$BD$4:$BD$194)</f>
        <v>0</v>
      </c>
      <c r="BE200" s="951">
        <f>SUMIF($E$4:$E$192,"211",$BE$4:$BE$192)</f>
        <v>0</v>
      </c>
      <c r="BF200" s="951">
        <f>SUMIF($E$4:$E$192,"211",$BF$4:$BF$192)</f>
        <v>0</v>
      </c>
      <c r="BG200" s="951">
        <f>SUMIF($E$4:$E$192,"211",$BG$4:$BG$192)</f>
        <v>0</v>
      </c>
      <c r="BH200" s="951">
        <f>SUMIF($E$4:$E$192,"211",$BH$4:$BH$192)</f>
        <v>50855038</v>
      </c>
      <c r="BI200" s="951">
        <f>SUMIF($E$4:$E$192,"211",$BI$4:$BI$192)</f>
        <v>0</v>
      </c>
      <c r="BJ200" s="951">
        <f>SUMIF($E$4:$E$192,"211",$BJ$4:$BJ$192)</f>
        <v>0</v>
      </c>
      <c r="BK200" s="951">
        <f>SUMIF($E$4:$E$194,"211",$BK$4:$BK$194)</f>
        <v>0</v>
      </c>
      <c r="BL200" s="951">
        <f>SUMIF($E$4:$E$192,"211",$BL$4:$BL$192)</f>
        <v>25530452</v>
      </c>
      <c r="BM200" s="951">
        <f>SUMIF($E$4:$E$192,"211",$BM$4:$BM$192)</f>
        <v>0</v>
      </c>
      <c r="BN200" s="951">
        <f>SUMIF($E$4:$E$192,"211",$BN$4:$BN$192)</f>
        <v>0</v>
      </c>
      <c r="BO200" s="951">
        <f>SUMIF($E$4:$E$192,"211",$BO$4:$BO$192)</f>
        <v>92524043</v>
      </c>
      <c r="BP200" s="951">
        <f>SUMIF($E$4:$E$194,"211",$BP$4:$BP$194)</f>
        <v>197280234</v>
      </c>
      <c r="BQ200" s="950">
        <f t="shared" si="206"/>
        <v>0.14853123144647218</v>
      </c>
      <c r="BR200" s="149">
        <f t="shared" si="207"/>
        <v>540842583</v>
      </c>
      <c r="BS200" s="953">
        <f>SUMIF($E$4:$E$192,"211",$BS$4:$BS$192)</f>
        <v>0</v>
      </c>
      <c r="BT200" s="953">
        <f>SUMIF($E$4:$E$192,"211",$BT$4:$BT$192)</f>
        <v>0</v>
      </c>
      <c r="BU200" s="953">
        <f>SUMIF($E$4:$E$192,"211",$BU$4:$BU$192)</f>
        <v>0</v>
      </c>
      <c r="BV200" s="953">
        <f>SUMIF($E$4:$E$194,"211",$BV$4:$BV$194)</f>
        <v>368825993</v>
      </c>
      <c r="BW200" s="953">
        <f>SUMIF($E$4:$E$194,"211",$BW$4:$BW$194)</f>
        <v>0</v>
      </c>
      <c r="BX200" s="953">
        <f>SUMIF($E$4:$E$194,"211",$BX$4:$BX$194)</f>
        <v>0</v>
      </c>
      <c r="BY200" s="953">
        <f>SUMIF($E$4:$E$194,"211",$BY$4:$BY$194)</f>
        <v>0</v>
      </c>
      <c r="BZ200" s="953">
        <f>SUMIF($E$4:$E$192,"211",$BZ$4:$BZ$192)</f>
        <v>0</v>
      </c>
      <c r="CA200" s="953">
        <f>SUMIF($E$4:$E$192,"211",$CA$4:$CA$192)</f>
        <v>0</v>
      </c>
      <c r="CB200" s="953">
        <f>SUMIF($E$4:$E$192,"211",$CB$4:$CB$192)</f>
        <v>0</v>
      </c>
      <c r="CC200" s="953">
        <f>SUMIF($E$4:$E$192,"211",$CC$4:$CC$192)</f>
        <v>0</v>
      </c>
      <c r="CD200" s="953">
        <f>SUMIF($E$4:$E$192,"211",$CD$4:$CD$192)</f>
        <v>81429167</v>
      </c>
      <c r="CE200" s="953">
        <f>SUMIF($E$4:$E$192,"211",$CE$4:$CE$192)</f>
        <v>0</v>
      </c>
      <c r="CF200" s="953">
        <f>SUMIF($E$4:$E$192,"211",$CF$4:$CF$192)</f>
        <v>0</v>
      </c>
      <c r="CG200" s="953">
        <f>SUMIF($E$4:$E$192,"211",$CG$4:$CG$192)</f>
        <v>39070000</v>
      </c>
      <c r="CH200" s="953">
        <f>SUMIF($E$4:$E$192,"211",$CH$4:$CH$192)</f>
        <v>0</v>
      </c>
      <c r="CI200" s="953">
        <f>SUMIF($E$4:$E$192,"211",$CI$4:$CI$192)</f>
        <v>0</v>
      </c>
      <c r="CJ200" s="953">
        <f>SUMIF($E$4:$E$192,"211",$CJ$4:$CJ$192)</f>
        <v>0</v>
      </c>
      <c r="CK200" s="953">
        <f>SUMIF($E$4:$E$192,"211",$CK$4:$CK$192)</f>
        <v>0</v>
      </c>
      <c r="CL200" s="956">
        <f>SUMIF($E$4:$E$194,"211",$CL$4:$CL$194)</f>
        <v>51517423</v>
      </c>
      <c r="CM200" s="959">
        <f t="shared" si="208"/>
        <v>0.5213972937186323</v>
      </c>
      <c r="CN200" s="944">
        <f t="shared" si="209"/>
        <v>1898549257</v>
      </c>
      <c r="CO200" s="951">
        <f>SUMIF($E$4:$E$194,"211",$CO$4:$CO$194)</f>
        <v>0</v>
      </c>
      <c r="CP200" s="951">
        <f>SUMIF($E$4:$E$192,"211",$CP$4:$CP$192)</f>
        <v>0</v>
      </c>
      <c r="CQ200" s="951">
        <f>SUMIF($E$4:$E$192,"211",$CQ$4:$CQ$192)</f>
        <v>0</v>
      </c>
      <c r="CR200" s="951">
        <f>SUMIF($E$4:$E$192,"211",$CR$4:$CR$192)</f>
        <v>1545503018</v>
      </c>
      <c r="CS200" s="951">
        <f>SUMIF($E$4:$E$194,"211",$CS$4:$CS$194)</f>
        <v>0</v>
      </c>
      <c r="CT200" s="951">
        <f>SUMIF($E$4:$E$192,"211",$CT$4:$CT$192)</f>
        <v>208736238</v>
      </c>
      <c r="CU200" s="951">
        <f>SUMIF($E$4:$E$192,"211",$CU$4:$CU$192)</f>
        <v>0</v>
      </c>
      <c r="CV200" s="951">
        <f>SUMIF($E$4:$E$194,"211",$CV$4:$CV$194)</f>
        <v>0</v>
      </c>
      <c r="CW200" s="951">
        <f>SUMIF($E$4:$E$192,"211",$CW$4:$CW$192)</f>
        <v>0</v>
      </c>
      <c r="CX200" s="951">
        <f>SUMIF($E$4:$E$192,"211",$CX$4:$CX$192)</f>
        <v>0</v>
      </c>
      <c r="CY200" s="951">
        <f>SUMIF($E$4:$E$192,"211",$CY$4:$CY$192)</f>
        <v>0</v>
      </c>
      <c r="CZ200" s="951">
        <f>SUMIF($E$4:$E$192,"211",$CZ$4:$CZ$192)</f>
        <v>40655038</v>
      </c>
      <c r="DA200" s="951">
        <f>SUMIF($E$4:$E$192,"211",$DA$4:$DA$192)</f>
        <v>0</v>
      </c>
      <c r="DB200" s="951">
        <f>SUMIF($E$4:$E$192,"211",$DB$4:$DB$192)</f>
        <v>0</v>
      </c>
      <c r="DC200" s="951">
        <f>SUMIF($E$4:$E$192,"211",$DC$4:$DC$192)</f>
        <v>0</v>
      </c>
      <c r="DD200" s="951">
        <f>SUMIF($E$4:$E$192,"211",$DD$4:$DD$192)</f>
        <v>7976469</v>
      </c>
      <c r="DE200" s="951">
        <f>SUMIF($E$4:$E$192,"211",$DE$4:$DE$192)</f>
        <v>0</v>
      </c>
      <c r="DF200" s="951">
        <f>SUMIF($E$4:$E$192,"211",$DF$4:$DF$192)</f>
        <v>0</v>
      </c>
      <c r="DG200" s="951">
        <f>SUMIF($E$4:$E$192,"211",$DG$4:$DG$192)</f>
        <v>0</v>
      </c>
      <c r="DH200" s="952">
        <f>SUMIF($E$4:$E$192,"211",$DH$4:$DH$192)</f>
        <v>95678494</v>
      </c>
      <c r="DI200" s="1010">
        <f t="shared" si="203"/>
        <v>0.4786027062813677</v>
      </c>
      <c r="DJ200" s="149">
        <f t="shared" ca="1" si="210"/>
        <v>1742722533</v>
      </c>
      <c r="DK200" s="1039">
        <f>SUMIF($E$4:$E$194,"211",$DK$4:$DK$194)</f>
        <v>0</v>
      </c>
      <c r="DL200" s="953">
        <f ca="1">SUMIF($E$4:$E$195,"211",$DL$4:$DL$194)</f>
        <v>0</v>
      </c>
      <c r="DM200" s="953">
        <f>SUMIF($E$4:$E$194,"211",$DM$4:$DM$194)</f>
        <v>0</v>
      </c>
      <c r="DN200" s="953">
        <f>SUMIF($E$4:$E$194,"211",$DN$4:$DN$194)</f>
        <v>1347562415</v>
      </c>
      <c r="DO200" s="953">
        <f>SUMIF($E$4:$E$194,"211",$DO$4:$DO$194)</f>
        <v>0</v>
      </c>
      <c r="DP200" s="953">
        <f>SUMIF($E$4:$E$194,"211",$DP$4:$DP$194)</f>
        <v>1263762</v>
      </c>
      <c r="DQ200" s="953">
        <f>SUMIF($E$4:$E$194,"211",$DQ$4:$DQ$194)</f>
        <v>0</v>
      </c>
      <c r="DR200" s="953">
        <f>SUMIF($E$4:$E$194,"211",$DR$4:$DR$194)</f>
        <v>0</v>
      </c>
      <c r="DS200" s="208">
        <f>SUMIF($E$4:$E$192,"211",$DS$4:$DS$192)</f>
        <v>0</v>
      </c>
      <c r="DT200" s="208">
        <f>SUMIF($E$4:$E$192,"211",$DT$4:$DT$192)</f>
        <v>0</v>
      </c>
      <c r="DU200" s="208">
        <f>SUMIF($E$4:$E$194,"211",$DU$4:$DU$194)</f>
        <v>0</v>
      </c>
      <c r="DV200" s="208">
        <f>SUMIF($E$4:$E$192,"211",$DV$4:$DV$192)</f>
        <v>91629167</v>
      </c>
      <c r="DW200" s="208">
        <f>SUMIF($E$4:$E$192,"211",$DW$4:$DW$192)</f>
        <v>0</v>
      </c>
      <c r="DX200" s="208">
        <f>SUMIF($E$4:$E$194,"211",$DX$4:$DX$194)</f>
        <v>0</v>
      </c>
      <c r="DY200" s="208">
        <f>SUMIF($E$4:$E$194,"211",$DY$4:$DY$194)</f>
        <v>39070000</v>
      </c>
      <c r="DZ200" s="208">
        <f>SUMIF($E$4:$E$192,"211",$DZ$4:$DZ$192)</f>
        <v>17553983</v>
      </c>
      <c r="EA200" s="208">
        <f>SUMIF($E$4:$E$192,"211",$EA$4:$EA$192)</f>
        <v>0</v>
      </c>
      <c r="EB200" s="208">
        <f>SUMIF($E$4:$E$192,"211",$EB$4:$EB$192)</f>
        <v>0</v>
      </c>
      <c r="EC200" s="208">
        <f>SUMIF($E$4:$E$192,"211",$EC$4:$EC$192)</f>
        <v>92524043</v>
      </c>
      <c r="ED200" s="208">
        <f>SUMIF($E$4:$E$194,"211",$ED$4:$ED$194)</f>
        <v>153119163</v>
      </c>
      <c r="EF200" s="1632"/>
      <c r="EG200" s="1633" t="s">
        <v>674</v>
      </c>
      <c r="EH200" s="1632"/>
      <c r="EI200" s="1632"/>
      <c r="EJ200" s="1632"/>
      <c r="EK200" s="1631">
        <v>1176253184</v>
      </c>
      <c r="EL200" s="1631">
        <v>734185185</v>
      </c>
      <c r="EM200" s="1634">
        <v>0.62417275037956454</v>
      </c>
      <c r="EN200" s="1632"/>
      <c r="EO200" s="1632"/>
    </row>
    <row r="201" spans="1:145" ht="16.5" customHeight="1" x14ac:dyDescent="0.25">
      <c r="C201" s="987"/>
      <c r="D201" s="1118" t="s">
        <v>674</v>
      </c>
      <c r="E201" s="239">
        <v>310</v>
      </c>
      <c r="F201" s="133"/>
      <c r="G201" s="875">
        <f>SUMIF($E$4:$E$194,"310",$G$4:$G$194)</f>
        <v>1203000000</v>
      </c>
      <c r="H201" s="1059">
        <f>SUMIF($E$4:$E$194,"310",$H$4:$H$194)</f>
        <v>734185185</v>
      </c>
      <c r="I201" s="1059">
        <f>SUMIF($E$4:$E$194,"310",$I$4:$I$194)</f>
        <v>442067999</v>
      </c>
      <c r="J201" s="133"/>
      <c r="K201" s="133"/>
      <c r="L201" s="133"/>
      <c r="M201" s="133"/>
      <c r="N201" s="133"/>
      <c r="O201" s="133"/>
      <c r="P201" s="133"/>
      <c r="Q201" s="133"/>
      <c r="R201" s="133"/>
      <c r="S201" s="133"/>
      <c r="T201" s="133"/>
      <c r="U201" s="133"/>
      <c r="V201" s="133"/>
      <c r="W201" s="133"/>
      <c r="X201" s="133"/>
      <c r="Y201" s="951">
        <f>SUMIF($E$4:$E$194,"310",$Y$4:$Y$195)</f>
        <v>1176253184</v>
      </c>
      <c r="Z201" s="951">
        <f>SUMIF($E$4:$E$194,"310",$Z$4:$Z$194)</f>
        <v>0</v>
      </c>
      <c r="AA201" s="216">
        <f>SUMIF($E$4:$E$192,"310",$AA$4:$AA$192)</f>
        <v>0</v>
      </c>
      <c r="AB201" s="216">
        <f>SUMIF($E$4:$E$195,"310",$AB$4:$AB$195)</f>
        <v>0</v>
      </c>
      <c r="AC201" s="216">
        <f>SUMIF($E$4:$E$192,"310",$AC$4:$AC$192)</f>
        <v>0</v>
      </c>
      <c r="AD201" s="951">
        <f>SUMIF($E$4:$E$194,"310",$AD$4:$AD$194)</f>
        <v>0</v>
      </c>
      <c r="AE201" s="133">
        <f>SUMIF($E$4:$E$192,"310",$AE$4:$AE$192)</f>
        <v>420000000</v>
      </c>
      <c r="AF201" s="133">
        <f>SUMIF($E$4:$E$192,"310",$AF$4:$AF$192)</f>
        <v>321985144</v>
      </c>
      <c r="AG201" s="133">
        <f>SUMIF($E$4:$E$192,"310",$AG$4:$AG$192)</f>
        <v>0</v>
      </c>
      <c r="AH201" s="133">
        <f>SUMIF($E$4:$E$192,"310",$AH$4:$AH$192)</f>
        <v>0</v>
      </c>
      <c r="AI201" s="133">
        <f>SUMIF($E$4:$E$192,"310",$AI$4:$AI$192)</f>
        <v>0</v>
      </c>
      <c r="AJ201" s="133">
        <f>SUMIF($E$4:$E$192,"310",$AJ$4:$AJ$192)</f>
        <v>0</v>
      </c>
      <c r="AK201" s="133">
        <f>SUMIF($E$4:$E$192,"310",$AK$4:$AK$192)</f>
        <v>0</v>
      </c>
      <c r="AL201" s="133">
        <f>SUMIF($E$4:$E$192,"310",$AL$4:$AL$192)</f>
        <v>0</v>
      </c>
      <c r="AM201" s="133">
        <f>SUMIF($E$4:$E$192,"310",$AM$4:$AM$192)</f>
        <v>0</v>
      </c>
      <c r="AN201" s="133">
        <f>SUMIF($E$4:$E$192,"310",$AN$4:$AN$192)</f>
        <v>36000000</v>
      </c>
      <c r="AO201" s="133">
        <f>SUMIF($E$4:$E$192,"310",$AO$4:$AO$192)</f>
        <v>273344421</v>
      </c>
      <c r="AP201" s="133">
        <f>SUMIF($E$4:$E$163,"310",$AP$4:$AP$163)</f>
        <v>0</v>
      </c>
      <c r="AQ201" s="133">
        <f>SUMIF($E$4:$E$192,"310",$AQ$4:$AQ$192)</f>
        <v>0</v>
      </c>
      <c r="AR201" s="133">
        <f>SUMIF($E$4:$E$192,"310",$AR$4:$AR$192)</f>
        <v>0</v>
      </c>
      <c r="AS201" s="133">
        <f>SUMIF($E$4:$E$194,"310",$AS$4:$AS$194)</f>
        <v>124923619</v>
      </c>
      <c r="AU201" s="946">
        <f t="shared" si="204"/>
        <v>0.74741284015941933</v>
      </c>
      <c r="AV201" s="943">
        <f t="shared" si="205"/>
        <v>879146733</v>
      </c>
      <c r="AW201" s="951">
        <f>SUMIF($E$4:$E$192,"310",$AW$4:$AW$192)</f>
        <v>0</v>
      </c>
      <c r="AX201" s="951">
        <f>SUMIF($E$4:$E$194,"310",$AX$4:$AX$194)</f>
        <v>0</v>
      </c>
      <c r="AY201" s="951">
        <f>SUMIF($E$4:$E$194,"310",$AY$4:$AY$194)</f>
        <v>0</v>
      </c>
      <c r="AZ201" s="951">
        <f>SUMIF($E$4:$E$194,"310",$AZ$4:$AZ$194)</f>
        <v>0</v>
      </c>
      <c r="BA201" s="951">
        <f>SUMIF($E$4:$E$192,"310",$BA$4:$BA$192)</f>
        <v>0</v>
      </c>
      <c r="BB201" s="951">
        <f>SUMIF($E$4:$E$192,"310",$BB$4:$BB$192)</f>
        <v>247044496</v>
      </c>
      <c r="BC201" s="951">
        <f>SUMIF($E$4:$E$194,"310",$BC$4:$BC$194)</f>
        <v>246740675</v>
      </c>
      <c r="BD201" s="951">
        <f>SUMIF($E$4:$E$194,"310",$BD$4:$BD$194)</f>
        <v>0</v>
      </c>
      <c r="BE201" s="951">
        <f>SUMIF($E$4:$E$192,"310",$BE$4:$BE$192)</f>
        <v>0</v>
      </c>
      <c r="BF201" s="951">
        <f>SUMIF($E$4:$E$192,"310",$BF$4:$BF$192)</f>
        <v>0</v>
      </c>
      <c r="BG201" s="951">
        <f>SUMIF($E$4:$E$163,"310",$BG$4:$BG$163)</f>
        <v>0</v>
      </c>
      <c r="BH201" s="951">
        <f>SUMIF($E$4:$E$192,"310",$BH$4:$BH$192)</f>
        <v>0</v>
      </c>
      <c r="BI201" s="951">
        <f>SUMIF($E$4:$E$192,"310",$BI$4:$BI$192)</f>
        <v>0</v>
      </c>
      <c r="BJ201" s="951">
        <f>SUMIF($E$4:$E$192,"310",$BJ$4:$BJ$192)</f>
        <v>0</v>
      </c>
      <c r="BK201" s="951">
        <f>SUMIF($E$4:$E$194,"310",$BK$4:$BK$194)</f>
        <v>0</v>
      </c>
      <c r="BL201" s="951">
        <f>SUMIF($E$4:$E$192,"310",$BL$4:$BL$192)</f>
        <v>273344421</v>
      </c>
      <c r="BM201" s="951">
        <f>SUMIF($E$4:$E$192,"310",$BM$4:$BM$192)</f>
        <v>0</v>
      </c>
      <c r="BN201" s="951">
        <f>SUMIF($E$4:$E$192,"310",$BN$4:$BN$192)</f>
        <v>0</v>
      </c>
      <c r="BO201" s="951">
        <f>SUMIF($E$4:$E$192,"310",$BO$4:$BO$192)</f>
        <v>0</v>
      </c>
      <c r="BP201" s="951">
        <f>SUMIF($E$4:$E$194,"310",$BP$4:$BP$194)</f>
        <v>112017141</v>
      </c>
      <c r="BQ201" s="950">
        <f t="shared" si="206"/>
        <v>0.25258715984058067</v>
      </c>
      <c r="BR201" s="149">
        <f t="shared" si="207"/>
        <v>297106451</v>
      </c>
      <c r="BS201" s="953">
        <f>SUMIF($E$4:$E$192,"310",$BS$4:$BS$192)</f>
        <v>0</v>
      </c>
      <c r="BT201" s="953">
        <f>SUMIF($E$4:$E$192,"310",$BT$4:$BT$192)</f>
        <v>0</v>
      </c>
      <c r="BU201" s="953">
        <f>SUMIF($E$4:$E$192,"310",$BU$4:$BU$192)</f>
        <v>0</v>
      </c>
      <c r="BV201" s="953">
        <f>SUMIF($E$4:$E$194,"310",$BV$4:$BV$194)</f>
        <v>0</v>
      </c>
      <c r="BW201" s="953">
        <f>SUMIF($E$4:$E$194,"310",$BW$4:$BW$194)</f>
        <v>0</v>
      </c>
      <c r="BX201" s="953">
        <f>SUMIF($E$4:$E$194,"310",$BX$4:$BX$194)</f>
        <v>172955504</v>
      </c>
      <c r="BY201" s="953">
        <f>SUMIF($E$4:$E$194,"310",$BY$4:$BY$194)</f>
        <v>75244469</v>
      </c>
      <c r="BZ201" s="953">
        <f>SUMIF($E$4:$E$192,"310",$BZ$4:$BZ$192)</f>
        <v>0</v>
      </c>
      <c r="CA201" s="953">
        <f>SUMIF($E$4:$E$192,"310",$CA$4:$CA$192)</f>
        <v>0</v>
      </c>
      <c r="CB201" s="953">
        <f>SUMIF($E$4:$E$192,"310",$CB$4:$CB$192)</f>
        <v>0</v>
      </c>
      <c r="CC201" s="953">
        <f>SUMIF($E$4:$E$192,"310",$CC$4:$CC$192)</f>
        <v>0</v>
      </c>
      <c r="CD201" s="953">
        <f>SUMIF($E$4:$E$192,"310",$CD$4:$CD$192)</f>
        <v>0</v>
      </c>
      <c r="CE201" s="953">
        <f>SUMIF($E$4:$E$192,"310",$CE$4:$CE$192)</f>
        <v>0</v>
      </c>
      <c r="CF201" s="953">
        <f>SUMIF($E$4:$E$192,"310",$CF$4:$CF$192)</f>
        <v>0</v>
      </c>
      <c r="CG201" s="953">
        <f>SUMIF($E$4:$E$192,"310",$CG$4:$CG$192)</f>
        <v>36000000</v>
      </c>
      <c r="CH201" s="953">
        <f>SUMIF($E$4:$E$192,"310",$CH$4:$CH$192)</f>
        <v>0</v>
      </c>
      <c r="CI201" s="953">
        <f>SUMIF($E$4:$E$192,"310",$CI$4:$CI$192)</f>
        <v>0</v>
      </c>
      <c r="CJ201" s="953">
        <f>SUMIF($E$4:$E$192,"310",$CJ$4:$CJ$192)</f>
        <v>0</v>
      </c>
      <c r="CK201" s="953">
        <f>SUMIF($E$4:$E$192,"310",$CK$4:$CK$192)</f>
        <v>0</v>
      </c>
      <c r="CL201" s="956">
        <f>SUMIF($E$4:$E$194,"310",$CL$4:$CL$194)</f>
        <v>12906478</v>
      </c>
      <c r="CM201" s="959">
        <f t="shared" si="208"/>
        <v>0.62417275037956454</v>
      </c>
      <c r="CN201" s="944">
        <f t="shared" si="209"/>
        <v>734185185</v>
      </c>
      <c r="CO201" s="951">
        <f>SUMIF($E$4:$E$194,"310",$CO$4:$CO$194)</f>
        <v>0</v>
      </c>
      <c r="CP201" s="951">
        <f>SUMIF($E$4:$E$192,"310",$CP$4:$CP$192)</f>
        <v>0</v>
      </c>
      <c r="CQ201" s="951">
        <f>SUMIF($E$4:$E$192,"310",$CQ$4:$CQ$192)</f>
        <v>0</v>
      </c>
      <c r="CR201" s="951">
        <f>SUMIF($E$4:$E$192,"310",$CR$4:$CR$192)</f>
        <v>0</v>
      </c>
      <c r="CS201" s="951">
        <f>SUMIF($E$4:$E$194,"310",$CS$4:$CS$194)</f>
        <v>0</v>
      </c>
      <c r="CT201" s="951">
        <f>SUMIF($E$4:$E$194,"310",$CT$4:$CT$194)</f>
        <v>243222246</v>
      </c>
      <c r="CU201" s="951">
        <f>SUMIF($E$4:$E$194,"310",$CU$4:$CU$194)</f>
        <v>233991109</v>
      </c>
      <c r="CV201" s="951">
        <f>SUMIF($E$4:$E$194,"310",$CV$4:$CV$194)</f>
        <v>0</v>
      </c>
      <c r="CW201" s="951">
        <f>SUMIF($E$4:$E$192,"310",$CW$4:$CW$192)</f>
        <v>0</v>
      </c>
      <c r="CX201" s="951">
        <f>SUMIF($E$4:$E$192,"310",$CX$4:$CX$192)</f>
        <v>0</v>
      </c>
      <c r="CY201" s="951">
        <f>SUMIF($E$4:$E$192,"310",$CY$4:$CY$192)</f>
        <v>0</v>
      </c>
      <c r="CZ201" s="951">
        <f>SUMIF($E$4:$E$192,"310",$CZ$4:$CZ$192)</f>
        <v>0</v>
      </c>
      <c r="DA201" s="951">
        <f>SUMIF($E$4:$E$192,"310",$DA$4:$DA$192)</f>
        <v>0</v>
      </c>
      <c r="DB201" s="951">
        <f>SUMIF($E$4:$E$192,"310",$DB$4:$DB$192)</f>
        <v>0</v>
      </c>
      <c r="DC201" s="951">
        <f>SUMIF($E$4:$E$192,"310",$DC$4:$DC$192)</f>
        <v>0</v>
      </c>
      <c r="DD201" s="951">
        <f>SUMIF($E$4:$E$194,"310",$DD$4:$DD$194)</f>
        <v>180676074</v>
      </c>
      <c r="DE201" s="951">
        <f>SUMIF($E$4:$E$192,"310",$DE$4:$DE$192)</f>
        <v>0</v>
      </c>
      <c r="DF201" s="951">
        <f>SUMIF($E$4:$E$192,"310",$DF$4:$DF$192)</f>
        <v>0</v>
      </c>
      <c r="DG201" s="951">
        <f>SUMIF($E$4:$E$192,"310",$DG$4:$DG$192)</f>
        <v>0</v>
      </c>
      <c r="DH201" s="952">
        <f>SUMIF($E$4:$E$194,"310",$DH$4:$DH$194)</f>
        <v>76295756</v>
      </c>
      <c r="DI201" s="1010">
        <f t="shared" si="203"/>
        <v>0.37582724962043546</v>
      </c>
      <c r="DJ201" s="149">
        <f t="shared" si="210"/>
        <v>442067999</v>
      </c>
      <c r="DK201" s="1039">
        <f>SUMIF($E$4:$E$194,"310",$DK$4:$DK$194)</f>
        <v>0</v>
      </c>
      <c r="DL201" s="953">
        <f>SUMIF($E$4:$E$192,"310",$DL$4:$DL$192)</f>
        <v>0</v>
      </c>
      <c r="DM201" s="953">
        <f>SUMIF($E$4:$E$194,"310",$DM$4:$DM$194)</f>
        <v>0</v>
      </c>
      <c r="DN201" s="953">
        <f>SUMIF($E$4:$E$194,"310",$DN$4:$DN$194)</f>
        <v>0</v>
      </c>
      <c r="DO201" s="953">
        <f>SUMIF($E$4:$E$194,"310",$DO$4:$DO$194)</f>
        <v>0</v>
      </c>
      <c r="DP201" s="953">
        <f>SUMIF($E$4:$E$194,"310",$DP$4:$DP$194)</f>
        <v>176777754</v>
      </c>
      <c r="DQ201" s="953">
        <f>SUMIF($E$4:$E$194,"310",$DQ$4:$DQ$194)</f>
        <v>87994035</v>
      </c>
      <c r="DR201" s="953">
        <f>SUMIF($E$4:$E$194,"310",$DR$4:$DR$194)</f>
        <v>0</v>
      </c>
      <c r="DS201" s="208">
        <f>SUMIF($E$4:$E$192,"310",$DS$4:$DS$192)</f>
        <v>0</v>
      </c>
      <c r="DT201" s="208">
        <f>SUMIF($E$4:$E$192,"310",$DT$4:$DT$192)</f>
        <v>0</v>
      </c>
      <c r="DU201" s="208">
        <f>SUMIF($E$4:$E$194,"310",$DU$4:$DU$194)</f>
        <v>0</v>
      </c>
      <c r="DV201" s="208">
        <f>SUMIF($E$4:$E$192,"310",$DV$4:$DV$192)</f>
        <v>0</v>
      </c>
      <c r="DW201" s="208">
        <f>SUMIF($E$4:$E$192,"310",$DW$4:$DW$192)</f>
        <v>0</v>
      </c>
      <c r="DX201" s="208">
        <f>SUMIF($E$4:$E$194,"310",$DX$4:$DX$194)</f>
        <v>0</v>
      </c>
      <c r="DY201" s="208">
        <f>SUMIF($E$4:$E$194,"310",$DY$4:$DY$194)</f>
        <v>36000000</v>
      </c>
      <c r="DZ201" s="208">
        <f>SUMIF($E$4:$E$194,"310",$DZ$4:$DZ$194)</f>
        <v>92668347</v>
      </c>
      <c r="EA201" s="208">
        <f>SUMIF($E$4:$E$192,"310",$EA$4:$EA$192)</f>
        <v>0</v>
      </c>
      <c r="EB201" s="208">
        <f>SUMIF($E$4:$E$192,"310",$EB$4:$EB$192)</f>
        <v>0</v>
      </c>
      <c r="EC201" s="208">
        <f>SUMIF($E$4:$E$192,"310",$EC$4:$EC$192)</f>
        <v>0</v>
      </c>
      <c r="ED201" s="208">
        <f>SUMIF($E$4:$E$194,"310",$ED$4:$ED$194)</f>
        <v>48627863</v>
      </c>
      <c r="EF201" s="1632"/>
      <c r="EG201" s="1633" t="s">
        <v>443</v>
      </c>
      <c r="EH201" s="1632"/>
      <c r="EI201" s="1632"/>
      <c r="EJ201" s="1632"/>
      <c r="EK201" s="1631">
        <v>6535792729</v>
      </c>
      <c r="EL201" s="1631">
        <v>3498022563</v>
      </c>
      <c r="EM201" s="1634">
        <v>0.53521014328971994</v>
      </c>
      <c r="EN201" s="1632"/>
      <c r="EO201" s="1632"/>
    </row>
    <row r="202" spans="1:145" x14ac:dyDescent="0.25">
      <c r="C202" s="988"/>
      <c r="D202" s="1118" t="s">
        <v>443</v>
      </c>
      <c r="E202" s="239">
        <v>410</v>
      </c>
      <c r="F202" s="133"/>
      <c r="G202" s="875">
        <f>SUMIF($E$4:$E$194,"410",$G$4:$G$194)</f>
        <v>4593000000</v>
      </c>
      <c r="H202" s="1059">
        <f>SUMIF($E$4:$E$194,"410",$H$4:$H$194)</f>
        <v>3498022563</v>
      </c>
      <c r="I202" s="1059">
        <f>SUMIF($E$4:$E$194,"410",$I$4:$I$194)</f>
        <v>3037770166</v>
      </c>
      <c r="J202" s="133"/>
      <c r="K202" s="133"/>
      <c r="L202" s="133"/>
      <c r="M202" s="133"/>
      <c r="N202" s="133"/>
      <c r="O202" s="133"/>
      <c r="P202" s="133"/>
      <c r="Q202" s="133"/>
      <c r="R202" s="133"/>
      <c r="S202" s="133"/>
      <c r="T202" s="133"/>
      <c r="U202" s="133"/>
      <c r="V202" s="133"/>
      <c r="W202" s="133"/>
      <c r="X202" s="133"/>
      <c r="Y202" s="951">
        <f>SUMIF($E$4:$E$194,"410",$Y$4:$Y$194)</f>
        <v>6535792729</v>
      </c>
      <c r="Z202" s="951">
        <f>SUMIF($E$4:$E$194,"410",$Z$4:$Z$194)</f>
        <v>0</v>
      </c>
      <c r="AA202" s="216">
        <f>SUMIF($E$4:$E$192,"410",$AA$4:$AA$192)</f>
        <v>134533656</v>
      </c>
      <c r="AB202" s="216">
        <f>SUMIF($E$4:$E$195,"410",$AB$4:$AB$195)</f>
        <v>396726534</v>
      </c>
      <c r="AC202" s="216">
        <f>SUMIF($E$4:$E$195,"410",$AC$4:$AC$195)</f>
        <v>775722031</v>
      </c>
      <c r="AD202" s="951">
        <f>SUMIF($E$4:$E$194,"410",$AD$4:$AD$194)</f>
        <v>0</v>
      </c>
      <c r="AE202" s="133">
        <f>SUMIF($E$4:$E$192,"410",$AE$4:$AE$192)</f>
        <v>544180877</v>
      </c>
      <c r="AF202" s="133">
        <f>SUMIF($E$4:$E$192,"410",$AF$4:$AF$192)</f>
        <v>55000000</v>
      </c>
      <c r="AG202" s="133">
        <f>SUMIF($E$4:$E$192,"410",$AG$4:$AG$192)</f>
        <v>102810569</v>
      </c>
      <c r="AH202" s="133">
        <f>SUMIF($E$4:$E$192,"410",$AH$4:$AH$192)</f>
        <v>219471348</v>
      </c>
      <c r="AI202" s="133">
        <f>SUMIF($E$4:$E$192,"410",$AI$4:$AI$192)</f>
        <v>0</v>
      </c>
      <c r="AJ202" s="133">
        <f>SUMIF($E$4:$E$192,"410",$AJ$4:$AJ$192)</f>
        <v>0</v>
      </c>
      <c r="AK202" s="133">
        <f>SUMIF($E$4:$E$192,"410",$AK$4:$AK$192)</f>
        <v>0</v>
      </c>
      <c r="AL202" s="133">
        <f>SUMIF($E$4:$E$192,"410",$AL$4:$AL$192)</f>
        <v>3504013680</v>
      </c>
      <c r="AM202" s="133">
        <f>SUMIF($E$4:$E$192,"410",$AM$4:$AM$192)</f>
        <v>78609139</v>
      </c>
      <c r="AN202" s="133">
        <f>SUMIF($E$4:$E$192,"410",$AN$4:$AN$192)</f>
        <v>251718083</v>
      </c>
      <c r="AO202" s="133">
        <f>SUMIF($E$4:$E$163,"410",$AO$4:$AO$163)</f>
        <v>311973650</v>
      </c>
      <c r="AP202" s="133">
        <f>SUMIF($E$4:$E$163,"410",$AP$4:$AP$163)</f>
        <v>0</v>
      </c>
      <c r="AQ202" s="133">
        <f>SUMIF($E$4:$E$192,"410",$AQ$4:$AQ$192)</f>
        <v>80844085</v>
      </c>
      <c r="AR202" s="133">
        <f>SUMIF($E$4:$E$192,"410",$AR$4:$AR$192)</f>
        <v>0</v>
      </c>
      <c r="AS202" s="133">
        <f>SUMIF($E$4:$E$194,"410",$AS$4:$AS$194)</f>
        <v>80189077</v>
      </c>
      <c r="AU202" s="946">
        <f t="shared" si="204"/>
        <v>0.82290423426920767</v>
      </c>
      <c r="AV202" s="218">
        <f t="shared" si="205"/>
        <v>5378331511</v>
      </c>
      <c r="AW202" s="951">
        <f>SUMIF($E$4:$E$192,"410",$AW$4:$AW$192)</f>
        <v>0</v>
      </c>
      <c r="AX202" s="951">
        <f>SUMIF($E$4:$E$194,"410",$AX$4:$AX$194)</f>
        <v>133268976</v>
      </c>
      <c r="AY202" s="951">
        <f>SUMIF($E$4:$E$194,"410",$AY$4:$AY$194)</f>
        <v>396726534</v>
      </c>
      <c r="AZ202" s="951">
        <f>SUMIF($E$4:$E$194,"410",$AZ$4:$AZ$194)</f>
        <v>775722031</v>
      </c>
      <c r="BA202" s="951">
        <f>SUMIF($E$4:$E$192,"410",$BA$4:$BA$192)</f>
        <v>0</v>
      </c>
      <c r="BB202" s="951">
        <f>SUMIF($E$4:$E$192,"410",$BB$4:$BB$192)</f>
        <v>544180877</v>
      </c>
      <c r="BC202" s="951">
        <f>SUMIF($E$4:$E$194,"410",$BC$4:$BC$194)</f>
        <v>55000000</v>
      </c>
      <c r="BD202" s="951">
        <f>SUMIF($E$4:$E$194,"410",$BD$4:$BD$194)</f>
        <v>102810569</v>
      </c>
      <c r="BE202" s="951">
        <f>SUMIF($E$4:$E$192,"410",$BE$4:$BE$192)</f>
        <v>219471348</v>
      </c>
      <c r="BF202" s="951">
        <f>SUMIF($E$4:$E$192,"410",$BF$4:$BF$192)</f>
        <v>0</v>
      </c>
      <c r="BG202" s="951">
        <f>SUMIF($E$4:$E$163,"410",$BG$4:$BG$163)</f>
        <v>0</v>
      </c>
      <c r="BH202" s="951">
        <f>SUMIF($E$4:$E$192,"410",$BH$4:$BH$192)</f>
        <v>0</v>
      </c>
      <c r="BI202" s="951">
        <f>SUMIF($E$4:$E$192,"410",$BI$4:$BI$192)</f>
        <v>2406031294</v>
      </c>
      <c r="BJ202" s="951">
        <f>SUMIF($E$4:$E$192,"410",$BJ$4:$BJ$192)</f>
        <v>68609139</v>
      </c>
      <c r="BK202" s="951">
        <f>SUMIF($E$4:$E$194,"410",$BK$4:$BK$194)</f>
        <v>235765054</v>
      </c>
      <c r="BL202" s="951">
        <f>SUMIF($E$4:$E$192,"410",$BL$4:$BL$192)</f>
        <v>305692590</v>
      </c>
      <c r="BM202" s="951">
        <f>SUMIF($E$4:$E$192,"410",$BM$4:$BM$192)</f>
        <v>0</v>
      </c>
      <c r="BN202" s="951">
        <f>SUMIF($E$4:$E$192,"410",$BN$4:$BN$192)</f>
        <v>80844085</v>
      </c>
      <c r="BO202" s="951">
        <f>SUMIF($E$4:$E$192,"410",$BO$4:$BO$192)</f>
        <v>0</v>
      </c>
      <c r="BP202" s="951">
        <f>SUMIF($E$4:$E$194,"410",$BP$4:$BP$194)</f>
        <v>54209014</v>
      </c>
      <c r="BQ202" s="950">
        <f t="shared" si="206"/>
        <v>0.17709576573079233</v>
      </c>
      <c r="BR202" s="149">
        <f t="shared" si="207"/>
        <v>1157461218</v>
      </c>
      <c r="BS202" s="953">
        <f>SUMIF($E$4:$E$192,"410",$BS$4:$BS$192)</f>
        <v>0</v>
      </c>
      <c r="BT202" s="953">
        <f>SUMIF($E$4:$E$192,"410",$BT$4:$BT$192)</f>
        <v>1264680</v>
      </c>
      <c r="BU202" s="953">
        <f>SUMIF($E$4:$E$192,"410",$BU$4:$BU$192)</f>
        <v>0</v>
      </c>
      <c r="BV202" s="953">
        <f>SUMIF($E$4:$E$194,"410",$BV$4:$BV$194)</f>
        <v>0</v>
      </c>
      <c r="BW202" s="953">
        <f>SUMIF($E$4:$E$194,"410",$BW$4:$BW$194)</f>
        <v>0</v>
      </c>
      <c r="BX202" s="953">
        <f>SUMIF($E$4:$E$194,"410",$BX$4:$BX$194)</f>
        <v>0</v>
      </c>
      <c r="BY202" s="953">
        <f>SUMIF($E$4:$E$192,"410",$BY$4:$BY$192)</f>
        <v>0</v>
      </c>
      <c r="BZ202" s="953">
        <f>SUMIF($E$4:$E$192,"410",$BZ$4:$BZ$192)</f>
        <v>0</v>
      </c>
      <c r="CA202" s="953">
        <f>SUMIF($E$4:$E$192,"410",$CA$4:$CA$192)</f>
        <v>0</v>
      </c>
      <c r="CB202" s="953">
        <f>SUMIF($E$4:$E$192,"410",$CB$4:$CB$192)</f>
        <v>0</v>
      </c>
      <c r="CC202" s="953">
        <f>SUMIF($E$4:$E$192,"410",$CC$4:$CC$192)</f>
        <v>0</v>
      </c>
      <c r="CD202" s="953">
        <f>SUMIF($E$4:$E$192,"410",$CD$4:$CD$192)</f>
        <v>0</v>
      </c>
      <c r="CE202" s="953">
        <f>SUMIF($E$4:$E$192,"410",$CE$4:$CE$192)</f>
        <v>1097982386</v>
      </c>
      <c r="CF202" s="953">
        <f>SUMIF($E$4:$E$192,"410",$CF$4:$CF$192)</f>
        <v>10000000</v>
      </c>
      <c r="CG202" s="953">
        <f>SUMIF($E$4:$E$192,"410",$CG$4:$CG$192)</f>
        <v>15953029</v>
      </c>
      <c r="CH202" s="953">
        <f>SUMIF($E$4:$E$192,"410",$CH$4:$CH$192)</f>
        <v>6281060</v>
      </c>
      <c r="CI202" s="953">
        <f>SUMIF($E$4:$E$192,"510",$CI$4:$CI$192)</f>
        <v>0</v>
      </c>
      <c r="CJ202" s="953">
        <f>SUMIF($E$4:$E$192,"410",$CJ$4:$CJ$192)</f>
        <v>0</v>
      </c>
      <c r="CK202" s="953">
        <f>SUMIF($E$4:$E$192,"410",$CK$4:$CK$192)</f>
        <v>0</v>
      </c>
      <c r="CL202" s="956">
        <f>SUMIF($E$4:$E$194,"410",$CL$4:$CL$194)</f>
        <v>25980063</v>
      </c>
      <c r="CM202" s="959">
        <f t="shared" si="208"/>
        <v>0.53521014328971994</v>
      </c>
      <c r="CN202" s="149">
        <f t="shared" si="209"/>
        <v>3498022563</v>
      </c>
      <c r="CO202" s="951">
        <f>SUMIF($E$4:$E$194,"410",$CO$4:$CO$194)</f>
        <v>0</v>
      </c>
      <c r="CP202" s="951">
        <f>SUMIF($E$4:$E$192,"410",$CP$4:$CP$192)</f>
        <v>133268976</v>
      </c>
      <c r="CQ202" s="951">
        <f>SUMIF($E$4:$E$192,"410",$CQ$4:$CQ$192)</f>
        <v>396726534</v>
      </c>
      <c r="CR202" s="951">
        <f>SUMIF($E$4:$E$192,"410",$CR$4:$CR$192)</f>
        <v>561469881</v>
      </c>
      <c r="CS202" s="951">
        <f>SUMIF($E$4:$E$194,"410",$CS$4:$CS$194)</f>
        <v>0</v>
      </c>
      <c r="CT202" s="951">
        <f>SUMIF($E$4:$E$192,"410",$CT$4:$CT$192)</f>
        <v>457458840</v>
      </c>
      <c r="CU202" s="951">
        <f>SUMIF($E$4:$E$192,"410",$CU$4:$CU$192)</f>
        <v>54911458</v>
      </c>
      <c r="CV202" s="951">
        <f>SUMIF($E$4:$E$194,"410",$CV$4:$CV$194)</f>
        <v>102810569</v>
      </c>
      <c r="CW202" s="951">
        <f>SUMIF($E$4:$E$192,"410",$CW$4:$CW$192)</f>
        <v>129471348</v>
      </c>
      <c r="CX202" s="951">
        <f>SUMIF($E$4:$E$192,"410",$CX$4:$CX$192)</f>
        <v>0</v>
      </c>
      <c r="CY202" s="951">
        <f>SUMIF($E$4:$E$192,"410",$CY$4:$CY$192)</f>
        <v>0</v>
      </c>
      <c r="CZ202" s="951">
        <f>SUMIF($E$4:$E$192,"410",$CZ$4:$CZ$192)</f>
        <v>0</v>
      </c>
      <c r="DA202" s="951">
        <f>SUMIF($E$4:$E$192,"410",$DA$4:$DA$192)</f>
        <v>1255105656</v>
      </c>
      <c r="DB202" s="951">
        <f>SUMIF($E$4:$E$192,"410",$DB$4:$DB$192)</f>
        <v>53706082</v>
      </c>
      <c r="DC202" s="951">
        <f>SUMIF($E$4:$E$192,"410",$DC$4:$DC$192)</f>
        <v>173596038</v>
      </c>
      <c r="DD202" s="951">
        <f>SUMIF($E$4:$E$192,"410",$DD$4:$DD$192)</f>
        <v>123389828</v>
      </c>
      <c r="DE202" s="951">
        <f>SUMIF($E$4:$E$192,"410",$DE$4:$DE$192)</f>
        <v>0</v>
      </c>
      <c r="DF202" s="951">
        <f>SUMIF($E$4:$E$192,"410",$DF$4:$DF$192)</f>
        <v>30228561</v>
      </c>
      <c r="DG202" s="951">
        <f>SUMIF($E$4:$E$192,"410",$DG$4:$DG$192)</f>
        <v>0</v>
      </c>
      <c r="DH202" s="952">
        <f>SUMIF($E$4:$E$192,"410",$DH$4:$DH$192)</f>
        <v>25878792</v>
      </c>
      <c r="DI202" s="1010">
        <f t="shared" si="203"/>
        <v>0.46478985671028006</v>
      </c>
      <c r="DJ202" s="149">
        <f t="shared" si="210"/>
        <v>3037770166</v>
      </c>
      <c r="DK202" s="1039">
        <f>SUMIF($E$4:$E$194,"410",$DK$4:$DK$194)</f>
        <v>0</v>
      </c>
      <c r="DL202" s="953">
        <f>SUMIF($E$4:$E$192,"410",$DL$4:$DL$192)</f>
        <v>1264680</v>
      </c>
      <c r="DM202" s="953">
        <f>SUMIF($E$4:$E$194,"410",$DM$4:$DM$194)</f>
        <v>0</v>
      </c>
      <c r="DN202" s="953">
        <f>SUMIF($E$4:$E$194,"410",$DN$4:$DN$194)</f>
        <v>214252150</v>
      </c>
      <c r="DO202" s="953">
        <f>SUMIF($E$4:$E$194,"410",$DO$4:$DO$194)</f>
        <v>0</v>
      </c>
      <c r="DP202" s="953">
        <f>SUMIF($E$4:$E$194,"410",$DP$4:$DP$194)</f>
        <v>86722037</v>
      </c>
      <c r="DQ202" s="953">
        <f>SUMIF($E$4:$E$194,"410",$DQ$4:$DQ$194)</f>
        <v>88542</v>
      </c>
      <c r="DR202" s="953">
        <f>SUMIF($E$4:$E$194,"410",$DR$4:$DR$194)</f>
        <v>0</v>
      </c>
      <c r="DS202" s="208">
        <f>SUMIF($E$4:$E$192,"410",$DS$4:$DS$192)</f>
        <v>90000000</v>
      </c>
      <c r="DT202" s="208">
        <f>SUMIF($E$4:$E$192,"410",$DT$4:$DT$192)</f>
        <v>0</v>
      </c>
      <c r="DU202" s="208">
        <f>SUMIF($E$4:$E$194,"410",$DU$4:$DU$194)</f>
        <v>0</v>
      </c>
      <c r="DV202" s="208">
        <f>SUMIF($E$4:$E$192,"410",$DV$4:$DV$192)</f>
        <v>0</v>
      </c>
      <c r="DW202" s="208">
        <f>SUMIF($E$4:$E$192,"410",$DW$4:$DW$192)</f>
        <v>2248908024</v>
      </c>
      <c r="DX202" s="208">
        <f>SUMIF($E$4:$E$194,"410",$DX$4:$DX$194)</f>
        <v>24903057</v>
      </c>
      <c r="DY202" s="208">
        <f>SUMIF($E$4:$E$194,"410",$DY$4:$DY$194)</f>
        <v>78122045</v>
      </c>
      <c r="DZ202" s="208">
        <f>SUMIF($E$4:$E$192,"410",$DZ$4:$DZ$192)</f>
        <v>188583822</v>
      </c>
      <c r="EA202" s="208">
        <f>SUMIF($E$4:$E$192,"410",$EA$4:$EA$192)</f>
        <v>0</v>
      </c>
      <c r="EB202" s="208">
        <f>SUMIF($E$4:$E$192,"410",$EB$4:$EB$192)</f>
        <v>50615524</v>
      </c>
      <c r="EC202" s="208">
        <f>SUMIF($E$4:$E$192,"410",$EC$4:$EC$192)</f>
        <v>0</v>
      </c>
      <c r="ED202" s="208">
        <f>SUMIF($E$4:$E$194,"410",$ED$4:$ED$194)</f>
        <v>54310285</v>
      </c>
      <c r="EF202" s="1632"/>
      <c r="EG202" s="1633" t="s">
        <v>3755</v>
      </c>
      <c r="EH202" s="1632"/>
      <c r="EI202" s="1632"/>
      <c r="EJ202" s="1632"/>
      <c r="EK202" s="1631">
        <v>1533700000</v>
      </c>
      <c r="EL202" s="1631">
        <v>752743047</v>
      </c>
      <c r="EM202" s="1634">
        <v>0.49080201277955271</v>
      </c>
      <c r="EN202" s="1632"/>
      <c r="EO202" s="1632"/>
    </row>
    <row r="203" spans="1:145" ht="14.25" customHeight="1" x14ac:dyDescent="0.25">
      <c r="C203" s="988"/>
      <c r="D203" s="1118" t="s">
        <v>3755</v>
      </c>
      <c r="E203" s="239">
        <v>510</v>
      </c>
      <c r="F203" s="133"/>
      <c r="G203" s="875">
        <f>SUMIF($E$4:$E$194,"510",$G$4:$G$194)</f>
        <v>1300000000</v>
      </c>
      <c r="H203" s="1059">
        <f>SUMIF($E$4:$E$194,"510",$H$4:$H$194)</f>
        <v>752743047</v>
      </c>
      <c r="I203" s="1059">
        <f>SUMIF($E$4:$E$194,"510",$I$4:$I$194)</f>
        <v>780956953</v>
      </c>
      <c r="J203" s="133"/>
      <c r="K203" s="133"/>
      <c r="L203" s="133"/>
      <c r="M203" s="133"/>
      <c r="N203" s="133"/>
      <c r="O203" s="133"/>
      <c r="P203" s="133"/>
      <c r="Q203" s="133"/>
      <c r="R203" s="133"/>
      <c r="S203" s="133"/>
      <c r="T203" s="133"/>
      <c r="U203" s="133"/>
      <c r="V203" s="133"/>
      <c r="W203" s="133"/>
      <c r="X203" s="133"/>
      <c r="Y203" s="951">
        <f>SUMIF($E$4:$E$194,"510",$Y$4:$Y$194)</f>
        <v>1533700000</v>
      </c>
      <c r="Z203" s="951">
        <f>SUMIF($E$4:$E$194,"510",$Z$4:$Z$194)</f>
        <v>0</v>
      </c>
      <c r="AA203" s="216">
        <f>SUMIF($E$4:$E$192,"510",$AA$4:$AA$192)</f>
        <v>0</v>
      </c>
      <c r="AB203" s="216">
        <f>SUMIF($E$4:$E$195,"510",$AB$4:$AB$195)</f>
        <v>0</v>
      </c>
      <c r="AC203" s="216">
        <f>SUMIF($E$4:$E$195,"510",$AC$4:$AC$195)</f>
        <v>0</v>
      </c>
      <c r="AD203" s="951">
        <f>SUMIF($E$4:$E$194,"510",$AD$4:$AD$194)</f>
        <v>0</v>
      </c>
      <c r="AE203" s="133">
        <f>SUMIF($E$4:$E$192,"510",$AE$4:$AE$192)</f>
        <v>670000000</v>
      </c>
      <c r="AF203" s="133">
        <f>SUMIF($E$4:$E$192,"510",$AF$4:$AF$192)</f>
        <v>0</v>
      </c>
      <c r="AG203" s="133">
        <f>SUMIF($E$4:$E$192,"510",$AG$4:$AG$192)</f>
        <v>0</v>
      </c>
      <c r="AH203" s="133">
        <f>SUMIF($E$4:$E$192,"510",$AH$4:$AH$192)</f>
        <v>0</v>
      </c>
      <c r="AI203" s="133">
        <f>SUMIF($E$4:$E$192,"510",$AI$4:$AI$192)</f>
        <v>0</v>
      </c>
      <c r="AJ203" s="133">
        <f>SUMIF($E$4:$E$192,"510",$AJ$4:$AJ$192)</f>
        <v>0</v>
      </c>
      <c r="AK203" s="133">
        <f>SUMIF($E$4:$E$192,"510",$AK$4:$AK$192)</f>
        <v>0</v>
      </c>
      <c r="AL203" s="133">
        <f>SUMIF($E$4:$E$192,"510",$AL$4:$AL$192)</f>
        <v>0</v>
      </c>
      <c r="AM203" s="133">
        <f>SUMIF($E$4:$E$192,"510",$AM$4:$AM$192)</f>
        <v>270000000</v>
      </c>
      <c r="AN203" s="133">
        <f>SUMIF($E$4:$E$192,"510",$AN$4:$AN$192)</f>
        <v>250000000</v>
      </c>
      <c r="AO203" s="133">
        <f>SUMIF($E$4:$E$192,"510",$AO$4:$AO$192)</f>
        <v>239500000</v>
      </c>
      <c r="AP203" s="133">
        <f>SUMIF($E$4:$E$163,"510",$AP$4:$AP$163)</f>
        <v>0</v>
      </c>
      <c r="AQ203" s="133">
        <f>SUMIF($E$4:$E$192,"510",$AQ$4:$AQ$192)</f>
        <v>0</v>
      </c>
      <c r="AR203" s="133">
        <f>SUMIF($E$4:$E$192,"510",$AR$4:$AR$192)</f>
        <v>0</v>
      </c>
      <c r="AS203" s="133">
        <f>SUMIF($E$4:$E$194,"510",$AS$4:$AS$194)</f>
        <v>104200000</v>
      </c>
      <c r="AU203" s="946">
        <f t="shared" si="204"/>
        <v>0.61094694855578013</v>
      </c>
      <c r="AV203" s="218">
        <f t="shared" si="205"/>
        <v>937009335</v>
      </c>
      <c r="AW203" s="951">
        <f>SUMIF($E$4:$E$192,"510",$AW$4:$AW$192)</f>
        <v>0</v>
      </c>
      <c r="AX203" s="951">
        <f>SUMIF($E$4:$E$194,"510",$AX$4:$AX$194)</f>
        <v>0</v>
      </c>
      <c r="AY203" s="951">
        <f>SUMIF($E$4:$E$194,"510",$AY$4:$AY$194)</f>
        <v>0</v>
      </c>
      <c r="AZ203" s="951">
        <f>SUMIF($E$4:$E$194,"510",$AZ$4:$AZ$194)</f>
        <v>0</v>
      </c>
      <c r="BA203" s="951">
        <f>SUMIF($E$4:$E$192,"510",$BA$4:$BA$192)</f>
        <v>0</v>
      </c>
      <c r="BB203" s="951">
        <f>SUMIF($E$4:$E$192,"510",$BB$4:$BB$192)</f>
        <v>387958330</v>
      </c>
      <c r="BC203" s="951">
        <f>SUMIF($E$4:$E$194,"510",$BC$4:$BC$194)</f>
        <v>0</v>
      </c>
      <c r="BD203" s="951">
        <f>SUMIF($E$4:$E$194,"510",$BD$4:$BD$194)</f>
        <v>0</v>
      </c>
      <c r="BE203" s="951">
        <f>SUMIF($E$4:$E$192,"510",$BE$4:$BE$192)</f>
        <v>0</v>
      </c>
      <c r="BF203" s="951">
        <f>SUMIF($E$4:$E$192,"510",$BF$4:$BF$192)</f>
        <v>0</v>
      </c>
      <c r="BG203" s="951">
        <f>SUMIF($E$4:$E$163,"510",$BG$4:$BG$163)</f>
        <v>0</v>
      </c>
      <c r="BH203" s="951">
        <f>SUMIF($E$4:$E$192,"510",$BH$4:$BH$192)</f>
        <v>0</v>
      </c>
      <c r="BI203" s="951">
        <f>SUMIF($E$4:$E$192,"510",$BI$4:$BI$192)</f>
        <v>0</v>
      </c>
      <c r="BJ203" s="951">
        <f>SUMIF($E$4:$E$192,"510",$BJ$4:$BJ$192)</f>
        <v>133901272</v>
      </c>
      <c r="BK203" s="951">
        <f>SUMIF($E$4:$E$194,"510",$BK$4:$BK$194)</f>
        <v>109649906</v>
      </c>
      <c r="BL203" s="951">
        <f>SUMIF($E$4:$E$192,"510",$BL$4:$BL$192)</f>
        <v>227203720</v>
      </c>
      <c r="BM203" s="951">
        <f>SUMIF($E$4:$E$192,"510",$BM$4:$BM$192)</f>
        <v>0</v>
      </c>
      <c r="BN203" s="951">
        <f>SUMIF($E$4:$E$192,"510",$BN$4:$BN$192)</f>
        <v>0</v>
      </c>
      <c r="BO203" s="951">
        <f>SUMIF($E$4:$E$192," 510",$BO$4:$BO$192)</f>
        <v>0</v>
      </c>
      <c r="BP203" s="951">
        <f>SUMIF($E$4:$E$194,"510",$BP$4:$BP$194)</f>
        <v>78296107</v>
      </c>
      <c r="BQ203" s="950">
        <f t="shared" si="206"/>
        <v>0.38905305144421987</v>
      </c>
      <c r="BR203" s="149">
        <f t="shared" si="207"/>
        <v>596690665</v>
      </c>
      <c r="BS203" s="953">
        <f>SUMIF($E$4:$E$192,"510",$BS$4:$BS$192)</f>
        <v>0</v>
      </c>
      <c r="BT203" s="953">
        <f>SUMIF($E$4:$E$192,"510",$BT$4:$BT$192)</f>
        <v>0</v>
      </c>
      <c r="BU203" s="953">
        <f>SUMIF($E$4:$E$192,"510",$BU$4:$BU$192)</f>
        <v>0</v>
      </c>
      <c r="BV203" s="953">
        <f>SUMIF($E$4:$E$194,"510",$BV$4:$BV$194)</f>
        <v>0</v>
      </c>
      <c r="BW203" s="953">
        <f>SUMIF($E$4:$E$194,"510",$BW$4:$BW$194)</f>
        <v>0</v>
      </c>
      <c r="BX203" s="953">
        <f>SUMIF($E$4:$E$194,"510",$BX$4:$BX$194)</f>
        <v>282041670</v>
      </c>
      <c r="BY203" s="953">
        <f>SUMIF($E$4:$E$192,"510",$BY$4:$BY$192)</f>
        <v>0</v>
      </c>
      <c r="BZ203" s="953">
        <f>SUMIF($E$4:$E$192,"510",$BZ$4:$BZ$192)</f>
        <v>0</v>
      </c>
      <c r="CA203" s="953">
        <f>SUMIF($E$4:$E$192,"510",$CA$4:$CA$192)</f>
        <v>0</v>
      </c>
      <c r="CB203" s="953">
        <f>SUMIF($E$4:$E$192,"510",$CB$4:$CB$192)</f>
        <v>0</v>
      </c>
      <c r="CC203" s="953">
        <f>SUMIF($E$4:$E$192,"510",$CC$4:$CC$192)</f>
        <v>0</v>
      </c>
      <c r="CD203" s="953">
        <f>SUMIF($E$4:$E$192,"510",$CD$4:$CD$192)</f>
        <v>0</v>
      </c>
      <c r="CE203" s="953">
        <f>SUMIF($E$4:$E$192,"510",$CE$4:$CE$192)</f>
        <v>0</v>
      </c>
      <c r="CF203" s="953">
        <f>SUMIF($E$4:$E$192,"510",$CF$4:$CF$192)</f>
        <v>136098728</v>
      </c>
      <c r="CG203" s="953">
        <f>SUMIF($E$4:$E$192,"510",$CG$4:$CG$192)</f>
        <v>140350094</v>
      </c>
      <c r="CH203" s="953">
        <f>SUMIF($E$4:$E$192,"510",$CH$4:$CH$192)</f>
        <v>12296280</v>
      </c>
      <c r="CI203" s="953">
        <f>SUMIF($E$4:$E$192,"520",$CI$4:$CI$192)</f>
        <v>0</v>
      </c>
      <c r="CJ203" s="953">
        <f>SUMIF($E$4:$E$192,"510",$CJ$4:$CJ$192)</f>
        <v>0</v>
      </c>
      <c r="CK203" s="953">
        <f>SUMIF($E$4:$E$192,"510",$CK$4:$CK$192)</f>
        <v>0</v>
      </c>
      <c r="CL203" s="956">
        <f>SUMIF($E$4:$E$194,"510",$CL$4:$CL$194)</f>
        <v>25903893</v>
      </c>
      <c r="CM203" s="959">
        <f t="shared" si="208"/>
        <v>0.49080201277955271</v>
      </c>
      <c r="CN203" s="149">
        <f t="shared" si="209"/>
        <v>752743047</v>
      </c>
      <c r="CO203" s="951">
        <f>SUMIF($E$4:$E$194,"510",$CO$4:$CO$194)</f>
        <v>0</v>
      </c>
      <c r="CP203" s="951">
        <f>SUMIF($E$4:$E$192,"510",$CP$4:$CP$192)</f>
        <v>0</v>
      </c>
      <c r="CQ203" s="951">
        <f>SUMIF($E$4:$E$192,"510",$CQ$4:$CQ$192)</f>
        <v>0</v>
      </c>
      <c r="CR203" s="951">
        <f>SUMIF($E$4:$E$192,"510",$CR$4:$CR$192)</f>
        <v>0</v>
      </c>
      <c r="CS203" s="951">
        <f>SUMIF($E$4:$E$194,"510",$CS$4:$CS$194)</f>
        <v>0</v>
      </c>
      <c r="CT203" s="951">
        <f>SUMIF($E$4:$E$192,"510",$CT$4:$CT$192)</f>
        <v>354153796</v>
      </c>
      <c r="CU203" s="951">
        <f>SUMIF($E$4:$E$192,"510",$CU$4:$CU$192)</f>
        <v>0</v>
      </c>
      <c r="CV203" s="951">
        <f>SUMIF($E$4:$E$194,"510",$CV$4:$CV$194)</f>
        <v>0</v>
      </c>
      <c r="CW203" s="951">
        <f>SUMIF($E$4:$E$192,"510",$CW$4:$CW$192)</f>
        <v>0</v>
      </c>
      <c r="CX203" s="951">
        <f>SUMIF($E$4:$E$192,"510",$CX$4:$CX$192)</f>
        <v>0</v>
      </c>
      <c r="CY203" s="951">
        <f>SUMIF($E$4:$E$192,"510",$CY$4:$CY$192)</f>
        <v>0</v>
      </c>
      <c r="CZ203" s="951">
        <f>SUMIF($E$4:$E$192,"510",$CZ$4:$CZ$192)</f>
        <v>0</v>
      </c>
      <c r="DA203" s="951">
        <f>SUMIF($E$4:$E$192,"510",$DA$4:$DA$192)</f>
        <v>0</v>
      </c>
      <c r="DB203" s="951">
        <f>SUMIF($E$4:$E$192,"510",$DB$4:$DB$192)</f>
        <v>81094725</v>
      </c>
      <c r="DC203" s="951">
        <f>SUMIF($E$4:$E$192,"510",$DC$4:$DC$192)</f>
        <v>90349777</v>
      </c>
      <c r="DD203" s="951">
        <f>SUMIF($E$4:$E$192,"510",$DD$4:$DD$192)</f>
        <v>180115636</v>
      </c>
      <c r="DE203" s="951">
        <f>SUMIF($E$4:$E$192,"510",$DE$4:$DE$192)</f>
        <v>0</v>
      </c>
      <c r="DF203" s="951">
        <f>SUMIF($E$4:$E$192,"510",$DF$4:$DF$192)</f>
        <v>0</v>
      </c>
      <c r="DG203" s="951">
        <f>SUMIF($E$4:$E$192,"510",$DG$4:$DG$192)</f>
        <v>0</v>
      </c>
      <c r="DH203" s="952">
        <f>SUMIF($E$4:$E$192,"510",$DH$4:$DH$192)</f>
        <v>47029113</v>
      </c>
      <c r="DI203" s="1010">
        <f t="shared" si="203"/>
        <v>0.50919798722044729</v>
      </c>
      <c r="DJ203" s="149">
        <f t="shared" si="210"/>
        <v>780956953</v>
      </c>
      <c r="DK203" s="1039">
        <f>SUMIF($E$4:$E$194,"510",$DK$4:$DK$194)</f>
        <v>0</v>
      </c>
      <c r="DL203" s="953">
        <f>SUMIF($E$4:$E$192,"510",$DL$4:$DL$192)</f>
        <v>0</v>
      </c>
      <c r="DM203" s="953">
        <f>SUMIF($E$4:$E$194,"510",$DM$4:$DM$194)</f>
        <v>0</v>
      </c>
      <c r="DN203" s="953">
        <f>SUMIF($E$4:$E$194,"510",$DN$4:$DN$194)</f>
        <v>0</v>
      </c>
      <c r="DO203" s="953">
        <f>SUMIF($E$4:$E$194,"510",$DO$4:$DO$194)</f>
        <v>0</v>
      </c>
      <c r="DP203" s="953">
        <f>SUMIF($E$4:$E$194,"510",$DP$4:$DP$194)</f>
        <v>315846204</v>
      </c>
      <c r="DQ203" s="953">
        <f>SUMIF($E$4:$E$194,"510",$DQ$4:$DQ$194)</f>
        <v>0</v>
      </c>
      <c r="DR203" s="953">
        <f>SUMIF($E$4:$E$194,"510",$DR$4:$DR$194)</f>
        <v>0</v>
      </c>
      <c r="DS203" s="208">
        <f>SUMIF($E$4:$E$192,"510",$DS$4:$DS$192)</f>
        <v>0</v>
      </c>
      <c r="DT203" s="208">
        <f>SUMIF($E$4:$E$192,"510",$DT$4:$DT$192)</f>
        <v>0</v>
      </c>
      <c r="DU203" s="208">
        <f>SUMIF($E$4:$E$194,"510",$DU$4:$DU$194)</f>
        <v>0</v>
      </c>
      <c r="DV203" s="208">
        <f>SUMIF($E$4:$E$192,"510",$DV$4:$DV$192)</f>
        <v>0</v>
      </c>
      <c r="DW203" s="208">
        <f>SUMIF($E$4:$E$192,"510",$DW$4:$DW$192)</f>
        <v>0</v>
      </c>
      <c r="DX203" s="208">
        <f>SUMIF($E$4:$E$194,"510",$DX$4:$DX$194)</f>
        <v>188905275</v>
      </c>
      <c r="DY203" s="208">
        <f>SUMIF($E$4:$E$194,"510",$DY$4:$DY$194)</f>
        <v>159650223</v>
      </c>
      <c r="DZ203" s="208">
        <f>SUMIF($E$4:$E$192,"510",$DZ$4:$DZ$192)</f>
        <v>59384364</v>
      </c>
      <c r="EA203" s="208">
        <f>SUMIF($E$4:$E$192,"510",$EA$4:$EA$192)</f>
        <v>0</v>
      </c>
      <c r="EB203" s="208">
        <f>SUMIF($E$4:$E$192,"510",$EB$4:$EB$192)</f>
        <v>0</v>
      </c>
      <c r="EC203" s="208">
        <f>SUMIF($E$4:$E$192,"510",$EC$4:$EC$192)</f>
        <v>0</v>
      </c>
      <c r="ED203" s="208">
        <f>SUMIF($E$4:$E$194,"510",$ED$4:$ED$194)</f>
        <v>57170887</v>
      </c>
      <c r="EF203" s="1632"/>
      <c r="EG203" s="1633" t="s">
        <v>1517</v>
      </c>
      <c r="EH203" s="1632"/>
      <c r="EI203" s="1632"/>
      <c r="EJ203" s="1632"/>
      <c r="EK203" s="1631">
        <v>2989241271</v>
      </c>
      <c r="EL203" s="1631">
        <v>1853898673</v>
      </c>
      <c r="EM203" s="1634">
        <v>0.62019037773414976</v>
      </c>
      <c r="EN203" s="1632"/>
      <c r="EO203" s="1632"/>
    </row>
    <row r="204" spans="1:145" x14ac:dyDescent="0.25">
      <c r="C204" s="988"/>
      <c r="D204" s="1118" t="s">
        <v>1517</v>
      </c>
      <c r="E204" s="239">
        <v>520</v>
      </c>
      <c r="F204" s="133"/>
      <c r="G204" s="875">
        <f>SUMIF($E$4:$E$194,"520",$G$4:$G$194)</f>
        <v>2832000000</v>
      </c>
      <c r="H204" s="1059">
        <f>SUMIF($E$4:$E$194,"520",$H$4:$H$194)</f>
        <v>1853898673</v>
      </c>
      <c r="I204" s="1059">
        <f>SUMIF($E$4:$E$194,"520",$I$4:$I$194)</f>
        <v>1135342598</v>
      </c>
      <c r="J204" s="133"/>
      <c r="K204" s="133"/>
      <c r="L204" s="133"/>
      <c r="M204" s="133"/>
      <c r="N204" s="133"/>
      <c r="O204" s="133"/>
      <c r="P204" s="133"/>
      <c r="Q204" s="133"/>
      <c r="R204" s="133"/>
      <c r="S204" s="133"/>
      <c r="T204" s="133"/>
      <c r="U204" s="133"/>
      <c r="V204" s="133"/>
      <c r="W204" s="133"/>
      <c r="X204" s="133"/>
      <c r="Y204" s="951">
        <f>SUMIF($E$4:$E$194,"520",$Y$4:$Y$194)</f>
        <v>2989241271</v>
      </c>
      <c r="Z204" s="951">
        <f>SUMIF($E$4:$E$194,"520",$Z$4:$Z$194)</f>
        <v>0</v>
      </c>
      <c r="AA204" s="216">
        <f>SUMIF($E$4:$E$192,"520",$AA$4:$AA$192)</f>
        <v>0</v>
      </c>
      <c r="AB204" s="216">
        <f>SUMIF($E$4:$E$195,"520",$AB$4:$AB$195)</f>
        <v>0</v>
      </c>
      <c r="AC204" s="216">
        <f>SUMIF($E$4:$E$194,"520",$AC$4:$AC$194)</f>
        <v>50000000</v>
      </c>
      <c r="AD204" s="951">
        <f>SUMIF($E$4:$E$194,"520",$AD$4:$AD$194)</f>
        <v>72884540</v>
      </c>
      <c r="AE204" s="133">
        <f>SUMIF($E$4:$E$192,"520",$AE$4:$AE$192)</f>
        <v>660000000</v>
      </c>
      <c r="AF204" s="133">
        <f>SUMIF($E$4:$E$192,"520",$AF$4:$AF$192)</f>
        <v>923014856</v>
      </c>
      <c r="AG204" s="133">
        <f>SUMIF($E$4:$E$192,"520",$AG$4:$AG$192)</f>
        <v>0</v>
      </c>
      <c r="AH204" s="133">
        <f>SUMIF($E$4:$E$192,"520",$AH$4:$AH$192)</f>
        <v>0</v>
      </c>
      <c r="AI204" s="133">
        <f>SUMIF($E$4:$E$192,"520",$AI$4:$AI$192)</f>
        <v>0</v>
      </c>
      <c r="AJ204" s="133">
        <f>SUMIF($E$4:$E$192,"520",$AJ$4:$AJ$192)</f>
        <v>0</v>
      </c>
      <c r="AK204" s="133">
        <f>SUMIF($E$4:$E$192,"520",$AK$4:$AK$192)</f>
        <v>0</v>
      </c>
      <c r="AL204" s="133">
        <f>SUMIF($E$4:$E$192,"520",$AL$4:$AL$192)</f>
        <v>610864435</v>
      </c>
      <c r="AM204" s="133">
        <f>SUMIF($E$4:$E$192,"520",$AM$4:$AM$192)</f>
        <v>0</v>
      </c>
      <c r="AN204" s="133">
        <f>SUMIF($E$4:$E$192,"520",$AN$4:$AN$192)</f>
        <v>75000000</v>
      </c>
      <c r="AO204" s="133">
        <f>SUMIF($E$4:$E$192,"520",$AO$4:$AO$192)</f>
        <v>0</v>
      </c>
      <c r="AP204" s="133">
        <f>SUMIF($E$4:$E$163,"520",$AP$4:$AP$163)</f>
        <v>0</v>
      </c>
      <c r="AQ204" s="133">
        <f>SUMIF($E$4:$E$192,"520",$AQ$4:$AQ$192)</f>
        <v>0</v>
      </c>
      <c r="AR204" s="133">
        <f>SUMIF($E$4:$E$192,"520",$AR$4:$AR$192)</f>
        <v>0</v>
      </c>
      <c r="AS204" s="133">
        <f>SUMIF($E$4:$E$194,"520",$AS$4:$AS$194)</f>
        <v>597477440</v>
      </c>
      <c r="AU204" s="946">
        <f t="shared" si="204"/>
        <v>0.81551392577437753</v>
      </c>
      <c r="AV204" s="218">
        <f t="shared" si="205"/>
        <v>2437767884</v>
      </c>
      <c r="AW204" s="951">
        <f>SUMIF($E$4:$E$192,"520",$AW$4:$AW$192)</f>
        <v>0</v>
      </c>
      <c r="AX204" s="951">
        <f>SUMIF($E$4:$E$194,"520",$AX$4:$AX$194)</f>
        <v>0</v>
      </c>
      <c r="AY204" s="951">
        <f>SUMIF($E$4:$E$194,"520",$AY$4:$AY$194)</f>
        <v>0</v>
      </c>
      <c r="AZ204" s="951">
        <f>SUMIF($E$4:$E$194,"520",$AZ$4:$AZ$194)</f>
        <v>50000000</v>
      </c>
      <c r="BA204" s="951">
        <f>SUMIF($E$4:$E$192,"520",$BA$4:$BA$192)</f>
        <v>0</v>
      </c>
      <c r="BB204" s="951">
        <f>SUMIF($E$4:$E$192,"520",$BB$4:$BB$192)</f>
        <v>649180877</v>
      </c>
      <c r="BC204" s="951">
        <f>SUMIF($E$4:$E$194,"520",$BC$4:$BC$194)</f>
        <v>898014856</v>
      </c>
      <c r="BD204" s="951">
        <f>SUMIF($E$4:$E$194,"520",$BD$4:$BD$194)</f>
        <v>0</v>
      </c>
      <c r="BE204" s="951">
        <f>SUMIF($E$4:$E$192,"520",$BE$4:$BE$192)</f>
        <v>0</v>
      </c>
      <c r="BF204" s="951">
        <f>SUMIF($E$4:$E$192,"520",$BF$4:$BF$192)</f>
        <v>0</v>
      </c>
      <c r="BG204" s="951">
        <f>SUMIF($E$4:$E$163,"520",$BG$4:$BG$163)</f>
        <v>0</v>
      </c>
      <c r="BH204" s="951">
        <f>SUMIF($E$4:$E$192,"520",$BH$4:$BH$192)</f>
        <v>0</v>
      </c>
      <c r="BI204" s="951">
        <f>SUMIF($E$4:$E$192,"520",$BI$4:$BI$192)</f>
        <v>239671226</v>
      </c>
      <c r="BJ204" s="951">
        <f>SUMIF($E$4:$E$192,"520",$BJ$4:$BJ$192)</f>
        <v>0</v>
      </c>
      <c r="BK204" s="951">
        <f>SUMIF($E$4:$E$194,"520",$BK$4:$BK$194)</f>
        <v>56860700</v>
      </c>
      <c r="BL204" s="951">
        <f>SUMIF($E$4:$E$192,"520",$BL$4:$BL$192)</f>
        <v>0</v>
      </c>
      <c r="BM204" s="951">
        <f>SUMIF($E$4:$E$192,"520",$BM$4:$BM$192)</f>
        <v>0</v>
      </c>
      <c r="BN204" s="951">
        <f>SUMIF($E$4:$E$192,"520",$BN$4:$BN$192)</f>
        <v>0</v>
      </c>
      <c r="BO204" s="951">
        <f>SUMIF($E$4:$E$192,"520",$BO$4:$BO$192)</f>
        <v>0</v>
      </c>
      <c r="BP204" s="951">
        <f>SUMIF($E$4:$E$194,"520",$BP$4:$BP$194)</f>
        <v>544040225</v>
      </c>
      <c r="BQ204" s="950">
        <f t="shared" si="206"/>
        <v>0.18448607422562247</v>
      </c>
      <c r="BR204" s="149">
        <f t="shared" si="207"/>
        <v>551473387</v>
      </c>
      <c r="BS204" s="953">
        <f>SUMIF($E$4:$E$192,"520",$BS$4:$BS$192)</f>
        <v>0</v>
      </c>
      <c r="BT204" s="953">
        <f>SUMIF($E$4:$E$192,"520",$BT$4:$BT$192)</f>
        <v>0</v>
      </c>
      <c r="BU204" s="953">
        <f>SUMIF($E$4:$E$192,"520",$BU$4:$BU$192)</f>
        <v>0</v>
      </c>
      <c r="BV204" s="953">
        <f>SUMIF($E$4:$E$194,"520",$BV$4:$BV$194)</f>
        <v>0</v>
      </c>
      <c r="BW204" s="953">
        <f>SUMIF($E$4:$E$194,"520",$BW$4:$BW$194)</f>
        <v>72884540</v>
      </c>
      <c r="BX204" s="953">
        <f>SUMIF($E$4:$E$194,"520",$BX$4:$BX$194)</f>
        <v>10819123</v>
      </c>
      <c r="BY204" s="953">
        <f>SUMIF($E$4:$E$192,"520",$BY$4:$BY$192)</f>
        <v>25000000</v>
      </c>
      <c r="BZ204" s="953">
        <f>SUMIF($E$4:$E$192,"520",$BZ$4:$BZ$192)</f>
        <v>0</v>
      </c>
      <c r="CA204" s="953">
        <f>SUMIF($E$4:$E$192,"520",$CA$4:$CA$192)</f>
        <v>0</v>
      </c>
      <c r="CB204" s="953">
        <f>SUMIF($E$4:$E$192,"520",$CB$4:$CB$192)</f>
        <v>0</v>
      </c>
      <c r="CC204" s="953">
        <f>SUMIF($E$4:$E$192,"520",$CC$4:$CC$192)</f>
        <v>0</v>
      </c>
      <c r="CD204" s="953">
        <f>SUMIF($E$4:$E$192,"520",$CD$4:$CD$192)</f>
        <v>0</v>
      </c>
      <c r="CE204" s="953">
        <f>SUMIF($E$4:$E$192,"520",$CE$4:$CE$192)</f>
        <v>371193209</v>
      </c>
      <c r="CF204" s="953">
        <f>SUMIF($E$4:$E$192,"520",$CF$4:$CF$192)</f>
        <v>0</v>
      </c>
      <c r="CG204" s="953">
        <f>SUMIF($E$4:$E$192,"520",$CG$4:$CG$192)</f>
        <v>18139300</v>
      </c>
      <c r="CH204" s="953">
        <f>SUMIF($E$4:$E$192,"520",$CH$4:$CH$192)</f>
        <v>0</v>
      </c>
      <c r="CI204" s="953">
        <f>SUMIF($E$4:$E$192,"111",$CI$4:$CI$192)</f>
        <v>0</v>
      </c>
      <c r="CJ204" s="953">
        <f>SUMIF($E$4:$E$192,"520",$CJ$4:$CJ$192)</f>
        <v>0</v>
      </c>
      <c r="CK204" s="953">
        <f>SUMIF($E$4:$E$192,"520",$CK$4:$CK$192)</f>
        <v>0</v>
      </c>
      <c r="CL204" s="956">
        <f>SUMIF($E$4:$E$194,"520",$CL$4:$CL$194)</f>
        <v>53437215</v>
      </c>
      <c r="CM204" s="959">
        <f t="shared" si="208"/>
        <v>0.62019037773414976</v>
      </c>
      <c r="CN204" s="149">
        <f t="shared" si="209"/>
        <v>1853898673</v>
      </c>
      <c r="CO204" s="951">
        <f>SUMIF($E$4:$E$194,"520",$CO$4:$CO$194)</f>
        <v>0</v>
      </c>
      <c r="CP204" s="951">
        <f>SUMIF($E$4:$E$192,"520",$CP$4:$CP$192)</f>
        <v>0</v>
      </c>
      <c r="CQ204" s="951">
        <f>SUMIF($E$4:$E$192,"520",$CQ$4:$CQ$192)</f>
        <v>0</v>
      </c>
      <c r="CR204" s="951">
        <f>SUMIF($E$4:$E$192,"520",$CR$4:$CR$192)</f>
        <v>40000000</v>
      </c>
      <c r="CS204" s="951">
        <f>SUMIF($E$4:$E$194,"520",$CS$4:$CS$194)</f>
        <v>0</v>
      </c>
      <c r="CT204" s="951">
        <f>SUMIF($E$4:$E$192,"520",$CT$4:$CT$192)</f>
        <v>492270188</v>
      </c>
      <c r="CU204" s="951">
        <f>SUMIF($E$4:$E$192,"520",$CU$4:$CU$192)</f>
        <v>654040542</v>
      </c>
      <c r="CV204" s="951">
        <f>SUMIF($E$4:$E$194,"520",$CV$4:$CV$194)</f>
        <v>0</v>
      </c>
      <c r="CW204" s="951">
        <f>SUMIF($E$4:$E$192,"520",$CW$4:$CW$192)</f>
        <v>0</v>
      </c>
      <c r="CX204" s="951">
        <f>SUMIF($E$4:$E$192,"520",$CX$4:$CX$192)</f>
        <v>0</v>
      </c>
      <c r="CY204" s="951">
        <f>SUMIF($E$4:$E$192,"520",$CY$4:$CY$192)</f>
        <v>0</v>
      </c>
      <c r="CZ204" s="951">
        <f>SUMIF($E$4:$E$192,"520",$CZ$4:$CZ$192)</f>
        <v>0</v>
      </c>
      <c r="DA204" s="951">
        <f>SUMIF($E$4:$E$192,"520",$DA$4:$DA$192)</f>
        <v>144717838</v>
      </c>
      <c r="DB204" s="951">
        <f>SUMIF($E$4:$E$192,"520",$DB$4:$DB$192)</f>
        <v>0</v>
      </c>
      <c r="DC204" s="951">
        <f>SUMIF($E$4:$E$192,"520",$DC$4:$DC$192)</f>
        <v>43207264</v>
      </c>
      <c r="DD204" s="951">
        <f>SUMIF($E$4:$E$192,"520",$DD$4:$DD$192)</f>
        <v>0</v>
      </c>
      <c r="DE204" s="951">
        <f>SUMIF($E$4:$E$192,"520",$DE$4:$DE$192)</f>
        <v>0</v>
      </c>
      <c r="DF204" s="951">
        <f>SUMIF($E$4:$E$192,"520",$DF$4:$DF$192)</f>
        <v>0</v>
      </c>
      <c r="DG204" s="951">
        <f>SUMIF($E$4:$E$192,"520",$DG$4:$DG$192)</f>
        <v>0</v>
      </c>
      <c r="DH204" s="952">
        <f>SUMIF($E$4:$E$192,"520",$DH$4:$DH$192)</f>
        <v>479662841</v>
      </c>
      <c r="DI204" s="1010">
        <f t="shared" si="203"/>
        <v>0.37980962226585024</v>
      </c>
      <c r="DJ204" s="149">
        <f t="shared" si="210"/>
        <v>1135342598</v>
      </c>
      <c r="DK204" s="1039">
        <f>SUMIF($E$4:$E$194,"520",$DK$4:$DK$194)</f>
        <v>0</v>
      </c>
      <c r="DL204" s="953">
        <f>SUMIF($E$4:$E$192,"520",$DL$4:$DL$192)</f>
        <v>0</v>
      </c>
      <c r="DM204" s="953">
        <f>SUMIF($E$4:$E$194,"520",$DM$4:$DM$194)</f>
        <v>0</v>
      </c>
      <c r="DN204" s="953">
        <f>SUMIF($E$4:$E$194,"520",$DN$4:$DN$194)</f>
        <v>10000000</v>
      </c>
      <c r="DO204" s="953">
        <f>SUMIF($E$4:$E$194,"520",$DO$4:$DO$194)</f>
        <v>72884540</v>
      </c>
      <c r="DP204" s="953">
        <f>SUMIF($E$4:$E$194,"520",$DP$4:$DP$194)</f>
        <v>167729812</v>
      </c>
      <c r="DQ204" s="953">
        <f>SUMIF($E$4:$E$194,"520",$DQ$4:$DQ$194)</f>
        <v>268974314</v>
      </c>
      <c r="DR204" s="953">
        <f>SUMIF($E$4:$E$194,"520",$DR$4:$DR$194)</f>
        <v>0</v>
      </c>
      <c r="DS204" s="208">
        <f>SUMIF($E$4:$E$192,"520",$DS$4:$DS$192)</f>
        <v>0</v>
      </c>
      <c r="DT204" s="208">
        <f>SUMIF($E$4:$E$192,"520",$DT$4:$DT$192)</f>
        <v>0</v>
      </c>
      <c r="DU204" s="208">
        <f>SUMIF($E$4:$E$194,"520",$DU$4:$DU$194)</f>
        <v>0</v>
      </c>
      <c r="DV204" s="208">
        <f>SUMIF($E$4:$E$192,"520",$DV$4:$DV$192)</f>
        <v>0</v>
      </c>
      <c r="DW204" s="208">
        <f>SUMIF($E$4:$E$192,"520",$DW$4:$DW$192)</f>
        <v>466146597</v>
      </c>
      <c r="DX204" s="208">
        <f>SUMIF($E$4:$E$194,"520",$DX$4:$DX$194)</f>
        <v>0</v>
      </c>
      <c r="DY204" s="208">
        <f>SUMIF($E$4:$E$192,"520",$DY$4:$DY$192)</f>
        <v>31792736</v>
      </c>
      <c r="DZ204" s="208">
        <f>SUMIF($E$4:$E$192,"520",$DZ$4:$DZ$192)</f>
        <v>0</v>
      </c>
      <c r="EA204" s="208">
        <f>SUMIF($E$4:$E$192,"520",$EA$4:$EA$192)</f>
        <v>0</v>
      </c>
      <c r="EB204" s="208">
        <f>SUMIF($E$4:$E$192,"520",$EB$4:$EB$192)</f>
        <v>0</v>
      </c>
      <c r="EC204" s="208">
        <f>SUMIF($E$4:$E$192,"520",$EC$4:$EC$192)</f>
        <v>0</v>
      </c>
      <c r="ED204" s="208">
        <f>SUMIF($E$4:$E$194,"520",$ED$4:$ED$194)</f>
        <v>117814599</v>
      </c>
      <c r="EF204" s="1632"/>
      <c r="EG204" s="1633" t="s">
        <v>3307</v>
      </c>
      <c r="EH204" s="1632"/>
      <c r="EI204" s="1632"/>
      <c r="EJ204" s="1632"/>
      <c r="EK204" s="1631">
        <v>2555236800</v>
      </c>
      <c r="EL204" s="1631">
        <v>1985775008</v>
      </c>
      <c r="EM204" s="1634">
        <v>0.77713932736097102</v>
      </c>
      <c r="EN204" s="1632"/>
      <c r="EO204" s="1632"/>
    </row>
    <row r="205" spans="1:145" x14ac:dyDescent="0.25">
      <c r="C205" s="988"/>
      <c r="D205" s="1118" t="s">
        <v>4587</v>
      </c>
      <c r="E205" s="1119"/>
      <c r="F205" s="3"/>
      <c r="G205" s="875">
        <f>SUM(G199:G204)</f>
        <v>30001000000</v>
      </c>
      <c r="H205" s="1059">
        <f>SUM(H199:H204)</f>
        <v>11016460699</v>
      </c>
      <c r="I205" s="1059">
        <f>SUM(I199:I204)</f>
        <v>11517395804</v>
      </c>
      <c r="J205" s="3"/>
      <c r="K205" s="3"/>
      <c r="L205" s="3"/>
      <c r="M205" s="3"/>
      <c r="N205" s="3"/>
      <c r="O205" s="3"/>
      <c r="P205" s="3"/>
      <c r="Q205" s="3"/>
      <c r="R205" s="3"/>
      <c r="S205" s="3"/>
      <c r="T205" s="3"/>
      <c r="U205" s="3"/>
      <c r="V205" s="3"/>
      <c r="W205" s="3"/>
      <c r="X205" s="3"/>
      <c r="Y205" s="954">
        <f t="shared" ref="Y205:AT205" si="211">SUM(Y199:Y204)</f>
        <v>22533856503</v>
      </c>
      <c r="Z205" s="954">
        <f t="shared" si="211"/>
        <v>0</v>
      </c>
      <c r="AA205" s="955">
        <f t="shared" si="211"/>
        <v>134533656</v>
      </c>
      <c r="AB205" s="955">
        <f t="shared" si="211"/>
        <v>396726534</v>
      </c>
      <c r="AC205" s="955">
        <f t="shared" si="211"/>
        <v>9862143612</v>
      </c>
      <c r="AD205" s="955">
        <f t="shared" si="211"/>
        <v>92895874</v>
      </c>
      <c r="AE205" s="955">
        <f t="shared" si="211"/>
        <v>2509180877</v>
      </c>
      <c r="AF205" s="955">
        <f t="shared" si="211"/>
        <v>1300000000</v>
      </c>
      <c r="AG205" s="955">
        <f t="shared" si="211"/>
        <v>102810569</v>
      </c>
      <c r="AH205" s="955">
        <f t="shared" si="211"/>
        <v>219471348</v>
      </c>
      <c r="AI205" s="955">
        <f t="shared" si="211"/>
        <v>1940856</v>
      </c>
      <c r="AJ205" s="955">
        <f t="shared" si="211"/>
        <v>3438802</v>
      </c>
      <c r="AK205" s="955">
        <f t="shared" si="211"/>
        <v>318664514</v>
      </c>
      <c r="AL205" s="955">
        <f t="shared" si="211"/>
        <v>4114878115</v>
      </c>
      <c r="AM205" s="955">
        <f t="shared" si="211"/>
        <v>348609139</v>
      </c>
      <c r="AN205" s="955">
        <f t="shared" si="211"/>
        <v>727437634</v>
      </c>
      <c r="AO205" s="955">
        <f t="shared" si="211"/>
        <v>879054052</v>
      </c>
      <c r="AP205" s="955">
        <f t="shared" si="211"/>
        <v>0</v>
      </c>
      <c r="AQ205" s="955">
        <f t="shared" si="211"/>
        <v>80844085</v>
      </c>
      <c r="AR205" s="955">
        <f t="shared" si="211"/>
        <v>92524043</v>
      </c>
      <c r="AS205" s="955">
        <f t="shared" si="211"/>
        <v>1348702793</v>
      </c>
      <c r="AT205" s="955">
        <f t="shared" si="211"/>
        <v>0</v>
      </c>
      <c r="AU205" s="946">
        <f t="shared" si="204"/>
        <v>0.66748045870433048</v>
      </c>
      <c r="AV205" s="954">
        <f t="shared" ref="AV205:BP205" si="212">SUM(AV199:AV204)</f>
        <v>15040908875</v>
      </c>
      <c r="AW205" s="146">
        <f t="shared" si="212"/>
        <v>0</v>
      </c>
      <c r="AX205" s="146">
        <f t="shared" si="212"/>
        <v>133268976</v>
      </c>
      <c r="AY205" s="146">
        <f t="shared" si="212"/>
        <v>396726534</v>
      </c>
      <c r="AZ205" s="146">
        <f t="shared" si="212"/>
        <v>5545905692</v>
      </c>
      <c r="BA205" s="146">
        <f t="shared" si="212"/>
        <v>17503290</v>
      </c>
      <c r="BB205" s="146">
        <f t="shared" si="212"/>
        <v>2038364580</v>
      </c>
      <c r="BC205" s="146">
        <f t="shared" si="212"/>
        <v>1199755531</v>
      </c>
      <c r="BD205" s="146">
        <f t="shared" si="212"/>
        <v>102810569</v>
      </c>
      <c r="BE205" s="146">
        <f t="shared" si="212"/>
        <v>219471348</v>
      </c>
      <c r="BF205" s="146">
        <f t="shared" si="212"/>
        <v>0</v>
      </c>
      <c r="BG205" s="146">
        <f t="shared" si="212"/>
        <v>0</v>
      </c>
      <c r="BH205" s="146">
        <f t="shared" si="212"/>
        <v>50855038</v>
      </c>
      <c r="BI205" s="146">
        <f t="shared" si="212"/>
        <v>2645702520</v>
      </c>
      <c r="BJ205" s="146">
        <f t="shared" si="212"/>
        <v>202510411</v>
      </c>
      <c r="BK205" s="146">
        <f t="shared" si="212"/>
        <v>402275660</v>
      </c>
      <c r="BL205" s="146">
        <f t="shared" si="212"/>
        <v>854432877</v>
      </c>
      <c r="BM205" s="146">
        <f t="shared" si="212"/>
        <v>0</v>
      </c>
      <c r="BN205" s="146">
        <f t="shared" si="212"/>
        <v>80844085</v>
      </c>
      <c r="BO205" s="146">
        <f t="shared" si="212"/>
        <v>92524043</v>
      </c>
      <c r="BP205" s="146">
        <f t="shared" si="212"/>
        <v>1057957721</v>
      </c>
      <c r="BQ205" s="950">
        <f t="shared" si="206"/>
        <v>0.33251954129566952</v>
      </c>
      <c r="BR205" s="146">
        <f t="shared" ref="BR205:CL205" si="213">SUM(BR199:BR204)</f>
        <v>7492947628</v>
      </c>
      <c r="BS205" s="146">
        <f t="shared" si="213"/>
        <v>0</v>
      </c>
      <c r="BT205" s="146">
        <f t="shared" si="213"/>
        <v>1264680</v>
      </c>
      <c r="BU205" s="146">
        <f t="shared" si="213"/>
        <v>0</v>
      </c>
      <c r="BV205" s="149">
        <f t="shared" si="213"/>
        <v>4316237920</v>
      </c>
      <c r="BW205" s="149">
        <f t="shared" si="213"/>
        <v>75392584</v>
      </c>
      <c r="BX205" s="149">
        <f t="shared" si="213"/>
        <v>470816297</v>
      </c>
      <c r="BY205" s="149">
        <f t="shared" si="213"/>
        <v>100244469</v>
      </c>
      <c r="BZ205" s="149">
        <f t="shared" si="213"/>
        <v>0</v>
      </c>
      <c r="CA205" s="149">
        <f t="shared" si="213"/>
        <v>0</v>
      </c>
      <c r="CB205" s="149">
        <f t="shared" si="213"/>
        <v>1940856</v>
      </c>
      <c r="CC205" s="149">
        <f t="shared" si="213"/>
        <v>3438802</v>
      </c>
      <c r="CD205" s="149">
        <f t="shared" si="213"/>
        <v>267809476</v>
      </c>
      <c r="CE205" s="149">
        <f t="shared" si="213"/>
        <v>1469175595</v>
      </c>
      <c r="CF205" s="149">
        <f t="shared" si="213"/>
        <v>146098728</v>
      </c>
      <c r="CG205" s="149">
        <f t="shared" si="213"/>
        <v>325161974</v>
      </c>
      <c r="CH205" s="149">
        <f t="shared" si="213"/>
        <v>24621175</v>
      </c>
      <c r="CI205" s="149">
        <f t="shared" si="213"/>
        <v>0</v>
      </c>
      <c r="CJ205" s="149">
        <f t="shared" si="213"/>
        <v>0</v>
      </c>
      <c r="CK205" s="149">
        <f t="shared" si="213"/>
        <v>0</v>
      </c>
      <c r="CL205" s="149">
        <f t="shared" si="213"/>
        <v>290745072</v>
      </c>
      <c r="CM205" s="959">
        <f t="shared" si="208"/>
        <v>0.48888483413983513</v>
      </c>
      <c r="CN205" s="149">
        <f t="shared" ref="CN205:DH205" si="214">SUM(CN199:CN204)</f>
        <v>11016460699</v>
      </c>
      <c r="CO205" s="149">
        <f t="shared" si="214"/>
        <v>0</v>
      </c>
      <c r="CP205" s="219">
        <f t="shared" si="214"/>
        <v>133268976</v>
      </c>
      <c r="CQ205" s="219">
        <f t="shared" si="214"/>
        <v>396726534</v>
      </c>
      <c r="CR205" s="219">
        <f t="shared" si="214"/>
        <v>4337667454</v>
      </c>
      <c r="CS205" s="219">
        <f t="shared" si="214"/>
        <v>12550540</v>
      </c>
      <c r="CT205" s="954">
        <f t="shared" si="214"/>
        <v>1755841308</v>
      </c>
      <c r="CU205" s="954">
        <f t="shared" si="214"/>
        <v>942943109</v>
      </c>
      <c r="CV205" s="954">
        <f t="shared" si="214"/>
        <v>102810569</v>
      </c>
      <c r="CW205" s="954">
        <f t="shared" si="214"/>
        <v>129471348</v>
      </c>
      <c r="CX205" s="954">
        <f t="shared" si="214"/>
        <v>0</v>
      </c>
      <c r="CY205" s="954">
        <f t="shared" si="214"/>
        <v>0</v>
      </c>
      <c r="CZ205" s="954">
        <f t="shared" si="214"/>
        <v>40655038</v>
      </c>
      <c r="DA205" s="954">
        <f t="shared" si="214"/>
        <v>1399823494</v>
      </c>
      <c r="DB205" s="954">
        <f t="shared" si="214"/>
        <v>134800807</v>
      </c>
      <c r="DC205" s="954">
        <f t="shared" si="214"/>
        <v>307153079</v>
      </c>
      <c r="DD205" s="954">
        <f t="shared" si="214"/>
        <v>514819701</v>
      </c>
      <c r="DE205" s="954">
        <f t="shared" si="214"/>
        <v>0</v>
      </c>
      <c r="DF205" s="954">
        <f t="shared" si="214"/>
        <v>30228561</v>
      </c>
      <c r="DG205" s="954">
        <f t="shared" si="214"/>
        <v>0</v>
      </c>
      <c r="DH205" s="955">
        <f t="shared" si="214"/>
        <v>777700181</v>
      </c>
      <c r="DI205" s="1010">
        <f t="shared" si="203"/>
        <v>0.51111516586016492</v>
      </c>
      <c r="DJ205" s="954">
        <f t="shared" ref="DJ205:ED205" ca="1" si="215">SUM(DJ199:DJ204)</f>
        <v>11517395804</v>
      </c>
      <c r="DK205" s="1040">
        <f t="shared" si="215"/>
        <v>0</v>
      </c>
      <c r="DL205" s="955">
        <f t="shared" ca="1" si="215"/>
        <v>1264680</v>
      </c>
      <c r="DM205" s="955">
        <f t="shared" si="215"/>
        <v>0</v>
      </c>
      <c r="DN205" s="955">
        <f t="shared" si="215"/>
        <v>5524476158</v>
      </c>
      <c r="DO205" s="955">
        <f t="shared" si="215"/>
        <v>80345334</v>
      </c>
      <c r="DP205" s="149">
        <f t="shared" si="215"/>
        <v>753339569</v>
      </c>
      <c r="DQ205" s="149">
        <f t="shared" si="215"/>
        <v>357056891</v>
      </c>
      <c r="DR205" s="149">
        <f t="shared" si="215"/>
        <v>0</v>
      </c>
      <c r="DS205" s="149">
        <f t="shared" si="215"/>
        <v>90000000</v>
      </c>
      <c r="DT205" s="149">
        <f t="shared" si="215"/>
        <v>1940856</v>
      </c>
      <c r="DU205" s="149">
        <f t="shared" si="215"/>
        <v>3438802</v>
      </c>
      <c r="DV205" s="149">
        <f t="shared" si="215"/>
        <v>278009476</v>
      </c>
      <c r="DW205" s="149">
        <f t="shared" si="215"/>
        <v>2715054621</v>
      </c>
      <c r="DX205" s="149">
        <f t="shared" si="215"/>
        <v>213808332</v>
      </c>
      <c r="DY205" s="149">
        <f t="shared" si="215"/>
        <v>420284555</v>
      </c>
      <c r="DZ205" s="149">
        <f t="shared" si="215"/>
        <v>364234351</v>
      </c>
      <c r="EA205" s="149">
        <f t="shared" si="215"/>
        <v>0</v>
      </c>
      <c r="EB205" s="149">
        <f t="shared" si="215"/>
        <v>50615524</v>
      </c>
      <c r="EC205" s="149">
        <f t="shared" si="215"/>
        <v>92524043</v>
      </c>
      <c r="ED205" s="149">
        <f t="shared" si="215"/>
        <v>571002612</v>
      </c>
      <c r="EF205" s="1632"/>
      <c r="EG205" s="1632"/>
      <c r="EH205" s="1632"/>
      <c r="EI205" s="1632"/>
      <c r="EJ205" s="1632"/>
      <c r="EK205" s="1635">
        <f>SUM(EK198:EK204)</f>
        <v>25089093303</v>
      </c>
      <c r="EL205" s="1635">
        <f>SUM(EL198:EL204)</f>
        <v>13002235707</v>
      </c>
      <c r="EM205" s="1634">
        <v>0.51824255065627556</v>
      </c>
      <c r="EN205" s="1632"/>
      <c r="EO205" s="1632"/>
    </row>
    <row r="206" spans="1:145" x14ac:dyDescent="0.25">
      <c r="C206" s="988"/>
      <c r="D206" s="1118" t="s">
        <v>3307</v>
      </c>
      <c r="E206" s="1124">
        <v>301</v>
      </c>
      <c r="F206" s="133"/>
      <c r="G206" s="875">
        <f>SUMIF($E$4:$E$194,"301",$G$4:$G$194)</f>
        <v>1952000000</v>
      </c>
      <c r="H206" s="1059">
        <f>SUMIF($E$4:$E$194,"301",$H$4:$H$194)</f>
        <v>1985775008</v>
      </c>
      <c r="I206" s="1059">
        <f>SUMIF($E$4:$E$194,"301",$I$4:$I$194)</f>
        <v>569461792</v>
      </c>
      <c r="J206" s="133" t="s">
        <v>4760</v>
      </c>
      <c r="K206" s="133"/>
      <c r="L206" s="133"/>
      <c r="M206" s="133"/>
      <c r="N206" s="133"/>
      <c r="O206" s="133"/>
      <c r="P206" s="133"/>
      <c r="Q206" s="133"/>
      <c r="R206" s="133"/>
      <c r="S206" s="133"/>
      <c r="T206" s="133"/>
      <c r="U206" s="133"/>
      <c r="V206" s="133"/>
      <c r="W206" s="133"/>
      <c r="X206" s="133"/>
      <c r="Y206" s="951">
        <f>SUMIF($E$4:$E$194,"301",$Y$4:$Y$194)</f>
        <v>2555236800</v>
      </c>
      <c r="Z206" s="951">
        <f>SUMIF($E$4:$E$194,"301",$Z$4:$Z$194)</f>
        <v>104079469</v>
      </c>
      <c r="AA206" s="216">
        <f>SUMIF($E$4:$E$192,"301",$AA$4:$AA$192)</f>
        <v>0</v>
      </c>
      <c r="AB206" s="216">
        <f>SUMIF($E$4:$E$195,"301",$AB$4:$AB$195)</f>
        <v>0</v>
      </c>
      <c r="AC206" s="216">
        <f>SUMIF($E$4:$E$194,"301",$AC$4:$AC$194)</f>
        <v>0</v>
      </c>
      <c r="AD206" s="951">
        <f>SUMIF($E$4:$E$194,"301",$AD$4:$AD$194)</f>
        <v>0</v>
      </c>
      <c r="AE206" s="133">
        <f>SUMIF($E$4:$E$192,"301",$AE$4:$AE$192)</f>
        <v>0</v>
      </c>
      <c r="AF206" s="133">
        <f>SUMIF($E$4:$E$192,"301",$AF$4:$AF$192)</f>
        <v>0</v>
      </c>
      <c r="AG206" s="133">
        <f>SUMIF($E$4:$E$192,"301",$AG$4:$AG$192)</f>
        <v>0</v>
      </c>
      <c r="AH206" s="133">
        <f>SUMIF($E$4:$E$192,"301",$AH$4:$AH$192)</f>
        <v>0</v>
      </c>
      <c r="AI206" s="133">
        <f>SUMIF($E$4:$E$192,"301",$AI$4:$AI$192)</f>
        <v>0</v>
      </c>
      <c r="AJ206" s="133">
        <f>SUMIF($E$4:$E$192,"301",$AJ$4:$AJ$192)</f>
        <v>0</v>
      </c>
      <c r="AK206" s="133">
        <f>SUMIF($E$4:$E$192,"301",$AK$4:$AK$192)</f>
        <v>0</v>
      </c>
      <c r="AL206" s="133">
        <f>SUMIF($E$4:$E$192,"301",$AL$4:$AL$192)</f>
        <v>0</v>
      </c>
      <c r="AM206" s="133">
        <f>SUMIF($E$4:$E$192,"301",$AM$4:$AM$192)</f>
        <v>728406867</v>
      </c>
      <c r="AN206" s="133">
        <f>SUMIF($E$4:$E$192,"301",$AN$4:$AN$192)</f>
        <v>346819196</v>
      </c>
      <c r="AO206" s="133">
        <f>SUMIF($E$4:$E$192,"301",$AO$4:$AO$192)</f>
        <v>120323279</v>
      </c>
      <c r="AP206" s="133">
        <f>SUMIF($E$4:$E$163,"301",$AP$4:$AP$163)</f>
        <v>1181607989</v>
      </c>
      <c r="AQ206" s="133">
        <f>SUMIF($E$4:$E$163,"301",$AQ$4:$AQ$163)</f>
        <v>0</v>
      </c>
      <c r="AR206" s="133">
        <f>SUMIF($E$4:$E$192,"301",$AR$4:$AR$192)</f>
        <v>0</v>
      </c>
      <c r="AS206" s="133">
        <f>SUMIF($E$4:$E$194,"301",$AS$4:$AS$194)</f>
        <v>74000000</v>
      </c>
      <c r="AU206" s="946">
        <f t="shared" si="204"/>
        <v>0.95557557874870935</v>
      </c>
      <c r="AV206" s="218">
        <f>SUM(AW206:BP206)</f>
        <v>2441721884</v>
      </c>
      <c r="AW206" s="951">
        <f>SUMIF($E$4:$E$192,"301",$AW$4:$AW$192)</f>
        <v>103245422</v>
      </c>
      <c r="AX206" s="951">
        <f>SUMIF($E$4:$E$194,"301",$AX$4:$AX$194)</f>
        <v>0</v>
      </c>
      <c r="AY206" s="951">
        <f>SUMIF($E$4:$E$194,"301",$AY$4:$AY$194)</f>
        <v>0</v>
      </c>
      <c r="AZ206" s="951">
        <f>SUMIF($E$4:$E$194,"301",$AZ$4:$AZ$194)</f>
        <v>0</v>
      </c>
      <c r="BA206" s="951">
        <f>SUMIF($E$4:$E$192,"301",$BA$4:$BA$192)</f>
        <v>0</v>
      </c>
      <c r="BB206" s="951">
        <f>SUMIF($E$4:$E$192,"301",$BB$4:$BB$192)</f>
        <v>0</v>
      </c>
      <c r="BC206" s="951">
        <f>SUMIF($E$4:$E$194,"301",$BC$4:$BC$194)</f>
        <v>0</v>
      </c>
      <c r="BD206" s="951">
        <f>SUMIF($E$4:$E$194,"301",$BD$4:$BD$194)</f>
        <v>0</v>
      </c>
      <c r="BE206" s="951">
        <f>SUMIF($E$4:$E$192,"301",$BE$4:$BE$192)</f>
        <v>0</v>
      </c>
      <c r="BF206" s="951">
        <f>SUMIF($E$4:$E$192,"301",$BF$4:$BF$192)</f>
        <v>0</v>
      </c>
      <c r="BG206" s="951">
        <f>SUMIF($E$4:$E$163,"301",$BG$4:$BG$163)</f>
        <v>0</v>
      </c>
      <c r="BH206" s="951">
        <f>SUMIF($E$4:$E$192,"301",$BH$4:$BH$192)</f>
        <v>0</v>
      </c>
      <c r="BI206" s="951">
        <f>SUMIF($E$4:$E$192,"301",$BI$4:$BI$192)</f>
        <v>0</v>
      </c>
      <c r="BJ206" s="951">
        <f>SUMIF($E$4:$E$192,"301",$BJ$4:$BJ$192)</f>
        <v>709199167</v>
      </c>
      <c r="BK206" s="951">
        <f>SUMIF($E$4:$E$194,"301",$BK$4:$BK$194)</f>
        <v>346819196</v>
      </c>
      <c r="BL206" s="951">
        <f>SUMIF($E$4:$E$192,"301",$BL$4:$BL$192)</f>
        <v>60650110</v>
      </c>
      <c r="BM206" s="951">
        <f>SUMIF($E$4:$E$192,"301",$BM$4:$BM$192)</f>
        <v>1157607989</v>
      </c>
      <c r="BN206" s="951">
        <f>SUMIF($E$4:$E$192,"301",$BN$4:$BN$192)</f>
        <v>0</v>
      </c>
      <c r="BO206" s="951">
        <f>SUMIF($E$4:$E$192,"301",$BO$4:$BO$192)</f>
        <v>0</v>
      </c>
      <c r="BP206" s="951">
        <f>SUMIF($E$4:$E$192,"301",$BP$4:$BP$192)</f>
        <v>64200000</v>
      </c>
      <c r="BQ206" s="950">
        <f t="shared" si="206"/>
        <v>4.4424421251290647E-2</v>
      </c>
      <c r="BR206" s="149">
        <f>SUM(BS206:CL206)</f>
        <v>113514916</v>
      </c>
      <c r="BS206" s="953">
        <f>SUMIF($E$4:$E$192,"301",$BS$4:$BS$192)</f>
        <v>834047</v>
      </c>
      <c r="BT206" s="953">
        <f>SUMIF($E$4:$E$192,"301",$BT$4:$BT$192)</f>
        <v>0</v>
      </c>
      <c r="BU206" s="953">
        <f>SUMIF($E$4:$E$192,"301",$BU$4:$BU$192)</f>
        <v>0</v>
      </c>
      <c r="BV206" s="953">
        <f>SUMIF($E$4:$E$194,"301",$BV$4:$BV$194)</f>
        <v>0</v>
      </c>
      <c r="BW206" s="953">
        <f>SUMIF($E$4:$E$194,"301",$BW$4:$BW$194)</f>
        <v>0</v>
      </c>
      <c r="BX206" s="953">
        <f>SUMIF($E$4:$E$192,"301",$BX$4:$BX$192)</f>
        <v>0</v>
      </c>
      <c r="BY206" s="953">
        <f>SUMIF($E$4:$E$192,"301",$BY$4:$BY$192)</f>
        <v>0</v>
      </c>
      <c r="BZ206" s="953">
        <f>SUMIF($E$4:$E$192,"301",$BZ$4:$BZ$192)</f>
        <v>0</v>
      </c>
      <c r="CA206" s="953">
        <f>SUMIF($E$4:$E$192,"301",$CA$4:$CA$192)</f>
        <v>0</v>
      </c>
      <c r="CB206" s="953">
        <f>SUMIF($E$4:$E$192,"301",$CB$4:$CB$192)</f>
        <v>0</v>
      </c>
      <c r="CC206" s="953">
        <f>SUMIF($E$4:$E$192,"301",$CC$4:$CC$192)</f>
        <v>0</v>
      </c>
      <c r="CD206" s="953">
        <f>SUMIF($E$4:$E$192,"301",$CD$4:$CD$192)</f>
        <v>0</v>
      </c>
      <c r="CE206" s="953">
        <f>SUMIF($E$4:$E$192,"301",$CE$4:$CE$192)</f>
        <v>0</v>
      </c>
      <c r="CF206" s="953">
        <f>SUMIF($E$4:$E$192,"301",$CF$4:$CF$192)</f>
        <v>19207700</v>
      </c>
      <c r="CG206" s="953">
        <f>SUMIF($E$4:$E$192,"301",$CG$4:$CG$192)</f>
        <v>0</v>
      </c>
      <c r="CH206" s="953">
        <f>SUMIF($E$4:$E$192,"301",$CH$4:$CH$192)</f>
        <v>59673169</v>
      </c>
      <c r="CI206" s="953">
        <f>SUMIF($E$4:$E$192,"301",$CI$4:$CI$192)</f>
        <v>24000000</v>
      </c>
      <c r="CJ206" s="953">
        <f>SUMIF($E$4:$E$192,"301",$CJ$4:$CJ$192)</f>
        <v>0</v>
      </c>
      <c r="CK206" s="953"/>
      <c r="CL206" s="956">
        <f>SUMIF($E$4:$E$194,"301",$CL$4:$CL$194)</f>
        <v>9800000</v>
      </c>
      <c r="CM206" s="959">
        <f t="shared" si="208"/>
        <v>0.77713932736097102</v>
      </c>
      <c r="CN206" s="149">
        <f>SUM(CO206:DH206)</f>
        <v>1985775008</v>
      </c>
      <c r="CO206" s="951">
        <f>SUMIF($E$4:$E$194,"301",$CO$4:$CO$194)</f>
        <v>57672466</v>
      </c>
      <c r="CP206" s="951">
        <f>SUMIF($E$4:$E$192,"301",$CP$4:$CP$192)</f>
        <v>0</v>
      </c>
      <c r="CQ206" s="951">
        <f>SUMIF($E$4:$E$192,"301",$CQ$4:$CQ$192)</f>
        <v>0</v>
      </c>
      <c r="CR206" s="951">
        <f>SUMIF($E$4:$E$192,"301",$CR$4:$CR$192)</f>
        <v>0</v>
      </c>
      <c r="CS206" s="951">
        <f>SUMIF($E$4:$E$194,"301",$CS$4:$CS$194)</f>
        <v>0</v>
      </c>
      <c r="CT206" s="951">
        <f>SUMIF($E$4:$E$192,"301",$CT$4:$CT$192)</f>
        <v>0</v>
      </c>
      <c r="CU206" s="951">
        <f>SUMIF($E$4:$E$192,"301",$CU$4:$CU$192)</f>
        <v>0</v>
      </c>
      <c r="CV206" s="951">
        <f>SUMIF($E$4:$E$194,"301",$CV$4:$CV$194)</f>
        <v>0</v>
      </c>
      <c r="CW206" s="951">
        <f>SUMIF($E$4:$E$192,"301",$CW$4:$CW$192)</f>
        <v>0</v>
      </c>
      <c r="CX206" s="951">
        <f>SUMIF($E$4:$E$192,"301",$CX$4:$CX$192)</f>
        <v>0</v>
      </c>
      <c r="CY206" s="951">
        <f>SUMIF($E$4:$E$192,"301",$CY$4:$CY$192)</f>
        <v>0</v>
      </c>
      <c r="CZ206" s="951">
        <f>SUMIF($E$4:$E$192,"301",$CZ$4:$CZ$192)</f>
        <v>0</v>
      </c>
      <c r="DA206" s="951">
        <f>SUMIF($E$4:$E$192,"301",$DA$4:$DA$192)</f>
        <v>0</v>
      </c>
      <c r="DB206" s="951">
        <f>SUMIF($E$4:$E$194,"301",$DB$4:$DB$194)</f>
        <v>471045794</v>
      </c>
      <c r="DC206" s="951">
        <f>SUMIF($E$4:$E$192,"301",$DC$4:$DC$192)</f>
        <v>325002196</v>
      </c>
      <c r="DD206" s="951">
        <f>SUMIF($E$4:$E$192,"301",$DD$4:$DD$192)</f>
        <v>56087110</v>
      </c>
      <c r="DE206" s="951">
        <f>SUMIF($E$4:$E$192,"301",$DE$4:$DE$192)</f>
        <v>1046363025</v>
      </c>
      <c r="DF206" s="951">
        <f>SUMIF($E$4:$E$192,"301",$DF$4:$DF$192)</f>
        <v>0</v>
      </c>
      <c r="DG206" s="951">
        <f>SUMIF($E$4:$E$192,"301",$DG$4:$DG$192)</f>
        <v>0</v>
      </c>
      <c r="DH206" s="952">
        <f>SUMIF($E$4:$E$192,"301",$DH$4:$DH$192)</f>
        <v>29604417</v>
      </c>
      <c r="DI206" s="1010">
        <f t="shared" si="203"/>
        <v>0.22286067263902898</v>
      </c>
      <c r="DJ206" s="149">
        <f>SUM(DK206:ED206)</f>
        <v>569461792</v>
      </c>
      <c r="DK206" s="1039">
        <f>SUMIF($E$4:$E$194,"301",$DK$4:$DK$194)</f>
        <v>46407003</v>
      </c>
      <c r="DL206" s="953">
        <f>SUMIF($E$4:$E$192,"301",$DL$4:$DL$192)</f>
        <v>0</v>
      </c>
      <c r="DM206" s="953">
        <f>SUMIF($E$4:$E$194,"301",$DM$4:$DM$194)</f>
        <v>0</v>
      </c>
      <c r="DN206" s="953">
        <f>SUMIF($E$4:$E$192,"301",$DN$4:$DN$192)</f>
        <v>0</v>
      </c>
      <c r="DO206" s="953">
        <f>SUMIF($E$4:$E$194,"301",$DO$4:$DO$194)</f>
        <v>0</v>
      </c>
      <c r="DP206" s="953">
        <f>SUMIF($E$4:$E$194,"301",$DP$4:$DP$194)</f>
        <v>0</v>
      </c>
      <c r="DQ206" s="953">
        <f>SUMIF($E$4:$E$192,"301",$DQ$4:$DQ$192)</f>
        <v>0</v>
      </c>
      <c r="DR206" s="953">
        <f>SUMIF($E$4:$E$194,"301",$DR$4:$DR$194)</f>
        <v>0</v>
      </c>
      <c r="DS206" s="208">
        <f>SUMIF($E$4:$E$192,"301",$DS$4:$DS$192)</f>
        <v>0</v>
      </c>
      <c r="DT206" s="208">
        <f>SUMIF($E$4:$E$192,"301",$DT$4:$DT$192)</f>
        <v>0</v>
      </c>
      <c r="DU206" s="208">
        <f>SUMIF($E$4:$E$194,"301",$DU$4:$DU$194)</f>
        <v>0</v>
      </c>
      <c r="DV206" s="208">
        <f>SUMIF($E$4:$E$192,"301",$DV$4:$DV$192)</f>
        <v>0</v>
      </c>
      <c r="DW206" s="208">
        <f>SUMIF($E$4:$E$192,"301",$DW$4:$DW$192)</f>
        <v>0</v>
      </c>
      <c r="DX206" s="208">
        <f>SUMIF($E$4:$E$194,"301",$DX$4:$DX$194)</f>
        <v>257361073</v>
      </c>
      <c r="DY206" s="208">
        <f>SUMIF($E$4:$E$192,"301",$DY$4:$DY$192)</f>
        <v>21817000</v>
      </c>
      <c r="DZ206" s="208">
        <f>SUMIF($E$4:$E$192,"301",$DZ$4:$DZ$192)</f>
        <v>64236169</v>
      </c>
      <c r="EA206" s="208">
        <f>SUMIF($E$4:$E$192,"301",$EA$4:$EA$192)</f>
        <v>135244964</v>
      </c>
      <c r="EB206" s="208">
        <f>SUMIF($E$4:$E$192,"301",$EB$4:$EB$192)</f>
        <v>0</v>
      </c>
      <c r="EC206" s="208">
        <f>SUMIF($E$4:$E$192,"301",$EC$4:$EC$192)</f>
        <v>0</v>
      </c>
      <c r="ED206" s="208">
        <f>SUMIF($E$4:$E$194,"301",$ED$4:$ED$194)</f>
        <v>44395583</v>
      </c>
      <c r="EF206" s="1632"/>
      <c r="EG206" s="1632"/>
      <c r="EH206" s="1632"/>
      <c r="EI206" s="1632"/>
      <c r="EJ206" s="1632"/>
      <c r="EK206" s="1632"/>
      <c r="EL206" s="1632"/>
      <c r="EM206" s="1632"/>
      <c r="EN206" s="1632"/>
      <c r="EO206" s="1632"/>
    </row>
    <row r="207" spans="1:145" ht="15.75" thickBot="1" x14ac:dyDescent="0.3">
      <c r="C207" s="1599" t="s">
        <v>4588</v>
      </c>
      <c r="D207" s="1600"/>
      <c r="E207" s="132"/>
      <c r="F207" s="134"/>
      <c r="G207" s="145">
        <f>SUM(G205:G206)</f>
        <v>31953000000</v>
      </c>
      <c r="H207" s="134">
        <f>SUM(H205:H206)</f>
        <v>13002235707</v>
      </c>
      <c r="I207" s="134">
        <f>SUM(I205:I206)</f>
        <v>12086857596</v>
      </c>
      <c r="J207" s="134"/>
      <c r="K207" s="134"/>
      <c r="L207" s="134"/>
      <c r="M207" s="134"/>
      <c r="N207" s="134"/>
      <c r="O207" s="134"/>
      <c r="P207" s="134"/>
      <c r="Q207" s="134"/>
      <c r="R207" s="134"/>
      <c r="S207" s="134"/>
      <c r="T207" s="134"/>
      <c r="U207" s="134"/>
      <c r="V207" s="134"/>
      <c r="W207" s="134"/>
      <c r="X207" s="134"/>
      <c r="Y207" s="945">
        <f t="shared" ref="Y207:AT207" si="216">SUM(Y205:Y206)</f>
        <v>25089093303</v>
      </c>
      <c r="Z207" s="945">
        <f t="shared" si="216"/>
        <v>104079469</v>
      </c>
      <c r="AA207" s="945">
        <f t="shared" si="216"/>
        <v>134533656</v>
      </c>
      <c r="AB207" s="945">
        <f t="shared" si="216"/>
        <v>396726534</v>
      </c>
      <c r="AC207" s="945">
        <f t="shared" si="216"/>
        <v>9862143612</v>
      </c>
      <c r="AD207" s="945">
        <f t="shared" si="216"/>
        <v>92895874</v>
      </c>
      <c r="AE207" s="945">
        <f t="shared" si="216"/>
        <v>2509180877</v>
      </c>
      <c r="AF207" s="945">
        <f t="shared" si="216"/>
        <v>1300000000</v>
      </c>
      <c r="AG207" s="945">
        <f t="shared" si="216"/>
        <v>102810569</v>
      </c>
      <c r="AH207" s="945">
        <f t="shared" si="216"/>
        <v>219471348</v>
      </c>
      <c r="AI207" s="945">
        <f t="shared" si="216"/>
        <v>1940856</v>
      </c>
      <c r="AJ207" s="945">
        <f t="shared" si="216"/>
        <v>3438802</v>
      </c>
      <c r="AK207" s="945">
        <f t="shared" si="216"/>
        <v>318664514</v>
      </c>
      <c r="AL207" s="945">
        <f t="shared" si="216"/>
        <v>4114878115</v>
      </c>
      <c r="AM207" s="945">
        <f t="shared" si="216"/>
        <v>1077016006</v>
      </c>
      <c r="AN207" s="945">
        <f t="shared" si="216"/>
        <v>1074256830</v>
      </c>
      <c r="AO207" s="945">
        <f t="shared" si="216"/>
        <v>999377331</v>
      </c>
      <c r="AP207" s="945">
        <f t="shared" si="216"/>
        <v>1181607989</v>
      </c>
      <c r="AQ207" s="945">
        <f t="shared" si="216"/>
        <v>80844085</v>
      </c>
      <c r="AR207" s="945">
        <f t="shared" si="216"/>
        <v>92524043</v>
      </c>
      <c r="AS207" s="945">
        <f t="shared" si="216"/>
        <v>1422702793</v>
      </c>
      <c r="AT207" s="945">
        <f t="shared" si="216"/>
        <v>0</v>
      </c>
      <c r="AU207" s="958">
        <f t="shared" si="204"/>
        <v>0.69682194361760907</v>
      </c>
      <c r="AV207" s="947">
        <f t="shared" ref="AV207:BP207" si="217">AV205+AV206</f>
        <v>17482630759</v>
      </c>
      <c r="AW207" s="947">
        <f t="shared" si="217"/>
        <v>103245422</v>
      </c>
      <c r="AX207" s="947">
        <f t="shared" si="217"/>
        <v>133268976</v>
      </c>
      <c r="AY207" s="947">
        <f t="shared" si="217"/>
        <v>396726534</v>
      </c>
      <c r="AZ207" s="947">
        <f t="shared" si="217"/>
        <v>5545905692</v>
      </c>
      <c r="BA207" s="947">
        <f t="shared" si="217"/>
        <v>17503290</v>
      </c>
      <c r="BB207" s="947">
        <f t="shared" si="217"/>
        <v>2038364580</v>
      </c>
      <c r="BC207" s="947">
        <f t="shared" si="217"/>
        <v>1199755531</v>
      </c>
      <c r="BD207" s="947">
        <f t="shared" si="217"/>
        <v>102810569</v>
      </c>
      <c r="BE207" s="947">
        <f t="shared" si="217"/>
        <v>219471348</v>
      </c>
      <c r="BF207" s="947">
        <f t="shared" si="217"/>
        <v>0</v>
      </c>
      <c r="BG207" s="947">
        <f t="shared" si="217"/>
        <v>0</v>
      </c>
      <c r="BH207" s="947">
        <f t="shared" si="217"/>
        <v>50855038</v>
      </c>
      <c r="BI207" s="947">
        <f t="shared" si="217"/>
        <v>2645702520</v>
      </c>
      <c r="BJ207" s="947">
        <f t="shared" si="217"/>
        <v>911709578</v>
      </c>
      <c r="BK207" s="947">
        <f t="shared" si="217"/>
        <v>749094856</v>
      </c>
      <c r="BL207" s="947">
        <f t="shared" si="217"/>
        <v>915082987</v>
      </c>
      <c r="BM207" s="947">
        <f t="shared" si="217"/>
        <v>1157607989</v>
      </c>
      <c r="BN207" s="947">
        <f t="shared" si="217"/>
        <v>80844085</v>
      </c>
      <c r="BO207" s="947">
        <f t="shared" si="217"/>
        <v>92524043</v>
      </c>
      <c r="BP207" s="947">
        <f t="shared" si="217"/>
        <v>1122157721</v>
      </c>
      <c r="BQ207" s="950">
        <f t="shared" si="206"/>
        <v>0.30317805638239093</v>
      </c>
      <c r="BR207" s="947">
        <f>BR205+BR206</f>
        <v>7606462544</v>
      </c>
      <c r="BS207" s="947">
        <f>BS205+BS206</f>
        <v>834047</v>
      </c>
      <c r="BT207" s="947">
        <f>BT205+BT206</f>
        <v>1264680</v>
      </c>
      <c r="BU207" s="947">
        <f>BU205+BU206</f>
        <v>0</v>
      </c>
      <c r="BV207" s="966">
        <f t="shared" ref="BV207:CL207" si="218">+BV205+BV206</f>
        <v>4316237920</v>
      </c>
      <c r="BW207" s="966">
        <f t="shared" si="218"/>
        <v>75392584</v>
      </c>
      <c r="BX207" s="966">
        <f t="shared" si="218"/>
        <v>470816297</v>
      </c>
      <c r="BY207" s="966">
        <f t="shared" si="218"/>
        <v>100244469</v>
      </c>
      <c r="BZ207" s="966">
        <f t="shared" si="218"/>
        <v>0</v>
      </c>
      <c r="CA207" s="966">
        <f t="shared" si="218"/>
        <v>0</v>
      </c>
      <c r="CB207" s="966">
        <f t="shared" si="218"/>
        <v>1940856</v>
      </c>
      <c r="CC207" s="966">
        <f t="shared" si="218"/>
        <v>3438802</v>
      </c>
      <c r="CD207" s="966">
        <f t="shared" si="218"/>
        <v>267809476</v>
      </c>
      <c r="CE207" s="966">
        <f t="shared" si="218"/>
        <v>1469175595</v>
      </c>
      <c r="CF207" s="966">
        <f t="shared" si="218"/>
        <v>165306428</v>
      </c>
      <c r="CG207" s="966">
        <f t="shared" si="218"/>
        <v>325161974</v>
      </c>
      <c r="CH207" s="966">
        <f t="shared" si="218"/>
        <v>84294344</v>
      </c>
      <c r="CI207" s="966">
        <f t="shared" si="218"/>
        <v>24000000</v>
      </c>
      <c r="CJ207" s="966">
        <f t="shared" si="218"/>
        <v>0</v>
      </c>
      <c r="CK207" s="966">
        <f t="shared" si="218"/>
        <v>0</v>
      </c>
      <c r="CL207" s="966">
        <f t="shared" si="218"/>
        <v>300545072</v>
      </c>
      <c r="CM207" s="960">
        <f t="shared" si="208"/>
        <v>0.51824255065627556</v>
      </c>
      <c r="CN207" s="1046">
        <f t="shared" ref="CN207:CS207" si="219">+CN205+CN206</f>
        <v>13002235707</v>
      </c>
      <c r="CO207" s="966">
        <f t="shared" si="219"/>
        <v>57672466</v>
      </c>
      <c r="CP207" s="966">
        <f t="shared" si="219"/>
        <v>133268976</v>
      </c>
      <c r="CQ207" s="966">
        <f t="shared" si="219"/>
        <v>396726534</v>
      </c>
      <c r="CR207" s="966">
        <f t="shared" si="219"/>
        <v>4337667454</v>
      </c>
      <c r="CS207" s="966">
        <f t="shared" si="219"/>
        <v>12550540</v>
      </c>
      <c r="CT207" s="945">
        <f t="shared" ref="CT207:DH207" si="220">SUM(CT205:CT206)</f>
        <v>1755841308</v>
      </c>
      <c r="CU207" s="945">
        <f t="shared" si="220"/>
        <v>942943109</v>
      </c>
      <c r="CV207" s="945">
        <f t="shared" si="220"/>
        <v>102810569</v>
      </c>
      <c r="CW207" s="945">
        <f t="shared" si="220"/>
        <v>129471348</v>
      </c>
      <c r="CX207" s="945">
        <f t="shared" si="220"/>
        <v>0</v>
      </c>
      <c r="CY207" s="945">
        <f t="shared" si="220"/>
        <v>0</v>
      </c>
      <c r="CZ207" s="945">
        <f t="shared" si="220"/>
        <v>40655038</v>
      </c>
      <c r="DA207" s="945">
        <f t="shared" si="220"/>
        <v>1399823494</v>
      </c>
      <c r="DB207" s="945">
        <f t="shared" si="220"/>
        <v>605846601</v>
      </c>
      <c r="DC207" s="945">
        <f t="shared" si="220"/>
        <v>632155275</v>
      </c>
      <c r="DD207" s="945">
        <f t="shared" si="220"/>
        <v>570906811</v>
      </c>
      <c r="DE207" s="945">
        <f t="shared" si="220"/>
        <v>1046363025</v>
      </c>
      <c r="DF207" s="945">
        <f t="shared" si="220"/>
        <v>30228561</v>
      </c>
      <c r="DG207" s="945">
        <f t="shared" si="220"/>
        <v>0</v>
      </c>
      <c r="DH207" s="957">
        <f t="shared" si="220"/>
        <v>807304598</v>
      </c>
      <c r="DI207" s="1033">
        <f t="shared" si="203"/>
        <v>0.48175744934372444</v>
      </c>
      <c r="DJ207" s="945">
        <f t="shared" ref="DJ207:ED207" ca="1" si="221">SUM(DJ205:DJ206)</f>
        <v>12086857596</v>
      </c>
      <c r="DK207" s="1041">
        <f t="shared" si="221"/>
        <v>46407003</v>
      </c>
      <c r="DL207" s="957">
        <f t="shared" ca="1" si="221"/>
        <v>1264680</v>
      </c>
      <c r="DM207" s="957">
        <f t="shared" si="221"/>
        <v>0</v>
      </c>
      <c r="DN207" s="957">
        <f t="shared" si="221"/>
        <v>5524476158</v>
      </c>
      <c r="DO207" s="957">
        <f t="shared" si="221"/>
        <v>80345334</v>
      </c>
      <c r="DP207" s="945">
        <f t="shared" si="221"/>
        <v>753339569</v>
      </c>
      <c r="DQ207" s="945">
        <f t="shared" si="221"/>
        <v>357056891</v>
      </c>
      <c r="DR207" s="945">
        <f t="shared" si="221"/>
        <v>0</v>
      </c>
      <c r="DS207" s="145">
        <f t="shared" si="221"/>
        <v>90000000</v>
      </c>
      <c r="DT207" s="145">
        <f t="shared" si="221"/>
        <v>1940856</v>
      </c>
      <c r="DU207" s="145">
        <f t="shared" si="221"/>
        <v>3438802</v>
      </c>
      <c r="DV207" s="145">
        <f t="shared" si="221"/>
        <v>278009476</v>
      </c>
      <c r="DW207" s="145">
        <f t="shared" si="221"/>
        <v>2715054621</v>
      </c>
      <c r="DX207" s="145">
        <f t="shared" si="221"/>
        <v>471169405</v>
      </c>
      <c r="DY207" s="145">
        <f t="shared" si="221"/>
        <v>442101555</v>
      </c>
      <c r="DZ207" s="145">
        <f t="shared" si="221"/>
        <v>428470520</v>
      </c>
      <c r="EA207" s="145">
        <f t="shared" si="221"/>
        <v>135244964</v>
      </c>
      <c r="EB207" s="145">
        <f t="shared" si="221"/>
        <v>50615524</v>
      </c>
      <c r="EC207" s="145">
        <f t="shared" si="221"/>
        <v>92524043</v>
      </c>
      <c r="ED207" s="145">
        <f t="shared" si="221"/>
        <v>615398195</v>
      </c>
      <c r="EF207" s="1632"/>
      <c r="EG207" s="1632"/>
      <c r="EH207" s="1632"/>
      <c r="EI207" s="1632"/>
      <c r="EJ207" s="1632"/>
      <c r="EK207" s="1632"/>
      <c r="EL207" s="1632"/>
      <c r="EM207" s="1632"/>
      <c r="EN207" s="1632"/>
      <c r="EO207" s="1632"/>
    </row>
    <row r="208" spans="1:145" ht="15.75" thickTop="1" x14ac:dyDescent="0.25">
      <c r="Y208" s="1"/>
      <c r="Z208" s="1"/>
      <c r="AA208" s="1"/>
      <c r="AB208" s="1"/>
      <c r="AC208" s="1"/>
      <c r="AD208" s="1"/>
      <c r="AE208" s="1"/>
      <c r="AF208" s="1"/>
      <c r="AG208" s="1"/>
      <c r="AH208" s="1"/>
      <c r="AI208" s="1"/>
      <c r="AJ208" s="1"/>
      <c r="AK208" s="1"/>
      <c r="AL208" s="1"/>
      <c r="AM208" s="1"/>
      <c r="AN208" s="1"/>
      <c r="AO208" s="1"/>
      <c r="AP208" s="1"/>
      <c r="AQ208" s="1"/>
      <c r="AR208" s="1"/>
      <c r="AS208" s="1"/>
      <c r="AV208" s="1"/>
      <c r="AW208" s="1"/>
      <c r="AX208" s="1"/>
      <c r="AY208" s="1"/>
      <c r="AZ208" s="1"/>
      <c r="BA208" s="1"/>
      <c r="BB208" s="1"/>
      <c r="BC208" s="1"/>
      <c r="BD208" s="1"/>
      <c r="BE208" s="1"/>
      <c r="BF208" s="1"/>
      <c r="BG208" s="1"/>
      <c r="BH208" s="1"/>
      <c r="BI208" s="1"/>
      <c r="BJ208" s="1"/>
      <c r="BK208" s="1"/>
      <c r="BL208" s="1"/>
      <c r="BM208" s="1"/>
      <c r="BN208" s="1"/>
      <c r="BO208" s="1"/>
      <c r="BP208" s="1"/>
      <c r="BR208" s="1"/>
      <c r="BS208" s="1"/>
      <c r="BT208" s="1"/>
      <c r="BU208" s="1"/>
      <c r="BV208" s="1"/>
      <c r="BW208" s="1"/>
      <c r="BX208" s="1"/>
      <c r="BY208" s="1"/>
      <c r="BZ208" s="1"/>
      <c r="CA208" s="1"/>
      <c r="CB208" s="1"/>
      <c r="CC208" s="1"/>
      <c r="CD208" s="1"/>
      <c r="CE208" s="1"/>
      <c r="CF208" s="1"/>
      <c r="CG208" s="1"/>
      <c r="CH208" s="1"/>
      <c r="CI208" s="1"/>
      <c r="CJ208" s="1"/>
      <c r="CK208" s="1"/>
      <c r="CL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f t="shared" ref="DK208:ED208" si="222">+DK197-DK207</f>
        <v>0</v>
      </c>
      <c r="DL208" s="1">
        <f t="shared" ca="1" si="222"/>
        <v>0</v>
      </c>
      <c r="DM208" s="1">
        <f t="shared" si="222"/>
        <v>0</v>
      </c>
      <c r="DN208" s="1">
        <f t="shared" si="222"/>
        <v>0</v>
      </c>
      <c r="DO208" s="1">
        <f t="shared" si="222"/>
        <v>0</v>
      </c>
      <c r="DP208" s="1">
        <f t="shared" si="222"/>
        <v>0</v>
      </c>
      <c r="DQ208" s="1">
        <f t="shared" si="222"/>
        <v>0</v>
      </c>
      <c r="DR208" s="1">
        <f t="shared" si="222"/>
        <v>0</v>
      </c>
      <c r="DS208" s="1">
        <f t="shared" si="222"/>
        <v>0</v>
      </c>
      <c r="DT208" s="1">
        <f t="shared" si="222"/>
        <v>0</v>
      </c>
      <c r="DU208" s="1">
        <f t="shared" si="222"/>
        <v>0</v>
      </c>
      <c r="DV208" s="1">
        <f t="shared" si="222"/>
        <v>0</v>
      </c>
      <c r="DW208" s="1">
        <f t="shared" si="222"/>
        <v>0</v>
      </c>
      <c r="DX208" s="1">
        <f t="shared" si="222"/>
        <v>0</v>
      </c>
      <c r="DY208" s="1">
        <f t="shared" si="222"/>
        <v>0</v>
      </c>
      <c r="DZ208" s="1">
        <f t="shared" si="222"/>
        <v>0</v>
      </c>
      <c r="EA208" s="1">
        <f t="shared" si="222"/>
        <v>0</v>
      </c>
      <c r="EB208" s="1">
        <f t="shared" si="222"/>
        <v>0</v>
      </c>
      <c r="EC208" s="1">
        <f t="shared" si="222"/>
        <v>0</v>
      </c>
      <c r="ED208" s="1">
        <f t="shared" si="222"/>
        <v>0</v>
      </c>
      <c r="EF208" s="1632"/>
      <c r="EG208" s="1636" t="s">
        <v>4985</v>
      </c>
      <c r="EH208" s="1632"/>
      <c r="EI208" s="1632"/>
      <c r="EJ208" s="1632"/>
      <c r="EK208" s="1631">
        <v>1877108763</v>
      </c>
      <c r="EL208" s="1631">
        <v>955358031</v>
      </c>
      <c r="EM208" s="1634">
        <v>0.50895187845862722</v>
      </c>
      <c r="EN208" s="1632"/>
      <c r="EO208" s="1632"/>
    </row>
    <row r="209" spans="4:145" x14ac:dyDescent="0.25">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F209" s="1632"/>
      <c r="EG209" s="1636" t="s">
        <v>4986</v>
      </c>
      <c r="EH209" s="1632"/>
      <c r="EI209" s="1632"/>
      <c r="EJ209" s="1632"/>
      <c r="EK209" s="1631">
        <v>6535792729</v>
      </c>
      <c r="EL209" s="1631">
        <v>3498022563</v>
      </c>
      <c r="EM209" s="1634">
        <v>0.53521014328971994</v>
      </c>
      <c r="EN209" s="1632"/>
      <c r="EO209" s="1632"/>
    </row>
    <row r="210" spans="4:145" x14ac:dyDescent="0.25">
      <c r="D210" s="1048"/>
      <c r="F210" s="1"/>
      <c r="G210" s="1"/>
      <c r="H210" s="1"/>
      <c r="I210" s="1"/>
      <c r="J210" s="1"/>
      <c r="K210" s="1"/>
      <c r="L210" s="1"/>
      <c r="M210" s="1"/>
      <c r="N210" s="1"/>
      <c r="O210" s="1"/>
      <c r="P210" s="1"/>
      <c r="Q210" s="1"/>
      <c r="R210" s="1"/>
      <c r="S210" s="1"/>
      <c r="T210" s="1"/>
      <c r="U210" s="1"/>
      <c r="V210" s="1"/>
      <c r="W210" s="1"/>
      <c r="X210" s="1"/>
      <c r="Y210" s="599"/>
      <c r="Z210" s="1"/>
      <c r="AA210" s="1"/>
      <c r="AB210" s="1"/>
      <c r="AC210" s="1"/>
      <c r="AD210" s="1"/>
      <c r="AE210" s="1"/>
      <c r="AF210" s="1"/>
      <c r="AG210" s="1"/>
      <c r="AH210" s="1"/>
      <c r="AI210" s="1"/>
      <c r="AJ210" s="1"/>
      <c r="AK210" s="1"/>
      <c r="AL210" s="1"/>
      <c r="AM210" s="1"/>
      <c r="AN210" s="1"/>
      <c r="AO210" s="1"/>
      <c r="AP210" s="1"/>
      <c r="AQ210" s="1"/>
      <c r="AR210" s="1"/>
      <c r="AS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N210" s="1"/>
      <c r="CO210" s="1"/>
      <c r="CP210" s="1"/>
      <c r="CQ210" s="1"/>
      <c r="CR210" s="1"/>
      <c r="CS210" s="1"/>
      <c r="CT210" s="1"/>
      <c r="CU210" s="1"/>
      <c r="CV210" s="1"/>
      <c r="CW210" s="1"/>
      <c r="CX210" s="1"/>
      <c r="CY210" s="1"/>
      <c r="CZ210" s="1"/>
      <c r="DA210" s="1"/>
      <c r="DB210" s="1"/>
      <c r="DC210" s="1"/>
      <c r="DD210" s="1"/>
      <c r="DE210" s="1"/>
      <c r="DF210" s="1"/>
      <c r="DG210" s="1"/>
      <c r="DH210" s="1"/>
      <c r="DJ210" s="1"/>
      <c r="DK210" s="1"/>
      <c r="DL210" s="1"/>
      <c r="DM210" s="1"/>
      <c r="DN210" s="1"/>
      <c r="DO210" s="1"/>
      <c r="DP210" s="1"/>
      <c r="DQ210" s="1"/>
      <c r="DR210" s="1"/>
      <c r="DS210" s="1"/>
      <c r="DT210" s="1"/>
      <c r="DU210" s="1"/>
      <c r="DV210" s="1"/>
      <c r="DW210" s="1"/>
      <c r="DX210" s="1"/>
      <c r="DY210" s="1"/>
      <c r="DZ210" s="1"/>
      <c r="EA210" s="1"/>
      <c r="EB210" s="1"/>
      <c r="EC210" s="1"/>
      <c r="ED210" s="1"/>
      <c r="EF210" s="1632"/>
      <c r="EG210" s="1636" t="s">
        <v>4987</v>
      </c>
      <c r="EH210" s="1632"/>
      <c r="EI210" s="1632"/>
      <c r="EJ210" s="1632"/>
      <c r="EK210" s="1631">
        <v>2989241271</v>
      </c>
      <c r="EL210" s="1631">
        <v>1853898673</v>
      </c>
      <c r="EM210" s="1634">
        <v>0.62019037773414976</v>
      </c>
      <c r="EN210" s="1632"/>
      <c r="EO210" s="1632"/>
    </row>
    <row r="211" spans="4:145" x14ac:dyDescent="0.25">
      <c r="D211" s="495"/>
      <c r="Y211" s="597"/>
      <c r="Z211" s="1"/>
      <c r="AA211" s="1"/>
      <c r="AB211" s="1"/>
      <c r="AC211" s="1"/>
      <c r="AD211" s="1"/>
      <c r="AE211" s="964"/>
      <c r="AO211" s="1"/>
      <c r="AR211" s="1"/>
      <c r="AS211" s="1"/>
      <c r="AV211" s="1"/>
      <c r="AW211" s="1"/>
      <c r="AX211" s="1"/>
      <c r="AY211" s="1"/>
      <c r="CN211" s="1"/>
      <c r="CO211" s="1"/>
      <c r="DH211" s="1"/>
      <c r="DJ211" s="1"/>
      <c r="DK211" s="1"/>
      <c r="EF211" s="1632"/>
      <c r="EG211" s="1636" t="s">
        <v>4988</v>
      </c>
      <c r="EH211" s="1632"/>
      <c r="EI211" s="1632"/>
      <c r="EJ211" s="1632"/>
      <c r="EK211" s="1631">
        <v>2555236800</v>
      </c>
      <c r="EL211" s="1631">
        <v>1985775008</v>
      </c>
      <c r="EM211" s="1634">
        <v>0.77713932736097102</v>
      </c>
      <c r="EN211" s="1632"/>
      <c r="EO211" s="1632"/>
    </row>
    <row r="212" spans="4:145" x14ac:dyDescent="0.25">
      <c r="D212" s="495"/>
      <c r="Y212" s="597"/>
      <c r="Z212" s="1"/>
      <c r="AA212" s="1"/>
      <c r="AB212" s="1"/>
      <c r="AC212" s="1"/>
      <c r="AD212" s="1"/>
      <c r="AS212" s="1"/>
      <c r="AV212" s="1"/>
      <c r="CN212" s="1"/>
      <c r="DH212" s="1"/>
      <c r="DJ212" s="1"/>
      <c r="DK212" s="1"/>
      <c r="EF212" s="1632"/>
      <c r="EG212" s="1636" t="s">
        <v>4989</v>
      </c>
      <c r="EH212" s="1632"/>
      <c r="EI212" s="1632"/>
      <c r="EJ212" s="1632"/>
      <c r="EK212" s="1631">
        <v>11131713740</v>
      </c>
      <c r="EL212" s="1631">
        <v>4709181432</v>
      </c>
      <c r="EM212" s="1634">
        <v>0.4230419090888336</v>
      </c>
      <c r="EN212" s="1632"/>
      <c r="EO212" s="1632"/>
    </row>
    <row r="213" spans="4:145" x14ac:dyDescent="0.25">
      <c r="AA213" s="1"/>
      <c r="EF213" s="1632"/>
      <c r="EG213" s="1633"/>
      <c r="EH213" s="1632"/>
      <c r="EI213" s="1632"/>
      <c r="EJ213" s="1632"/>
      <c r="EK213" s="1632"/>
      <c r="EL213" s="1632"/>
      <c r="EM213" s="1632"/>
      <c r="EN213" s="1632"/>
      <c r="EO213" s="1632"/>
    </row>
    <row r="214" spans="4:145" x14ac:dyDescent="0.25">
      <c r="EF214" s="1632"/>
      <c r="EG214" s="1633"/>
      <c r="EH214" s="1632"/>
      <c r="EI214" s="1632"/>
      <c r="EJ214" s="1632"/>
      <c r="EK214" s="1632"/>
      <c r="EL214" s="1632"/>
      <c r="EM214" s="1632"/>
      <c r="EN214" s="1632"/>
      <c r="EO214" s="1632"/>
    </row>
    <row r="215" spans="4:145" x14ac:dyDescent="0.25">
      <c r="EG215" s="688"/>
    </row>
    <row r="216" spans="4:145" x14ac:dyDescent="0.25">
      <c r="EG216" s="688"/>
    </row>
    <row r="275" spans="4:29" x14ac:dyDescent="0.25">
      <c r="D275" s="1624" t="s">
        <v>4990</v>
      </c>
      <c r="E275" s="1624"/>
      <c r="F275" s="1624"/>
      <c r="G275" s="1624"/>
      <c r="H275" s="1624"/>
      <c r="I275" s="1624"/>
      <c r="J275" s="1624"/>
      <c r="K275" s="1624"/>
      <c r="L275" s="1624"/>
      <c r="M275" s="1624"/>
      <c r="N275" s="1624"/>
      <c r="O275" s="1624"/>
      <c r="P275" s="1624"/>
      <c r="Q275" s="1624"/>
      <c r="R275" s="1624"/>
      <c r="S275" s="1624"/>
      <c r="T275" s="1624"/>
      <c r="U275" s="1624"/>
      <c r="V275" s="1624"/>
      <c r="W275" s="1624"/>
      <c r="X275" s="1624"/>
      <c r="Y275" s="1624"/>
      <c r="Z275" s="1624"/>
      <c r="AA275" s="1624"/>
      <c r="AB275" s="1624"/>
      <c r="AC275" s="1624"/>
    </row>
    <row r="276" spans="4:29" x14ac:dyDescent="0.25">
      <c r="D276" s="1147" t="s">
        <v>4747</v>
      </c>
      <c r="E276" s="1147" t="s">
        <v>4991</v>
      </c>
      <c r="F276" s="1150" t="s">
        <v>4997</v>
      </c>
      <c r="G276" s="1147" t="s">
        <v>4992</v>
      </c>
      <c r="H276" s="1147"/>
      <c r="I276" s="1147"/>
      <c r="J276" s="1147"/>
      <c r="K276" s="1147"/>
      <c r="L276" s="1147"/>
      <c r="M276" s="1147" t="s">
        <v>4214</v>
      </c>
      <c r="N276" s="1147"/>
      <c r="O276" s="1147"/>
      <c r="P276" s="1147"/>
      <c r="Q276" s="1147"/>
      <c r="R276" s="1147"/>
      <c r="S276" s="1147"/>
      <c r="T276" s="1147"/>
      <c r="U276" s="1147"/>
      <c r="V276" s="1147"/>
      <c r="W276" s="1147"/>
      <c r="X276" s="1147" t="s">
        <v>4993</v>
      </c>
      <c r="Y276" s="1147" t="s">
        <v>4214</v>
      </c>
      <c r="Z276" s="1147" t="s">
        <v>4994</v>
      </c>
      <c r="AA276" s="1147"/>
      <c r="AB276" s="1147"/>
      <c r="AC276" s="1147" t="s">
        <v>4214</v>
      </c>
    </row>
    <row r="277" spans="4:29" x14ac:dyDescent="0.25">
      <c r="D277" s="1151" t="s">
        <v>4751</v>
      </c>
      <c r="E277" s="946">
        <v>0.41439434607136599</v>
      </c>
      <c r="F277" s="959">
        <v>0.50895187845862722</v>
      </c>
      <c r="G277" s="946">
        <v>0.2147</v>
      </c>
      <c r="H277" s="1151"/>
      <c r="I277" s="1151"/>
      <c r="J277" s="1151"/>
      <c r="K277" s="1151"/>
      <c r="L277" s="1151"/>
      <c r="M277" s="946" t="e">
        <f>E277-#REF!</f>
        <v>#REF!</v>
      </c>
      <c r="N277" s="1151"/>
      <c r="O277" s="1151"/>
      <c r="P277" s="1151"/>
      <c r="Q277" s="1151"/>
      <c r="R277" s="1151"/>
      <c r="S277" s="1151"/>
      <c r="T277" s="1151"/>
      <c r="U277" s="1151"/>
      <c r="V277" s="1151"/>
      <c r="W277" s="1151"/>
      <c r="X277" s="1152">
        <v>8.111822761423336E-2</v>
      </c>
      <c r="Y277" s="946">
        <f>F277-E277</f>
        <v>9.4557532387261223E-2</v>
      </c>
      <c r="Z277" s="1146">
        <v>20.77</v>
      </c>
      <c r="AA277" s="1144"/>
      <c r="AB277" s="1144"/>
      <c r="AC277" s="1145">
        <v>7.0000000000000001E-3</v>
      </c>
    </row>
    <row r="278" spans="4:29" x14ac:dyDescent="0.25">
      <c r="D278" s="1151" t="s">
        <v>4755</v>
      </c>
      <c r="E278" s="946">
        <v>0.48065536661839064</v>
      </c>
      <c r="F278" s="959">
        <v>0.53521014328971994</v>
      </c>
      <c r="G278" s="946">
        <v>0.4083</v>
      </c>
      <c r="H278" s="1151"/>
      <c r="I278" s="1151"/>
      <c r="J278" s="1151"/>
      <c r="K278" s="1151"/>
      <c r="L278" s="1151"/>
      <c r="M278" s="946" t="e">
        <f>E278-#REF!</f>
        <v>#REF!</v>
      </c>
      <c r="N278" s="1151"/>
      <c r="O278" s="1151"/>
      <c r="P278" s="1151"/>
      <c r="Q278" s="1151"/>
      <c r="R278" s="1151"/>
      <c r="S278" s="1151"/>
      <c r="T278" s="1151"/>
      <c r="U278" s="1151"/>
      <c r="V278" s="1151"/>
      <c r="W278" s="1151"/>
      <c r="X278" s="1152">
        <v>0.22310118724265898</v>
      </c>
      <c r="Y278" s="946">
        <f t="shared" ref="Y278:Y282" si="223">F278-E278</f>
        <v>5.4554776671329297E-2</v>
      </c>
      <c r="Z278" s="1146">
        <v>32.64</v>
      </c>
      <c r="AA278" s="1144"/>
      <c r="AB278" s="1144"/>
      <c r="AC278" s="1145">
        <v>8.1900000000000001E-2</v>
      </c>
    </row>
    <row r="279" spans="4:29" x14ac:dyDescent="0.25">
      <c r="D279" s="1151" t="s">
        <v>4995</v>
      </c>
      <c r="E279" s="946">
        <v>0.55390320722948605</v>
      </c>
      <c r="F279" s="959">
        <v>0.62019037773414976</v>
      </c>
      <c r="G279" s="946">
        <v>0.38629999999999998</v>
      </c>
      <c r="H279" s="1151"/>
      <c r="I279" s="1151"/>
      <c r="J279" s="1151"/>
      <c r="K279" s="1151"/>
      <c r="L279" s="1151"/>
      <c r="M279" s="946" t="e">
        <f>E279-#REF!</f>
        <v>#REF!</v>
      </c>
      <c r="N279" s="1151"/>
      <c r="O279" s="1151"/>
      <c r="P279" s="1151"/>
      <c r="Q279" s="1151"/>
      <c r="R279" s="1151"/>
      <c r="S279" s="1151"/>
      <c r="T279" s="1151"/>
      <c r="U279" s="1151"/>
      <c r="V279" s="1151"/>
      <c r="W279" s="1151"/>
      <c r="X279" s="1152">
        <v>0.18101588262876894</v>
      </c>
      <c r="Y279" s="946">
        <f t="shared" si="223"/>
        <v>6.6287170504663706E-2</v>
      </c>
      <c r="Z279" s="1146">
        <v>34.11</v>
      </c>
      <c r="AA279" s="1144"/>
      <c r="AB279" s="1144"/>
      <c r="AC279" s="1145">
        <v>4.5199999999999997E-2</v>
      </c>
    </row>
    <row r="280" spans="4:29" x14ac:dyDescent="0.25">
      <c r="D280" s="1151" t="s">
        <v>3743</v>
      </c>
      <c r="E280" s="946">
        <v>0.75193452630570046</v>
      </c>
      <c r="F280" s="959">
        <v>0.77713932736097102</v>
      </c>
      <c r="G280" s="946">
        <v>0.65500000000000003</v>
      </c>
      <c r="H280" s="1151"/>
      <c r="I280" s="1151"/>
      <c r="J280" s="1151"/>
      <c r="K280" s="1151"/>
      <c r="L280" s="1151"/>
      <c r="M280" s="946" t="e">
        <f>E280-#REF!</f>
        <v>#REF!</v>
      </c>
      <c r="N280" s="1151"/>
      <c r="O280" s="1151"/>
      <c r="P280" s="1151"/>
      <c r="Q280" s="1151"/>
      <c r="R280" s="1151"/>
      <c r="S280" s="1151"/>
      <c r="T280" s="1151"/>
      <c r="U280" s="1151"/>
      <c r="V280" s="1151"/>
      <c r="W280" s="1151"/>
      <c r="X280" s="1152">
        <v>0.2183665793345527</v>
      </c>
      <c r="Y280" s="946">
        <f t="shared" si="223"/>
        <v>2.5204801055270565E-2</v>
      </c>
      <c r="Z280" s="1146">
        <v>66.25</v>
      </c>
      <c r="AA280" s="1144"/>
      <c r="AB280" s="1144"/>
      <c r="AC280" s="1145">
        <v>-7.4999999999999997E-3</v>
      </c>
    </row>
    <row r="281" spans="4:29" x14ac:dyDescent="0.25">
      <c r="D281" s="1151" t="s">
        <v>4757</v>
      </c>
      <c r="E281" s="946">
        <v>0.37482176358773756</v>
      </c>
      <c r="F281" s="959">
        <v>0.4230419090888336</v>
      </c>
      <c r="G281" s="946">
        <v>0.25090000000000001</v>
      </c>
      <c r="H281" s="1151"/>
      <c r="I281" s="1151"/>
      <c r="J281" s="1151"/>
      <c r="K281" s="1151"/>
      <c r="L281" s="1151"/>
      <c r="M281" s="946" t="e">
        <f>E281-#REF!</f>
        <v>#REF!</v>
      </c>
      <c r="N281" s="1151"/>
      <c r="O281" s="1151"/>
      <c r="P281" s="1151"/>
      <c r="Q281" s="1151"/>
      <c r="R281" s="1151"/>
      <c r="S281" s="1151"/>
      <c r="T281" s="1151"/>
      <c r="U281" s="1151"/>
      <c r="V281" s="1151"/>
      <c r="W281" s="1151"/>
      <c r="X281" s="1152">
        <v>3.0112468306268254E-2</v>
      </c>
      <c r="Y281" s="946">
        <f t="shared" si="223"/>
        <v>4.8220145501096046E-2</v>
      </c>
      <c r="Z281" s="1146">
        <v>11.04</v>
      </c>
      <c r="AA281" s="1144"/>
      <c r="AB281" s="1144"/>
      <c r="AC281" s="1145">
        <v>0.14050000000000001</v>
      </c>
    </row>
    <row r="282" spans="4:29" x14ac:dyDescent="0.25">
      <c r="D282" s="1147" t="s">
        <v>4996</v>
      </c>
      <c r="E282" s="946">
        <v>0.46431963694159117</v>
      </c>
      <c r="F282" s="238">
        <v>0.51819999999999999</v>
      </c>
      <c r="G282" s="1148">
        <v>0.34549999999999997</v>
      </c>
      <c r="H282" s="1069"/>
      <c r="I282" s="1069"/>
      <c r="J282" s="1069"/>
      <c r="K282" s="1069"/>
      <c r="L282" s="1069"/>
      <c r="M282" s="946" t="e">
        <f>E282-#REF!</f>
        <v>#REF!</v>
      </c>
      <c r="N282" s="1069"/>
      <c r="O282" s="1069"/>
      <c r="P282" s="1069"/>
      <c r="Q282" s="1069"/>
      <c r="R282" s="1069"/>
      <c r="S282" s="1069"/>
      <c r="T282" s="1069"/>
      <c r="U282" s="1069"/>
      <c r="V282" s="1069"/>
      <c r="W282" s="1069"/>
      <c r="X282" s="1149">
        <v>8.6592865575989497E-2</v>
      </c>
      <c r="Y282" s="946">
        <f t="shared" si="223"/>
        <v>5.388036305840882E-2</v>
      </c>
      <c r="Z282" s="1148">
        <v>0.21110000000000001</v>
      </c>
      <c r="AA282" s="1149"/>
      <c r="AB282" s="1149"/>
      <c r="AC282" s="1145">
        <v>0.13439999999999999</v>
      </c>
    </row>
  </sheetData>
  <mergeCells count="236">
    <mergeCell ref="AD1:AD3"/>
    <mergeCell ref="AE1:AE3"/>
    <mergeCell ref="AF1:AF3"/>
    <mergeCell ref="AG1:AG3"/>
    <mergeCell ref="AH1:AH3"/>
    <mergeCell ref="AI1:AI3"/>
    <mergeCell ref="C1:F1"/>
    <mergeCell ref="Y1:Y3"/>
    <mergeCell ref="Z1:Z3"/>
    <mergeCell ref="AA1:AA3"/>
    <mergeCell ref="AB1:AB3"/>
    <mergeCell ref="AC1:AC3"/>
    <mergeCell ref="M2:O2"/>
    <mergeCell ref="P2:R2"/>
    <mergeCell ref="S2:U2"/>
    <mergeCell ref="V2:X2"/>
    <mergeCell ref="AP1:AP3"/>
    <mergeCell ref="AQ1:AQ3"/>
    <mergeCell ref="AR1:AR3"/>
    <mergeCell ref="AS1:AS3"/>
    <mergeCell ref="AU1:AV2"/>
    <mergeCell ref="AW1:AX2"/>
    <mergeCell ref="AJ1:AJ3"/>
    <mergeCell ref="AK1:AK3"/>
    <mergeCell ref="AL1:AL3"/>
    <mergeCell ref="AM1:AM3"/>
    <mergeCell ref="AN1:AN3"/>
    <mergeCell ref="AO1:AO3"/>
    <mergeCell ref="BK1:BL2"/>
    <mergeCell ref="BM1:BN2"/>
    <mergeCell ref="BO1:BP2"/>
    <mergeCell ref="BQ1:BR2"/>
    <mergeCell ref="CM1:CN2"/>
    <mergeCell ref="DI1:DJ2"/>
    <mergeCell ref="AY1:AZ2"/>
    <mergeCell ref="BA1:BB2"/>
    <mergeCell ref="BC1:BD2"/>
    <mergeCell ref="BE1:BF2"/>
    <mergeCell ref="BG1:BH2"/>
    <mergeCell ref="BI1:BJ2"/>
    <mergeCell ref="J4:J9"/>
    <mergeCell ref="K4:K9"/>
    <mergeCell ref="L4:L9"/>
    <mergeCell ref="G10:G16"/>
    <mergeCell ref="J10:J16"/>
    <mergeCell ref="K10:K16"/>
    <mergeCell ref="L10:L16"/>
    <mergeCell ref="G17:G21"/>
    <mergeCell ref="A2:A3"/>
    <mergeCell ref="B2:B3"/>
    <mergeCell ref="C2:C3"/>
    <mergeCell ref="D2:D3"/>
    <mergeCell ref="E2:E3"/>
    <mergeCell ref="F2:F3"/>
    <mergeCell ref="J27:J29"/>
    <mergeCell ref="K27:K29"/>
    <mergeCell ref="L27:L29"/>
    <mergeCell ref="B30:B33"/>
    <mergeCell ref="G30:G33"/>
    <mergeCell ref="J30:J33"/>
    <mergeCell ref="K30:K33"/>
    <mergeCell ref="L30:L33"/>
    <mergeCell ref="J17:J21"/>
    <mergeCell ref="K17:K21"/>
    <mergeCell ref="L17:L21"/>
    <mergeCell ref="G22:G23"/>
    <mergeCell ref="J22:J23"/>
    <mergeCell ref="G24:G26"/>
    <mergeCell ref="J24:J26"/>
    <mergeCell ref="K24:K26"/>
    <mergeCell ref="L24:L26"/>
    <mergeCell ref="B34:E34"/>
    <mergeCell ref="A35:A66"/>
    <mergeCell ref="G35:G37"/>
    <mergeCell ref="G38:G43"/>
    <mergeCell ref="G44:G47"/>
    <mergeCell ref="G48:G52"/>
    <mergeCell ref="G53:G55"/>
    <mergeCell ref="G61:G66"/>
    <mergeCell ref="G27:G29"/>
    <mergeCell ref="A4:A33"/>
    <mergeCell ref="G4:G9"/>
    <mergeCell ref="G56:G57"/>
    <mergeCell ref="G58:G59"/>
    <mergeCell ref="J58:J59"/>
    <mergeCell ref="K58:K59"/>
    <mergeCell ref="L58:L59"/>
    <mergeCell ref="J48:J49"/>
    <mergeCell ref="K48:K49"/>
    <mergeCell ref="L48:L49"/>
    <mergeCell ref="J50:J52"/>
    <mergeCell ref="K50:K52"/>
    <mergeCell ref="L50:L52"/>
    <mergeCell ref="J63:J64"/>
    <mergeCell ref="K63:K64"/>
    <mergeCell ref="L63:L64"/>
    <mergeCell ref="J65:J66"/>
    <mergeCell ref="K65:K66"/>
    <mergeCell ref="L65:L66"/>
    <mergeCell ref="J54:J55"/>
    <mergeCell ref="K54:K55"/>
    <mergeCell ref="L54:L55"/>
    <mergeCell ref="B67:E67"/>
    <mergeCell ref="A68:A103"/>
    <mergeCell ref="G68:G73"/>
    <mergeCell ref="J69:J70"/>
    <mergeCell ref="K69:K70"/>
    <mergeCell ref="L69:L70"/>
    <mergeCell ref="J72:J73"/>
    <mergeCell ref="K72:K73"/>
    <mergeCell ref="L72:L73"/>
    <mergeCell ref="G74:G76"/>
    <mergeCell ref="J83:J84"/>
    <mergeCell ref="K83:K84"/>
    <mergeCell ref="L83:L84"/>
    <mergeCell ref="J85:J86"/>
    <mergeCell ref="K85:K86"/>
    <mergeCell ref="L85:L86"/>
    <mergeCell ref="J74:J76"/>
    <mergeCell ref="K74:K76"/>
    <mergeCell ref="L74:L76"/>
    <mergeCell ref="J77:J78"/>
    <mergeCell ref="K77:K78"/>
    <mergeCell ref="L77:L78"/>
    <mergeCell ref="J81:J82"/>
    <mergeCell ref="K81:K82"/>
    <mergeCell ref="L81:L82"/>
    <mergeCell ref="K97:K98"/>
    <mergeCell ref="L97:L98"/>
    <mergeCell ref="B99:B100"/>
    <mergeCell ref="C99:C100"/>
    <mergeCell ref="D99:D100"/>
    <mergeCell ref="E99:E100"/>
    <mergeCell ref="F99:F100"/>
    <mergeCell ref="J87:J88"/>
    <mergeCell ref="K87:K88"/>
    <mergeCell ref="L87:L88"/>
    <mergeCell ref="G89:G92"/>
    <mergeCell ref="J89:J92"/>
    <mergeCell ref="K89:K92"/>
    <mergeCell ref="L89:L92"/>
    <mergeCell ref="G77:G88"/>
    <mergeCell ref="B104:F104"/>
    <mergeCell ref="A106:A128"/>
    <mergeCell ref="G106:G114"/>
    <mergeCell ref="J107:J108"/>
    <mergeCell ref="E115:E117"/>
    <mergeCell ref="F115:F117"/>
    <mergeCell ref="G124:G127"/>
    <mergeCell ref="G93:G94"/>
    <mergeCell ref="G95:G98"/>
    <mergeCell ref="J97:J98"/>
    <mergeCell ref="K107:K108"/>
    <mergeCell ref="L107:L108"/>
    <mergeCell ref="J111:J112"/>
    <mergeCell ref="K111:K112"/>
    <mergeCell ref="L111:L112"/>
    <mergeCell ref="J113:J114"/>
    <mergeCell ref="K113:K114"/>
    <mergeCell ref="L113:L114"/>
    <mergeCell ref="G99:G100"/>
    <mergeCell ref="G101:G103"/>
    <mergeCell ref="B129:F129"/>
    <mergeCell ref="A130:A194"/>
    <mergeCell ref="G130:G131"/>
    <mergeCell ref="G132:G176"/>
    <mergeCell ref="J139:J140"/>
    <mergeCell ref="K139:K140"/>
    <mergeCell ref="L139:L140"/>
    <mergeCell ref="M115:M117"/>
    <mergeCell ref="P115:P117"/>
    <mergeCell ref="M118:M121"/>
    <mergeCell ref="P118:P121"/>
    <mergeCell ref="M122:M123"/>
    <mergeCell ref="P122:P123"/>
    <mergeCell ref="J141:J142"/>
    <mergeCell ref="K141:K142"/>
    <mergeCell ref="L141:L142"/>
    <mergeCell ref="J143:J144"/>
    <mergeCell ref="K143:K144"/>
    <mergeCell ref="L143:L144"/>
    <mergeCell ref="M124:M125"/>
    <mergeCell ref="O124:O125"/>
    <mergeCell ref="P124:P125"/>
    <mergeCell ref="J150:J151"/>
    <mergeCell ref="K150:K151"/>
    <mergeCell ref="L150:L151"/>
    <mergeCell ref="J152:J154"/>
    <mergeCell ref="K152:K154"/>
    <mergeCell ref="L152:L154"/>
    <mergeCell ref="J145:J147"/>
    <mergeCell ref="K145:K147"/>
    <mergeCell ref="L145:L147"/>
    <mergeCell ref="J148:J149"/>
    <mergeCell ref="K148:K149"/>
    <mergeCell ref="L148:L149"/>
    <mergeCell ref="J161:J163"/>
    <mergeCell ref="K161:K163"/>
    <mergeCell ref="L161:L163"/>
    <mergeCell ref="J164:J166"/>
    <mergeCell ref="K164:K166"/>
    <mergeCell ref="L164:L166"/>
    <mergeCell ref="J155:J157"/>
    <mergeCell ref="K155:K157"/>
    <mergeCell ref="L155:L157"/>
    <mergeCell ref="J158:J160"/>
    <mergeCell ref="K158:K160"/>
    <mergeCell ref="L158:L160"/>
    <mergeCell ref="J173:J176"/>
    <mergeCell ref="K173:K176"/>
    <mergeCell ref="L173:L176"/>
    <mergeCell ref="G177:G184"/>
    <mergeCell ref="J177:J184"/>
    <mergeCell ref="K177:K184"/>
    <mergeCell ref="L177:L184"/>
    <mergeCell ref="J167:J169"/>
    <mergeCell ref="K167:K169"/>
    <mergeCell ref="L167:L169"/>
    <mergeCell ref="J170:J172"/>
    <mergeCell ref="K170:K172"/>
    <mergeCell ref="L170:L172"/>
    <mergeCell ref="C207:D207"/>
    <mergeCell ref="D275:AC275"/>
    <mergeCell ref="G192:G193"/>
    <mergeCell ref="J192:J193"/>
    <mergeCell ref="K192:K193"/>
    <mergeCell ref="L192:L193"/>
    <mergeCell ref="B195:D195"/>
    <mergeCell ref="C197:E197"/>
    <mergeCell ref="G186:G190"/>
    <mergeCell ref="J187:J188"/>
    <mergeCell ref="K187:K188"/>
    <mergeCell ref="L187:L188"/>
    <mergeCell ref="J189:J190"/>
    <mergeCell ref="K189:K190"/>
    <mergeCell ref="L189:L190"/>
  </mergeCells>
  <printOptions horizontalCentered="1" verticalCentered="1"/>
  <pageMargins left="0.35433070866141736" right="0.27559055118110237" top="0.9055118110236221" bottom="0.47244094488188981" header="0.59055118110236227" footer="0.27559055118110237"/>
  <pageSetup scale="60" orientation="landscape" r:id="rId1"/>
  <headerFooter>
    <oddHeader>&amp;C&amp;"-,Negrita"&amp;14UNIVERSIDAD SURCOLOMBIANA PLAN DE ACCIÓN  A 30 DE SEPTIEMBRE DE  2015
 RESOLUCION  204 DEL 14 DE SEPTIEMBRE DE 2015</oddHeader>
    <oddFooter>&amp;LUNIDAD DE PLANEAMIENTO ECONÓMICO Y ADMINISTRATIVO&amp;COFICINA DE PLANEACIÓN&amp;RPágina &amp;P de &amp;N</oddFooter>
  </headerFooter>
  <rowBreaks count="1" manualBreakCount="1">
    <brk id="38" max="16383" man="1"/>
  </row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2:Q127"/>
  <sheetViews>
    <sheetView topLeftCell="M25" workbookViewId="0">
      <selection activeCell="Q8" sqref="Q8"/>
    </sheetView>
  </sheetViews>
  <sheetFormatPr baseColWidth="10" defaultColWidth="11.42578125" defaultRowHeight="15" x14ac:dyDescent="0.25"/>
  <cols>
    <col min="1" max="1" width="4.140625" customWidth="1"/>
    <col min="2" max="2" width="7.5703125" customWidth="1"/>
    <col min="3" max="3" width="13.5703125" customWidth="1"/>
    <col min="4" max="4" width="9.5703125" customWidth="1"/>
    <col min="7" max="7" width="20.85546875" customWidth="1"/>
    <col min="8" max="8" width="14.42578125" customWidth="1"/>
    <col min="9" max="9" width="14.5703125" customWidth="1"/>
    <col min="15" max="15" width="27.85546875" customWidth="1"/>
    <col min="16" max="16" width="13" customWidth="1"/>
    <col min="17" max="17" width="15.140625" customWidth="1"/>
  </cols>
  <sheetData>
    <row r="2" spans="1:17" ht="18" x14ac:dyDescent="0.3">
      <c r="A2" s="5" t="s">
        <v>448</v>
      </c>
    </row>
    <row r="4" spans="1:17" ht="19.5" customHeight="1" x14ac:dyDescent="0.25">
      <c r="A4" s="1162" t="s">
        <v>0</v>
      </c>
      <c r="B4" s="1162" t="s">
        <v>449</v>
      </c>
      <c r="C4" s="1162" t="s">
        <v>450</v>
      </c>
      <c r="D4" s="1162" t="s">
        <v>451</v>
      </c>
      <c r="E4" s="1162" t="s">
        <v>452</v>
      </c>
      <c r="F4" s="1162" t="s">
        <v>453</v>
      </c>
      <c r="G4" s="1162" t="s">
        <v>454</v>
      </c>
      <c r="H4" s="1162" t="s">
        <v>455</v>
      </c>
      <c r="I4" s="1165" t="s">
        <v>456</v>
      </c>
      <c r="J4" s="1167" t="s">
        <v>457</v>
      </c>
      <c r="K4" s="1167"/>
      <c r="L4" s="1167"/>
      <c r="M4" s="1167"/>
      <c r="N4" s="1168" t="s">
        <v>461</v>
      </c>
      <c r="O4" s="1168"/>
      <c r="P4" s="1168"/>
      <c r="Q4" s="1169"/>
    </row>
    <row r="5" spans="1:17" ht="19.5" customHeight="1" x14ac:dyDescent="0.25">
      <c r="A5" s="1164"/>
      <c r="B5" s="1164"/>
      <c r="C5" s="1164"/>
      <c r="D5" s="1164"/>
      <c r="E5" s="1164"/>
      <c r="F5" s="1163"/>
      <c r="G5" s="1163"/>
      <c r="H5" s="1163"/>
      <c r="I5" s="1166"/>
      <c r="J5" s="16" t="s">
        <v>1</v>
      </c>
      <c r="K5" s="16" t="s">
        <v>458</v>
      </c>
      <c r="L5" s="16" t="s">
        <v>459</v>
      </c>
      <c r="M5" s="16" t="s">
        <v>460</v>
      </c>
      <c r="N5" s="17" t="s">
        <v>1</v>
      </c>
      <c r="O5" s="16" t="s">
        <v>2</v>
      </c>
      <c r="P5" s="16" t="s">
        <v>460</v>
      </c>
      <c r="Q5" s="16" t="s">
        <v>462</v>
      </c>
    </row>
    <row r="6" spans="1:17" ht="24" x14ac:dyDescent="0.25">
      <c r="A6" s="18">
        <v>1</v>
      </c>
      <c r="B6" s="18" t="s">
        <v>463</v>
      </c>
      <c r="C6" s="18" t="s">
        <v>623</v>
      </c>
      <c r="D6" s="18" t="s">
        <v>464</v>
      </c>
      <c r="E6" s="18" t="s">
        <v>625</v>
      </c>
      <c r="F6" s="18" t="s">
        <v>465</v>
      </c>
      <c r="G6" s="18" t="s">
        <v>636</v>
      </c>
      <c r="H6" s="19">
        <v>0</v>
      </c>
      <c r="I6" s="33">
        <v>50000000</v>
      </c>
      <c r="J6" s="21"/>
      <c r="K6" s="22"/>
      <c r="L6" s="22"/>
      <c r="M6" s="22"/>
      <c r="N6" s="23" t="s">
        <v>349</v>
      </c>
      <c r="O6" s="24" t="s">
        <v>350</v>
      </c>
      <c r="P6" s="34">
        <v>50000000</v>
      </c>
      <c r="Q6" s="42">
        <v>2828370107</v>
      </c>
    </row>
    <row r="7" spans="1:17" ht="24" x14ac:dyDescent="0.25">
      <c r="A7" s="18">
        <v>2</v>
      </c>
      <c r="B7" s="18" t="s">
        <v>463</v>
      </c>
      <c r="C7" s="18" t="s">
        <v>623</v>
      </c>
      <c r="D7" s="18" t="s">
        <v>464</v>
      </c>
      <c r="E7" s="18" t="s">
        <v>625</v>
      </c>
      <c r="F7" s="18" t="s">
        <v>466</v>
      </c>
      <c r="G7" s="18" t="s">
        <v>640</v>
      </c>
      <c r="H7" s="19">
        <v>0</v>
      </c>
      <c r="I7" s="33">
        <v>50000000</v>
      </c>
      <c r="J7" s="21"/>
      <c r="K7" s="22"/>
      <c r="L7" s="22"/>
      <c r="M7" s="22"/>
      <c r="N7" s="26" t="s">
        <v>313</v>
      </c>
      <c r="O7" s="18" t="s">
        <v>314</v>
      </c>
      <c r="P7" s="35">
        <v>50000000</v>
      </c>
      <c r="Q7" s="35">
        <v>30762265</v>
      </c>
    </row>
    <row r="8" spans="1:17" ht="24" x14ac:dyDescent="0.25">
      <c r="A8" s="18">
        <v>3</v>
      </c>
      <c r="B8" s="18" t="s">
        <v>463</v>
      </c>
      <c r="C8" s="18" t="s">
        <v>623</v>
      </c>
      <c r="D8" s="18" t="s">
        <v>464</v>
      </c>
      <c r="E8" s="18" t="s">
        <v>625</v>
      </c>
      <c r="F8" s="18" t="s">
        <v>467</v>
      </c>
      <c r="G8" s="18" t="s">
        <v>88</v>
      </c>
      <c r="H8" s="19">
        <v>0</v>
      </c>
      <c r="I8" s="33">
        <v>50000000</v>
      </c>
      <c r="J8" s="21"/>
      <c r="K8" s="22"/>
      <c r="L8" s="22"/>
      <c r="M8" s="22"/>
      <c r="N8" s="26" t="s">
        <v>89</v>
      </c>
      <c r="O8" s="18" t="s">
        <v>90</v>
      </c>
      <c r="P8" s="35">
        <v>50000000</v>
      </c>
      <c r="Q8" s="41">
        <v>124241683</v>
      </c>
    </row>
    <row r="9" spans="1:17" ht="24" x14ac:dyDescent="0.25">
      <c r="A9" s="18">
        <v>4</v>
      </c>
      <c r="B9" s="18" t="s">
        <v>463</v>
      </c>
      <c r="C9" s="18" t="s">
        <v>623</v>
      </c>
      <c r="D9" s="18" t="s">
        <v>464</v>
      </c>
      <c r="E9" s="18" t="s">
        <v>625</v>
      </c>
      <c r="F9" s="18" t="s">
        <v>468</v>
      </c>
      <c r="G9" s="18" t="s">
        <v>675</v>
      </c>
      <c r="H9" s="19">
        <v>0</v>
      </c>
      <c r="I9" s="33">
        <v>50000000</v>
      </c>
      <c r="J9" s="21"/>
      <c r="K9" s="22"/>
      <c r="L9" s="22"/>
      <c r="M9" s="22"/>
      <c r="N9" s="26" t="s">
        <v>191</v>
      </c>
      <c r="O9" s="27" t="s">
        <v>192</v>
      </c>
      <c r="P9" s="36">
        <v>50000000</v>
      </c>
      <c r="Q9" s="36">
        <v>49931933</v>
      </c>
    </row>
    <row r="10" spans="1:17" ht="24" x14ac:dyDescent="0.25">
      <c r="A10" s="18">
        <v>5</v>
      </c>
      <c r="B10" s="18" t="s">
        <v>469</v>
      </c>
      <c r="C10" s="18" t="s">
        <v>470</v>
      </c>
      <c r="D10" s="18" t="s">
        <v>471</v>
      </c>
      <c r="E10" s="18" t="s">
        <v>626</v>
      </c>
      <c r="F10" s="18" t="s">
        <v>472</v>
      </c>
      <c r="G10" s="18" t="s">
        <v>674</v>
      </c>
      <c r="H10" s="19">
        <v>0</v>
      </c>
      <c r="I10" s="20">
        <v>0</v>
      </c>
      <c r="J10" s="21"/>
      <c r="K10" s="22"/>
      <c r="L10" s="22"/>
      <c r="M10" s="22"/>
      <c r="N10" s="28"/>
      <c r="O10" s="22"/>
      <c r="P10" s="22"/>
      <c r="Q10" s="22"/>
    </row>
    <row r="11" spans="1:17" ht="24" x14ac:dyDescent="0.25">
      <c r="A11" s="18">
        <v>6</v>
      </c>
      <c r="B11" s="18" t="s">
        <v>469</v>
      </c>
      <c r="C11" s="18" t="s">
        <v>470</v>
      </c>
      <c r="D11" s="18" t="s">
        <v>471</v>
      </c>
      <c r="E11" s="18" t="s">
        <v>626</v>
      </c>
      <c r="F11" s="18" t="s">
        <v>473</v>
      </c>
      <c r="G11" s="18" t="s">
        <v>638</v>
      </c>
      <c r="H11" s="19">
        <v>0</v>
      </c>
      <c r="I11" s="33">
        <v>50000000</v>
      </c>
      <c r="J11" s="21"/>
      <c r="K11" s="22"/>
      <c r="L11" s="22"/>
      <c r="M11" s="22"/>
      <c r="N11" s="28" t="s">
        <v>193</v>
      </c>
      <c r="O11" s="21" t="s">
        <v>628</v>
      </c>
      <c r="P11" s="37">
        <v>50000000</v>
      </c>
      <c r="Q11" s="29">
        <v>0</v>
      </c>
    </row>
    <row r="12" spans="1:17" ht="30.75" customHeight="1" x14ac:dyDescent="0.25">
      <c r="A12" s="18">
        <v>7</v>
      </c>
      <c r="B12" s="18" t="s">
        <v>469</v>
      </c>
      <c r="C12" s="18" t="s">
        <v>470</v>
      </c>
      <c r="D12" s="18" t="s">
        <v>471</v>
      </c>
      <c r="E12" s="18" t="s">
        <v>626</v>
      </c>
      <c r="F12" s="18" t="s">
        <v>474</v>
      </c>
      <c r="G12" s="18" t="s">
        <v>475</v>
      </c>
      <c r="H12" s="19">
        <v>0</v>
      </c>
      <c r="I12" s="20">
        <v>0</v>
      </c>
      <c r="J12" s="21"/>
      <c r="K12" s="22"/>
      <c r="L12" s="22"/>
      <c r="M12" s="22"/>
      <c r="N12" s="28"/>
      <c r="O12" s="22"/>
      <c r="P12" s="22"/>
      <c r="Q12" s="22"/>
    </row>
    <row r="13" spans="1:17" ht="36" x14ac:dyDescent="0.25">
      <c r="A13" s="18">
        <v>8</v>
      </c>
      <c r="B13" s="18" t="s">
        <v>469</v>
      </c>
      <c r="C13" s="18" t="s">
        <v>470</v>
      </c>
      <c r="D13" s="18" t="s">
        <v>476</v>
      </c>
      <c r="E13" s="18" t="s">
        <v>627</v>
      </c>
      <c r="F13" s="18" t="s">
        <v>477</v>
      </c>
      <c r="G13" s="18" t="s">
        <v>673</v>
      </c>
      <c r="H13" s="19">
        <v>0</v>
      </c>
      <c r="I13" s="33">
        <v>50000000</v>
      </c>
      <c r="J13" s="21"/>
      <c r="K13" s="22"/>
      <c r="L13" s="22"/>
      <c r="M13" s="22"/>
      <c r="N13" s="26" t="s">
        <v>346</v>
      </c>
      <c r="O13" s="24" t="s">
        <v>347</v>
      </c>
      <c r="P13" s="34">
        <v>50000000</v>
      </c>
      <c r="Q13" s="34">
        <v>16442883</v>
      </c>
    </row>
    <row r="14" spans="1:17" ht="36" x14ac:dyDescent="0.25">
      <c r="A14" s="18">
        <v>9</v>
      </c>
      <c r="B14" s="18" t="s">
        <v>469</v>
      </c>
      <c r="C14" s="18" t="s">
        <v>470</v>
      </c>
      <c r="D14" s="18" t="s">
        <v>476</v>
      </c>
      <c r="E14" s="18" t="s">
        <v>627</v>
      </c>
      <c r="F14" s="18" t="s">
        <v>478</v>
      </c>
      <c r="G14" s="18" t="s">
        <v>638</v>
      </c>
      <c r="H14" s="19">
        <v>0</v>
      </c>
      <c r="I14" s="33">
        <v>50000000</v>
      </c>
      <c r="J14" s="21"/>
      <c r="K14" s="22"/>
      <c r="L14" s="22"/>
      <c r="M14" s="22"/>
      <c r="N14" s="26" t="s">
        <v>116</v>
      </c>
      <c r="O14" s="18" t="s">
        <v>117</v>
      </c>
      <c r="P14" s="35">
        <v>50000000</v>
      </c>
      <c r="Q14" s="41">
        <v>75699550</v>
      </c>
    </row>
    <row r="15" spans="1:17" ht="36" x14ac:dyDescent="0.25">
      <c r="A15" s="18">
        <v>10</v>
      </c>
      <c r="B15" s="18" t="s">
        <v>469</v>
      </c>
      <c r="C15" s="18" t="s">
        <v>470</v>
      </c>
      <c r="D15" s="18" t="s">
        <v>476</v>
      </c>
      <c r="E15" s="18" t="s">
        <v>627</v>
      </c>
      <c r="F15" s="18" t="s">
        <v>479</v>
      </c>
      <c r="G15" s="18" t="s">
        <v>480</v>
      </c>
      <c r="H15" s="19">
        <v>0</v>
      </c>
      <c r="I15" s="33">
        <v>50000000</v>
      </c>
      <c r="J15" s="21"/>
      <c r="K15" s="22"/>
      <c r="L15" s="22"/>
      <c r="M15" s="22"/>
      <c r="N15" s="26" t="s">
        <v>71</v>
      </c>
      <c r="O15" s="27" t="s">
        <v>72</v>
      </c>
      <c r="P15" s="36">
        <v>50000000</v>
      </c>
      <c r="Q15" s="36">
        <v>5210256</v>
      </c>
    </row>
    <row r="16" spans="1:17" ht="36" x14ac:dyDescent="0.25">
      <c r="A16" s="18">
        <v>11</v>
      </c>
      <c r="B16" s="18" t="s">
        <v>469</v>
      </c>
      <c r="C16" s="18" t="s">
        <v>470</v>
      </c>
      <c r="D16" s="18" t="s">
        <v>476</v>
      </c>
      <c r="E16" s="18" t="s">
        <v>627</v>
      </c>
      <c r="F16" s="18" t="s">
        <v>481</v>
      </c>
      <c r="G16" s="18" t="s">
        <v>482</v>
      </c>
      <c r="H16" s="19">
        <v>0</v>
      </c>
      <c r="I16" s="20">
        <v>0</v>
      </c>
      <c r="J16" s="21"/>
      <c r="K16" s="22"/>
      <c r="L16" s="22"/>
      <c r="M16" s="22"/>
      <c r="N16" s="28"/>
      <c r="O16" s="22"/>
      <c r="P16" s="22"/>
      <c r="Q16" s="22"/>
    </row>
    <row r="17" spans="1:17" ht="48" x14ac:dyDescent="0.25">
      <c r="A17" s="18">
        <v>12</v>
      </c>
      <c r="B17" s="18" t="s">
        <v>469</v>
      </c>
      <c r="C17" s="18" t="s">
        <v>470</v>
      </c>
      <c r="D17" s="18" t="s">
        <v>476</v>
      </c>
      <c r="E17" s="18" t="s">
        <v>627</v>
      </c>
      <c r="F17" s="18" t="s">
        <v>483</v>
      </c>
      <c r="G17" s="18" t="s">
        <v>484</v>
      </c>
      <c r="H17" s="35">
        <v>11000000</v>
      </c>
      <c r="I17" s="33">
        <v>22000000</v>
      </c>
      <c r="J17" s="21" t="s">
        <v>485</v>
      </c>
      <c r="K17" s="21" t="s">
        <v>486</v>
      </c>
      <c r="L17" s="29">
        <v>1</v>
      </c>
      <c r="M17" s="29">
        <v>1</v>
      </c>
      <c r="N17" s="26" t="s">
        <v>487</v>
      </c>
      <c r="O17" s="24" t="s">
        <v>487</v>
      </c>
      <c r="P17" s="25">
        <v>10</v>
      </c>
      <c r="Q17" s="25">
        <v>0</v>
      </c>
    </row>
    <row r="18" spans="1:17" ht="48" x14ac:dyDescent="0.25">
      <c r="A18" s="18">
        <v>13</v>
      </c>
      <c r="B18" s="18" t="s">
        <v>469</v>
      </c>
      <c r="C18" s="18" t="s">
        <v>470</v>
      </c>
      <c r="D18" s="18" t="s">
        <v>488</v>
      </c>
      <c r="E18" s="18" t="s">
        <v>629</v>
      </c>
      <c r="F18" s="18" t="s">
        <v>489</v>
      </c>
      <c r="G18" s="18" t="s">
        <v>638</v>
      </c>
      <c r="H18" s="19">
        <v>0</v>
      </c>
      <c r="I18" s="33">
        <v>50000000</v>
      </c>
      <c r="J18" s="21"/>
      <c r="K18" s="22"/>
      <c r="L18" s="22"/>
      <c r="M18" s="22"/>
      <c r="N18" s="26" t="s">
        <v>106</v>
      </c>
      <c r="O18" s="18" t="s">
        <v>107</v>
      </c>
      <c r="P18" s="35">
        <v>50000000</v>
      </c>
      <c r="Q18" s="41">
        <v>158245590</v>
      </c>
    </row>
    <row r="19" spans="1:17" ht="48" x14ac:dyDescent="0.25">
      <c r="A19" s="18">
        <v>14</v>
      </c>
      <c r="B19" s="18" t="s">
        <v>469</v>
      </c>
      <c r="C19" s="18" t="s">
        <v>470</v>
      </c>
      <c r="D19" s="18" t="s">
        <v>488</v>
      </c>
      <c r="E19" s="18" t="s">
        <v>629</v>
      </c>
      <c r="F19" s="18" t="s">
        <v>490</v>
      </c>
      <c r="G19" s="18" t="s">
        <v>124</v>
      </c>
      <c r="H19" s="19">
        <v>0</v>
      </c>
      <c r="I19" s="33">
        <v>50000000</v>
      </c>
      <c r="J19" s="21"/>
      <c r="K19" s="22"/>
      <c r="L19" s="22"/>
      <c r="M19" s="22"/>
      <c r="N19" s="26" t="s">
        <v>125</v>
      </c>
      <c r="O19" s="18" t="s">
        <v>126</v>
      </c>
      <c r="P19" s="35">
        <v>50000000</v>
      </c>
      <c r="Q19" s="41">
        <v>93148557</v>
      </c>
    </row>
    <row r="20" spans="1:17" ht="48" x14ac:dyDescent="0.25">
      <c r="A20" s="18">
        <v>15</v>
      </c>
      <c r="B20" s="18" t="s">
        <v>469</v>
      </c>
      <c r="C20" s="18" t="s">
        <v>470</v>
      </c>
      <c r="D20" s="18" t="s">
        <v>488</v>
      </c>
      <c r="E20" s="18" t="s">
        <v>629</v>
      </c>
      <c r="F20" s="18" t="s">
        <v>491</v>
      </c>
      <c r="G20" s="18" t="s">
        <v>672</v>
      </c>
      <c r="H20" s="19">
        <v>0</v>
      </c>
      <c r="I20" s="33">
        <v>50000000</v>
      </c>
      <c r="J20" s="21"/>
      <c r="K20" s="22"/>
      <c r="L20" s="22"/>
      <c r="M20" s="22"/>
      <c r="N20" s="26" t="s">
        <v>76</v>
      </c>
      <c r="O20" s="18" t="s">
        <v>77</v>
      </c>
      <c r="P20" s="35">
        <v>50000000</v>
      </c>
      <c r="Q20" s="35">
        <v>7571965</v>
      </c>
    </row>
    <row r="21" spans="1:17" ht="48" x14ac:dyDescent="0.25">
      <c r="A21" s="18">
        <v>16</v>
      </c>
      <c r="B21" s="18" t="s">
        <v>469</v>
      </c>
      <c r="C21" s="18" t="s">
        <v>470</v>
      </c>
      <c r="D21" s="18" t="s">
        <v>488</v>
      </c>
      <c r="E21" s="18" t="s">
        <v>629</v>
      </c>
      <c r="F21" s="18" t="s">
        <v>492</v>
      </c>
      <c r="G21" s="18" t="s">
        <v>329</v>
      </c>
      <c r="H21" s="19">
        <v>0</v>
      </c>
      <c r="I21" s="33">
        <v>50000000</v>
      </c>
      <c r="J21" s="21"/>
      <c r="K21" s="22"/>
      <c r="L21" s="22"/>
      <c r="M21" s="22"/>
      <c r="N21" s="26" t="s">
        <v>330</v>
      </c>
      <c r="O21" s="18" t="s">
        <v>331</v>
      </c>
      <c r="P21" s="35">
        <v>50000000</v>
      </c>
      <c r="Q21" s="41">
        <v>409542512</v>
      </c>
    </row>
    <row r="22" spans="1:17" ht="48" x14ac:dyDescent="0.25">
      <c r="A22" s="18">
        <v>17</v>
      </c>
      <c r="B22" s="18" t="s">
        <v>469</v>
      </c>
      <c r="C22" s="18" t="s">
        <v>470</v>
      </c>
      <c r="D22" s="18" t="s">
        <v>488</v>
      </c>
      <c r="E22" s="18" t="s">
        <v>629</v>
      </c>
      <c r="F22" s="18" t="s">
        <v>493</v>
      </c>
      <c r="G22" s="18" t="s">
        <v>334</v>
      </c>
      <c r="H22" s="19">
        <v>0</v>
      </c>
      <c r="I22" s="33">
        <v>50000000</v>
      </c>
      <c r="J22" s="21"/>
      <c r="K22" s="22"/>
      <c r="L22" s="22"/>
      <c r="M22" s="22"/>
      <c r="N22" s="26" t="s">
        <v>335</v>
      </c>
      <c r="O22" s="18" t="s">
        <v>336</v>
      </c>
      <c r="P22" s="35">
        <v>50000000</v>
      </c>
      <c r="Q22" s="35">
        <v>13926394</v>
      </c>
    </row>
    <row r="23" spans="1:17" ht="48" x14ac:dyDescent="0.25">
      <c r="A23" s="18">
        <v>18</v>
      </c>
      <c r="B23" s="18" t="s">
        <v>469</v>
      </c>
      <c r="C23" s="18" t="s">
        <v>470</v>
      </c>
      <c r="D23" s="18" t="s">
        <v>488</v>
      </c>
      <c r="E23" s="18" t="s">
        <v>629</v>
      </c>
      <c r="F23" s="18" t="s">
        <v>494</v>
      </c>
      <c r="G23" s="18" t="s">
        <v>671</v>
      </c>
      <c r="H23" s="19">
        <v>0</v>
      </c>
      <c r="I23" s="33">
        <v>50000000</v>
      </c>
      <c r="J23" s="21"/>
      <c r="K23" s="22"/>
      <c r="L23" s="22"/>
      <c r="M23" s="22"/>
      <c r="N23" s="26" t="s">
        <v>217</v>
      </c>
      <c r="O23" s="18" t="s">
        <v>218</v>
      </c>
      <c r="P23" s="35">
        <v>50000000</v>
      </c>
      <c r="Q23" s="35">
        <v>11867308</v>
      </c>
    </row>
    <row r="24" spans="1:17" ht="48" x14ac:dyDescent="0.25">
      <c r="A24" s="18">
        <v>19</v>
      </c>
      <c r="B24" s="18" t="s">
        <v>469</v>
      </c>
      <c r="C24" s="18" t="s">
        <v>470</v>
      </c>
      <c r="D24" s="18" t="s">
        <v>488</v>
      </c>
      <c r="E24" s="18" t="s">
        <v>629</v>
      </c>
      <c r="F24" s="18" t="s">
        <v>495</v>
      </c>
      <c r="G24" s="18" t="s">
        <v>670</v>
      </c>
      <c r="H24" s="19">
        <v>0</v>
      </c>
      <c r="I24" s="33">
        <v>50000000</v>
      </c>
      <c r="J24" s="21"/>
      <c r="K24" s="22"/>
      <c r="L24" s="22"/>
      <c r="M24" s="22"/>
      <c r="N24" s="26" t="s">
        <v>339</v>
      </c>
      <c r="O24" s="18" t="s">
        <v>340</v>
      </c>
      <c r="P24" s="35">
        <v>50000000</v>
      </c>
      <c r="Q24" s="35">
        <v>9100360</v>
      </c>
    </row>
    <row r="25" spans="1:17" ht="48" x14ac:dyDescent="0.25">
      <c r="A25" s="18">
        <v>20</v>
      </c>
      <c r="B25" s="18" t="s">
        <v>469</v>
      </c>
      <c r="C25" s="18" t="s">
        <v>470</v>
      </c>
      <c r="D25" s="18" t="s">
        <v>488</v>
      </c>
      <c r="E25" s="18" t="s">
        <v>629</v>
      </c>
      <c r="F25" s="18" t="s">
        <v>496</v>
      </c>
      <c r="G25" s="18" t="s">
        <v>669</v>
      </c>
      <c r="H25" s="19">
        <v>0</v>
      </c>
      <c r="I25" s="33">
        <v>50000000</v>
      </c>
      <c r="J25" s="21"/>
      <c r="K25" s="22"/>
      <c r="L25" s="22"/>
      <c r="M25" s="22"/>
      <c r="N25" s="26" t="s">
        <v>3</v>
      </c>
      <c r="O25" s="18" t="s">
        <v>4</v>
      </c>
      <c r="P25" s="35">
        <v>50000000</v>
      </c>
      <c r="Q25" s="35">
        <v>10186804</v>
      </c>
    </row>
    <row r="26" spans="1:17" ht="36" x14ac:dyDescent="0.25">
      <c r="A26" s="18">
        <v>21</v>
      </c>
      <c r="B26" s="18" t="s">
        <v>469</v>
      </c>
      <c r="C26" s="18" t="s">
        <v>470</v>
      </c>
      <c r="D26" s="18" t="s">
        <v>497</v>
      </c>
      <c r="E26" s="18" t="s">
        <v>630</v>
      </c>
      <c r="F26" s="18" t="s">
        <v>498</v>
      </c>
      <c r="G26" s="18" t="s">
        <v>499</v>
      </c>
      <c r="H26" s="19">
        <v>0</v>
      </c>
      <c r="I26" s="33">
        <v>400000000</v>
      </c>
      <c r="J26" s="21"/>
      <c r="K26" s="22"/>
      <c r="L26" s="22"/>
      <c r="M26" s="22"/>
      <c r="N26" s="26" t="s">
        <v>5</v>
      </c>
      <c r="O26" s="18" t="s">
        <v>6</v>
      </c>
      <c r="P26" s="35">
        <v>400000000</v>
      </c>
      <c r="Q26" s="41">
        <v>549077570</v>
      </c>
    </row>
    <row r="27" spans="1:17" ht="36" x14ac:dyDescent="0.25">
      <c r="A27" s="18">
        <v>22</v>
      </c>
      <c r="B27" s="18" t="s">
        <v>469</v>
      </c>
      <c r="C27" s="18" t="s">
        <v>470</v>
      </c>
      <c r="D27" s="18" t="s">
        <v>497</v>
      </c>
      <c r="E27" s="18" t="s">
        <v>630</v>
      </c>
      <c r="F27" s="18" t="s">
        <v>500</v>
      </c>
      <c r="G27" s="18" t="s">
        <v>638</v>
      </c>
      <c r="H27" s="19">
        <v>0</v>
      </c>
      <c r="I27" s="33">
        <v>50000000</v>
      </c>
      <c r="J27" s="21"/>
      <c r="K27" s="22"/>
      <c r="L27" s="22"/>
      <c r="M27" s="22"/>
      <c r="N27" s="26" t="s">
        <v>118</v>
      </c>
      <c r="O27" s="18" t="s">
        <v>119</v>
      </c>
      <c r="P27" s="35">
        <v>50000000</v>
      </c>
      <c r="Q27" s="35">
        <v>8537485</v>
      </c>
    </row>
    <row r="28" spans="1:17" ht="36" x14ac:dyDescent="0.25">
      <c r="A28" s="18">
        <v>23</v>
      </c>
      <c r="B28" s="18" t="s">
        <v>469</v>
      </c>
      <c r="C28" s="18" t="s">
        <v>470</v>
      </c>
      <c r="D28" s="18" t="s">
        <v>497</v>
      </c>
      <c r="E28" s="18" t="s">
        <v>630</v>
      </c>
      <c r="F28" s="18" t="s">
        <v>501</v>
      </c>
      <c r="G28" s="18" t="s">
        <v>502</v>
      </c>
      <c r="H28" s="19">
        <v>0</v>
      </c>
      <c r="I28" s="33">
        <v>1500000000</v>
      </c>
      <c r="J28" s="21"/>
      <c r="K28" s="22"/>
      <c r="L28" s="22"/>
      <c r="M28" s="22"/>
      <c r="N28" s="26" t="s">
        <v>214</v>
      </c>
      <c r="O28" s="18" t="s">
        <v>215</v>
      </c>
      <c r="P28" s="35">
        <v>1500000000</v>
      </c>
      <c r="Q28" s="35">
        <v>304077676</v>
      </c>
    </row>
    <row r="29" spans="1:17" ht="36" x14ac:dyDescent="0.25">
      <c r="A29" s="18">
        <v>24</v>
      </c>
      <c r="B29" s="18" t="s">
        <v>469</v>
      </c>
      <c r="C29" s="18" t="s">
        <v>470</v>
      </c>
      <c r="D29" s="18" t="s">
        <v>497</v>
      </c>
      <c r="E29" s="18" t="s">
        <v>630</v>
      </c>
      <c r="F29" s="18" t="s">
        <v>503</v>
      </c>
      <c r="G29" s="18" t="s">
        <v>504</v>
      </c>
      <c r="H29" s="19">
        <v>0</v>
      </c>
      <c r="I29" s="33">
        <v>600000000</v>
      </c>
      <c r="J29" s="21"/>
      <c r="K29" s="22"/>
      <c r="L29" s="22"/>
      <c r="M29" s="22"/>
      <c r="N29" s="26" t="s">
        <v>7</v>
      </c>
      <c r="O29" s="18" t="s">
        <v>8</v>
      </c>
      <c r="P29" s="35">
        <v>600000000</v>
      </c>
      <c r="Q29" s="41">
        <v>1109004995</v>
      </c>
    </row>
    <row r="30" spans="1:17" ht="36" x14ac:dyDescent="0.25">
      <c r="A30" s="18">
        <v>25</v>
      </c>
      <c r="B30" s="18" t="s">
        <v>469</v>
      </c>
      <c r="C30" s="18" t="s">
        <v>470</v>
      </c>
      <c r="D30" s="18" t="s">
        <v>497</v>
      </c>
      <c r="E30" s="18" t="s">
        <v>630</v>
      </c>
      <c r="F30" s="18" t="s">
        <v>505</v>
      </c>
      <c r="G30" s="18" t="s">
        <v>343</v>
      </c>
      <c r="H30" s="19">
        <v>0</v>
      </c>
      <c r="I30" s="33">
        <v>1400000000</v>
      </c>
      <c r="J30" s="21"/>
      <c r="K30" s="22"/>
      <c r="L30" s="22"/>
      <c r="M30" s="22"/>
      <c r="N30" s="26" t="s">
        <v>344</v>
      </c>
      <c r="O30" s="18" t="s">
        <v>345</v>
      </c>
      <c r="P30" s="35">
        <v>1400000000</v>
      </c>
      <c r="Q30" s="41">
        <v>1424310000</v>
      </c>
    </row>
    <row r="31" spans="1:17" ht="48" x14ac:dyDescent="0.25">
      <c r="A31" s="18">
        <v>26</v>
      </c>
      <c r="B31" s="18" t="s">
        <v>469</v>
      </c>
      <c r="C31" s="18" t="s">
        <v>470</v>
      </c>
      <c r="D31" s="18" t="s">
        <v>506</v>
      </c>
      <c r="E31" s="18" t="s">
        <v>641</v>
      </c>
      <c r="F31" s="18" t="s">
        <v>507</v>
      </c>
      <c r="G31" s="18" t="s">
        <v>638</v>
      </c>
      <c r="H31" s="19">
        <v>0</v>
      </c>
      <c r="I31" s="33">
        <v>50000000</v>
      </c>
      <c r="J31" s="21"/>
      <c r="K31" s="22"/>
      <c r="L31" s="22"/>
      <c r="M31" s="22"/>
      <c r="N31" s="26" t="s">
        <v>31</v>
      </c>
      <c r="O31" s="27" t="s">
        <v>32</v>
      </c>
      <c r="P31" s="36">
        <v>50000000</v>
      </c>
      <c r="Q31" s="43">
        <v>601011027</v>
      </c>
    </row>
    <row r="32" spans="1:17" ht="24" x14ac:dyDescent="0.25">
      <c r="A32" s="18">
        <v>27</v>
      </c>
      <c r="B32" s="18" t="s">
        <v>469</v>
      </c>
      <c r="C32" s="18" t="s">
        <v>470</v>
      </c>
      <c r="D32" s="18" t="s">
        <v>506</v>
      </c>
      <c r="E32" s="18" t="s">
        <v>641</v>
      </c>
      <c r="F32" s="18" t="s">
        <v>508</v>
      </c>
      <c r="G32" s="18" t="s">
        <v>509</v>
      </c>
      <c r="H32" s="19">
        <v>0</v>
      </c>
      <c r="I32" s="20">
        <v>0</v>
      </c>
      <c r="J32" s="21"/>
      <c r="K32" s="22"/>
      <c r="L32" s="22"/>
      <c r="M32" s="22"/>
      <c r="N32" s="28"/>
      <c r="O32" s="22"/>
      <c r="P32" s="22"/>
      <c r="Q32" s="22"/>
    </row>
    <row r="33" spans="1:17" ht="36" x14ac:dyDescent="0.25">
      <c r="A33" s="18">
        <v>28</v>
      </c>
      <c r="B33" s="18" t="s">
        <v>469</v>
      </c>
      <c r="C33" s="18" t="s">
        <v>470</v>
      </c>
      <c r="D33" s="18" t="s">
        <v>506</v>
      </c>
      <c r="E33" s="18" t="s">
        <v>641</v>
      </c>
      <c r="F33" s="18" t="s">
        <v>510</v>
      </c>
      <c r="G33" s="18" t="s">
        <v>668</v>
      </c>
      <c r="H33" s="19">
        <v>0</v>
      </c>
      <c r="I33" s="20">
        <v>0</v>
      </c>
      <c r="J33" s="21"/>
      <c r="K33" s="22"/>
      <c r="L33" s="22"/>
      <c r="M33" s="22"/>
      <c r="N33" s="28"/>
      <c r="O33" s="22"/>
      <c r="P33" s="22"/>
      <c r="Q33" s="22"/>
    </row>
    <row r="34" spans="1:17" ht="24" x14ac:dyDescent="0.25">
      <c r="A34" s="18">
        <v>29</v>
      </c>
      <c r="B34" s="18" t="s">
        <v>469</v>
      </c>
      <c r="C34" s="18" t="s">
        <v>470</v>
      </c>
      <c r="D34" s="18" t="s">
        <v>506</v>
      </c>
      <c r="E34" s="18" t="s">
        <v>641</v>
      </c>
      <c r="F34" s="18" t="s">
        <v>511</v>
      </c>
      <c r="G34" s="18" t="s">
        <v>512</v>
      </c>
      <c r="H34" s="19">
        <v>0</v>
      </c>
      <c r="I34" s="20">
        <v>0</v>
      </c>
      <c r="J34" s="21"/>
      <c r="K34" s="22"/>
      <c r="L34" s="22"/>
      <c r="M34" s="22"/>
      <c r="N34" s="28"/>
      <c r="O34" s="22"/>
      <c r="P34" s="22"/>
      <c r="Q34" s="22"/>
    </row>
    <row r="35" spans="1:17" ht="36" x14ac:dyDescent="0.25">
      <c r="A35" s="18">
        <v>30</v>
      </c>
      <c r="B35" s="18" t="s">
        <v>469</v>
      </c>
      <c r="C35" s="18" t="s">
        <v>470</v>
      </c>
      <c r="D35" s="18" t="s">
        <v>513</v>
      </c>
      <c r="E35" s="18" t="s">
        <v>631</v>
      </c>
      <c r="F35" s="18" t="s">
        <v>514</v>
      </c>
      <c r="G35" s="18" t="s">
        <v>515</v>
      </c>
      <c r="H35" s="19">
        <v>0</v>
      </c>
      <c r="I35" s="33">
        <v>80000000</v>
      </c>
      <c r="J35" s="21"/>
      <c r="K35" s="22"/>
      <c r="L35" s="22"/>
      <c r="M35" s="22"/>
      <c r="N35" s="26" t="s">
        <v>86</v>
      </c>
      <c r="O35" s="24" t="s">
        <v>87</v>
      </c>
      <c r="P35" s="34">
        <v>80000000</v>
      </c>
      <c r="Q35" s="34">
        <v>52325927</v>
      </c>
    </row>
    <row r="36" spans="1:17" ht="36" x14ac:dyDescent="0.25">
      <c r="A36" s="18">
        <v>31</v>
      </c>
      <c r="B36" s="18" t="s">
        <v>469</v>
      </c>
      <c r="C36" s="18" t="s">
        <v>470</v>
      </c>
      <c r="D36" s="18" t="s">
        <v>513</v>
      </c>
      <c r="E36" s="18" t="s">
        <v>631</v>
      </c>
      <c r="F36" s="18" t="s">
        <v>516</v>
      </c>
      <c r="G36" s="18" t="s">
        <v>638</v>
      </c>
      <c r="H36" s="19">
        <v>0</v>
      </c>
      <c r="I36" s="33">
        <v>50000000</v>
      </c>
      <c r="J36" s="21"/>
      <c r="K36" s="22"/>
      <c r="L36" s="22"/>
      <c r="M36" s="22"/>
      <c r="N36" s="26" t="s">
        <v>114</v>
      </c>
      <c r="O36" s="27" t="s">
        <v>115</v>
      </c>
      <c r="P36" s="36">
        <v>50000000</v>
      </c>
      <c r="Q36" s="43">
        <v>164641438</v>
      </c>
    </row>
    <row r="37" spans="1:17" ht="36" x14ac:dyDescent="0.25">
      <c r="A37" s="18">
        <v>32</v>
      </c>
      <c r="B37" s="18" t="s">
        <v>469</v>
      </c>
      <c r="C37" s="18" t="s">
        <v>470</v>
      </c>
      <c r="D37" s="18" t="s">
        <v>513</v>
      </c>
      <c r="E37" s="18" t="s">
        <v>631</v>
      </c>
      <c r="F37" s="18" t="s">
        <v>517</v>
      </c>
      <c r="G37" s="18" t="s">
        <v>518</v>
      </c>
      <c r="H37" s="19">
        <v>0</v>
      </c>
      <c r="I37" s="20">
        <v>0</v>
      </c>
      <c r="J37" s="21"/>
      <c r="K37" s="22"/>
      <c r="L37" s="22"/>
      <c r="M37" s="22"/>
      <c r="N37" s="28"/>
      <c r="O37" s="22"/>
      <c r="P37" s="22"/>
      <c r="Q37" s="22"/>
    </row>
    <row r="38" spans="1:17" ht="36" x14ac:dyDescent="0.25">
      <c r="A38" s="18">
        <v>33</v>
      </c>
      <c r="B38" s="18" t="s">
        <v>469</v>
      </c>
      <c r="C38" s="18" t="s">
        <v>470</v>
      </c>
      <c r="D38" s="18" t="s">
        <v>513</v>
      </c>
      <c r="E38" s="18" t="s">
        <v>631</v>
      </c>
      <c r="F38" s="18" t="s">
        <v>519</v>
      </c>
      <c r="G38" s="18" t="s">
        <v>520</v>
      </c>
      <c r="H38" s="19">
        <v>0</v>
      </c>
      <c r="I38" s="20">
        <v>0</v>
      </c>
      <c r="J38" s="21"/>
      <c r="K38" s="22"/>
      <c r="L38" s="22"/>
      <c r="M38" s="22"/>
      <c r="N38" s="28"/>
      <c r="O38" s="22"/>
      <c r="P38" s="22"/>
      <c r="Q38" s="22"/>
    </row>
    <row r="39" spans="1:17" ht="36" x14ac:dyDescent="0.25">
      <c r="A39" s="18">
        <v>34</v>
      </c>
      <c r="B39" s="18" t="s">
        <v>469</v>
      </c>
      <c r="C39" s="18" t="s">
        <v>470</v>
      </c>
      <c r="D39" s="18" t="s">
        <v>513</v>
      </c>
      <c r="E39" s="18" t="s">
        <v>631</v>
      </c>
      <c r="F39" s="18" t="s">
        <v>521</v>
      </c>
      <c r="G39" s="18" t="s">
        <v>667</v>
      </c>
      <c r="H39" s="19">
        <v>0</v>
      </c>
      <c r="I39" s="20">
        <v>0</v>
      </c>
      <c r="J39" s="21"/>
      <c r="K39" s="22"/>
      <c r="L39" s="22"/>
      <c r="M39" s="22"/>
      <c r="N39" s="28"/>
      <c r="O39" s="22"/>
      <c r="P39" s="22"/>
      <c r="Q39" s="22"/>
    </row>
    <row r="40" spans="1:17" ht="36" x14ac:dyDescent="0.25">
      <c r="A40" s="18">
        <v>35</v>
      </c>
      <c r="B40" s="18" t="s">
        <v>469</v>
      </c>
      <c r="C40" s="18" t="s">
        <v>470</v>
      </c>
      <c r="D40" s="18" t="s">
        <v>513</v>
      </c>
      <c r="E40" s="18" t="s">
        <v>631</v>
      </c>
      <c r="F40" s="18" t="s">
        <v>522</v>
      </c>
      <c r="G40" s="18" t="s">
        <v>666</v>
      </c>
      <c r="H40" s="19">
        <v>0</v>
      </c>
      <c r="I40" s="20">
        <v>0</v>
      </c>
      <c r="J40" s="21"/>
      <c r="K40" s="22"/>
      <c r="L40" s="22"/>
      <c r="M40" s="22"/>
      <c r="N40" s="28"/>
      <c r="O40" s="22"/>
      <c r="P40" s="22"/>
      <c r="Q40" s="22"/>
    </row>
    <row r="41" spans="1:17" ht="24" x14ac:dyDescent="0.25">
      <c r="A41" s="18">
        <v>36</v>
      </c>
      <c r="B41" s="18" t="s">
        <v>469</v>
      </c>
      <c r="C41" s="18" t="s">
        <v>470</v>
      </c>
      <c r="D41" s="18" t="s">
        <v>523</v>
      </c>
      <c r="E41" s="18" t="s">
        <v>632</v>
      </c>
      <c r="F41" s="18" t="s">
        <v>524</v>
      </c>
      <c r="G41" s="18" t="s">
        <v>525</v>
      </c>
      <c r="H41" s="19">
        <v>0</v>
      </c>
      <c r="I41" s="33">
        <v>50000000</v>
      </c>
      <c r="J41" s="21"/>
      <c r="K41" s="22"/>
      <c r="L41" s="22"/>
      <c r="M41" s="22"/>
      <c r="N41" s="26" t="s">
        <v>9</v>
      </c>
      <c r="O41" s="24" t="s">
        <v>10</v>
      </c>
      <c r="P41" s="34">
        <v>50000000</v>
      </c>
      <c r="Q41" s="42">
        <v>135359258</v>
      </c>
    </row>
    <row r="42" spans="1:17" ht="36" x14ac:dyDescent="0.25">
      <c r="A42" s="18">
        <v>37</v>
      </c>
      <c r="B42" s="18" t="s">
        <v>469</v>
      </c>
      <c r="C42" s="18" t="s">
        <v>470</v>
      </c>
      <c r="D42" s="18" t="s">
        <v>523</v>
      </c>
      <c r="E42" s="18" t="s">
        <v>632</v>
      </c>
      <c r="F42" s="18" t="s">
        <v>526</v>
      </c>
      <c r="G42" s="18" t="s">
        <v>638</v>
      </c>
      <c r="H42" s="19">
        <v>0</v>
      </c>
      <c r="I42" s="33">
        <v>50000000</v>
      </c>
      <c r="J42" s="21"/>
      <c r="K42" s="22"/>
      <c r="L42" s="22"/>
      <c r="M42" s="22"/>
      <c r="N42" s="26" t="s">
        <v>198</v>
      </c>
      <c r="O42" s="27" t="s">
        <v>199</v>
      </c>
      <c r="P42" s="36">
        <v>50000000</v>
      </c>
      <c r="Q42" s="43">
        <v>160645847</v>
      </c>
    </row>
    <row r="43" spans="1:17" ht="24" x14ac:dyDescent="0.25">
      <c r="A43" s="18">
        <v>38</v>
      </c>
      <c r="B43" s="18" t="s">
        <v>469</v>
      </c>
      <c r="C43" s="18" t="s">
        <v>470</v>
      </c>
      <c r="D43" s="18" t="s">
        <v>523</v>
      </c>
      <c r="E43" s="18" t="s">
        <v>632</v>
      </c>
      <c r="F43" s="18" t="s">
        <v>527</v>
      </c>
      <c r="G43" s="18" t="s">
        <v>528</v>
      </c>
      <c r="H43" s="19">
        <v>0</v>
      </c>
      <c r="I43" s="20">
        <v>0</v>
      </c>
      <c r="J43" s="21"/>
      <c r="K43" s="22"/>
      <c r="L43" s="22"/>
      <c r="M43" s="22"/>
      <c r="N43" s="28"/>
      <c r="O43" s="22"/>
      <c r="P43" s="22"/>
      <c r="Q43" s="22"/>
    </row>
    <row r="44" spans="1:17" ht="24" x14ac:dyDescent="0.25">
      <c r="A44" s="18">
        <v>39</v>
      </c>
      <c r="B44" s="18" t="s">
        <v>469</v>
      </c>
      <c r="C44" s="18" t="s">
        <v>470</v>
      </c>
      <c r="D44" s="18" t="s">
        <v>523</v>
      </c>
      <c r="E44" s="18" t="s">
        <v>632</v>
      </c>
      <c r="F44" s="18" t="s">
        <v>529</v>
      </c>
      <c r="G44" s="18" t="s">
        <v>665</v>
      </c>
      <c r="H44" s="19">
        <v>0</v>
      </c>
      <c r="I44" s="20">
        <v>0</v>
      </c>
      <c r="J44" s="21"/>
      <c r="K44" s="22"/>
      <c r="L44" s="22"/>
      <c r="M44" s="22"/>
      <c r="N44" s="28"/>
      <c r="O44" s="22"/>
      <c r="P44" s="22"/>
      <c r="Q44" s="22"/>
    </row>
    <row r="45" spans="1:17" ht="24" x14ac:dyDescent="0.25">
      <c r="A45" s="18">
        <v>40</v>
      </c>
      <c r="B45" s="18" t="s">
        <v>469</v>
      </c>
      <c r="C45" s="18" t="s">
        <v>470</v>
      </c>
      <c r="D45" s="18" t="s">
        <v>530</v>
      </c>
      <c r="E45" s="18" t="s">
        <v>633</v>
      </c>
      <c r="F45" s="18" t="s">
        <v>531</v>
      </c>
      <c r="G45" s="18" t="s">
        <v>67</v>
      </c>
      <c r="H45" s="19">
        <v>0</v>
      </c>
      <c r="I45" s="33">
        <v>50000000</v>
      </c>
      <c r="J45" s="21"/>
      <c r="K45" s="22"/>
      <c r="L45" s="22"/>
      <c r="M45" s="22"/>
      <c r="N45" s="26" t="s">
        <v>68</v>
      </c>
      <c r="O45" s="24" t="s">
        <v>69</v>
      </c>
      <c r="P45" s="25">
        <v>50</v>
      </c>
      <c r="Q45" s="42">
        <v>303184203</v>
      </c>
    </row>
    <row r="46" spans="1:17" ht="24" x14ac:dyDescent="0.25">
      <c r="A46" s="18">
        <v>41</v>
      </c>
      <c r="B46" s="18" t="s">
        <v>469</v>
      </c>
      <c r="C46" s="18" t="s">
        <v>470</v>
      </c>
      <c r="D46" s="18" t="s">
        <v>530</v>
      </c>
      <c r="E46" s="18" t="s">
        <v>633</v>
      </c>
      <c r="F46" s="18" t="s">
        <v>532</v>
      </c>
      <c r="G46" s="18" t="s">
        <v>638</v>
      </c>
      <c r="H46" s="19">
        <v>0</v>
      </c>
      <c r="I46" s="33">
        <v>50000000</v>
      </c>
      <c r="J46" s="21"/>
      <c r="K46" s="22"/>
      <c r="L46" s="22"/>
      <c r="M46" s="22"/>
      <c r="N46" s="26" t="s">
        <v>120</v>
      </c>
      <c r="O46" s="18" t="s">
        <v>121</v>
      </c>
      <c r="P46" s="35">
        <v>50000000</v>
      </c>
      <c r="Q46" s="35">
        <v>43768880</v>
      </c>
    </row>
    <row r="47" spans="1:17" ht="36" x14ac:dyDescent="0.25">
      <c r="A47" s="18">
        <v>42</v>
      </c>
      <c r="B47" s="18" t="s">
        <v>469</v>
      </c>
      <c r="C47" s="18" t="s">
        <v>470</v>
      </c>
      <c r="D47" s="18" t="s">
        <v>530</v>
      </c>
      <c r="E47" s="18" t="s">
        <v>633</v>
      </c>
      <c r="F47" s="18" t="s">
        <v>533</v>
      </c>
      <c r="G47" s="18" t="s">
        <v>534</v>
      </c>
      <c r="H47" s="19">
        <v>0</v>
      </c>
      <c r="I47" s="33">
        <v>50000000</v>
      </c>
      <c r="J47" s="21"/>
      <c r="K47" s="22"/>
      <c r="L47" s="22"/>
      <c r="M47" s="22"/>
      <c r="N47" s="26" t="s">
        <v>80</v>
      </c>
      <c r="O47" s="18" t="s">
        <v>81</v>
      </c>
      <c r="P47" s="19">
        <v>50</v>
      </c>
      <c r="Q47" s="35">
        <v>12551260</v>
      </c>
    </row>
    <row r="48" spans="1:17" ht="36" x14ac:dyDescent="0.25">
      <c r="A48" s="18">
        <v>43</v>
      </c>
      <c r="B48" s="18" t="s">
        <v>469</v>
      </c>
      <c r="C48" s="18" t="s">
        <v>470</v>
      </c>
      <c r="D48" s="18" t="s">
        <v>530</v>
      </c>
      <c r="E48" s="18" t="s">
        <v>633</v>
      </c>
      <c r="F48" s="18" t="s">
        <v>535</v>
      </c>
      <c r="G48" s="18" t="s">
        <v>664</v>
      </c>
      <c r="H48" s="19">
        <v>0</v>
      </c>
      <c r="I48" s="33">
        <v>50000000</v>
      </c>
      <c r="J48" s="21"/>
      <c r="K48" s="22"/>
      <c r="L48" s="22"/>
      <c r="M48" s="22"/>
      <c r="N48" s="26" t="s">
        <v>211</v>
      </c>
      <c r="O48" s="18" t="s">
        <v>212</v>
      </c>
      <c r="P48" s="19">
        <v>50</v>
      </c>
      <c r="Q48" s="41">
        <v>75661287</v>
      </c>
    </row>
    <row r="49" spans="1:17" ht="24" x14ac:dyDescent="0.25">
      <c r="A49" s="18">
        <v>44</v>
      </c>
      <c r="B49" s="18" t="s">
        <v>469</v>
      </c>
      <c r="C49" s="18" t="s">
        <v>470</v>
      </c>
      <c r="D49" s="18" t="s">
        <v>530</v>
      </c>
      <c r="E49" s="18" t="s">
        <v>633</v>
      </c>
      <c r="F49" s="18" t="s">
        <v>536</v>
      </c>
      <c r="G49" s="18" t="s">
        <v>244</v>
      </c>
      <c r="H49" s="19">
        <v>0</v>
      </c>
      <c r="I49" s="33">
        <v>50000000</v>
      </c>
      <c r="J49" s="21"/>
      <c r="K49" s="22"/>
      <c r="L49" s="22"/>
      <c r="M49" s="22"/>
      <c r="N49" s="26" t="s">
        <v>245</v>
      </c>
      <c r="O49" s="18" t="s">
        <v>246</v>
      </c>
      <c r="P49" s="19">
        <v>50</v>
      </c>
      <c r="Q49" s="35">
        <v>40585204</v>
      </c>
    </row>
    <row r="50" spans="1:17" ht="24" x14ac:dyDescent="0.25">
      <c r="A50" s="18">
        <v>45</v>
      </c>
      <c r="B50" s="18" t="s">
        <v>469</v>
      </c>
      <c r="C50" s="18" t="s">
        <v>470</v>
      </c>
      <c r="D50" s="18" t="s">
        <v>530</v>
      </c>
      <c r="E50" s="18" t="s">
        <v>633</v>
      </c>
      <c r="F50" s="18" t="s">
        <v>537</v>
      </c>
      <c r="G50" s="18" t="s">
        <v>663</v>
      </c>
      <c r="H50" s="19">
        <v>0</v>
      </c>
      <c r="I50" s="33">
        <v>50000000</v>
      </c>
      <c r="J50" s="21"/>
      <c r="K50" s="22"/>
      <c r="L50" s="22"/>
      <c r="M50" s="22"/>
      <c r="N50" s="26" t="s">
        <v>200</v>
      </c>
      <c r="O50" s="27" t="s">
        <v>201</v>
      </c>
      <c r="P50" s="36">
        <v>50000000</v>
      </c>
      <c r="Q50" s="36">
        <v>25227980</v>
      </c>
    </row>
    <row r="51" spans="1:17" ht="24" x14ac:dyDescent="0.25">
      <c r="A51" s="18">
        <v>46</v>
      </c>
      <c r="B51" s="18" t="s">
        <v>469</v>
      </c>
      <c r="C51" s="18" t="s">
        <v>470</v>
      </c>
      <c r="D51" s="18" t="s">
        <v>538</v>
      </c>
      <c r="E51" s="18" t="s">
        <v>642</v>
      </c>
      <c r="F51" s="18" t="s">
        <v>539</v>
      </c>
      <c r="G51" s="18" t="s">
        <v>540</v>
      </c>
      <c r="H51" s="19">
        <v>0</v>
      </c>
      <c r="I51" s="20">
        <v>0</v>
      </c>
      <c r="J51" s="21"/>
      <c r="K51" s="22"/>
      <c r="L51" s="22"/>
      <c r="M51" s="22"/>
      <c r="N51" s="28"/>
      <c r="O51" s="22"/>
      <c r="P51" s="22"/>
      <c r="Q51" s="22"/>
    </row>
    <row r="52" spans="1:17" ht="24" x14ac:dyDescent="0.25">
      <c r="A52" s="18">
        <v>47</v>
      </c>
      <c r="B52" s="18" t="s">
        <v>469</v>
      </c>
      <c r="C52" s="18" t="s">
        <v>470</v>
      </c>
      <c r="D52" s="18" t="s">
        <v>538</v>
      </c>
      <c r="E52" s="18" t="s">
        <v>642</v>
      </c>
      <c r="F52" s="18" t="s">
        <v>541</v>
      </c>
      <c r="G52" s="18" t="s">
        <v>638</v>
      </c>
      <c r="H52" s="19">
        <v>0</v>
      </c>
      <c r="I52" s="33">
        <v>50000000</v>
      </c>
      <c r="J52" s="21"/>
      <c r="K52" s="22"/>
      <c r="L52" s="22"/>
      <c r="M52" s="22"/>
      <c r="N52" s="26" t="s">
        <v>238</v>
      </c>
      <c r="O52" s="30" t="s">
        <v>239</v>
      </c>
      <c r="P52" s="38">
        <v>50000000</v>
      </c>
      <c r="Q52" s="40">
        <v>64143331</v>
      </c>
    </row>
    <row r="53" spans="1:17" ht="24" x14ac:dyDescent="0.25">
      <c r="A53" s="18">
        <v>48</v>
      </c>
      <c r="B53" s="18" t="s">
        <v>469</v>
      </c>
      <c r="C53" s="18" t="s">
        <v>470</v>
      </c>
      <c r="D53" s="18" t="s">
        <v>538</v>
      </c>
      <c r="E53" s="18" t="s">
        <v>642</v>
      </c>
      <c r="F53" s="18" t="s">
        <v>542</v>
      </c>
      <c r="G53" s="18" t="s">
        <v>662</v>
      </c>
      <c r="H53" s="19">
        <v>0</v>
      </c>
      <c r="I53" s="20">
        <v>0</v>
      </c>
      <c r="J53" s="21"/>
      <c r="K53" s="22"/>
      <c r="L53" s="22"/>
      <c r="M53" s="22"/>
      <c r="N53" s="28"/>
      <c r="O53" s="22"/>
      <c r="P53" s="22"/>
      <c r="Q53" s="22"/>
    </row>
    <row r="54" spans="1:17" ht="24" x14ac:dyDescent="0.25">
      <c r="A54" s="18">
        <v>49</v>
      </c>
      <c r="B54" s="18" t="s">
        <v>469</v>
      </c>
      <c r="C54" s="18" t="s">
        <v>470</v>
      </c>
      <c r="D54" s="18" t="s">
        <v>538</v>
      </c>
      <c r="E54" s="18" t="s">
        <v>642</v>
      </c>
      <c r="F54" s="18" t="s">
        <v>543</v>
      </c>
      <c r="G54" s="18" t="s">
        <v>544</v>
      </c>
      <c r="H54" s="19">
        <v>0</v>
      </c>
      <c r="I54" s="20">
        <v>0</v>
      </c>
      <c r="J54" s="21"/>
      <c r="K54" s="22"/>
      <c r="L54" s="22"/>
      <c r="M54" s="22"/>
      <c r="N54" s="28"/>
      <c r="O54" s="22"/>
      <c r="P54" s="22"/>
      <c r="Q54" s="22"/>
    </row>
    <row r="55" spans="1:17" ht="24" x14ac:dyDescent="0.25">
      <c r="A55" s="18">
        <v>50</v>
      </c>
      <c r="B55" s="18" t="s">
        <v>545</v>
      </c>
      <c r="C55" s="18" t="s">
        <v>644</v>
      </c>
      <c r="D55" s="18" t="s">
        <v>546</v>
      </c>
      <c r="E55" s="18" t="s">
        <v>634</v>
      </c>
      <c r="F55" s="18" t="s">
        <v>547</v>
      </c>
      <c r="G55" s="18" t="s">
        <v>661</v>
      </c>
      <c r="H55" s="19">
        <v>0</v>
      </c>
      <c r="I55" s="20">
        <v>0</v>
      </c>
      <c r="J55" s="21"/>
      <c r="K55" s="22"/>
      <c r="L55" s="22"/>
      <c r="M55" s="22"/>
      <c r="N55" s="28"/>
      <c r="O55" s="22"/>
      <c r="P55" s="22"/>
      <c r="Q55" s="22"/>
    </row>
    <row r="56" spans="1:17" ht="24" x14ac:dyDescent="0.25">
      <c r="A56" s="18">
        <v>51</v>
      </c>
      <c r="B56" s="18" t="s">
        <v>545</v>
      </c>
      <c r="C56" s="18" t="s">
        <v>644</v>
      </c>
      <c r="D56" s="18" t="s">
        <v>546</v>
      </c>
      <c r="E56" s="18" t="s">
        <v>634</v>
      </c>
      <c r="F56" s="18" t="s">
        <v>548</v>
      </c>
      <c r="G56" s="18" t="s">
        <v>660</v>
      </c>
      <c r="H56" s="19">
        <v>0</v>
      </c>
      <c r="I56" s="20">
        <v>0</v>
      </c>
      <c r="J56" s="21"/>
      <c r="K56" s="22"/>
      <c r="L56" s="22"/>
      <c r="M56" s="22"/>
      <c r="N56" s="28"/>
      <c r="O56" s="22"/>
      <c r="P56" s="22"/>
      <c r="Q56" s="22"/>
    </row>
    <row r="57" spans="1:17" ht="24" x14ac:dyDescent="0.25">
      <c r="A57" s="18">
        <v>52</v>
      </c>
      <c r="B57" s="18" t="s">
        <v>545</v>
      </c>
      <c r="C57" s="18" t="s">
        <v>644</v>
      </c>
      <c r="D57" s="18" t="s">
        <v>546</v>
      </c>
      <c r="E57" s="18" t="s">
        <v>634</v>
      </c>
      <c r="F57" s="18" t="s">
        <v>549</v>
      </c>
      <c r="G57" s="18" t="s">
        <v>550</v>
      </c>
      <c r="H57" s="19">
        <v>0</v>
      </c>
      <c r="I57" s="20">
        <v>0</v>
      </c>
      <c r="J57" s="21"/>
      <c r="K57" s="22"/>
      <c r="L57" s="22"/>
      <c r="M57" s="22"/>
      <c r="N57" s="28"/>
      <c r="O57" s="22"/>
      <c r="P57" s="22"/>
      <c r="Q57" s="22"/>
    </row>
    <row r="58" spans="1:17" ht="24" x14ac:dyDescent="0.25">
      <c r="A58" s="18">
        <v>53</v>
      </c>
      <c r="B58" s="18" t="s">
        <v>545</v>
      </c>
      <c r="C58" s="18" t="s">
        <v>644</v>
      </c>
      <c r="D58" s="18" t="s">
        <v>546</v>
      </c>
      <c r="E58" s="18" t="s">
        <v>634</v>
      </c>
      <c r="F58" s="18" t="s">
        <v>551</v>
      </c>
      <c r="G58" s="18" t="s">
        <v>638</v>
      </c>
      <c r="H58" s="19">
        <v>0</v>
      </c>
      <c r="I58" s="33">
        <v>50000000</v>
      </c>
      <c r="J58" s="21"/>
      <c r="K58" s="22"/>
      <c r="L58" s="22"/>
      <c r="M58" s="22"/>
      <c r="N58" s="28"/>
      <c r="O58" s="22"/>
      <c r="P58" s="22"/>
      <c r="Q58" s="22"/>
    </row>
    <row r="59" spans="1:17" ht="24" x14ac:dyDescent="0.25">
      <c r="A59" s="18">
        <v>54</v>
      </c>
      <c r="B59" s="18" t="s">
        <v>545</v>
      </c>
      <c r="C59" s="18" t="s">
        <v>644</v>
      </c>
      <c r="D59" s="18" t="s">
        <v>546</v>
      </c>
      <c r="E59" s="18" t="s">
        <v>634</v>
      </c>
      <c r="F59" s="18" t="s">
        <v>552</v>
      </c>
      <c r="G59" s="18" t="s">
        <v>659</v>
      </c>
      <c r="H59" s="19">
        <v>0</v>
      </c>
      <c r="I59" s="20">
        <v>0</v>
      </c>
      <c r="J59" s="21"/>
      <c r="K59" s="22"/>
      <c r="L59" s="22"/>
      <c r="M59" s="22"/>
      <c r="N59" s="28"/>
      <c r="O59" s="22"/>
      <c r="P59" s="22"/>
      <c r="Q59" s="22"/>
    </row>
    <row r="60" spans="1:17" ht="24" x14ac:dyDescent="0.25">
      <c r="A60" s="18">
        <v>55</v>
      </c>
      <c r="B60" s="18" t="s">
        <v>545</v>
      </c>
      <c r="C60" s="18" t="s">
        <v>644</v>
      </c>
      <c r="D60" s="18" t="s">
        <v>546</v>
      </c>
      <c r="E60" s="18" t="s">
        <v>634</v>
      </c>
      <c r="F60" s="18" t="s">
        <v>553</v>
      </c>
      <c r="G60" s="18" t="s">
        <v>554</v>
      </c>
      <c r="H60" s="19">
        <v>0</v>
      </c>
      <c r="I60" s="20">
        <v>0</v>
      </c>
      <c r="J60" s="21"/>
      <c r="K60" s="22"/>
      <c r="L60" s="22"/>
      <c r="M60" s="22"/>
      <c r="N60" s="28"/>
      <c r="O60" s="22"/>
      <c r="P60" s="22"/>
      <c r="Q60" s="22"/>
    </row>
    <row r="61" spans="1:17" ht="24" x14ac:dyDescent="0.25">
      <c r="A61" s="18">
        <v>56</v>
      </c>
      <c r="B61" s="18" t="s">
        <v>545</v>
      </c>
      <c r="C61" s="18" t="s">
        <v>644</v>
      </c>
      <c r="D61" s="18" t="s">
        <v>555</v>
      </c>
      <c r="E61" s="18" t="s">
        <v>635</v>
      </c>
      <c r="F61" s="18" t="s">
        <v>556</v>
      </c>
      <c r="G61" s="18" t="s">
        <v>637</v>
      </c>
      <c r="H61" s="19">
        <v>0</v>
      </c>
      <c r="I61" s="20">
        <v>0</v>
      </c>
      <c r="J61" s="21"/>
      <c r="K61" s="22"/>
      <c r="L61" s="22"/>
      <c r="M61" s="22"/>
      <c r="N61" s="28"/>
      <c r="O61" s="22"/>
      <c r="P61" s="22"/>
      <c r="Q61" s="22"/>
    </row>
    <row r="62" spans="1:17" ht="24" x14ac:dyDescent="0.25">
      <c r="A62" s="18">
        <v>57</v>
      </c>
      <c r="B62" s="18" t="s">
        <v>545</v>
      </c>
      <c r="C62" s="18" t="s">
        <v>644</v>
      </c>
      <c r="D62" s="18" t="s">
        <v>555</v>
      </c>
      <c r="E62" s="18" t="s">
        <v>635</v>
      </c>
      <c r="F62" s="18" t="s">
        <v>557</v>
      </c>
      <c r="G62" s="18" t="s">
        <v>658</v>
      </c>
      <c r="H62" s="19">
        <v>0</v>
      </c>
      <c r="I62" s="20">
        <v>0</v>
      </c>
      <c r="J62" s="21"/>
      <c r="K62" s="22"/>
      <c r="L62" s="22"/>
      <c r="M62" s="22"/>
      <c r="N62" s="28"/>
      <c r="O62" s="22"/>
      <c r="P62" s="22"/>
      <c r="Q62" s="22"/>
    </row>
    <row r="63" spans="1:17" ht="24" x14ac:dyDescent="0.25">
      <c r="A63" s="18">
        <v>58</v>
      </c>
      <c r="B63" s="18" t="s">
        <v>545</v>
      </c>
      <c r="C63" s="18" t="s">
        <v>644</v>
      </c>
      <c r="D63" s="18" t="s">
        <v>555</v>
      </c>
      <c r="E63" s="18" t="s">
        <v>635</v>
      </c>
      <c r="F63" s="18" t="s">
        <v>558</v>
      </c>
      <c r="G63" s="18" t="s">
        <v>638</v>
      </c>
      <c r="H63" s="19">
        <v>0</v>
      </c>
      <c r="I63" s="33">
        <v>50000000</v>
      </c>
      <c r="J63" s="21"/>
      <c r="K63" s="22"/>
      <c r="L63" s="22"/>
      <c r="M63" s="22"/>
      <c r="N63" s="28" t="s">
        <v>221</v>
      </c>
      <c r="O63" s="21" t="s">
        <v>222</v>
      </c>
      <c r="P63" s="37">
        <v>50000000</v>
      </c>
      <c r="Q63" s="37">
        <v>7206873</v>
      </c>
    </row>
    <row r="64" spans="1:17" ht="24" x14ac:dyDescent="0.25">
      <c r="A64" s="18">
        <v>59</v>
      </c>
      <c r="B64" s="18" t="s">
        <v>545</v>
      </c>
      <c r="C64" s="18" t="s">
        <v>644</v>
      </c>
      <c r="D64" s="18" t="s">
        <v>555</v>
      </c>
      <c r="E64" s="18" t="s">
        <v>635</v>
      </c>
      <c r="F64" s="18" t="s">
        <v>559</v>
      </c>
      <c r="G64" s="18" t="s">
        <v>560</v>
      </c>
      <c r="H64" s="19">
        <v>0</v>
      </c>
      <c r="I64" s="20">
        <v>0</v>
      </c>
      <c r="J64" s="21"/>
      <c r="K64" s="22"/>
      <c r="L64" s="22"/>
      <c r="M64" s="22"/>
      <c r="N64" s="28"/>
      <c r="O64" s="22"/>
      <c r="P64" s="22"/>
      <c r="Q64" s="22"/>
    </row>
    <row r="65" spans="1:17" ht="24" x14ac:dyDescent="0.25">
      <c r="A65" s="18">
        <v>60</v>
      </c>
      <c r="B65" s="18" t="s">
        <v>545</v>
      </c>
      <c r="C65" s="18" t="s">
        <v>644</v>
      </c>
      <c r="D65" s="18" t="s">
        <v>555</v>
      </c>
      <c r="E65" s="18" t="s">
        <v>635</v>
      </c>
      <c r="F65" s="18" t="s">
        <v>561</v>
      </c>
      <c r="G65" s="18" t="s">
        <v>562</v>
      </c>
      <c r="H65" s="19">
        <v>0</v>
      </c>
      <c r="I65" s="20">
        <v>0</v>
      </c>
      <c r="J65" s="21"/>
      <c r="K65" s="22"/>
      <c r="L65" s="22"/>
      <c r="M65" s="22"/>
      <c r="N65" s="28"/>
      <c r="O65" s="22"/>
      <c r="P65" s="22"/>
      <c r="Q65" s="22"/>
    </row>
    <row r="66" spans="1:17" ht="36" x14ac:dyDescent="0.25">
      <c r="A66" s="18">
        <v>61</v>
      </c>
      <c r="B66" s="18" t="s">
        <v>563</v>
      </c>
      <c r="C66" s="18" t="s">
        <v>645</v>
      </c>
      <c r="D66" s="18" t="s">
        <v>564</v>
      </c>
      <c r="E66" s="18" t="s">
        <v>643</v>
      </c>
      <c r="F66" s="18" t="s">
        <v>565</v>
      </c>
      <c r="G66" s="18" t="s">
        <v>638</v>
      </c>
      <c r="H66" s="19">
        <v>0</v>
      </c>
      <c r="I66" s="33">
        <v>50000000</v>
      </c>
      <c r="J66" s="21"/>
      <c r="K66" s="22"/>
      <c r="L66" s="22"/>
      <c r="M66" s="22"/>
      <c r="N66" s="28" t="s">
        <v>332</v>
      </c>
      <c r="O66" s="21" t="s">
        <v>333</v>
      </c>
      <c r="P66" s="37">
        <v>50000000</v>
      </c>
      <c r="Q66" s="37">
        <v>15504812</v>
      </c>
    </row>
    <row r="67" spans="1:17" ht="36" x14ac:dyDescent="0.25">
      <c r="A67" s="18">
        <v>62</v>
      </c>
      <c r="B67" s="18" t="s">
        <v>563</v>
      </c>
      <c r="C67" s="18" t="s">
        <v>645</v>
      </c>
      <c r="D67" s="18" t="s">
        <v>564</v>
      </c>
      <c r="E67" s="18" t="s">
        <v>643</v>
      </c>
      <c r="F67" s="18" t="s">
        <v>566</v>
      </c>
      <c r="G67" s="18" t="s">
        <v>567</v>
      </c>
      <c r="H67" s="19">
        <v>0</v>
      </c>
      <c r="I67" s="20">
        <v>0</v>
      </c>
      <c r="J67" s="21"/>
      <c r="K67" s="22"/>
      <c r="L67" s="22"/>
      <c r="M67" s="22"/>
      <c r="N67" s="28"/>
      <c r="O67" s="22"/>
      <c r="P67" s="22"/>
      <c r="Q67" s="22"/>
    </row>
    <row r="68" spans="1:17" ht="36" x14ac:dyDescent="0.25">
      <c r="A68" s="18">
        <v>63</v>
      </c>
      <c r="B68" s="18" t="s">
        <v>563</v>
      </c>
      <c r="C68" s="18" t="s">
        <v>645</v>
      </c>
      <c r="D68" s="18" t="s">
        <v>564</v>
      </c>
      <c r="E68" s="18" t="s">
        <v>643</v>
      </c>
      <c r="F68" s="18" t="s">
        <v>568</v>
      </c>
      <c r="G68" s="18" t="s">
        <v>569</v>
      </c>
      <c r="H68" s="19">
        <v>0</v>
      </c>
      <c r="I68" s="20">
        <v>0</v>
      </c>
      <c r="J68" s="21"/>
      <c r="K68" s="22"/>
      <c r="L68" s="22"/>
      <c r="M68" s="22"/>
      <c r="N68" s="28"/>
      <c r="O68" s="22"/>
      <c r="P68" s="22"/>
      <c r="Q68" s="22"/>
    </row>
    <row r="69" spans="1:17" ht="36" x14ac:dyDescent="0.25">
      <c r="A69" s="18">
        <v>64</v>
      </c>
      <c r="B69" s="18" t="s">
        <v>563</v>
      </c>
      <c r="C69" s="18" t="s">
        <v>645</v>
      </c>
      <c r="D69" s="18" t="s">
        <v>564</v>
      </c>
      <c r="E69" s="18" t="s">
        <v>643</v>
      </c>
      <c r="F69" s="18" t="s">
        <v>570</v>
      </c>
      <c r="G69" s="18" t="s">
        <v>657</v>
      </c>
      <c r="H69" s="19">
        <v>0</v>
      </c>
      <c r="I69" s="20">
        <v>0</v>
      </c>
      <c r="J69" s="21"/>
      <c r="K69" s="22"/>
      <c r="L69" s="22"/>
      <c r="M69" s="22"/>
      <c r="N69" s="28"/>
      <c r="O69" s="22"/>
      <c r="P69" s="22"/>
      <c r="Q69" s="22"/>
    </row>
    <row r="70" spans="1:17" ht="36" x14ac:dyDescent="0.25">
      <c r="A70" s="18">
        <v>65</v>
      </c>
      <c r="B70" s="18" t="s">
        <v>563</v>
      </c>
      <c r="C70" s="18" t="s">
        <v>645</v>
      </c>
      <c r="D70" s="18" t="s">
        <v>571</v>
      </c>
      <c r="E70" s="18" t="s">
        <v>572</v>
      </c>
      <c r="F70" s="18" t="s">
        <v>573</v>
      </c>
      <c r="G70" s="18" t="s">
        <v>638</v>
      </c>
      <c r="H70" s="19">
        <v>0</v>
      </c>
      <c r="I70" s="33">
        <v>50000000</v>
      </c>
      <c r="J70" s="21"/>
      <c r="K70" s="22"/>
      <c r="L70" s="22"/>
      <c r="M70" s="22"/>
      <c r="N70" s="28" t="s">
        <v>574</v>
      </c>
      <c r="O70" s="21" t="s">
        <v>243</v>
      </c>
      <c r="P70" s="37">
        <v>50000000</v>
      </c>
      <c r="Q70" s="39">
        <v>223479935</v>
      </c>
    </row>
    <row r="71" spans="1:17" ht="36" x14ac:dyDescent="0.25">
      <c r="A71" s="18">
        <v>66</v>
      </c>
      <c r="B71" s="18" t="s">
        <v>563</v>
      </c>
      <c r="C71" s="18" t="s">
        <v>645</v>
      </c>
      <c r="D71" s="18" t="s">
        <v>571</v>
      </c>
      <c r="E71" s="18" t="s">
        <v>572</v>
      </c>
      <c r="F71" s="18" t="s">
        <v>575</v>
      </c>
      <c r="G71" s="18" t="s">
        <v>576</v>
      </c>
      <c r="H71" s="19">
        <v>0</v>
      </c>
      <c r="I71" s="20">
        <v>0</v>
      </c>
      <c r="J71" s="21"/>
      <c r="K71" s="22"/>
      <c r="L71" s="22"/>
      <c r="M71" s="22"/>
      <c r="N71" s="28"/>
      <c r="O71" s="22"/>
      <c r="P71" s="22"/>
      <c r="Q71" s="22"/>
    </row>
    <row r="72" spans="1:17" ht="36" x14ac:dyDescent="0.25">
      <c r="A72" s="18">
        <v>67</v>
      </c>
      <c r="B72" s="18" t="s">
        <v>563</v>
      </c>
      <c r="C72" s="18" t="s">
        <v>645</v>
      </c>
      <c r="D72" s="18" t="s">
        <v>571</v>
      </c>
      <c r="E72" s="18" t="s">
        <v>572</v>
      </c>
      <c r="F72" s="18" t="s">
        <v>577</v>
      </c>
      <c r="G72" s="18" t="s">
        <v>578</v>
      </c>
      <c r="H72" s="19">
        <v>0</v>
      </c>
      <c r="I72" s="20">
        <v>0</v>
      </c>
      <c r="J72" s="21"/>
      <c r="K72" s="22"/>
      <c r="L72" s="22"/>
      <c r="M72" s="22"/>
      <c r="N72" s="28"/>
      <c r="O72" s="22"/>
      <c r="P72" s="22"/>
      <c r="Q72" s="22"/>
    </row>
    <row r="73" spans="1:17" ht="72" x14ac:dyDescent="0.25">
      <c r="A73" s="18">
        <v>68</v>
      </c>
      <c r="B73" s="18" t="s">
        <v>563</v>
      </c>
      <c r="C73" s="18" t="s">
        <v>645</v>
      </c>
      <c r="D73" s="18" t="s">
        <v>579</v>
      </c>
      <c r="E73" s="18" t="s">
        <v>646</v>
      </c>
      <c r="F73" s="18" t="s">
        <v>580</v>
      </c>
      <c r="G73" s="18" t="s">
        <v>639</v>
      </c>
      <c r="H73" s="35">
        <v>50000000</v>
      </c>
      <c r="I73" s="33">
        <v>50000000</v>
      </c>
      <c r="J73" s="21" t="s">
        <v>581</v>
      </c>
      <c r="K73" s="21" t="s">
        <v>582</v>
      </c>
      <c r="L73" s="29">
        <v>50</v>
      </c>
      <c r="M73" s="29">
        <v>0</v>
      </c>
      <c r="N73" s="28" t="s">
        <v>224</v>
      </c>
      <c r="O73" s="21" t="s">
        <v>225</v>
      </c>
      <c r="P73" s="37">
        <v>50000000</v>
      </c>
      <c r="Q73" s="37">
        <v>35285404</v>
      </c>
    </row>
    <row r="74" spans="1:17" ht="24" x14ac:dyDescent="0.25">
      <c r="A74" s="18">
        <v>69</v>
      </c>
      <c r="B74" s="18" t="s">
        <v>563</v>
      </c>
      <c r="C74" s="18" t="s">
        <v>645</v>
      </c>
      <c r="D74" s="18" t="s">
        <v>579</v>
      </c>
      <c r="E74" s="18" t="s">
        <v>646</v>
      </c>
      <c r="F74" s="18" t="s">
        <v>583</v>
      </c>
      <c r="G74" s="18" t="s">
        <v>656</v>
      </c>
      <c r="H74" s="19">
        <v>0</v>
      </c>
      <c r="I74" s="20">
        <v>0</v>
      </c>
      <c r="J74" s="21"/>
      <c r="K74" s="22"/>
      <c r="L74" s="22"/>
      <c r="M74" s="22"/>
      <c r="N74" s="28"/>
      <c r="O74" s="22"/>
      <c r="P74" s="22"/>
      <c r="Q74" s="22"/>
    </row>
    <row r="75" spans="1:17" ht="24" x14ac:dyDescent="0.25">
      <c r="A75" s="18">
        <v>70</v>
      </c>
      <c r="B75" s="18" t="s">
        <v>563</v>
      </c>
      <c r="C75" s="18" t="s">
        <v>645</v>
      </c>
      <c r="D75" s="18" t="s">
        <v>579</v>
      </c>
      <c r="E75" s="18" t="s">
        <v>646</v>
      </c>
      <c r="F75" s="18" t="s">
        <v>584</v>
      </c>
      <c r="G75" s="18" t="s">
        <v>655</v>
      </c>
      <c r="H75" s="19">
        <v>0</v>
      </c>
      <c r="I75" s="20">
        <v>0</v>
      </c>
      <c r="J75" s="21"/>
      <c r="K75" s="22"/>
      <c r="L75" s="22"/>
      <c r="M75" s="22"/>
      <c r="N75" s="28"/>
      <c r="O75" s="22"/>
      <c r="P75" s="22"/>
      <c r="Q75" s="22"/>
    </row>
    <row r="76" spans="1:17" ht="72" x14ac:dyDescent="0.25">
      <c r="A76" s="18">
        <v>71</v>
      </c>
      <c r="B76" s="18" t="s">
        <v>563</v>
      </c>
      <c r="C76" s="18" t="s">
        <v>645</v>
      </c>
      <c r="D76" s="18" t="s">
        <v>579</v>
      </c>
      <c r="E76" s="18" t="s">
        <v>646</v>
      </c>
      <c r="F76" s="18" t="s">
        <v>585</v>
      </c>
      <c r="G76" s="18" t="s">
        <v>654</v>
      </c>
      <c r="H76" s="35">
        <v>50000000</v>
      </c>
      <c r="I76" s="20">
        <v>0</v>
      </c>
      <c r="J76" s="21" t="s">
        <v>586</v>
      </c>
      <c r="K76" s="21" t="s">
        <v>587</v>
      </c>
      <c r="L76" s="29">
        <v>50</v>
      </c>
      <c r="M76" s="29">
        <v>0</v>
      </c>
      <c r="N76" s="28"/>
      <c r="O76" s="22"/>
      <c r="P76" s="22"/>
      <c r="Q76" s="22"/>
    </row>
    <row r="77" spans="1:17" ht="24" x14ac:dyDescent="0.25">
      <c r="A77" s="18">
        <v>72</v>
      </c>
      <c r="B77" s="18" t="s">
        <v>563</v>
      </c>
      <c r="C77" s="18" t="s">
        <v>645</v>
      </c>
      <c r="D77" s="18" t="s">
        <v>579</v>
      </c>
      <c r="E77" s="18" t="s">
        <v>646</v>
      </c>
      <c r="F77" s="18" t="s">
        <v>588</v>
      </c>
      <c r="G77" s="18" t="s">
        <v>653</v>
      </c>
      <c r="H77" s="19">
        <v>0</v>
      </c>
      <c r="I77" s="20">
        <v>0</v>
      </c>
      <c r="J77" s="21"/>
      <c r="K77" s="22"/>
      <c r="L77" s="22"/>
      <c r="M77" s="22"/>
      <c r="N77" s="28"/>
      <c r="O77" s="22"/>
      <c r="P77" s="22"/>
      <c r="Q77" s="22"/>
    </row>
    <row r="78" spans="1:17" ht="24" x14ac:dyDescent="0.25">
      <c r="A78" s="18">
        <v>73</v>
      </c>
      <c r="B78" s="18" t="s">
        <v>563</v>
      </c>
      <c r="C78" s="18" t="s">
        <v>645</v>
      </c>
      <c r="D78" s="18" t="s">
        <v>579</v>
      </c>
      <c r="E78" s="18" t="s">
        <v>646</v>
      </c>
      <c r="F78" s="18" t="s">
        <v>589</v>
      </c>
      <c r="G78" s="18" t="s">
        <v>590</v>
      </c>
      <c r="H78" s="19">
        <v>0</v>
      </c>
      <c r="I78" s="20">
        <v>0</v>
      </c>
      <c r="J78" s="21"/>
      <c r="K78" s="22"/>
      <c r="L78" s="22"/>
      <c r="M78" s="22"/>
      <c r="N78" s="28"/>
      <c r="O78" s="22"/>
      <c r="P78" s="22"/>
      <c r="Q78" s="22"/>
    </row>
    <row r="79" spans="1:17" ht="24" x14ac:dyDescent="0.25">
      <c r="A79" s="1170">
        <v>74</v>
      </c>
      <c r="B79" s="1170" t="s">
        <v>591</v>
      </c>
      <c r="C79" s="1170" t="s">
        <v>592</v>
      </c>
      <c r="D79" s="1170" t="s">
        <v>593</v>
      </c>
      <c r="E79" s="1170" t="s">
        <v>594</v>
      </c>
      <c r="F79" s="1170" t="s">
        <v>595</v>
      </c>
      <c r="G79" s="1170" t="s">
        <v>636</v>
      </c>
      <c r="H79" s="1173">
        <v>0</v>
      </c>
      <c r="I79" s="1176">
        <v>300000000</v>
      </c>
      <c r="J79" s="21"/>
      <c r="K79" s="22"/>
      <c r="L79" s="22"/>
      <c r="M79" s="22"/>
      <c r="N79" s="28" t="s">
        <v>28</v>
      </c>
      <c r="O79" s="21" t="s">
        <v>29</v>
      </c>
      <c r="P79" s="37">
        <v>50000000</v>
      </c>
      <c r="Q79" s="39">
        <v>49161243</v>
      </c>
    </row>
    <row r="80" spans="1:17" ht="24" x14ac:dyDescent="0.25">
      <c r="A80" s="1171"/>
      <c r="B80" s="1171"/>
      <c r="C80" s="1171"/>
      <c r="D80" s="1171"/>
      <c r="E80" s="1171"/>
      <c r="F80" s="1171"/>
      <c r="G80" s="1171"/>
      <c r="H80" s="1174"/>
      <c r="I80" s="1177"/>
      <c r="J80" s="22"/>
      <c r="K80" s="22"/>
      <c r="L80" s="22"/>
      <c r="M80" s="22"/>
      <c r="N80" s="28" t="s">
        <v>44</v>
      </c>
      <c r="O80" s="21" t="s">
        <v>45</v>
      </c>
      <c r="P80" s="37">
        <v>50000000</v>
      </c>
      <c r="Q80" s="37">
        <v>12446131</v>
      </c>
    </row>
    <row r="81" spans="1:17" ht="36" x14ac:dyDescent="0.25">
      <c r="A81" s="1172"/>
      <c r="B81" s="1172"/>
      <c r="C81" s="1172"/>
      <c r="D81" s="1172"/>
      <c r="E81" s="1172"/>
      <c r="F81" s="1172"/>
      <c r="G81" s="1172"/>
      <c r="H81" s="1175"/>
      <c r="I81" s="1178"/>
      <c r="J81" s="22"/>
      <c r="K81" s="22"/>
      <c r="L81" s="22"/>
      <c r="M81" s="22"/>
      <c r="N81" s="28" t="s">
        <v>11</v>
      </c>
      <c r="O81" s="21" t="s">
        <v>12</v>
      </c>
      <c r="P81" s="37">
        <v>50000000</v>
      </c>
      <c r="Q81" s="39">
        <v>162259648</v>
      </c>
    </row>
    <row r="82" spans="1:17" ht="36" x14ac:dyDescent="0.25">
      <c r="A82" s="18">
        <v>75</v>
      </c>
      <c r="B82" s="18" t="s">
        <v>591</v>
      </c>
      <c r="C82" s="18" t="s">
        <v>592</v>
      </c>
      <c r="D82" s="18" t="s">
        <v>593</v>
      </c>
      <c r="E82" s="18" t="s">
        <v>594</v>
      </c>
      <c r="F82" s="18" t="s">
        <v>596</v>
      </c>
      <c r="G82" s="18" t="s">
        <v>638</v>
      </c>
      <c r="H82" s="35">
        <v>1500000000</v>
      </c>
      <c r="I82" s="33">
        <v>22000000000</v>
      </c>
      <c r="J82" s="21" t="s">
        <v>597</v>
      </c>
      <c r="K82" s="21" t="s">
        <v>598</v>
      </c>
      <c r="L82" s="29">
        <v>22</v>
      </c>
      <c r="M82" s="29">
        <v>22</v>
      </c>
      <c r="N82" s="28" t="s">
        <v>354</v>
      </c>
      <c r="O82" s="21" t="s">
        <v>355</v>
      </c>
      <c r="P82" s="37">
        <v>50000000</v>
      </c>
      <c r="Q82" s="39">
        <v>624787684</v>
      </c>
    </row>
    <row r="83" spans="1:17" ht="96" x14ac:dyDescent="0.25">
      <c r="A83" s="1170">
        <v>76</v>
      </c>
      <c r="B83" s="1170" t="s">
        <v>591</v>
      </c>
      <c r="C83" s="1170" t="s">
        <v>592</v>
      </c>
      <c r="D83" s="1170" t="s">
        <v>593</v>
      </c>
      <c r="E83" s="1170" t="s">
        <v>594</v>
      </c>
      <c r="F83" s="1170" t="s">
        <v>599</v>
      </c>
      <c r="G83" s="1170" t="s">
        <v>652</v>
      </c>
      <c r="H83" s="1184">
        <v>1600000000</v>
      </c>
      <c r="I83" s="1176">
        <v>1550000000</v>
      </c>
      <c r="J83" s="21" t="s">
        <v>600</v>
      </c>
      <c r="K83" s="21" t="s">
        <v>624</v>
      </c>
      <c r="L83" s="29">
        <v>22</v>
      </c>
      <c r="M83" s="29">
        <v>40</v>
      </c>
      <c r="N83" s="28" t="s">
        <v>306</v>
      </c>
      <c r="O83" s="21" t="s">
        <v>307</v>
      </c>
      <c r="P83" s="37">
        <v>50000000</v>
      </c>
      <c r="Q83" s="39">
        <v>51057988</v>
      </c>
    </row>
    <row r="84" spans="1:17" ht="24" x14ac:dyDescent="0.25">
      <c r="A84" s="1171"/>
      <c r="B84" s="1171"/>
      <c r="C84" s="1171"/>
      <c r="D84" s="1171"/>
      <c r="E84" s="1171"/>
      <c r="F84" s="1171"/>
      <c r="G84" s="1171"/>
      <c r="H84" s="1174"/>
      <c r="I84" s="1177"/>
      <c r="J84" s="22"/>
      <c r="K84" s="22"/>
      <c r="L84" s="22"/>
      <c r="M84" s="22"/>
      <c r="N84" s="28" t="s">
        <v>601</v>
      </c>
      <c r="O84" s="21" t="s">
        <v>602</v>
      </c>
      <c r="P84" s="29">
        <v>6</v>
      </c>
      <c r="Q84" s="29">
        <v>0</v>
      </c>
    </row>
    <row r="85" spans="1:17" ht="36" x14ac:dyDescent="0.25">
      <c r="A85" s="1171"/>
      <c r="B85" s="1171"/>
      <c r="C85" s="1171"/>
      <c r="D85" s="1171"/>
      <c r="E85" s="1171"/>
      <c r="F85" s="1171"/>
      <c r="G85" s="1171"/>
      <c r="H85" s="1174"/>
      <c r="I85" s="1177"/>
      <c r="J85" s="22"/>
      <c r="K85" s="22"/>
      <c r="L85" s="22"/>
      <c r="M85" s="22"/>
      <c r="N85" s="28" t="s">
        <v>260</v>
      </c>
      <c r="O85" s="21" t="s">
        <v>261</v>
      </c>
      <c r="P85" s="37">
        <v>50000000</v>
      </c>
      <c r="Q85" s="37">
        <v>23144268</v>
      </c>
    </row>
    <row r="86" spans="1:17" ht="24" x14ac:dyDescent="0.25">
      <c r="A86" s="1171"/>
      <c r="B86" s="1171"/>
      <c r="C86" s="1171"/>
      <c r="D86" s="1171"/>
      <c r="E86" s="1171"/>
      <c r="F86" s="1171"/>
      <c r="G86" s="1171"/>
      <c r="H86" s="1174"/>
      <c r="I86" s="1177"/>
      <c r="J86" s="22"/>
      <c r="K86" s="22"/>
      <c r="L86" s="22"/>
      <c r="M86" s="22"/>
      <c r="N86" s="28" t="s">
        <v>266</v>
      </c>
      <c r="O86" s="21" t="s">
        <v>267</v>
      </c>
      <c r="P86" s="37">
        <v>50000000</v>
      </c>
      <c r="Q86" s="37">
        <v>11264096</v>
      </c>
    </row>
    <row r="87" spans="1:17" ht="24" x14ac:dyDescent="0.25">
      <c r="A87" s="1171"/>
      <c r="B87" s="1171"/>
      <c r="C87" s="1171"/>
      <c r="D87" s="1171"/>
      <c r="E87" s="1171"/>
      <c r="F87" s="1171"/>
      <c r="G87" s="1171"/>
      <c r="H87" s="1174"/>
      <c r="I87" s="1177"/>
      <c r="J87" s="22"/>
      <c r="K87" s="22"/>
      <c r="L87" s="22"/>
      <c r="M87" s="22"/>
      <c r="N87" s="28" t="s">
        <v>603</v>
      </c>
      <c r="O87" s="21" t="s">
        <v>604</v>
      </c>
      <c r="P87" s="29">
        <v>1</v>
      </c>
      <c r="Q87" s="29">
        <v>0</v>
      </c>
    </row>
    <row r="88" spans="1:17" ht="24" x14ac:dyDescent="0.25">
      <c r="A88" s="1171"/>
      <c r="B88" s="1171"/>
      <c r="C88" s="1171"/>
      <c r="D88" s="1171"/>
      <c r="E88" s="1171"/>
      <c r="F88" s="1171"/>
      <c r="G88" s="1171"/>
      <c r="H88" s="1174"/>
      <c r="I88" s="1177"/>
      <c r="J88" s="22"/>
      <c r="K88" s="22"/>
      <c r="L88" s="22"/>
      <c r="M88" s="22"/>
      <c r="N88" s="28" t="s">
        <v>275</v>
      </c>
      <c r="O88" s="21" t="s">
        <v>276</v>
      </c>
      <c r="P88" s="37">
        <v>50000000</v>
      </c>
      <c r="Q88" s="39">
        <v>54178296</v>
      </c>
    </row>
    <row r="89" spans="1:17" ht="36" x14ac:dyDescent="0.25">
      <c r="A89" s="1171"/>
      <c r="B89" s="1171"/>
      <c r="C89" s="1171"/>
      <c r="D89" s="1171"/>
      <c r="E89" s="1171"/>
      <c r="F89" s="1171"/>
      <c r="G89" s="1171"/>
      <c r="H89" s="1174"/>
      <c r="I89" s="1177"/>
      <c r="J89" s="22"/>
      <c r="K89" s="22"/>
      <c r="L89" s="22"/>
      <c r="M89" s="22"/>
      <c r="N89" s="28" t="s">
        <v>268</v>
      </c>
      <c r="O89" s="21" t="s">
        <v>269</v>
      </c>
      <c r="P89" s="37">
        <v>50000000</v>
      </c>
      <c r="Q89" s="37">
        <v>33575242</v>
      </c>
    </row>
    <row r="90" spans="1:17" ht="36" x14ac:dyDescent="0.25">
      <c r="A90" s="1171"/>
      <c r="B90" s="1171"/>
      <c r="C90" s="1171"/>
      <c r="D90" s="1171"/>
      <c r="E90" s="1171"/>
      <c r="F90" s="1171"/>
      <c r="G90" s="1171"/>
      <c r="H90" s="1174"/>
      <c r="I90" s="1177"/>
      <c r="J90" s="22"/>
      <c r="K90" s="22"/>
      <c r="L90" s="22"/>
      <c r="M90" s="22"/>
      <c r="N90" s="28" t="s">
        <v>292</v>
      </c>
      <c r="O90" s="21" t="s">
        <v>293</v>
      </c>
      <c r="P90" s="37">
        <v>50000000</v>
      </c>
      <c r="Q90" s="39">
        <v>52744619</v>
      </c>
    </row>
    <row r="91" spans="1:17" ht="24" x14ac:dyDescent="0.25">
      <c r="A91" s="1171"/>
      <c r="B91" s="1171"/>
      <c r="C91" s="1171"/>
      <c r="D91" s="1171"/>
      <c r="E91" s="1171"/>
      <c r="F91" s="1171"/>
      <c r="G91" s="1171"/>
      <c r="H91" s="1174"/>
      <c r="I91" s="1177"/>
      <c r="J91" s="22"/>
      <c r="K91" s="22"/>
      <c r="L91" s="22"/>
      <c r="M91" s="22"/>
      <c r="N91" s="28" t="s">
        <v>264</v>
      </c>
      <c r="O91" s="21" t="s">
        <v>265</v>
      </c>
      <c r="P91" s="37">
        <v>50000000</v>
      </c>
      <c r="Q91" s="37">
        <v>20449530</v>
      </c>
    </row>
    <row r="92" spans="1:17" ht="24" x14ac:dyDescent="0.25">
      <c r="A92" s="1171"/>
      <c r="B92" s="1171"/>
      <c r="C92" s="1171"/>
      <c r="D92" s="1171"/>
      <c r="E92" s="1171"/>
      <c r="F92" s="1171"/>
      <c r="G92" s="1171"/>
      <c r="H92" s="1174"/>
      <c r="I92" s="1177"/>
      <c r="J92" s="22"/>
      <c r="K92" s="22"/>
      <c r="L92" s="22"/>
      <c r="M92" s="22"/>
      <c r="N92" s="28" t="s">
        <v>605</v>
      </c>
      <c r="O92" s="21" t="s">
        <v>606</v>
      </c>
      <c r="P92" s="29">
        <v>1</v>
      </c>
      <c r="Q92" s="29">
        <v>0</v>
      </c>
    </row>
    <row r="93" spans="1:17" ht="24" x14ac:dyDescent="0.25">
      <c r="A93" s="1171"/>
      <c r="B93" s="1171"/>
      <c r="C93" s="1171"/>
      <c r="D93" s="1171"/>
      <c r="E93" s="1171"/>
      <c r="F93" s="1171"/>
      <c r="G93" s="1171"/>
      <c r="H93" s="1174"/>
      <c r="I93" s="1177"/>
      <c r="J93" s="22"/>
      <c r="K93" s="22"/>
      <c r="L93" s="22"/>
      <c r="M93" s="22"/>
      <c r="N93" s="28" t="s">
        <v>282</v>
      </c>
      <c r="O93" s="21" t="s">
        <v>283</v>
      </c>
      <c r="P93" s="37">
        <v>50000000</v>
      </c>
      <c r="Q93" s="37">
        <v>9818732</v>
      </c>
    </row>
    <row r="94" spans="1:17" ht="24" x14ac:dyDescent="0.25">
      <c r="A94" s="1171"/>
      <c r="B94" s="1171"/>
      <c r="C94" s="1171"/>
      <c r="D94" s="1171"/>
      <c r="E94" s="1171"/>
      <c r="F94" s="1171"/>
      <c r="G94" s="1171"/>
      <c r="H94" s="1174"/>
      <c r="I94" s="1177"/>
      <c r="J94" s="22"/>
      <c r="K94" s="22"/>
      <c r="L94" s="22"/>
      <c r="M94" s="22"/>
      <c r="N94" s="28" t="s">
        <v>130</v>
      </c>
      <c r="O94" s="21" t="s">
        <v>131</v>
      </c>
      <c r="P94" s="37">
        <v>50000000</v>
      </c>
      <c r="Q94" s="39">
        <v>101761264</v>
      </c>
    </row>
    <row r="95" spans="1:17" ht="36" x14ac:dyDescent="0.25">
      <c r="A95" s="1171"/>
      <c r="B95" s="1171"/>
      <c r="C95" s="1171"/>
      <c r="D95" s="1171"/>
      <c r="E95" s="1171"/>
      <c r="F95" s="1171"/>
      <c r="G95" s="1171"/>
      <c r="H95" s="1174"/>
      <c r="I95" s="1177"/>
      <c r="J95" s="22"/>
      <c r="K95" s="22"/>
      <c r="L95" s="22"/>
      <c r="M95" s="22"/>
      <c r="N95" s="28" t="s">
        <v>256</v>
      </c>
      <c r="O95" s="21" t="s">
        <v>257</v>
      </c>
      <c r="P95" s="37">
        <v>50000000</v>
      </c>
      <c r="Q95" s="39">
        <v>77533411</v>
      </c>
    </row>
    <row r="96" spans="1:17" ht="36" x14ac:dyDescent="0.25">
      <c r="A96" s="1171"/>
      <c r="B96" s="1171"/>
      <c r="C96" s="1171"/>
      <c r="D96" s="1171"/>
      <c r="E96" s="1171"/>
      <c r="F96" s="1171"/>
      <c r="G96" s="1171"/>
      <c r="H96" s="1174"/>
      <c r="I96" s="1177"/>
      <c r="J96" s="22"/>
      <c r="K96" s="22"/>
      <c r="L96" s="22"/>
      <c r="M96" s="22"/>
      <c r="N96" s="28" t="s">
        <v>84</v>
      </c>
      <c r="O96" s="21" t="s">
        <v>85</v>
      </c>
      <c r="P96" s="37">
        <v>50000000</v>
      </c>
      <c r="Q96" s="37">
        <v>12600707</v>
      </c>
    </row>
    <row r="97" spans="1:17" ht="24" x14ac:dyDescent="0.25">
      <c r="A97" s="1171"/>
      <c r="B97" s="1171"/>
      <c r="C97" s="1171"/>
      <c r="D97" s="1171"/>
      <c r="E97" s="1171"/>
      <c r="F97" s="1171"/>
      <c r="G97" s="1171"/>
      <c r="H97" s="1174"/>
      <c r="I97" s="1177"/>
      <c r="J97" s="22"/>
      <c r="K97" s="22"/>
      <c r="L97" s="22"/>
      <c r="M97" s="22"/>
      <c r="N97" s="28" t="s">
        <v>159</v>
      </c>
      <c r="O97" s="21" t="s">
        <v>160</v>
      </c>
      <c r="P97" s="37">
        <v>50000000</v>
      </c>
      <c r="Q97" s="39">
        <v>420343379</v>
      </c>
    </row>
    <row r="98" spans="1:17" ht="24" x14ac:dyDescent="0.25">
      <c r="A98" s="1171"/>
      <c r="B98" s="1171"/>
      <c r="C98" s="1171"/>
      <c r="D98" s="1171"/>
      <c r="E98" s="1171"/>
      <c r="F98" s="1171"/>
      <c r="G98" s="1171"/>
      <c r="H98" s="1174"/>
      <c r="I98" s="1177"/>
      <c r="J98" s="22"/>
      <c r="K98" s="22"/>
      <c r="L98" s="22"/>
      <c r="M98" s="22"/>
      <c r="N98" s="28" t="s">
        <v>607</v>
      </c>
      <c r="O98" s="21" t="s">
        <v>608</v>
      </c>
      <c r="P98" s="29">
        <v>2</v>
      </c>
      <c r="Q98" s="29">
        <v>0</v>
      </c>
    </row>
    <row r="99" spans="1:17" ht="24" x14ac:dyDescent="0.25">
      <c r="A99" s="1171"/>
      <c r="B99" s="1171"/>
      <c r="C99" s="1171"/>
      <c r="D99" s="1171"/>
      <c r="E99" s="1171"/>
      <c r="F99" s="1171"/>
      <c r="G99" s="1171"/>
      <c r="H99" s="1174"/>
      <c r="I99" s="1177"/>
      <c r="J99" s="22"/>
      <c r="K99" s="22"/>
      <c r="L99" s="22"/>
      <c r="M99" s="22"/>
      <c r="N99" s="28" t="s">
        <v>270</v>
      </c>
      <c r="O99" s="21" t="s">
        <v>271</v>
      </c>
      <c r="P99" s="37">
        <v>50000000</v>
      </c>
      <c r="Q99" s="39">
        <v>85682517</v>
      </c>
    </row>
    <row r="100" spans="1:17" ht="36" x14ac:dyDescent="0.25">
      <c r="A100" s="1171"/>
      <c r="B100" s="1171"/>
      <c r="C100" s="1171"/>
      <c r="D100" s="1171"/>
      <c r="E100" s="1171"/>
      <c r="F100" s="1171"/>
      <c r="G100" s="1171"/>
      <c r="H100" s="1174"/>
      <c r="I100" s="1177"/>
      <c r="J100" s="22"/>
      <c r="K100" s="22"/>
      <c r="L100" s="22"/>
      <c r="M100" s="22"/>
      <c r="N100" s="28" t="s">
        <v>149</v>
      </c>
      <c r="O100" s="21" t="s">
        <v>150</v>
      </c>
      <c r="P100" s="37">
        <v>50000000</v>
      </c>
      <c r="Q100" s="39">
        <v>149733000</v>
      </c>
    </row>
    <row r="101" spans="1:17" ht="24" x14ac:dyDescent="0.25">
      <c r="A101" s="1171"/>
      <c r="B101" s="1171"/>
      <c r="C101" s="1171"/>
      <c r="D101" s="1171"/>
      <c r="E101" s="1171"/>
      <c r="F101" s="1171"/>
      <c r="G101" s="1171"/>
      <c r="H101" s="1174"/>
      <c r="I101" s="1177"/>
      <c r="J101" s="22"/>
      <c r="K101" s="22"/>
      <c r="L101" s="22"/>
      <c r="M101" s="22"/>
      <c r="N101" s="28" t="s">
        <v>262</v>
      </c>
      <c r="O101" s="21" t="s">
        <v>263</v>
      </c>
      <c r="P101" s="37">
        <v>50000000</v>
      </c>
      <c r="Q101" s="37">
        <v>37472000</v>
      </c>
    </row>
    <row r="102" spans="1:17" ht="24" x14ac:dyDescent="0.25">
      <c r="A102" s="1171"/>
      <c r="B102" s="1171"/>
      <c r="C102" s="1171"/>
      <c r="D102" s="1171"/>
      <c r="E102" s="1171"/>
      <c r="F102" s="1171"/>
      <c r="G102" s="1171"/>
      <c r="H102" s="1174"/>
      <c r="I102" s="1177"/>
      <c r="J102" s="22"/>
      <c r="K102" s="22"/>
      <c r="L102" s="22"/>
      <c r="M102" s="22"/>
      <c r="N102" s="28" t="s">
        <v>301</v>
      </c>
      <c r="O102" s="21" t="s">
        <v>302</v>
      </c>
      <c r="P102" s="37">
        <v>50000000</v>
      </c>
      <c r="Q102" s="37">
        <v>56360835</v>
      </c>
    </row>
    <row r="103" spans="1:17" ht="24" x14ac:dyDescent="0.25">
      <c r="A103" s="1171"/>
      <c r="B103" s="1171"/>
      <c r="C103" s="1171"/>
      <c r="D103" s="1171"/>
      <c r="E103" s="1171"/>
      <c r="F103" s="1171"/>
      <c r="G103" s="1171"/>
      <c r="H103" s="1174"/>
      <c r="I103" s="1177"/>
      <c r="J103" s="22"/>
      <c r="K103" s="22"/>
      <c r="L103" s="22"/>
      <c r="M103" s="22"/>
      <c r="N103" s="28" t="s">
        <v>272</v>
      </c>
      <c r="O103" s="21" t="s">
        <v>273</v>
      </c>
      <c r="P103" s="37">
        <v>50000000</v>
      </c>
      <c r="Q103" s="39">
        <v>428411169</v>
      </c>
    </row>
    <row r="104" spans="1:17" ht="24" x14ac:dyDescent="0.25">
      <c r="A104" s="1171"/>
      <c r="B104" s="1171"/>
      <c r="C104" s="1171"/>
      <c r="D104" s="1171"/>
      <c r="E104" s="1171"/>
      <c r="F104" s="1171"/>
      <c r="G104" s="1171"/>
      <c r="H104" s="1174"/>
      <c r="I104" s="1177"/>
      <c r="J104" s="22"/>
      <c r="K104" s="22"/>
      <c r="L104" s="22"/>
      <c r="M104" s="22"/>
      <c r="N104" s="28" t="s">
        <v>303</v>
      </c>
      <c r="O104" s="21" t="s">
        <v>304</v>
      </c>
      <c r="P104" s="37">
        <v>50000000</v>
      </c>
      <c r="Q104" s="37">
        <v>41003350</v>
      </c>
    </row>
    <row r="105" spans="1:17" ht="24" x14ac:dyDescent="0.25">
      <c r="A105" s="1171"/>
      <c r="B105" s="1171"/>
      <c r="C105" s="1171"/>
      <c r="D105" s="1171"/>
      <c r="E105" s="1171"/>
      <c r="F105" s="1171"/>
      <c r="G105" s="1171"/>
      <c r="H105" s="1174"/>
      <c r="I105" s="1177"/>
      <c r="J105" s="22"/>
      <c r="K105" s="22"/>
      <c r="L105" s="22"/>
      <c r="M105" s="22"/>
      <c r="N105" s="28" t="s">
        <v>252</v>
      </c>
      <c r="O105" s="21" t="s">
        <v>253</v>
      </c>
      <c r="P105" s="37">
        <v>50000000</v>
      </c>
      <c r="Q105" s="37">
        <v>26950098</v>
      </c>
    </row>
    <row r="106" spans="1:17" ht="36" x14ac:dyDescent="0.25">
      <c r="A106" s="1171"/>
      <c r="B106" s="1171"/>
      <c r="C106" s="1171"/>
      <c r="D106" s="1171"/>
      <c r="E106" s="1171"/>
      <c r="F106" s="1171"/>
      <c r="G106" s="1171"/>
      <c r="H106" s="1174"/>
      <c r="I106" s="1177"/>
      <c r="J106" s="22"/>
      <c r="K106" s="22"/>
      <c r="L106" s="22"/>
      <c r="M106" s="22"/>
      <c r="N106" s="28" t="s">
        <v>287</v>
      </c>
      <c r="O106" s="21" t="s">
        <v>288</v>
      </c>
      <c r="P106" s="37">
        <v>50000000</v>
      </c>
      <c r="Q106" s="37">
        <v>18954757</v>
      </c>
    </row>
    <row r="107" spans="1:17" ht="24" x14ac:dyDescent="0.25">
      <c r="A107" s="1171"/>
      <c r="B107" s="1171"/>
      <c r="C107" s="1171"/>
      <c r="D107" s="1171"/>
      <c r="E107" s="1171"/>
      <c r="F107" s="1171"/>
      <c r="G107" s="1171"/>
      <c r="H107" s="1174"/>
      <c r="I107" s="1177"/>
      <c r="J107" s="22"/>
      <c r="K107" s="22"/>
      <c r="L107" s="22"/>
      <c r="M107" s="22"/>
      <c r="N107" s="28" t="s">
        <v>297</v>
      </c>
      <c r="O107" s="21" t="s">
        <v>298</v>
      </c>
      <c r="P107" s="37">
        <v>50000000</v>
      </c>
      <c r="Q107" s="37">
        <v>19839939</v>
      </c>
    </row>
    <row r="108" spans="1:17" ht="24" x14ac:dyDescent="0.25">
      <c r="A108" s="1171"/>
      <c r="B108" s="1171"/>
      <c r="C108" s="1171"/>
      <c r="D108" s="1171"/>
      <c r="E108" s="1171"/>
      <c r="F108" s="1171"/>
      <c r="G108" s="1171"/>
      <c r="H108" s="1174"/>
      <c r="I108" s="1177"/>
      <c r="J108" s="22"/>
      <c r="K108" s="22"/>
      <c r="L108" s="22"/>
      <c r="M108" s="22"/>
      <c r="N108" s="28" t="s">
        <v>183</v>
      </c>
      <c r="O108" s="21" t="s">
        <v>184</v>
      </c>
      <c r="P108" s="37">
        <v>50000000</v>
      </c>
      <c r="Q108" s="39">
        <v>154606753</v>
      </c>
    </row>
    <row r="109" spans="1:17" ht="24" x14ac:dyDescent="0.25">
      <c r="A109" s="1171"/>
      <c r="B109" s="1171"/>
      <c r="C109" s="1171"/>
      <c r="D109" s="1171"/>
      <c r="E109" s="1171"/>
      <c r="F109" s="1171"/>
      <c r="G109" s="1171"/>
      <c r="H109" s="1174"/>
      <c r="I109" s="1177"/>
      <c r="J109" s="22"/>
      <c r="K109" s="22"/>
      <c r="L109" s="22"/>
      <c r="M109" s="22"/>
      <c r="N109" s="28" t="s">
        <v>254</v>
      </c>
      <c r="O109" s="21" t="s">
        <v>255</v>
      </c>
      <c r="P109" s="37">
        <v>50000000</v>
      </c>
      <c r="Q109" s="37">
        <v>40799973</v>
      </c>
    </row>
    <row r="110" spans="1:17" ht="36" x14ac:dyDescent="0.25">
      <c r="A110" s="1171"/>
      <c r="B110" s="1171"/>
      <c r="C110" s="1171"/>
      <c r="D110" s="1171"/>
      <c r="E110" s="1171"/>
      <c r="F110" s="1171"/>
      <c r="G110" s="1171"/>
      <c r="H110" s="1174"/>
      <c r="I110" s="1177"/>
      <c r="J110" s="22"/>
      <c r="K110" s="22"/>
      <c r="L110" s="22"/>
      <c r="M110" s="22"/>
      <c r="N110" s="28" t="s">
        <v>82</v>
      </c>
      <c r="O110" s="21" t="s">
        <v>83</v>
      </c>
      <c r="P110" s="37">
        <v>50000000</v>
      </c>
      <c r="Q110" s="37">
        <v>17014285</v>
      </c>
    </row>
    <row r="111" spans="1:17" ht="36" x14ac:dyDescent="0.25">
      <c r="A111" s="1171"/>
      <c r="B111" s="1171"/>
      <c r="C111" s="1171"/>
      <c r="D111" s="1171"/>
      <c r="E111" s="1171"/>
      <c r="F111" s="1171"/>
      <c r="G111" s="1171"/>
      <c r="H111" s="1174"/>
      <c r="I111" s="1177"/>
      <c r="J111" s="22"/>
      <c r="K111" s="22"/>
      <c r="L111" s="22"/>
      <c r="M111" s="22"/>
      <c r="N111" s="28" t="s">
        <v>258</v>
      </c>
      <c r="O111" s="21" t="s">
        <v>259</v>
      </c>
      <c r="P111" s="37">
        <v>50000000</v>
      </c>
      <c r="Q111" s="37">
        <v>74218555</v>
      </c>
    </row>
    <row r="112" spans="1:17" ht="24" x14ac:dyDescent="0.25">
      <c r="A112" s="1171"/>
      <c r="B112" s="1171"/>
      <c r="C112" s="1171"/>
      <c r="D112" s="1171"/>
      <c r="E112" s="1171"/>
      <c r="F112" s="1171"/>
      <c r="G112" s="1171"/>
      <c r="H112" s="1174"/>
      <c r="I112" s="1177"/>
      <c r="J112" s="22"/>
      <c r="K112" s="22"/>
      <c r="L112" s="22"/>
      <c r="M112" s="22"/>
      <c r="N112" s="28" t="s">
        <v>609</v>
      </c>
      <c r="O112" s="21" t="s">
        <v>610</v>
      </c>
      <c r="P112" s="29">
        <v>1</v>
      </c>
      <c r="Q112" s="29">
        <v>0</v>
      </c>
    </row>
    <row r="113" spans="1:17" ht="24" x14ac:dyDescent="0.25">
      <c r="A113" s="1171"/>
      <c r="B113" s="1171"/>
      <c r="C113" s="1171"/>
      <c r="D113" s="1171"/>
      <c r="E113" s="1171"/>
      <c r="F113" s="1171"/>
      <c r="G113" s="1171"/>
      <c r="H113" s="1174"/>
      <c r="I113" s="1177"/>
      <c r="J113" s="22"/>
      <c r="K113" s="22"/>
      <c r="L113" s="22"/>
      <c r="M113" s="22"/>
      <c r="N113" s="28" t="s">
        <v>248</v>
      </c>
      <c r="O113" s="21" t="s">
        <v>249</v>
      </c>
      <c r="P113" s="37">
        <v>50000000</v>
      </c>
      <c r="Q113" s="37">
        <v>49804424</v>
      </c>
    </row>
    <row r="114" spans="1:17" ht="36" x14ac:dyDescent="0.25">
      <c r="A114" s="1171"/>
      <c r="B114" s="1171"/>
      <c r="C114" s="1171"/>
      <c r="D114" s="1171"/>
      <c r="E114" s="1171"/>
      <c r="F114" s="1171"/>
      <c r="G114" s="1171"/>
      <c r="H114" s="1174"/>
      <c r="I114" s="1177"/>
      <c r="J114" s="22"/>
      <c r="K114" s="22"/>
      <c r="L114" s="22"/>
      <c r="M114" s="22"/>
      <c r="N114" s="28" t="s">
        <v>310</v>
      </c>
      <c r="O114" s="21" t="s">
        <v>311</v>
      </c>
      <c r="P114" s="37">
        <v>50000000</v>
      </c>
      <c r="Q114" s="37">
        <v>33695148</v>
      </c>
    </row>
    <row r="115" spans="1:17" ht="36" x14ac:dyDescent="0.25">
      <c r="A115" s="1171"/>
      <c r="B115" s="1171"/>
      <c r="C115" s="1171"/>
      <c r="D115" s="1171"/>
      <c r="E115" s="1171"/>
      <c r="F115" s="1171"/>
      <c r="G115" s="1171"/>
      <c r="H115" s="1174"/>
      <c r="I115" s="1177"/>
      <c r="J115" s="22"/>
      <c r="K115" s="22"/>
      <c r="L115" s="22"/>
      <c r="M115" s="22"/>
      <c r="N115" s="28" t="s">
        <v>137</v>
      </c>
      <c r="O115" s="21" t="s">
        <v>138</v>
      </c>
      <c r="P115" s="37">
        <v>50000000</v>
      </c>
      <c r="Q115" s="39">
        <v>313301535</v>
      </c>
    </row>
    <row r="116" spans="1:17" ht="24" x14ac:dyDescent="0.25">
      <c r="A116" s="1171"/>
      <c r="B116" s="1171"/>
      <c r="C116" s="1171"/>
      <c r="D116" s="1171"/>
      <c r="E116" s="1171"/>
      <c r="F116" s="1171"/>
      <c r="G116" s="1171"/>
      <c r="H116" s="1174"/>
      <c r="I116" s="1177"/>
      <c r="J116" s="22"/>
      <c r="K116" s="22"/>
      <c r="L116" s="22"/>
      <c r="M116" s="22"/>
      <c r="N116" s="28" t="s">
        <v>279</v>
      </c>
      <c r="O116" s="21" t="s">
        <v>280</v>
      </c>
      <c r="P116" s="37">
        <v>50000000</v>
      </c>
      <c r="Q116" s="37">
        <v>10925327</v>
      </c>
    </row>
    <row r="117" spans="1:17" ht="24" x14ac:dyDescent="0.25">
      <c r="A117" s="1171"/>
      <c r="B117" s="1171"/>
      <c r="C117" s="1171"/>
      <c r="D117" s="1171"/>
      <c r="E117" s="1171"/>
      <c r="F117" s="1171"/>
      <c r="G117" s="1171"/>
      <c r="H117" s="1174"/>
      <c r="I117" s="1177"/>
      <c r="J117" s="22"/>
      <c r="K117" s="22"/>
      <c r="L117" s="22"/>
      <c r="M117" s="22"/>
      <c r="N117" s="28" t="s">
        <v>175</v>
      </c>
      <c r="O117" s="21" t="s">
        <v>176</v>
      </c>
      <c r="P117" s="37">
        <v>50000000</v>
      </c>
      <c r="Q117" s="39">
        <v>178999305</v>
      </c>
    </row>
    <row r="118" spans="1:17" ht="36" x14ac:dyDescent="0.25">
      <c r="A118" s="1172"/>
      <c r="B118" s="1172"/>
      <c r="C118" s="1172"/>
      <c r="D118" s="1172"/>
      <c r="E118" s="1172"/>
      <c r="F118" s="1172"/>
      <c r="G118" s="1172"/>
      <c r="H118" s="1175"/>
      <c r="I118" s="1178"/>
      <c r="J118" s="22"/>
      <c r="K118" s="22"/>
      <c r="L118" s="22"/>
      <c r="M118" s="22"/>
      <c r="N118" s="28" t="s">
        <v>167</v>
      </c>
      <c r="O118" s="21" t="s">
        <v>168</v>
      </c>
      <c r="P118" s="37">
        <v>50000000</v>
      </c>
      <c r="Q118" s="39">
        <v>258193033</v>
      </c>
    </row>
    <row r="119" spans="1:17" ht="24" x14ac:dyDescent="0.25">
      <c r="A119" s="18">
        <v>77</v>
      </c>
      <c r="B119" s="18" t="s">
        <v>591</v>
      </c>
      <c r="C119" s="18" t="s">
        <v>592</v>
      </c>
      <c r="D119" s="18" t="s">
        <v>593</v>
      </c>
      <c r="E119" s="18" t="s">
        <v>594</v>
      </c>
      <c r="F119" s="18" t="s">
        <v>611</v>
      </c>
      <c r="G119" s="18" t="s">
        <v>612</v>
      </c>
      <c r="H119" s="19">
        <v>0</v>
      </c>
      <c r="I119" s="33">
        <v>20000000</v>
      </c>
      <c r="J119" s="21"/>
      <c r="K119" s="22"/>
      <c r="L119" s="22"/>
      <c r="M119" s="22"/>
      <c r="N119" s="28"/>
      <c r="O119" s="22"/>
      <c r="P119" s="22"/>
      <c r="Q119" s="22"/>
    </row>
    <row r="120" spans="1:17" ht="36" x14ac:dyDescent="0.25">
      <c r="A120" s="1170">
        <v>78</v>
      </c>
      <c r="B120" s="1170" t="s">
        <v>591</v>
      </c>
      <c r="C120" s="1170" t="s">
        <v>592</v>
      </c>
      <c r="D120" s="1170" t="s">
        <v>613</v>
      </c>
      <c r="E120" s="1170" t="s">
        <v>647</v>
      </c>
      <c r="F120" s="1170" t="s">
        <v>614</v>
      </c>
      <c r="G120" s="1170" t="s">
        <v>638</v>
      </c>
      <c r="H120" s="1173">
        <v>0</v>
      </c>
      <c r="I120" s="1176">
        <v>50000000</v>
      </c>
      <c r="J120" s="21"/>
      <c r="K120" s="22"/>
      <c r="L120" s="22"/>
      <c r="M120" s="22"/>
      <c r="N120" s="28" t="s">
        <v>377</v>
      </c>
      <c r="O120" s="21" t="s">
        <v>378</v>
      </c>
      <c r="P120" s="37">
        <v>25000000</v>
      </c>
      <c r="Q120" s="39">
        <v>79698566</v>
      </c>
    </row>
    <row r="121" spans="1:17" ht="36" x14ac:dyDescent="0.25">
      <c r="A121" s="1172"/>
      <c r="B121" s="1172"/>
      <c r="C121" s="1172"/>
      <c r="D121" s="1172"/>
      <c r="E121" s="1172"/>
      <c r="F121" s="1172"/>
      <c r="G121" s="1172"/>
      <c r="H121" s="1175"/>
      <c r="I121" s="1178"/>
      <c r="J121" s="22"/>
      <c r="K121" s="22"/>
      <c r="L121" s="22"/>
      <c r="M121" s="22"/>
      <c r="N121" s="28" t="s">
        <v>57</v>
      </c>
      <c r="O121" s="21" t="s">
        <v>58</v>
      </c>
      <c r="P121" s="37">
        <v>25000000</v>
      </c>
      <c r="Q121" s="37">
        <v>9300000</v>
      </c>
    </row>
    <row r="122" spans="1:17" ht="24" x14ac:dyDescent="0.25">
      <c r="A122" s="18">
        <v>79</v>
      </c>
      <c r="B122" s="18" t="s">
        <v>591</v>
      </c>
      <c r="C122" s="18" t="s">
        <v>592</v>
      </c>
      <c r="D122" s="18" t="s">
        <v>613</v>
      </c>
      <c r="E122" s="1170" t="s">
        <v>647</v>
      </c>
      <c r="F122" s="18" t="s">
        <v>615</v>
      </c>
      <c r="G122" s="18" t="s">
        <v>649</v>
      </c>
      <c r="H122" s="19">
        <v>0</v>
      </c>
      <c r="I122" s="20">
        <v>0</v>
      </c>
      <c r="J122" s="21"/>
      <c r="K122" s="22"/>
      <c r="L122" s="22"/>
      <c r="M122" s="22"/>
      <c r="N122" s="28"/>
      <c r="O122" s="22"/>
      <c r="P122" s="22"/>
      <c r="Q122" s="22"/>
    </row>
    <row r="123" spans="1:17" ht="24" x14ac:dyDescent="0.25">
      <c r="A123" s="18">
        <v>80</v>
      </c>
      <c r="B123" s="18" t="s">
        <v>591</v>
      </c>
      <c r="C123" s="18" t="s">
        <v>592</v>
      </c>
      <c r="D123" s="18" t="s">
        <v>613</v>
      </c>
      <c r="E123" s="1172"/>
      <c r="F123" s="18" t="s">
        <v>616</v>
      </c>
      <c r="G123" s="18" t="s">
        <v>650</v>
      </c>
      <c r="H123" s="19">
        <v>0</v>
      </c>
      <c r="I123" s="33">
        <v>50000000</v>
      </c>
      <c r="J123" s="21"/>
      <c r="K123" s="22"/>
      <c r="L123" s="22"/>
      <c r="M123" s="22"/>
      <c r="N123" s="28" t="s">
        <v>122</v>
      </c>
      <c r="O123" s="21" t="s">
        <v>123</v>
      </c>
      <c r="P123" s="37">
        <v>50000000</v>
      </c>
      <c r="Q123" s="39">
        <v>107715743</v>
      </c>
    </row>
    <row r="124" spans="1:17" ht="36" x14ac:dyDescent="0.25">
      <c r="A124" s="18">
        <v>81</v>
      </c>
      <c r="B124" s="18" t="s">
        <v>591</v>
      </c>
      <c r="C124" s="18" t="s">
        <v>592</v>
      </c>
      <c r="D124" s="18" t="s">
        <v>617</v>
      </c>
      <c r="E124" s="18" t="s">
        <v>648</v>
      </c>
      <c r="F124" s="18" t="s">
        <v>618</v>
      </c>
      <c r="G124" s="18" t="s">
        <v>638</v>
      </c>
      <c r="H124" s="19">
        <v>0</v>
      </c>
      <c r="I124" s="33">
        <v>50000000</v>
      </c>
      <c r="J124" s="21"/>
      <c r="K124" s="22"/>
      <c r="L124" s="22"/>
      <c r="M124" s="22"/>
      <c r="N124" s="28" t="s">
        <v>14</v>
      </c>
      <c r="O124" s="21" t="s">
        <v>15</v>
      </c>
      <c r="P124" s="37">
        <v>50000000</v>
      </c>
      <c r="Q124" s="37">
        <v>13543788</v>
      </c>
    </row>
    <row r="125" spans="1:17" ht="36" x14ac:dyDescent="0.25">
      <c r="A125" s="18">
        <v>82</v>
      </c>
      <c r="B125" s="18" t="s">
        <v>591</v>
      </c>
      <c r="C125" s="18" t="s">
        <v>592</v>
      </c>
      <c r="D125" s="18" t="s">
        <v>617</v>
      </c>
      <c r="E125" s="18" t="s">
        <v>648</v>
      </c>
      <c r="F125" s="18" t="s">
        <v>619</v>
      </c>
      <c r="G125" s="18" t="s">
        <v>651</v>
      </c>
      <c r="H125" s="19">
        <v>0</v>
      </c>
      <c r="I125" s="20">
        <v>0</v>
      </c>
      <c r="J125" s="21"/>
      <c r="K125" s="22"/>
      <c r="L125" s="22"/>
      <c r="M125" s="22"/>
      <c r="N125" s="28"/>
      <c r="O125" s="22"/>
      <c r="P125" s="22"/>
      <c r="Q125" s="22"/>
    </row>
    <row r="126" spans="1:17" ht="24" x14ac:dyDescent="0.25">
      <c r="A126" s="18">
        <v>83</v>
      </c>
      <c r="B126" s="18" t="s">
        <v>591</v>
      </c>
      <c r="C126" s="18" t="s">
        <v>592</v>
      </c>
      <c r="D126" s="18" t="s">
        <v>617</v>
      </c>
      <c r="E126" s="18" t="s">
        <v>648</v>
      </c>
      <c r="F126" s="18" t="s">
        <v>620</v>
      </c>
      <c r="G126" s="18" t="s">
        <v>621</v>
      </c>
      <c r="H126" s="19">
        <v>0</v>
      </c>
      <c r="I126" s="20">
        <v>0</v>
      </c>
      <c r="J126" s="21"/>
      <c r="K126" s="22"/>
      <c r="L126" s="22"/>
      <c r="M126" s="22"/>
      <c r="N126" s="28"/>
      <c r="O126" s="22"/>
      <c r="P126" s="22"/>
      <c r="Q126" s="22"/>
    </row>
    <row r="127" spans="1:17" x14ac:dyDescent="0.25">
      <c r="A127" s="1179" t="s">
        <v>622</v>
      </c>
      <c r="B127" s="1180"/>
      <c r="C127" s="1180"/>
      <c r="D127" s="1180"/>
      <c r="E127" s="1180"/>
      <c r="F127" s="1180"/>
      <c r="G127" s="1181"/>
      <c r="H127" s="35">
        <f>SUM(H6:H126)</f>
        <v>3211000000</v>
      </c>
      <c r="I127" s="35">
        <f>SUM(I6:I126)</f>
        <v>29672000000</v>
      </c>
      <c r="J127" s="1178"/>
      <c r="K127" s="1182"/>
      <c r="L127" s="1182"/>
      <c r="M127" s="1183"/>
      <c r="N127" s="31"/>
      <c r="O127" s="32"/>
      <c r="P127" s="35">
        <f>SUM(P6:P126)</f>
        <v>7280000221</v>
      </c>
      <c r="Q127" s="35">
        <f>SUM(Q6:Q126)</f>
        <v>13123188897</v>
      </c>
    </row>
  </sheetData>
  <mergeCells count="41">
    <mergeCell ref="A127:G127"/>
    <mergeCell ref="J127:M127"/>
    <mergeCell ref="E122:E123"/>
    <mergeCell ref="H83:H118"/>
    <mergeCell ref="I83:I118"/>
    <mergeCell ref="A120:A121"/>
    <mergeCell ref="B120:B121"/>
    <mergeCell ref="C120:C121"/>
    <mergeCell ref="D120:D121"/>
    <mergeCell ref="E120:E121"/>
    <mergeCell ref="F120:F121"/>
    <mergeCell ref="G120:G121"/>
    <mergeCell ref="H120:H121"/>
    <mergeCell ref="I120:I121"/>
    <mergeCell ref="F79:F81"/>
    <mergeCell ref="G79:G81"/>
    <mergeCell ref="H79:H81"/>
    <mergeCell ref="I79:I81"/>
    <mergeCell ref="A83:A118"/>
    <mergeCell ref="B83:B118"/>
    <mergeCell ref="C83:C118"/>
    <mergeCell ref="D83:D118"/>
    <mergeCell ref="E83:E118"/>
    <mergeCell ref="F83:F118"/>
    <mergeCell ref="A79:A81"/>
    <mergeCell ref="B79:B81"/>
    <mergeCell ref="C79:C81"/>
    <mergeCell ref="D79:D81"/>
    <mergeCell ref="E79:E81"/>
    <mergeCell ref="G83:G118"/>
    <mergeCell ref="G4:G5"/>
    <mergeCell ref="H4:H5"/>
    <mergeCell ref="I4:I5"/>
    <mergeCell ref="J4:M4"/>
    <mergeCell ref="N4:Q4"/>
    <mergeCell ref="F4:F5"/>
    <mergeCell ref="A4:A5"/>
    <mergeCell ref="B4:B5"/>
    <mergeCell ref="C4:C5"/>
    <mergeCell ref="D4:D5"/>
    <mergeCell ref="E4:E5"/>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F76"/>
  <sheetViews>
    <sheetView zoomScale="70" zoomScaleNormal="70" zoomScaleSheetLayoutView="80" workbookViewId="0">
      <pane ySplit="2" topLeftCell="A3" activePane="bottomLeft" state="frozen"/>
      <selection pane="bottomLeft" activeCell="H60" sqref="H60"/>
    </sheetView>
  </sheetViews>
  <sheetFormatPr baseColWidth="10" defaultColWidth="11.42578125" defaultRowHeight="12.75" x14ac:dyDescent="0.2"/>
  <cols>
    <col min="1" max="1" width="23.85546875" style="8" customWidth="1"/>
    <col min="2" max="2" width="20.28515625" style="8" customWidth="1"/>
    <col min="3" max="3" width="17.42578125" style="8" customWidth="1"/>
    <col min="4" max="4" width="20" style="8" customWidth="1"/>
    <col min="5" max="5" width="24.28515625" style="8" customWidth="1"/>
    <col min="6" max="6" width="23.42578125" style="8" customWidth="1"/>
    <col min="7" max="233" width="11.42578125" style="8"/>
    <col min="234" max="234" width="5.28515625" style="8" customWidth="1"/>
    <col min="235" max="235" width="6.85546875" style="8" customWidth="1"/>
    <col min="236" max="236" width="18" style="8" customWidth="1"/>
    <col min="237" max="237" width="12" style="8" customWidth="1"/>
    <col min="238" max="238" width="11.28515625" style="8" customWidth="1"/>
    <col min="239" max="239" width="22.140625" style="8" customWidth="1"/>
    <col min="240" max="240" width="20.5703125" style="8" customWidth="1"/>
    <col min="241" max="241" width="20" style="8" customWidth="1"/>
    <col min="242" max="242" width="11.85546875" style="8" customWidth="1"/>
    <col min="243" max="243" width="11.42578125" style="8" customWidth="1"/>
    <col min="244" max="244" width="24.28515625" style="8" customWidth="1"/>
    <col min="245" max="245" width="15.28515625" style="8" customWidth="1"/>
    <col min="246" max="246" width="23.42578125" style="8" customWidth="1"/>
    <col min="247" max="247" width="8.42578125" style="8" customWidth="1"/>
    <col min="248" max="248" width="8.140625" style="8" customWidth="1"/>
    <col min="249" max="250" width="8.7109375" style="8" customWidth="1"/>
    <col min="251" max="254" width="7.28515625" style="8" bestFit="1" customWidth="1"/>
    <col min="255" max="255" width="0" style="8" hidden="1" customWidth="1"/>
    <col min="256" max="256" width="9.140625" style="8" bestFit="1" customWidth="1"/>
    <col min="257" max="489" width="11.42578125" style="8"/>
    <col min="490" max="490" width="5.28515625" style="8" customWidth="1"/>
    <col min="491" max="491" width="6.85546875" style="8" customWidth="1"/>
    <col min="492" max="492" width="18" style="8" customWidth="1"/>
    <col min="493" max="493" width="12" style="8" customWidth="1"/>
    <col min="494" max="494" width="11.28515625" style="8" customWidth="1"/>
    <col min="495" max="495" width="22.140625" style="8" customWidth="1"/>
    <col min="496" max="496" width="20.5703125" style="8" customWidth="1"/>
    <col min="497" max="497" width="20" style="8" customWidth="1"/>
    <col min="498" max="498" width="11.85546875" style="8" customWidth="1"/>
    <col min="499" max="499" width="11.42578125" style="8" customWidth="1"/>
    <col min="500" max="500" width="24.28515625" style="8" customWidth="1"/>
    <col min="501" max="501" width="15.28515625" style="8" customWidth="1"/>
    <col min="502" max="502" width="23.42578125" style="8" customWidth="1"/>
    <col min="503" max="503" width="8.42578125" style="8" customWidth="1"/>
    <col min="504" max="504" width="8.140625" style="8" customWidth="1"/>
    <col min="505" max="506" width="8.7109375" style="8" customWidth="1"/>
    <col min="507" max="510" width="7.28515625" style="8" bestFit="1" customWidth="1"/>
    <col min="511" max="511" width="0" style="8" hidden="1" customWidth="1"/>
    <col min="512" max="512" width="9.140625" style="8" bestFit="1" customWidth="1"/>
    <col min="513" max="745" width="11.42578125" style="8"/>
    <col min="746" max="746" width="5.28515625" style="8" customWidth="1"/>
    <col min="747" max="747" width="6.85546875" style="8" customWidth="1"/>
    <col min="748" max="748" width="18" style="8" customWidth="1"/>
    <col min="749" max="749" width="12" style="8" customWidth="1"/>
    <col min="750" max="750" width="11.28515625" style="8" customWidth="1"/>
    <col min="751" max="751" width="22.140625" style="8" customWidth="1"/>
    <col min="752" max="752" width="20.5703125" style="8" customWidth="1"/>
    <col min="753" max="753" width="20" style="8" customWidth="1"/>
    <col min="754" max="754" width="11.85546875" style="8" customWidth="1"/>
    <col min="755" max="755" width="11.42578125" style="8" customWidth="1"/>
    <col min="756" max="756" width="24.28515625" style="8" customWidth="1"/>
    <col min="757" max="757" width="15.28515625" style="8" customWidth="1"/>
    <col min="758" max="758" width="23.42578125" style="8" customWidth="1"/>
    <col min="759" max="759" width="8.42578125" style="8" customWidth="1"/>
    <col min="760" max="760" width="8.140625" style="8" customWidth="1"/>
    <col min="761" max="762" width="8.7109375" style="8" customWidth="1"/>
    <col min="763" max="766" width="7.28515625" style="8" bestFit="1" customWidth="1"/>
    <col min="767" max="767" width="0" style="8" hidden="1" customWidth="1"/>
    <col min="768" max="768" width="9.140625" style="8" bestFit="1" customWidth="1"/>
    <col min="769" max="1001" width="11.42578125" style="8"/>
    <col min="1002" max="1002" width="5.28515625" style="8" customWidth="1"/>
    <col min="1003" max="1003" width="6.85546875" style="8" customWidth="1"/>
    <col min="1004" max="1004" width="18" style="8" customWidth="1"/>
    <col min="1005" max="1005" width="12" style="8" customWidth="1"/>
    <col min="1006" max="1006" width="11.28515625" style="8" customWidth="1"/>
    <col min="1007" max="1007" width="22.140625" style="8" customWidth="1"/>
    <col min="1008" max="1008" width="20.5703125" style="8" customWidth="1"/>
    <col min="1009" max="1009" width="20" style="8" customWidth="1"/>
    <col min="1010" max="1010" width="11.85546875" style="8" customWidth="1"/>
    <col min="1011" max="1011" width="11.42578125" style="8" customWidth="1"/>
    <col min="1012" max="1012" width="24.28515625" style="8" customWidth="1"/>
    <col min="1013" max="1013" width="15.28515625" style="8" customWidth="1"/>
    <col min="1014" max="1014" width="23.42578125" style="8" customWidth="1"/>
    <col min="1015" max="1015" width="8.42578125" style="8" customWidth="1"/>
    <col min="1016" max="1016" width="8.140625" style="8" customWidth="1"/>
    <col min="1017" max="1018" width="8.7109375" style="8" customWidth="1"/>
    <col min="1019" max="1022" width="7.28515625" style="8" bestFit="1" customWidth="1"/>
    <col min="1023" max="1023" width="0" style="8" hidden="1" customWidth="1"/>
    <col min="1024" max="1024" width="9.140625" style="8" bestFit="1" customWidth="1"/>
    <col min="1025" max="1257" width="11.42578125" style="8"/>
    <col min="1258" max="1258" width="5.28515625" style="8" customWidth="1"/>
    <col min="1259" max="1259" width="6.85546875" style="8" customWidth="1"/>
    <col min="1260" max="1260" width="18" style="8" customWidth="1"/>
    <col min="1261" max="1261" width="12" style="8" customWidth="1"/>
    <col min="1262" max="1262" width="11.28515625" style="8" customWidth="1"/>
    <col min="1263" max="1263" width="22.140625" style="8" customWidth="1"/>
    <col min="1264" max="1264" width="20.5703125" style="8" customWidth="1"/>
    <col min="1265" max="1265" width="20" style="8" customWidth="1"/>
    <col min="1266" max="1266" width="11.85546875" style="8" customWidth="1"/>
    <col min="1267" max="1267" width="11.42578125" style="8" customWidth="1"/>
    <col min="1268" max="1268" width="24.28515625" style="8" customWidth="1"/>
    <col min="1269" max="1269" width="15.28515625" style="8" customWidth="1"/>
    <col min="1270" max="1270" width="23.42578125" style="8" customWidth="1"/>
    <col min="1271" max="1271" width="8.42578125" style="8" customWidth="1"/>
    <col min="1272" max="1272" width="8.140625" style="8" customWidth="1"/>
    <col min="1273" max="1274" width="8.7109375" style="8" customWidth="1"/>
    <col min="1275" max="1278" width="7.28515625" style="8" bestFit="1" customWidth="1"/>
    <col min="1279" max="1279" width="0" style="8" hidden="1" customWidth="1"/>
    <col min="1280" max="1280" width="9.140625" style="8" bestFit="1" customWidth="1"/>
    <col min="1281" max="1513" width="11.42578125" style="8"/>
    <col min="1514" max="1514" width="5.28515625" style="8" customWidth="1"/>
    <col min="1515" max="1515" width="6.85546875" style="8" customWidth="1"/>
    <col min="1516" max="1516" width="18" style="8" customWidth="1"/>
    <col min="1517" max="1517" width="12" style="8" customWidth="1"/>
    <col min="1518" max="1518" width="11.28515625" style="8" customWidth="1"/>
    <col min="1519" max="1519" width="22.140625" style="8" customWidth="1"/>
    <col min="1520" max="1520" width="20.5703125" style="8" customWidth="1"/>
    <col min="1521" max="1521" width="20" style="8" customWidth="1"/>
    <col min="1522" max="1522" width="11.85546875" style="8" customWidth="1"/>
    <col min="1523" max="1523" width="11.42578125" style="8" customWidth="1"/>
    <col min="1524" max="1524" width="24.28515625" style="8" customWidth="1"/>
    <col min="1525" max="1525" width="15.28515625" style="8" customWidth="1"/>
    <col min="1526" max="1526" width="23.42578125" style="8" customWidth="1"/>
    <col min="1527" max="1527" width="8.42578125" style="8" customWidth="1"/>
    <col min="1528" max="1528" width="8.140625" style="8" customWidth="1"/>
    <col min="1529" max="1530" width="8.7109375" style="8" customWidth="1"/>
    <col min="1531" max="1534" width="7.28515625" style="8" bestFit="1" customWidth="1"/>
    <col min="1535" max="1535" width="0" style="8" hidden="1" customWidth="1"/>
    <col min="1536" max="1536" width="9.140625" style="8" bestFit="1" customWidth="1"/>
    <col min="1537" max="1769" width="11.42578125" style="8"/>
    <col min="1770" max="1770" width="5.28515625" style="8" customWidth="1"/>
    <col min="1771" max="1771" width="6.85546875" style="8" customWidth="1"/>
    <col min="1772" max="1772" width="18" style="8" customWidth="1"/>
    <col min="1773" max="1773" width="12" style="8" customWidth="1"/>
    <col min="1774" max="1774" width="11.28515625" style="8" customWidth="1"/>
    <col min="1775" max="1775" width="22.140625" style="8" customWidth="1"/>
    <col min="1776" max="1776" width="20.5703125" style="8" customWidth="1"/>
    <col min="1777" max="1777" width="20" style="8" customWidth="1"/>
    <col min="1778" max="1778" width="11.85546875" style="8" customWidth="1"/>
    <col min="1779" max="1779" width="11.42578125" style="8" customWidth="1"/>
    <col min="1780" max="1780" width="24.28515625" style="8" customWidth="1"/>
    <col min="1781" max="1781" width="15.28515625" style="8" customWidth="1"/>
    <col min="1782" max="1782" width="23.42578125" style="8" customWidth="1"/>
    <col min="1783" max="1783" width="8.42578125" style="8" customWidth="1"/>
    <col min="1784" max="1784" width="8.140625" style="8" customWidth="1"/>
    <col min="1785" max="1786" width="8.7109375" style="8" customWidth="1"/>
    <col min="1787" max="1790" width="7.28515625" style="8" bestFit="1" customWidth="1"/>
    <col min="1791" max="1791" width="0" style="8" hidden="1" customWidth="1"/>
    <col min="1792" max="1792" width="9.140625" style="8" bestFit="1" customWidth="1"/>
    <col min="1793" max="2025" width="11.42578125" style="8"/>
    <col min="2026" max="2026" width="5.28515625" style="8" customWidth="1"/>
    <col min="2027" max="2027" width="6.85546875" style="8" customWidth="1"/>
    <col min="2028" max="2028" width="18" style="8" customWidth="1"/>
    <col min="2029" max="2029" width="12" style="8" customWidth="1"/>
    <col min="2030" max="2030" width="11.28515625" style="8" customWidth="1"/>
    <col min="2031" max="2031" width="22.140625" style="8" customWidth="1"/>
    <col min="2032" max="2032" width="20.5703125" style="8" customWidth="1"/>
    <col min="2033" max="2033" width="20" style="8" customWidth="1"/>
    <col min="2034" max="2034" width="11.85546875" style="8" customWidth="1"/>
    <col min="2035" max="2035" width="11.42578125" style="8" customWidth="1"/>
    <col min="2036" max="2036" width="24.28515625" style="8" customWidth="1"/>
    <col min="2037" max="2037" width="15.28515625" style="8" customWidth="1"/>
    <col min="2038" max="2038" width="23.42578125" style="8" customWidth="1"/>
    <col min="2039" max="2039" width="8.42578125" style="8" customWidth="1"/>
    <col min="2040" max="2040" width="8.140625" style="8" customWidth="1"/>
    <col min="2041" max="2042" width="8.7109375" style="8" customWidth="1"/>
    <col min="2043" max="2046" width="7.28515625" style="8" bestFit="1" customWidth="1"/>
    <col min="2047" max="2047" width="0" style="8" hidden="1" customWidth="1"/>
    <col min="2048" max="2048" width="9.140625" style="8" bestFit="1" customWidth="1"/>
    <col min="2049" max="2281" width="11.42578125" style="8"/>
    <col min="2282" max="2282" width="5.28515625" style="8" customWidth="1"/>
    <col min="2283" max="2283" width="6.85546875" style="8" customWidth="1"/>
    <col min="2284" max="2284" width="18" style="8" customWidth="1"/>
    <col min="2285" max="2285" width="12" style="8" customWidth="1"/>
    <col min="2286" max="2286" width="11.28515625" style="8" customWidth="1"/>
    <col min="2287" max="2287" width="22.140625" style="8" customWidth="1"/>
    <col min="2288" max="2288" width="20.5703125" style="8" customWidth="1"/>
    <col min="2289" max="2289" width="20" style="8" customWidth="1"/>
    <col min="2290" max="2290" width="11.85546875" style="8" customWidth="1"/>
    <col min="2291" max="2291" width="11.42578125" style="8" customWidth="1"/>
    <col min="2292" max="2292" width="24.28515625" style="8" customWidth="1"/>
    <col min="2293" max="2293" width="15.28515625" style="8" customWidth="1"/>
    <col min="2294" max="2294" width="23.42578125" style="8" customWidth="1"/>
    <col min="2295" max="2295" width="8.42578125" style="8" customWidth="1"/>
    <col min="2296" max="2296" width="8.140625" style="8" customWidth="1"/>
    <col min="2297" max="2298" width="8.7109375" style="8" customWidth="1"/>
    <col min="2299" max="2302" width="7.28515625" style="8" bestFit="1" customWidth="1"/>
    <col min="2303" max="2303" width="0" style="8" hidden="1" customWidth="1"/>
    <col min="2304" max="2304" width="9.140625" style="8" bestFit="1" customWidth="1"/>
    <col min="2305" max="2537" width="11.42578125" style="8"/>
    <col min="2538" max="2538" width="5.28515625" style="8" customWidth="1"/>
    <col min="2539" max="2539" width="6.85546875" style="8" customWidth="1"/>
    <col min="2540" max="2540" width="18" style="8" customWidth="1"/>
    <col min="2541" max="2541" width="12" style="8" customWidth="1"/>
    <col min="2542" max="2542" width="11.28515625" style="8" customWidth="1"/>
    <col min="2543" max="2543" width="22.140625" style="8" customWidth="1"/>
    <col min="2544" max="2544" width="20.5703125" style="8" customWidth="1"/>
    <col min="2545" max="2545" width="20" style="8" customWidth="1"/>
    <col min="2546" max="2546" width="11.85546875" style="8" customWidth="1"/>
    <col min="2547" max="2547" width="11.42578125" style="8" customWidth="1"/>
    <col min="2548" max="2548" width="24.28515625" style="8" customWidth="1"/>
    <col min="2549" max="2549" width="15.28515625" style="8" customWidth="1"/>
    <col min="2550" max="2550" width="23.42578125" style="8" customWidth="1"/>
    <col min="2551" max="2551" width="8.42578125" style="8" customWidth="1"/>
    <col min="2552" max="2552" width="8.140625" style="8" customWidth="1"/>
    <col min="2553" max="2554" width="8.7109375" style="8" customWidth="1"/>
    <col min="2555" max="2558" width="7.28515625" style="8" bestFit="1" customWidth="1"/>
    <col min="2559" max="2559" width="0" style="8" hidden="1" customWidth="1"/>
    <col min="2560" max="2560" width="9.140625" style="8" bestFit="1" customWidth="1"/>
    <col min="2561" max="2793" width="11.42578125" style="8"/>
    <col min="2794" max="2794" width="5.28515625" style="8" customWidth="1"/>
    <col min="2795" max="2795" width="6.85546875" style="8" customWidth="1"/>
    <col min="2796" max="2796" width="18" style="8" customWidth="1"/>
    <col min="2797" max="2797" width="12" style="8" customWidth="1"/>
    <col min="2798" max="2798" width="11.28515625" style="8" customWidth="1"/>
    <col min="2799" max="2799" width="22.140625" style="8" customWidth="1"/>
    <col min="2800" max="2800" width="20.5703125" style="8" customWidth="1"/>
    <col min="2801" max="2801" width="20" style="8" customWidth="1"/>
    <col min="2802" max="2802" width="11.85546875" style="8" customWidth="1"/>
    <col min="2803" max="2803" width="11.42578125" style="8" customWidth="1"/>
    <col min="2804" max="2804" width="24.28515625" style="8" customWidth="1"/>
    <col min="2805" max="2805" width="15.28515625" style="8" customWidth="1"/>
    <col min="2806" max="2806" width="23.42578125" style="8" customWidth="1"/>
    <col min="2807" max="2807" width="8.42578125" style="8" customWidth="1"/>
    <col min="2808" max="2808" width="8.140625" style="8" customWidth="1"/>
    <col min="2809" max="2810" width="8.7109375" style="8" customWidth="1"/>
    <col min="2811" max="2814" width="7.28515625" style="8" bestFit="1" customWidth="1"/>
    <col min="2815" max="2815" width="0" style="8" hidden="1" customWidth="1"/>
    <col min="2816" max="2816" width="9.140625" style="8" bestFit="1" customWidth="1"/>
    <col min="2817" max="3049" width="11.42578125" style="8"/>
    <col min="3050" max="3050" width="5.28515625" style="8" customWidth="1"/>
    <col min="3051" max="3051" width="6.85546875" style="8" customWidth="1"/>
    <col min="3052" max="3052" width="18" style="8" customWidth="1"/>
    <col min="3053" max="3053" width="12" style="8" customWidth="1"/>
    <col min="3054" max="3054" width="11.28515625" style="8" customWidth="1"/>
    <col min="3055" max="3055" width="22.140625" style="8" customWidth="1"/>
    <col min="3056" max="3056" width="20.5703125" style="8" customWidth="1"/>
    <col min="3057" max="3057" width="20" style="8" customWidth="1"/>
    <col min="3058" max="3058" width="11.85546875" style="8" customWidth="1"/>
    <col min="3059" max="3059" width="11.42578125" style="8" customWidth="1"/>
    <col min="3060" max="3060" width="24.28515625" style="8" customWidth="1"/>
    <col min="3061" max="3061" width="15.28515625" style="8" customWidth="1"/>
    <col min="3062" max="3062" width="23.42578125" style="8" customWidth="1"/>
    <col min="3063" max="3063" width="8.42578125" style="8" customWidth="1"/>
    <col min="3064" max="3064" width="8.140625" style="8" customWidth="1"/>
    <col min="3065" max="3066" width="8.7109375" style="8" customWidth="1"/>
    <col min="3067" max="3070" width="7.28515625" style="8" bestFit="1" customWidth="1"/>
    <col min="3071" max="3071" width="0" style="8" hidden="1" customWidth="1"/>
    <col min="3072" max="3072" width="9.140625" style="8" bestFit="1" customWidth="1"/>
    <col min="3073" max="3305" width="11.42578125" style="8"/>
    <col min="3306" max="3306" width="5.28515625" style="8" customWidth="1"/>
    <col min="3307" max="3307" width="6.85546875" style="8" customWidth="1"/>
    <col min="3308" max="3308" width="18" style="8" customWidth="1"/>
    <col min="3309" max="3309" width="12" style="8" customWidth="1"/>
    <col min="3310" max="3310" width="11.28515625" style="8" customWidth="1"/>
    <col min="3311" max="3311" width="22.140625" style="8" customWidth="1"/>
    <col min="3312" max="3312" width="20.5703125" style="8" customWidth="1"/>
    <col min="3313" max="3313" width="20" style="8" customWidth="1"/>
    <col min="3314" max="3314" width="11.85546875" style="8" customWidth="1"/>
    <col min="3315" max="3315" width="11.42578125" style="8" customWidth="1"/>
    <col min="3316" max="3316" width="24.28515625" style="8" customWidth="1"/>
    <col min="3317" max="3317" width="15.28515625" style="8" customWidth="1"/>
    <col min="3318" max="3318" width="23.42578125" style="8" customWidth="1"/>
    <col min="3319" max="3319" width="8.42578125" style="8" customWidth="1"/>
    <col min="3320" max="3320" width="8.140625" style="8" customWidth="1"/>
    <col min="3321" max="3322" width="8.7109375" style="8" customWidth="1"/>
    <col min="3323" max="3326" width="7.28515625" style="8" bestFit="1" customWidth="1"/>
    <col min="3327" max="3327" width="0" style="8" hidden="1" customWidth="1"/>
    <col min="3328" max="3328" width="9.140625" style="8" bestFit="1" customWidth="1"/>
    <col min="3329" max="3561" width="11.42578125" style="8"/>
    <col min="3562" max="3562" width="5.28515625" style="8" customWidth="1"/>
    <col min="3563" max="3563" width="6.85546875" style="8" customWidth="1"/>
    <col min="3564" max="3564" width="18" style="8" customWidth="1"/>
    <col min="3565" max="3565" width="12" style="8" customWidth="1"/>
    <col min="3566" max="3566" width="11.28515625" style="8" customWidth="1"/>
    <col min="3567" max="3567" width="22.140625" style="8" customWidth="1"/>
    <col min="3568" max="3568" width="20.5703125" style="8" customWidth="1"/>
    <col min="3569" max="3569" width="20" style="8" customWidth="1"/>
    <col min="3570" max="3570" width="11.85546875" style="8" customWidth="1"/>
    <col min="3571" max="3571" width="11.42578125" style="8" customWidth="1"/>
    <col min="3572" max="3572" width="24.28515625" style="8" customWidth="1"/>
    <col min="3573" max="3573" width="15.28515625" style="8" customWidth="1"/>
    <col min="3574" max="3574" width="23.42578125" style="8" customWidth="1"/>
    <col min="3575" max="3575" width="8.42578125" style="8" customWidth="1"/>
    <col min="3576" max="3576" width="8.140625" style="8" customWidth="1"/>
    <col min="3577" max="3578" width="8.7109375" style="8" customWidth="1"/>
    <col min="3579" max="3582" width="7.28515625" style="8" bestFit="1" customWidth="1"/>
    <col min="3583" max="3583" width="0" style="8" hidden="1" customWidth="1"/>
    <col min="3584" max="3584" width="9.140625" style="8" bestFit="1" customWidth="1"/>
    <col min="3585" max="3817" width="11.42578125" style="8"/>
    <col min="3818" max="3818" width="5.28515625" style="8" customWidth="1"/>
    <col min="3819" max="3819" width="6.85546875" style="8" customWidth="1"/>
    <col min="3820" max="3820" width="18" style="8" customWidth="1"/>
    <col min="3821" max="3821" width="12" style="8" customWidth="1"/>
    <col min="3822" max="3822" width="11.28515625" style="8" customWidth="1"/>
    <col min="3823" max="3823" width="22.140625" style="8" customWidth="1"/>
    <col min="3824" max="3824" width="20.5703125" style="8" customWidth="1"/>
    <col min="3825" max="3825" width="20" style="8" customWidth="1"/>
    <col min="3826" max="3826" width="11.85546875" style="8" customWidth="1"/>
    <col min="3827" max="3827" width="11.42578125" style="8" customWidth="1"/>
    <col min="3828" max="3828" width="24.28515625" style="8" customWidth="1"/>
    <col min="3829" max="3829" width="15.28515625" style="8" customWidth="1"/>
    <col min="3830" max="3830" width="23.42578125" style="8" customWidth="1"/>
    <col min="3831" max="3831" width="8.42578125" style="8" customWidth="1"/>
    <col min="3832" max="3832" width="8.140625" style="8" customWidth="1"/>
    <col min="3833" max="3834" width="8.7109375" style="8" customWidth="1"/>
    <col min="3835" max="3838" width="7.28515625" style="8" bestFit="1" customWidth="1"/>
    <col min="3839" max="3839" width="0" style="8" hidden="1" customWidth="1"/>
    <col min="3840" max="3840" width="9.140625" style="8" bestFit="1" customWidth="1"/>
    <col min="3841" max="4073" width="11.42578125" style="8"/>
    <col min="4074" max="4074" width="5.28515625" style="8" customWidth="1"/>
    <col min="4075" max="4075" width="6.85546875" style="8" customWidth="1"/>
    <col min="4076" max="4076" width="18" style="8" customWidth="1"/>
    <col min="4077" max="4077" width="12" style="8" customWidth="1"/>
    <col min="4078" max="4078" width="11.28515625" style="8" customWidth="1"/>
    <col min="4079" max="4079" width="22.140625" style="8" customWidth="1"/>
    <col min="4080" max="4080" width="20.5703125" style="8" customWidth="1"/>
    <col min="4081" max="4081" width="20" style="8" customWidth="1"/>
    <col min="4082" max="4082" width="11.85546875" style="8" customWidth="1"/>
    <col min="4083" max="4083" width="11.42578125" style="8" customWidth="1"/>
    <col min="4084" max="4084" width="24.28515625" style="8" customWidth="1"/>
    <col min="4085" max="4085" width="15.28515625" style="8" customWidth="1"/>
    <col min="4086" max="4086" width="23.42578125" style="8" customWidth="1"/>
    <col min="4087" max="4087" width="8.42578125" style="8" customWidth="1"/>
    <col min="4088" max="4088" width="8.140625" style="8" customWidth="1"/>
    <col min="4089" max="4090" width="8.7109375" style="8" customWidth="1"/>
    <col min="4091" max="4094" width="7.28515625" style="8" bestFit="1" customWidth="1"/>
    <col min="4095" max="4095" width="0" style="8" hidden="1" customWidth="1"/>
    <col min="4096" max="4096" width="9.140625" style="8" bestFit="1" customWidth="1"/>
    <col min="4097" max="4329" width="11.42578125" style="8"/>
    <col min="4330" max="4330" width="5.28515625" style="8" customWidth="1"/>
    <col min="4331" max="4331" width="6.85546875" style="8" customWidth="1"/>
    <col min="4332" max="4332" width="18" style="8" customWidth="1"/>
    <col min="4333" max="4333" width="12" style="8" customWidth="1"/>
    <col min="4334" max="4334" width="11.28515625" style="8" customWidth="1"/>
    <col min="4335" max="4335" width="22.140625" style="8" customWidth="1"/>
    <col min="4336" max="4336" width="20.5703125" style="8" customWidth="1"/>
    <col min="4337" max="4337" width="20" style="8" customWidth="1"/>
    <col min="4338" max="4338" width="11.85546875" style="8" customWidth="1"/>
    <col min="4339" max="4339" width="11.42578125" style="8" customWidth="1"/>
    <col min="4340" max="4340" width="24.28515625" style="8" customWidth="1"/>
    <col min="4341" max="4341" width="15.28515625" style="8" customWidth="1"/>
    <col min="4342" max="4342" width="23.42578125" style="8" customWidth="1"/>
    <col min="4343" max="4343" width="8.42578125" style="8" customWidth="1"/>
    <col min="4344" max="4344" width="8.140625" style="8" customWidth="1"/>
    <col min="4345" max="4346" width="8.7109375" style="8" customWidth="1"/>
    <col min="4347" max="4350" width="7.28515625" style="8" bestFit="1" customWidth="1"/>
    <col min="4351" max="4351" width="0" style="8" hidden="1" customWidth="1"/>
    <col min="4352" max="4352" width="9.140625" style="8" bestFit="1" customWidth="1"/>
    <col min="4353" max="4585" width="11.42578125" style="8"/>
    <col min="4586" max="4586" width="5.28515625" style="8" customWidth="1"/>
    <col min="4587" max="4587" width="6.85546875" style="8" customWidth="1"/>
    <col min="4588" max="4588" width="18" style="8" customWidth="1"/>
    <col min="4589" max="4589" width="12" style="8" customWidth="1"/>
    <col min="4590" max="4590" width="11.28515625" style="8" customWidth="1"/>
    <col min="4591" max="4591" width="22.140625" style="8" customWidth="1"/>
    <col min="4592" max="4592" width="20.5703125" style="8" customWidth="1"/>
    <col min="4593" max="4593" width="20" style="8" customWidth="1"/>
    <col min="4594" max="4594" width="11.85546875" style="8" customWidth="1"/>
    <col min="4595" max="4595" width="11.42578125" style="8" customWidth="1"/>
    <col min="4596" max="4596" width="24.28515625" style="8" customWidth="1"/>
    <col min="4597" max="4597" width="15.28515625" style="8" customWidth="1"/>
    <col min="4598" max="4598" width="23.42578125" style="8" customWidth="1"/>
    <col min="4599" max="4599" width="8.42578125" style="8" customWidth="1"/>
    <col min="4600" max="4600" width="8.140625" style="8" customWidth="1"/>
    <col min="4601" max="4602" width="8.7109375" style="8" customWidth="1"/>
    <col min="4603" max="4606" width="7.28515625" style="8" bestFit="1" customWidth="1"/>
    <col min="4607" max="4607" width="0" style="8" hidden="1" customWidth="1"/>
    <col min="4608" max="4608" width="9.140625" style="8" bestFit="1" customWidth="1"/>
    <col min="4609" max="4841" width="11.42578125" style="8"/>
    <col min="4842" max="4842" width="5.28515625" style="8" customWidth="1"/>
    <col min="4843" max="4843" width="6.85546875" style="8" customWidth="1"/>
    <col min="4844" max="4844" width="18" style="8" customWidth="1"/>
    <col min="4845" max="4845" width="12" style="8" customWidth="1"/>
    <col min="4846" max="4846" width="11.28515625" style="8" customWidth="1"/>
    <col min="4847" max="4847" width="22.140625" style="8" customWidth="1"/>
    <col min="4848" max="4848" width="20.5703125" style="8" customWidth="1"/>
    <col min="4849" max="4849" width="20" style="8" customWidth="1"/>
    <col min="4850" max="4850" width="11.85546875" style="8" customWidth="1"/>
    <col min="4851" max="4851" width="11.42578125" style="8" customWidth="1"/>
    <col min="4852" max="4852" width="24.28515625" style="8" customWidth="1"/>
    <col min="4853" max="4853" width="15.28515625" style="8" customWidth="1"/>
    <col min="4854" max="4854" width="23.42578125" style="8" customWidth="1"/>
    <col min="4855" max="4855" width="8.42578125" style="8" customWidth="1"/>
    <col min="4856" max="4856" width="8.140625" style="8" customWidth="1"/>
    <col min="4857" max="4858" width="8.7109375" style="8" customWidth="1"/>
    <col min="4859" max="4862" width="7.28515625" style="8" bestFit="1" customWidth="1"/>
    <col min="4863" max="4863" width="0" style="8" hidden="1" customWidth="1"/>
    <col min="4864" max="4864" width="9.140625" style="8" bestFit="1" customWidth="1"/>
    <col min="4865" max="5097" width="11.42578125" style="8"/>
    <col min="5098" max="5098" width="5.28515625" style="8" customWidth="1"/>
    <col min="5099" max="5099" width="6.85546875" style="8" customWidth="1"/>
    <col min="5100" max="5100" width="18" style="8" customWidth="1"/>
    <col min="5101" max="5101" width="12" style="8" customWidth="1"/>
    <col min="5102" max="5102" width="11.28515625" style="8" customWidth="1"/>
    <col min="5103" max="5103" width="22.140625" style="8" customWidth="1"/>
    <col min="5104" max="5104" width="20.5703125" style="8" customWidth="1"/>
    <col min="5105" max="5105" width="20" style="8" customWidth="1"/>
    <col min="5106" max="5106" width="11.85546875" style="8" customWidth="1"/>
    <col min="5107" max="5107" width="11.42578125" style="8" customWidth="1"/>
    <col min="5108" max="5108" width="24.28515625" style="8" customWidth="1"/>
    <col min="5109" max="5109" width="15.28515625" style="8" customWidth="1"/>
    <col min="5110" max="5110" width="23.42578125" style="8" customWidth="1"/>
    <col min="5111" max="5111" width="8.42578125" style="8" customWidth="1"/>
    <col min="5112" max="5112" width="8.140625" style="8" customWidth="1"/>
    <col min="5113" max="5114" width="8.7109375" style="8" customWidth="1"/>
    <col min="5115" max="5118" width="7.28515625" style="8" bestFit="1" customWidth="1"/>
    <col min="5119" max="5119" width="0" style="8" hidden="1" customWidth="1"/>
    <col min="5120" max="5120" width="9.140625" style="8" bestFit="1" customWidth="1"/>
    <col min="5121" max="5353" width="11.42578125" style="8"/>
    <col min="5354" max="5354" width="5.28515625" style="8" customWidth="1"/>
    <col min="5355" max="5355" width="6.85546875" style="8" customWidth="1"/>
    <col min="5356" max="5356" width="18" style="8" customWidth="1"/>
    <col min="5357" max="5357" width="12" style="8" customWidth="1"/>
    <col min="5358" max="5358" width="11.28515625" style="8" customWidth="1"/>
    <col min="5359" max="5359" width="22.140625" style="8" customWidth="1"/>
    <col min="5360" max="5360" width="20.5703125" style="8" customWidth="1"/>
    <col min="5361" max="5361" width="20" style="8" customWidth="1"/>
    <col min="5362" max="5362" width="11.85546875" style="8" customWidth="1"/>
    <col min="5363" max="5363" width="11.42578125" style="8" customWidth="1"/>
    <col min="5364" max="5364" width="24.28515625" style="8" customWidth="1"/>
    <col min="5365" max="5365" width="15.28515625" style="8" customWidth="1"/>
    <col min="5366" max="5366" width="23.42578125" style="8" customWidth="1"/>
    <col min="5367" max="5367" width="8.42578125" style="8" customWidth="1"/>
    <col min="5368" max="5368" width="8.140625" style="8" customWidth="1"/>
    <col min="5369" max="5370" width="8.7109375" style="8" customWidth="1"/>
    <col min="5371" max="5374" width="7.28515625" style="8" bestFit="1" customWidth="1"/>
    <col min="5375" max="5375" width="0" style="8" hidden="1" customWidth="1"/>
    <col min="5376" max="5376" width="9.140625" style="8" bestFit="1" customWidth="1"/>
    <col min="5377" max="5609" width="11.42578125" style="8"/>
    <col min="5610" max="5610" width="5.28515625" style="8" customWidth="1"/>
    <col min="5611" max="5611" width="6.85546875" style="8" customWidth="1"/>
    <col min="5612" max="5612" width="18" style="8" customWidth="1"/>
    <col min="5613" max="5613" width="12" style="8" customWidth="1"/>
    <col min="5614" max="5614" width="11.28515625" style="8" customWidth="1"/>
    <col min="5615" max="5615" width="22.140625" style="8" customWidth="1"/>
    <col min="5616" max="5616" width="20.5703125" style="8" customWidth="1"/>
    <col min="5617" max="5617" width="20" style="8" customWidth="1"/>
    <col min="5618" max="5618" width="11.85546875" style="8" customWidth="1"/>
    <col min="5619" max="5619" width="11.42578125" style="8" customWidth="1"/>
    <col min="5620" max="5620" width="24.28515625" style="8" customWidth="1"/>
    <col min="5621" max="5621" width="15.28515625" style="8" customWidth="1"/>
    <col min="5622" max="5622" width="23.42578125" style="8" customWidth="1"/>
    <col min="5623" max="5623" width="8.42578125" style="8" customWidth="1"/>
    <col min="5624" max="5624" width="8.140625" style="8" customWidth="1"/>
    <col min="5625" max="5626" width="8.7109375" style="8" customWidth="1"/>
    <col min="5627" max="5630" width="7.28515625" style="8" bestFit="1" customWidth="1"/>
    <col min="5631" max="5631" width="0" style="8" hidden="1" customWidth="1"/>
    <col min="5632" max="5632" width="9.140625" style="8" bestFit="1" customWidth="1"/>
    <col min="5633" max="5865" width="11.42578125" style="8"/>
    <col min="5866" max="5866" width="5.28515625" style="8" customWidth="1"/>
    <col min="5867" max="5867" width="6.85546875" style="8" customWidth="1"/>
    <col min="5868" max="5868" width="18" style="8" customWidth="1"/>
    <col min="5869" max="5869" width="12" style="8" customWidth="1"/>
    <col min="5870" max="5870" width="11.28515625" style="8" customWidth="1"/>
    <col min="5871" max="5871" width="22.140625" style="8" customWidth="1"/>
    <col min="5872" max="5872" width="20.5703125" style="8" customWidth="1"/>
    <col min="5873" max="5873" width="20" style="8" customWidth="1"/>
    <col min="5874" max="5874" width="11.85546875" style="8" customWidth="1"/>
    <col min="5875" max="5875" width="11.42578125" style="8" customWidth="1"/>
    <col min="5876" max="5876" width="24.28515625" style="8" customWidth="1"/>
    <col min="5877" max="5877" width="15.28515625" style="8" customWidth="1"/>
    <col min="5878" max="5878" width="23.42578125" style="8" customWidth="1"/>
    <col min="5879" max="5879" width="8.42578125" style="8" customWidth="1"/>
    <col min="5880" max="5880" width="8.140625" style="8" customWidth="1"/>
    <col min="5881" max="5882" width="8.7109375" style="8" customWidth="1"/>
    <col min="5883" max="5886" width="7.28515625" style="8" bestFit="1" customWidth="1"/>
    <col min="5887" max="5887" width="0" style="8" hidden="1" customWidth="1"/>
    <col min="5888" max="5888" width="9.140625" style="8" bestFit="1" customWidth="1"/>
    <col min="5889" max="6121" width="11.42578125" style="8"/>
    <col min="6122" max="6122" width="5.28515625" style="8" customWidth="1"/>
    <col min="6123" max="6123" width="6.85546875" style="8" customWidth="1"/>
    <col min="6124" max="6124" width="18" style="8" customWidth="1"/>
    <col min="6125" max="6125" width="12" style="8" customWidth="1"/>
    <col min="6126" max="6126" width="11.28515625" style="8" customWidth="1"/>
    <col min="6127" max="6127" width="22.140625" style="8" customWidth="1"/>
    <col min="6128" max="6128" width="20.5703125" style="8" customWidth="1"/>
    <col min="6129" max="6129" width="20" style="8" customWidth="1"/>
    <col min="6130" max="6130" width="11.85546875" style="8" customWidth="1"/>
    <col min="6131" max="6131" width="11.42578125" style="8" customWidth="1"/>
    <col min="6132" max="6132" width="24.28515625" style="8" customWidth="1"/>
    <col min="6133" max="6133" width="15.28515625" style="8" customWidth="1"/>
    <col min="6134" max="6134" width="23.42578125" style="8" customWidth="1"/>
    <col min="6135" max="6135" width="8.42578125" style="8" customWidth="1"/>
    <col min="6136" max="6136" width="8.140625" style="8" customWidth="1"/>
    <col min="6137" max="6138" width="8.7109375" style="8" customWidth="1"/>
    <col min="6139" max="6142" width="7.28515625" style="8" bestFit="1" customWidth="1"/>
    <col min="6143" max="6143" width="0" style="8" hidden="1" customWidth="1"/>
    <col min="6144" max="6144" width="9.140625" style="8" bestFit="1" customWidth="1"/>
    <col min="6145" max="6377" width="11.42578125" style="8"/>
    <col min="6378" max="6378" width="5.28515625" style="8" customWidth="1"/>
    <col min="6379" max="6379" width="6.85546875" style="8" customWidth="1"/>
    <col min="6380" max="6380" width="18" style="8" customWidth="1"/>
    <col min="6381" max="6381" width="12" style="8" customWidth="1"/>
    <col min="6382" max="6382" width="11.28515625" style="8" customWidth="1"/>
    <col min="6383" max="6383" width="22.140625" style="8" customWidth="1"/>
    <col min="6384" max="6384" width="20.5703125" style="8" customWidth="1"/>
    <col min="6385" max="6385" width="20" style="8" customWidth="1"/>
    <col min="6386" max="6386" width="11.85546875" style="8" customWidth="1"/>
    <col min="6387" max="6387" width="11.42578125" style="8" customWidth="1"/>
    <col min="6388" max="6388" width="24.28515625" style="8" customWidth="1"/>
    <col min="6389" max="6389" width="15.28515625" style="8" customWidth="1"/>
    <col min="6390" max="6390" width="23.42578125" style="8" customWidth="1"/>
    <col min="6391" max="6391" width="8.42578125" style="8" customWidth="1"/>
    <col min="6392" max="6392" width="8.140625" style="8" customWidth="1"/>
    <col min="6393" max="6394" width="8.7109375" style="8" customWidth="1"/>
    <col min="6395" max="6398" width="7.28515625" style="8" bestFit="1" customWidth="1"/>
    <col min="6399" max="6399" width="0" style="8" hidden="1" customWidth="1"/>
    <col min="6400" max="6400" width="9.140625" style="8" bestFit="1" customWidth="1"/>
    <col min="6401" max="6633" width="11.42578125" style="8"/>
    <col min="6634" max="6634" width="5.28515625" style="8" customWidth="1"/>
    <col min="6635" max="6635" width="6.85546875" style="8" customWidth="1"/>
    <col min="6636" max="6636" width="18" style="8" customWidth="1"/>
    <col min="6637" max="6637" width="12" style="8" customWidth="1"/>
    <col min="6638" max="6638" width="11.28515625" style="8" customWidth="1"/>
    <col min="6639" max="6639" width="22.140625" style="8" customWidth="1"/>
    <col min="6640" max="6640" width="20.5703125" style="8" customWidth="1"/>
    <col min="6641" max="6641" width="20" style="8" customWidth="1"/>
    <col min="6642" max="6642" width="11.85546875" style="8" customWidth="1"/>
    <col min="6643" max="6643" width="11.42578125" style="8" customWidth="1"/>
    <col min="6644" max="6644" width="24.28515625" style="8" customWidth="1"/>
    <col min="6645" max="6645" width="15.28515625" style="8" customWidth="1"/>
    <col min="6646" max="6646" width="23.42578125" style="8" customWidth="1"/>
    <col min="6647" max="6647" width="8.42578125" style="8" customWidth="1"/>
    <col min="6648" max="6648" width="8.140625" style="8" customWidth="1"/>
    <col min="6649" max="6650" width="8.7109375" style="8" customWidth="1"/>
    <col min="6651" max="6654" width="7.28515625" style="8" bestFit="1" customWidth="1"/>
    <col min="6655" max="6655" width="0" style="8" hidden="1" customWidth="1"/>
    <col min="6656" max="6656" width="9.140625" style="8" bestFit="1" customWidth="1"/>
    <col min="6657" max="6889" width="11.42578125" style="8"/>
    <col min="6890" max="6890" width="5.28515625" style="8" customWidth="1"/>
    <col min="6891" max="6891" width="6.85546875" style="8" customWidth="1"/>
    <col min="6892" max="6892" width="18" style="8" customWidth="1"/>
    <col min="6893" max="6893" width="12" style="8" customWidth="1"/>
    <col min="6894" max="6894" width="11.28515625" style="8" customWidth="1"/>
    <col min="6895" max="6895" width="22.140625" style="8" customWidth="1"/>
    <col min="6896" max="6896" width="20.5703125" style="8" customWidth="1"/>
    <col min="6897" max="6897" width="20" style="8" customWidth="1"/>
    <col min="6898" max="6898" width="11.85546875" style="8" customWidth="1"/>
    <col min="6899" max="6899" width="11.42578125" style="8" customWidth="1"/>
    <col min="6900" max="6900" width="24.28515625" style="8" customWidth="1"/>
    <col min="6901" max="6901" width="15.28515625" style="8" customWidth="1"/>
    <col min="6902" max="6902" width="23.42578125" style="8" customWidth="1"/>
    <col min="6903" max="6903" width="8.42578125" style="8" customWidth="1"/>
    <col min="6904" max="6904" width="8.140625" style="8" customWidth="1"/>
    <col min="6905" max="6906" width="8.7109375" style="8" customWidth="1"/>
    <col min="6907" max="6910" width="7.28515625" style="8" bestFit="1" customWidth="1"/>
    <col min="6911" max="6911" width="0" style="8" hidden="1" customWidth="1"/>
    <col min="6912" max="6912" width="9.140625" style="8" bestFit="1" customWidth="1"/>
    <col min="6913" max="7145" width="11.42578125" style="8"/>
    <col min="7146" max="7146" width="5.28515625" style="8" customWidth="1"/>
    <col min="7147" max="7147" width="6.85546875" style="8" customWidth="1"/>
    <col min="7148" max="7148" width="18" style="8" customWidth="1"/>
    <col min="7149" max="7149" width="12" style="8" customWidth="1"/>
    <col min="7150" max="7150" width="11.28515625" style="8" customWidth="1"/>
    <col min="7151" max="7151" width="22.140625" style="8" customWidth="1"/>
    <col min="7152" max="7152" width="20.5703125" style="8" customWidth="1"/>
    <col min="7153" max="7153" width="20" style="8" customWidth="1"/>
    <col min="7154" max="7154" width="11.85546875" style="8" customWidth="1"/>
    <col min="7155" max="7155" width="11.42578125" style="8" customWidth="1"/>
    <col min="7156" max="7156" width="24.28515625" style="8" customWidth="1"/>
    <col min="7157" max="7157" width="15.28515625" style="8" customWidth="1"/>
    <col min="7158" max="7158" width="23.42578125" style="8" customWidth="1"/>
    <col min="7159" max="7159" width="8.42578125" style="8" customWidth="1"/>
    <col min="7160" max="7160" width="8.140625" style="8" customWidth="1"/>
    <col min="7161" max="7162" width="8.7109375" style="8" customWidth="1"/>
    <col min="7163" max="7166" width="7.28515625" style="8" bestFit="1" customWidth="1"/>
    <col min="7167" max="7167" width="0" style="8" hidden="1" customWidth="1"/>
    <col min="7168" max="7168" width="9.140625" style="8" bestFit="1" customWidth="1"/>
    <col min="7169" max="7401" width="11.42578125" style="8"/>
    <col min="7402" max="7402" width="5.28515625" style="8" customWidth="1"/>
    <col min="7403" max="7403" width="6.85546875" style="8" customWidth="1"/>
    <col min="7404" max="7404" width="18" style="8" customWidth="1"/>
    <col min="7405" max="7405" width="12" style="8" customWidth="1"/>
    <col min="7406" max="7406" width="11.28515625" style="8" customWidth="1"/>
    <col min="7407" max="7407" width="22.140625" style="8" customWidth="1"/>
    <col min="7408" max="7408" width="20.5703125" style="8" customWidth="1"/>
    <col min="7409" max="7409" width="20" style="8" customWidth="1"/>
    <col min="7410" max="7410" width="11.85546875" style="8" customWidth="1"/>
    <col min="7411" max="7411" width="11.42578125" style="8" customWidth="1"/>
    <col min="7412" max="7412" width="24.28515625" style="8" customWidth="1"/>
    <col min="7413" max="7413" width="15.28515625" style="8" customWidth="1"/>
    <col min="7414" max="7414" width="23.42578125" style="8" customWidth="1"/>
    <col min="7415" max="7415" width="8.42578125" style="8" customWidth="1"/>
    <col min="7416" max="7416" width="8.140625" style="8" customWidth="1"/>
    <col min="7417" max="7418" width="8.7109375" style="8" customWidth="1"/>
    <col min="7419" max="7422" width="7.28515625" style="8" bestFit="1" customWidth="1"/>
    <col min="7423" max="7423" width="0" style="8" hidden="1" customWidth="1"/>
    <col min="7424" max="7424" width="9.140625" style="8" bestFit="1" customWidth="1"/>
    <col min="7425" max="7657" width="11.42578125" style="8"/>
    <col min="7658" max="7658" width="5.28515625" style="8" customWidth="1"/>
    <col min="7659" max="7659" width="6.85546875" style="8" customWidth="1"/>
    <col min="7660" max="7660" width="18" style="8" customWidth="1"/>
    <col min="7661" max="7661" width="12" style="8" customWidth="1"/>
    <col min="7662" max="7662" width="11.28515625" style="8" customWidth="1"/>
    <col min="7663" max="7663" width="22.140625" style="8" customWidth="1"/>
    <col min="7664" max="7664" width="20.5703125" style="8" customWidth="1"/>
    <col min="7665" max="7665" width="20" style="8" customWidth="1"/>
    <col min="7666" max="7666" width="11.85546875" style="8" customWidth="1"/>
    <col min="7667" max="7667" width="11.42578125" style="8" customWidth="1"/>
    <col min="7668" max="7668" width="24.28515625" style="8" customWidth="1"/>
    <col min="7669" max="7669" width="15.28515625" style="8" customWidth="1"/>
    <col min="7670" max="7670" width="23.42578125" style="8" customWidth="1"/>
    <col min="7671" max="7671" width="8.42578125" style="8" customWidth="1"/>
    <col min="7672" max="7672" width="8.140625" style="8" customWidth="1"/>
    <col min="7673" max="7674" width="8.7109375" style="8" customWidth="1"/>
    <col min="7675" max="7678" width="7.28515625" style="8" bestFit="1" customWidth="1"/>
    <col min="7679" max="7679" width="0" style="8" hidden="1" customWidth="1"/>
    <col min="7680" max="7680" width="9.140625" style="8" bestFit="1" customWidth="1"/>
    <col min="7681" max="7913" width="11.42578125" style="8"/>
    <col min="7914" max="7914" width="5.28515625" style="8" customWidth="1"/>
    <col min="7915" max="7915" width="6.85546875" style="8" customWidth="1"/>
    <col min="7916" max="7916" width="18" style="8" customWidth="1"/>
    <col min="7917" max="7917" width="12" style="8" customWidth="1"/>
    <col min="7918" max="7918" width="11.28515625" style="8" customWidth="1"/>
    <col min="7919" max="7919" width="22.140625" style="8" customWidth="1"/>
    <col min="7920" max="7920" width="20.5703125" style="8" customWidth="1"/>
    <col min="7921" max="7921" width="20" style="8" customWidth="1"/>
    <col min="7922" max="7922" width="11.85546875" style="8" customWidth="1"/>
    <col min="7923" max="7923" width="11.42578125" style="8" customWidth="1"/>
    <col min="7924" max="7924" width="24.28515625" style="8" customWidth="1"/>
    <col min="7925" max="7925" width="15.28515625" style="8" customWidth="1"/>
    <col min="7926" max="7926" width="23.42578125" style="8" customWidth="1"/>
    <col min="7927" max="7927" width="8.42578125" style="8" customWidth="1"/>
    <col min="7928" max="7928" width="8.140625" style="8" customWidth="1"/>
    <col min="7929" max="7930" width="8.7109375" style="8" customWidth="1"/>
    <col min="7931" max="7934" width="7.28515625" style="8" bestFit="1" customWidth="1"/>
    <col min="7935" max="7935" width="0" style="8" hidden="1" customWidth="1"/>
    <col min="7936" max="7936" width="9.140625" style="8" bestFit="1" customWidth="1"/>
    <col min="7937" max="8169" width="11.42578125" style="8"/>
    <col min="8170" max="8170" width="5.28515625" style="8" customWidth="1"/>
    <col min="8171" max="8171" width="6.85546875" style="8" customWidth="1"/>
    <col min="8172" max="8172" width="18" style="8" customWidth="1"/>
    <col min="8173" max="8173" width="12" style="8" customWidth="1"/>
    <col min="8174" max="8174" width="11.28515625" style="8" customWidth="1"/>
    <col min="8175" max="8175" width="22.140625" style="8" customWidth="1"/>
    <col min="8176" max="8176" width="20.5703125" style="8" customWidth="1"/>
    <col min="8177" max="8177" width="20" style="8" customWidth="1"/>
    <col min="8178" max="8178" width="11.85546875" style="8" customWidth="1"/>
    <col min="8179" max="8179" width="11.42578125" style="8" customWidth="1"/>
    <col min="8180" max="8180" width="24.28515625" style="8" customWidth="1"/>
    <col min="8181" max="8181" width="15.28515625" style="8" customWidth="1"/>
    <col min="8182" max="8182" width="23.42578125" style="8" customWidth="1"/>
    <col min="8183" max="8183" width="8.42578125" style="8" customWidth="1"/>
    <col min="8184" max="8184" width="8.140625" style="8" customWidth="1"/>
    <col min="8185" max="8186" width="8.7109375" style="8" customWidth="1"/>
    <col min="8187" max="8190" width="7.28515625" style="8" bestFit="1" customWidth="1"/>
    <col min="8191" max="8191" width="0" style="8" hidden="1" customWidth="1"/>
    <col min="8192" max="8192" width="9.140625" style="8" bestFit="1" customWidth="1"/>
    <col min="8193" max="8425" width="11.42578125" style="8"/>
    <col min="8426" max="8426" width="5.28515625" style="8" customWidth="1"/>
    <col min="8427" max="8427" width="6.85546875" style="8" customWidth="1"/>
    <col min="8428" max="8428" width="18" style="8" customWidth="1"/>
    <col min="8429" max="8429" width="12" style="8" customWidth="1"/>
    <col min="8430" max="8430" width="11.28515625" style="8" customWidth="1"/>
    <col min="8431" max="8431" width="22.140625" style="8" customWidth="1"/>
    <col min="8432" max="8432" width="20.5703125" style="8" customWidth="1"/>
    <col min="8433" max="8433" width="20" style="8" customWidth="1"/>
    <col min="8434" max="8434" width="11.85546875" style="8" customWidth="1"/>
    <col min="8435" max="8435" width="11.42578125" style="8" customWidth="1"/>
    <col min="8436" max="8436" width="24.28515625" style="8" customWidth="1"/>
    <col min="8437" max="8437" width="15.28515625" style="8" customWidth="1"/>
    <col min="8438" max="8438" width="23.42578125" style="8" customWidth="1"/>
    <col min="8439" max="8439" width="8.42578125" style="8" customWidth="1"/>
    <col min="8440" max="8440" width="8.140625" style="8" customWidth="1"/>
    <col min="8441" max="8442" width="8.7109375" style="8" customWidth="1"/>
    <col min="8443" max="8446" width="7.28515625" style="8" bestFit="1" customWidth="1"/>
    <col min="8447" max="8447" width="0" style="8" hidden="1" customWidth="1"/>
    <col min="8448" max="8448" width="9.140625" style="8" bestFit="1" customWidth="1"/>
    <col min="8449" max="8681" width="11.42578125" style="8"/>
    <col min="8682" max="8682" width="5.28515625" style="8" customWidth="1"/>
    <col min="8683" max="8683" width="6.85546875" style="8" customWidth="1"/>
    <col min="8684" max="8684" width="18" style="8" customWidth="1"/>
    <col min="8685" max="8685" width="12" style="8" customWidth="1"/>
    <col min="8686" max="8686" width="11.28515625" style="8" customWidth="1"/>
    <col min="8687" max="8687" width="22.140625" style="8" customWidth="1"/>
    <col min="8688" max="8688" width="20.5703125" style="8" customWidth="1"/>
    <col min="8689" max="8689" width="20" style="8" customWidth="1"/>
    <col min="8690" max="8690" width="11.85546875" style="8" customWidth="1"/>
    <col min="8691" max="8691" width="11.42578125" style="8" customWidth="1"/>
    <col min="8692" max="8692" width="24.28515625" style="8" customWidth="1"/>
    <col min="8693" max="8693" width="15.28515625" style="8" customWidth="1"/>
    <col min="8694" max="8694" width="23.42578125" style="8" customWidth="1"/>
    <col min="8695" max="8695" width="8.42578125" style="8" customWidth="1"/>
    <col min="8696" max="8696" width="8.140625" style="8" customWidth="1"/>
    <col min="8697" max="8698" width="8.7109375" style="8" customWidth="1"/>
    <col min="8699" max="8702" width="7.28515625" style="8" bestFit="1" customWidth="1"/>
    <col min="8703" max="8703" width="0" style="8" hidden="1" customWidth="1"/>
    <col min="8704" max="8704" width="9.140625" style="8" bestFit="1" customWidth="1"/>
    <col min="8705" max="8937" width="11.42578125" style="8"/>
    <col min="8938" max="8938" width="5.28515625" style="8" customWidth="1"/>
    <col min="8939" max="8939" width="6.85546875" style="8" customWidth="1"/>
    <col min="8940" max="8940" width="18" style="8" customWidth="1"/>
    <col min="8941" max="8941" width="12" style="8" customWidth="1"/>
    <col min="8942" max="8942" width="11.28515625" style="8" customWidth="1"/>
    <col min="8943" max="8943" width="22.140625" style="8" customWidth="1"/>
    <col min="8944" max="8944" width="20.5703125" style="8" customWidth="1"/>
    <col min="8945" max="8945" width="20" style="8" customWidth="1"/>
    <col min="8946" max="8946" width="11.85546875" style="8" customWidth="1"/>
    <col min="8947" max="8947" width="11.42578125" style="8" customWidth="1"/>
    <col min="8948" max="8948" width="24.28515625" style="8" customWidth="1"/>
    <col min="8949" max="8949" width="15.28515625" style="8" customWidth="1"/>
    <col min="8950" max="8950" width="23.42578125" style="8" customWidth="1"/>
    <col min="8951" max="8951" width="8.42578125" style="8" customWidth="1"/>
    <col min="8952" max="8952" width="8.140625" style="8" customWidth="1"/>
    <col min="8953" max="8954" width="8.7109375" style="8" customWidth="1"/>
    <col min="8955" max="8958" width="7.28515625" style="8" bestFit="1" customWidth="1"/>
    <col min="8959" max="8959" width="0" style="8" hidden="1" customWidth="1"/>
    <col min="8960" max="8960" width="9.140625" style="8" bestFit="1" customWidth="1"/>
    <col min="8961" max="9193" width="11.42578125" style="8"/>
    <col min="9194" max="9194" width="5.28515625" style="8" customWidth="1"/>
    <col min="9195" max="9195" width="6.85546875" style="8" customWidth="1"/>
    <col min="9196" max="9196" width="18" style="8" customWidth="1"/>
    <col min="9197" max="9197" width="12" style="8" customWidth="1"/>
    <col min="9198" max="9198" width="11.28515625" style="8" customWidth="1"/>
    <col min="9199" max="9199" width="22.140625" style="8" customWidth="1"/>
    <col min="9200" max="9200" width="20.5703125" style="8" customWidth="1"/>
    <col min="9201" max="9201" width="20" style="8" customWidth="1"/>
    <col min="9202" max="9202" width="11.85546875" style="8" customWidth="1"/>
    <col min="9203" max="9203" width="11.42578125" style="8" customWidth="1"/>
    <col min="9204" max="9204" width="24.28515625" style="8" customWidth="1"/>
    <col min="9205" max="9205" width="15.28515625" style="8" customWidth="1"/>
    <col min="9206" max="9206" width="23.42578125" style="8" customWidth="1"/>
    <col min="9207" max="9207" width="8.42578125" style="8" customWidth="1"/>
    <col min="9208" max="9208" width="8.140625" style="8" customWidth="1"/>
    <col min="9209" max="9210" width="8.7109375" style="8" customWidth="1"/>
    <col min="9211" max="9214" width="7.28515625" style="8" bestFit="1" customWidth="1"/>
    <col min="9215" max="9215" width="0" style="8" hidden="1" customWidth="1"/>
    <col min="9216" max="9216" width="9.140625" style="8" bestFit="1" customWidth="1"/>
    <col min="9217" max="9449" width="11.42578125" style="8"/>
    <col min="9450" max="9450" width="5.28515625" style="8" customWidth="1"/>
    <col min="9451" max="9451" width="6.85546875" style="8" customWidth="1"/>
    <col min="9452" max="9452" width="18" style="8" customWidth="1"/>
    <col min="9453" max="9453" width="12" style="8" customWidth="1"/>
    <col min="9454" max="9454" width="11.28515625" style="8" customWidth="1"/>
    <col min="9455" max="9455" width="22.140625" style="8" customWidth="1"/>
    <col min="9456" max="9456" width="20.5703125" style="8" customWidth="1"/>
    <col min="9457" max="9457" width="20" style="8" customWidth="1"/>
    <col min="9458" max="9458" width="11.85546875" style="8" customWidth="1"/>
    <col min="9459" max="9459" width="11.42578125" style="8" customWidth="1"/>
    <col min="9460" max="9460" width="24.28515625" style="8" customWidth="1"/>
    <col min="9461" max="9461" width="15.28515625" style="8" customWidth="1"/>
    <col min="9462" max="9462" width="23.42578125" style="8" customWidth="1"/>
    <col min="9463" max="9463" width="8.42578125" style="8" customWidth="1"/>
    <col min="9464" max="9464" width="8.140625" style="8" customWidth="1"/>
    <col min="9465" max="9466" width="8.7109375" style="8" customWidth="1"/>
    <col min="9467" max="9470" width="7.28515625" style="8" bestFit="1" customWidth="1"/>
    <col min="9471" max="9471" width="0" style="8" hidden="1" customWidth="1"/>
    <col min="9472" max="9472" width="9.140625" style="8" bestFit="1" customWidth="1"/>
    <col min="9473" max="9705" width="11.42578125" style="8"/>
    <col min="9706" max="9706" width="5.28515625" style="8" customWidth="1"/>
    <col min="9707" max="9707" width="6.85546875" style="8" customWidth="1"/>
    <col min="9708" max="9708" width="18" style="8" customWidth="1"/>
    <col min="9709" max="9709" width="12" style="8" customWidth="1"/>
    <col min="9710" max="9710" width="11.28515625" style="8" customWidth="1"/>
    <col min="9711" max="9711" width="22.140625" style="8" customWidth="1"/>
    <col min="9712" max="9712" width="20.5703125" style="8" customWidth="1"/>
    <col min="9713" max="9713" width="20" style="8" customWidth="1"/>
    <col min="9714" max="9714" width="11.85546875" style="8" customWidth="1"/>
    <col min="9715" max="9715" width="11.42578125" style="8" customWidth="1"/>
    <col min="9716" max="9716" width="24.28515625" style="8" customWidth="1"/>
    <col min="9717" max="9717" width="15.28515625" style="8" customWidth="1"/>
    <col min="9718" max="9718" width="23.42578125" style="8" customWidth="1"/>
    <col min="9719" max="9719" width="8.42578125" style="8" customWidth="1"/>
    <col min="9720" max="9720" width="8.140625" style="8" customWidth="1"/>
    <col min="9721" max="9722" width="8.7109375" style="8" customWidth="1"/>
    <col min="9723" max="9726" width="7.28515625" style="8" bestFit="1" customWidth="1"/>
    <col min="9727" max="9727" width="0" style="8" hidden="1" customWidth="1"/>
    <col min="9728" max="9728" width="9.140625" style="8" bestFit="1" customWidth="1"/>
    <col min="9729" max="9961" width="11.42578125" style="8"/>
    <col min="9962" max="9962" width="5.28515625" style="8" customWidth="1"/>
    <col min="9963" max="9963" width="6.85546875" style="8" customWidth="1"/>
    <col min="9964" max="9964" width="18" style="8" customWidth="1"/>
    <col min="9965" max="9965" width="12" style="8" customWidth="1"/>
    <col min="9966" max="9966" width="11.28515625" style="8" customWidth="1"/>
    <col min="9967" max="9967" width="22.140625" style="8" customWidth="1"/>
    <col min="9968" max="9968" width="20.5703125" style="8" customWidth="1"/>
    <col min="9969" max="9969" width="20" style="8" customWidth="1"/>
    <col min="9970" max="9970" width="11.85546875" style="8" customWidth="1"/>
    <col min="9971" max="9971" width="11.42578125" style="8" customWidth="1"/>
    <col min="9972" max="9972" width="24.28515625" style="8" customWidth="1"/>
    <col min="9973" max="9973" width="15.28515625" style="8" customWidth="1"/>
    <col min="9974" max="9974" width="23.42578125" style="8" customWidth="1"/>
    <col min="9975" max="9975" width="8.42578125" style="8" customWidth="1"/>
    <col min="9976" max="9976" width="8.140625" style="8" customWidth="1"/>
    <col min="9977" max="9978" width="8.7109375" style="8" customWidth="1"/>
    <col min="9979" max="9982" width="7.28515625" style="8" bestFit="1" customWidth="1"/>
    <col min="9983" max="9983" width="0" style="8" hidden="1" customWidth="1"/>
    <col min="9984" max="9984" width="9.140625" style="8" bestFit="1" customWidth="1"/>
    <col min="9985" max="10217" width="11.42578125" style="8"/>
    <col min="10218" max="10218" width="5.28515625" style="8" customWidth="1"/>
    <col min="10219" max="10219" width="6.85546875" style="8" customWidth="1"/>
    <col min="10220" max="10220" width="18" style="8" customWidth="1"/>
    <col min="10221" max="10221" width="12" style="8" customWidth="1"/>
    <col min="10222" max="10222" width="11.28515625" style="8" customWidth="1"/>
    <col min="10223" max="10223" width="22.140625" style="8" customWidth="1"/>
    <col min="10224" max="10224" width="20.5703125" style="8" customWidth="1"/>
    <col min="10225" max="10225" width="20" style="8" customWidth="1"/>
    <col min="10226" max="10226" width="11.85546875" style="8" customWidth="1"/>
    <col min="10227" max="10227" width="11.42578125" style="8" customWidth="1"/>
    <col min="10228" max="10228" width="24.28515625" style="8" customWidth="1"/>
    <col min="10229" max="10229" width="15.28515625" style="8" customWidth="1"/>
    <col min="10230" max="10230" width="23.42578125" style="8" customWidth="1"/>
    <col min="10231" max="10231" width="8.42578125" style="8" customWidth="1"/>
    <col min="10232" max="10232" width="8.140625" style="8" customWidth="1"/>
    <col min="10233" max="10234" width="8.7109375" style="8" customWidth="1"/>
    <col min="10235" max="10238" width="7.28515625" style="8" bestFit="1" customWidth="1"/>
    <col min="10239" max="10239" width="0" style="8" hidden="1" customWidth="1"/>
    <col min="10240" max="10240" width="9.140625" style="8" bestFit="1" customWidth="1"/>
    <col min="10241" max="10473" width="11.42578125" style="8"/>
    <col min="10474" max="10474" width="5.28515625" style="8" customWidth="1"/>
    <col min="10475" max="10475" width="6.85546875" style="8" customWidth="1"/>
    <col min="10476" max="10476" width="18" style="8" customWidth="1"/>
    <col min="10477" max="10477" width="12" style="8" customWidth="1"/>
    <col min="10478" max="10478" width="11.28515625" style="8" customWidth="1"/>
    <col min="10479" max="10479" width="22.140625" style="8" customWidth="1"/>
    <col min="10480" max="10480" width="20.5703125" style="8" customWidth="1"/>
    <col min="10481" max="10481" width="20" style="8" customWidth="1"/>
    <col min="10482" max="10482" width="11.85546875" style="8" customWidth="1"/>
    <col min="10483" max="10483" width="11.42578125" style="8" customWidth="1"/>
    <col min="10484" max="10484" width="24.28515625" style="8" customWidth="1"/>
    <col min="10485" max="10485" width="15.28515625" style="8" customWidth="1"/>
    <col min="10486" max="10486" width="23.42578125" style="8" customWidth="1"/>
    <col min="10487" max="10487" width="8.42578125" style="8" customWidth="1"/>
    <col min="10488" max="10488" width="8.140625" style="8" customWidth="1"/>
    <col min="10489" max="10490" width="8.7109375" style="8" customWidth="1"/>
    <col min="10491" max="10494" width="7.28515625" style="8" bestFit="1" customWidth="1"/>
    <col min="10495" max="10495" width="0" style="8" hidden="1" customWidth="1"/>
    <col min="10496" max="10496" width="9.140625" style="8" bestFit="1" customWidth="1"/>
    <col min="10497" max="10729" width="11.42578125" style="8"/>
    <col min="10730" max="10730" width="5.28515625" style="8" customWidth="1"/>
    <col min="10731" max="10731" width="6.85546875" style="8" customWidth="1"/>
    <col min="10732" max="10732" width="18" style="8" customWidth="1"/>
    <col min="10733" max="10733" width="12" style="8" customWidth="1"/>
    <col min="10734" max="10734" width="11.28515625" style="8" customWidth="1"/>
    <col min="10735" max="10735" width="22.140625" style="8" customWidth="1"/>
    <col min="10736" max="10736" width="20.5703125" style="8" customWidth="1"/>
    <col min="10737" max="10737" width="20" style="8" customWidth="1"/>
    <col min="10738" max="10738" width="11.85546875" style="8" customWidth="1"/>
    <col min="10739" max="10739" width="11.42578125" style="8" customWidth="1"/>
    <col min="10740" max="10740" width="24.28515625" style="8" customWidth="1"/>
    <col min="10741" max="10741" width="15.28515625" style="8" customWidth="1"/>
    <col min="10742" max="10742" width="23.42578125" style="8" customWidth="1"/>
    <col min="10743" max="10743" width="8.42578125" style="8" customWidth="1"/>
    <col min="10744" max="10744" width="8.140625" style="8" customWidth="1"/>
    <col min="10745" max="10746" width="8.7109375" style="8" customWidth="1"/>
    <col min="10747" max="10750" width="7.28515625" style="8" bestFit="1" customWidth="1"/>
    <col min="10751" max="10751" width="0" style="8" hidden="1" customWidth="1"/>
    <col min="10752" max="10752" width="9.140625" style="8" bestFit="1" customWidth="1"/>
    <col min="10753" max="10985" width="11.42578125" style="8"/>
    <col min="10986" max="10986" width="5.28515625" style="8" customWidth="1"/>
    <col min="10987" max="10987" width="6.85546875" style="8" customWidth="1"/>
    <col min="10988" max="10988" width="18" style="8" customWidth="1"/>
    <col min="10989" max="10989" width="12" style="8" customWidth="1"/>
    <col min="10990" max="10990" width="11.28515625" style="8" customWidth="1"/>
    <col min="10991" max="10991" width="22.140625" style="8" customWidth="1"/>
    <col min="10992" max="10992" width="20.5703125" style="8" customWidth="1"/>
    <col min="10993" max="10993" width="20" style="8" customWidth="1"/>
    <col min="10994" max="10994" width="11.85546875" style="8" customWidth="1"/>
    <col min="10995" max="10995" width="11.42578125" style="8" customWidth="1"/>
    <col min="10996" max="10996" width="24.28515625" style="8" customWidth="1"/>
    <col min="10997" max="10997" width="15.28515625" style="8" customWidth="1"/>
    <col min="10998" max="10998" width="23.42578125" style="8" customWidth="1"/>
    <col min="10999" max="10999" width="8.42578125" style="8" customWidth="1"/>
    <col min="11000" max="11000" width="8.140625" style="8" customWidth="1"/>
    <col min="11001" max="11002" width="8.7109375" style="8" customWidth="1"/>
    <col min="11003" max="11006" width="7.28515625" style="8" bestFit="1" customWidth="1"/>
    <col min="11007" max="11007" width="0" style="8" hidden="1" customWidth="1"/>
    <col min="11008" max="11008" width="9.140625" style="8" bestFit="1" customWidth="1"/>
    <col min="11009" max="11241" width="11.42578125" style="8"/>
    <col min="11242" max="11242" width="5.28515625" style="8" customWidth="1"/>
    <col min="11243" max="11243" width="6.85546875" style="8" customWidth="1"/>
    <col min="11244" max="11244" width="18" style="8" customWidth="1"/>
    <col min="11245" max="11245" width="12" style="8" customWidth="1"/>
    <col min="11246" max="11246" width="11.28515625" style="8" customWidth="1"/>
    <col min="11247" max="11247" width="22.140625" style="8" customWidth="1"/>
    <col min="11248" max="11248" width="20.5703125" style="8" customWidth="1"/>
    <col min="11249" max="11249" width="20" style="8" customWidth="1"/>
    <col min="11250" max="11250" width="11.85546875" style="8" customWidth="1"/>
    <col min="11251" max="11251" width="11.42578125" style="8" customWidth="1"/>
    <col min="11252" max="11252" width="24.28515625" style="8" customWidth="1"/>
    <col min="11253" max="11253" width="15.28515625" style="8" customWidth="1"/>
    <col min="11254" max="11254" width="23.42578125" style="8" customWidth="1"/>
    <col min="11255" max="11255" width="8.42578125" style="8" customWidth="1"/>
    <col min="11256" max="11256" width="8.140625" style="8" customWidth="1"/>
    <col min="11257" max="11258" width="8.7109375" style="8" customWidth="1"/>
    <col min="11259" max="11262" width="7.28515625" style="8" bestFit="1" customWidth="1"/>
    <col min="11263" max="11263" width="0" style="8" hidden="1" customWidth="1"/>
    <col min="11264" max="11264" width="9.140625" style="8" bestFit="1" customWidth="1"/>
    <col min="11265" max="11497" width="11.42578125" style="8"/>
    <col min="11498" max="11498" width="5.28515625" style="8" customWidth="1"/>
    <col min="11499" max="11499" width="6.85546875" style="8" customWidth="1"/>
    <col min="11500" max="11500" width="18" style="8" customWidth="1"/>
    <col min="11501" max="11501" width="12" style="8" customWidth="1"/>
    <col min="11502" max="11502" width="11.28515625" style="8" customWidth="1"/>
    <col min="11503" max="11503" width="22.140625" style="8" customWidth="1"/>
    <col min="11504" max="11504" width="20.5703125" style="8" customWidth="1"/>
    <col min="11505" max="11505" width="20" style="8" customWidth="1"/>
    <col min="11506" max="11506" width="11.85546875" style="8" customWidth="1"/>
    <col min="11507" max="11507" width="11.42578125" style="8" customWidth="1"/>
    <col min="11508" max="11508" width="24.28515625" style="8" customWidth="1"/>
    <col min="11509" max="11509" width="15.28515625" style="8" customWidth="1"/>
    <col min="11510" max="11510" width="23.42578125" style="8" customWidth="1"/>
    <col min="11511" max="11511" width="8.42578125" style="8" customWidth="1"/>
    <col min="11512" max="11512" width="8.140625" style="8" customWidth="1"/>
    <col min="11513" max="11514" width="8.7109375" style="8" customWidth="1"/>
    <col min="11515" max="11518" width="7.28515625" style="8" bestFit="1" customWidth="1"/>
    <col min="11519" max="11519" width="0" style="8" hidden="1" customWidth="1"/>
    <col min="11520" max="11520" width="9.140625" style="8" bestFit="1" customWidth="1"/>
    <col min="11521" max="11753" width="11.42578125" style="8"/>
    <col min="11754" max="11754" width="5.28515625" style="8" customWidth="1"/>
    <col min="11755" max="11755" width="6.85546875" style="8" customWidth="1"/>
    <col min="11756" max="11756" width="18" style="8" customWidth="1"/>
    <col min="11757" max="11757" width="12" style="8" customWidth="1"/>
    <col min="11758" max="11758" width="11.28515625" style="8" customWidth="1"/>
    <col min="11759" max="11759" width="22.140625" style="8" customWidth="1"/>
    <col min="11760" max="11760" width="20.5703125" style="8" customWidth="1"/>
    <col min="11761" max="11761" width="20" style="8" customWidth="1"/>
    <col min="11762" max="11762" width="11.85546875" style="8" customWidth="1"/>
    <col min="11763" max="11763" width="11.42578125" style="8" customWidth="1"/>
    <col min="11764" max="11764" width="24.28515625" style="8" customWidth="1"/>
    <col min="11765" max="11765" width="15.28515625" style="8" customWidth="1"/>
    <col min="11766" max="11766" width="23.42578125" style="8" customWidth="1"/>
    <col min="11767" max="11767" width="8.42578125" style="8" customWidth="1"/>
    <col min="11768" max="11768" width="8.140625" style="8" customWidth="1"/>
    <col min="11769" max="11770" width="8.7109375" style="8" customWidth="1"/>
    <col min="11771" max="11774" width="7.28515625" style="8" bestFit="1" customWidth="1"/>
    <col min="11775" max="11775" width="0" style="8" hidden="1" customWidth="1"/>
    <col min="11776" max="11776" width="9.140625" style="8" bestFit="1" customWidth="1"/>
    <col min="11777" max="12009" width="11.42578125" style="8"/>
    <col min="12010" max="12010" width="5.28515625" style="8" customWidth="1"/>
    <col min="12011" max="12011" width="6.85546875" style="8" customWidth="1"/>
    <col min="12012" max="12012" width="18" style="8" customWidth="1"/>
    <col min="12013" max="12013" width="12" style="8" customWidth="1"/>
    <col min="12014" max="12014" width="11.28515625" style="8" customWidth="1"/>
    <col min="12015" max="12015" width="22.140625" style="8" customWidth="1"/>
    <col min="12016" max="12016" width="20.5703125" style="8" customWidth="1"/>
    <col min="12017" max="12017" width="20" style="8" customWidth="1"/>
    <col min="12018" max="12018" width="11.85546875" style="8" customWidth="1"/>
    <col min="12019" max="12019" width="11.42578125" style="8" customWidth="1"/>
    <col min="12020" max="12020" width="24.28515625" style="8" customWidth="1"/>
    <col min="12021" max="12021" width="15.28515625" style="8" customWidth="1"/>
    <col min="12022" max="12022" width="23.42578125" style="8" customWidth="1"/>
    <col min="12023" max="12023" width="8.42578125" style="8" customWidth="1"/>
    <col min="12024" max="12024" width="8.140625" style="8" customWidth="1"/>
    <col min="12025" max="12026" width="8.7109375" style="8" customWidth="1"/>
    <col min="12027" max="12030" width="7.28515625" style="8" bestFit="1" customWidth="1"/>
    <col min="12031" max="12031" width="0" style="8" hidden="1" customWidth="1"/>
    <col min="12032" max="12032" width="9.140625" style="8" bestFit="1" customWidth="1"/>
    <col min="12033" max="12265" width="11.42578125" style="8"/>
    <col min="12266" max="12266" width="5.28515625" style="8" customWidth="1"/>
    <col min="12267" max="12267" width="6.85546875" style="8" customWidth="1"/>
    <col min="12268" max="12268" width="18" style="8" customWidth="1"/>
    <col min="12269" max="12269" width="12" style="8" customWidth="1"/>
    <col min="12270" max="12270" width="11.28515625" style="8" customWidth="1"/>
    <col min="12271" max="12271" width="22.140625" style="8" customWidth="1"/>
    <col min="12272" max="12272" width="20.5703125" style="8" customWidth="1"/>
    <col min="12273" max="12273" width="20" style="8" customWidth="1"/>
    <col min="12274" max="12274" width="11.85546875" style="8" customWidth="1"/>
    <col min="12275" max="12275" width="11.42578125" style="8" customWidth="1"/>
    <col min="12276" max="12276" width="24.28515625" style="8" customWidth="1"/>
    <col min="12277" max="12277" width="15.28515625" style="8" customWidth="1"/>
    <col min="12278" max="12278" width="23.42578125" style="8" customWidth="1"/>
    <col min="12279" max="12279" width="8.42578125" style="8" customWidth="1"/>
    <col min="12280" max="12280" width="8.140625" style="8" customWidth="1"/>
    <col min="12281" max="12282" width="8.7109375" style="8" customWidth="1"/>
    <col min="12283" max="12286" width="7.28515625" style="8" bestFit="1" customWidth="1"/>
    <col min="12287" max="12287" width="0" style="8" hidden="1" customWidth="1"/>
    <col min="12288" max="12288" width="9.140625" style="8" bestFit="1" customWidth="1"/>
    <col min="12289" max="12521" width="11.42578125" style="8"/>
    <col min="12522" max="12522" width="5.28515625" style="8" customWidth="1"/>
    <col min="12523" max="12523" width="6.85546875" style="8" customWidth="1"/>
    <col min="12524" max="12524" width="18" style="8" customWidth="1"/>
    <col min="12525" max="12525" width="12" style="8" customWidth="1"/>
    <col min="12526" max="12526" width="11.28515625" style="8" customWidth="1"/>
    <col min="12527" max="12527" width="22.140625" style="8" customWidth="1"/>
    <col min="12528" max="12528" width="20.5703125" style="8" customWidth="1"/>
    <col min="12529" max="12529" width="20" style="8" customWidth="1"/>
    <col min="12530" max="12530" width="11.85546875" style="8" customWidth="1"/>
    <col min="12531" max="12531" width="11.42578125" style="8" customWidth="1"/>
    <col min="12532" max="12532" width="24.28515625" style="8" customWidth="1"/>
    <col min="12533" max="12533" width="15.28515625" style="8" customWidth="1"/>
    <col min="12534" max="12534" width="23.42578125" style="8" customWidth="1"/>
    <col min="12535" max="12535" width="8.42578125" style="8" customWidth="1"/>
    <col min="12536" max="12536" width="8.140625" style="8" customWidth="1"/>
    <col min="12537" max="12538" width="8.7109375" style="8" customWidth="1"/>
    <col min="12539" max="12542" width="7.28515625" style="8" bestFit="1" customWidth="1"/>
    <col min="12543" max="12543" width="0" style="8" hidden="1" customWidth="1"/>
    <col min="12544" max="12544" width="9.140625" style="8" bestFit="1" customWidth="1"/>
    <col min="12545" max="12777" width="11.42578125" style="8"/>
    <col min="12778" max="12778" width="5.28515625" style="8" customWidth="1"/>
    <col min="12779" max="12779" width="6.85546875" style="8" customWidth="1"/>
    <col min="12780" max="12780" width="18" style="8" customWidth="1"/>
    <col min="12781" max="12781" width="12" style="8" customWidth="1"/>
    <col min="12782" max="12782" width="11.28515625" style="8" customWidth="1"/>
    <col min="12783" max="12783" width="22.140625" style="8" customWidth="1"/>
    <col min="12784" max="12784" width="20.5703125" style="8" customWidth="1"/>
    <col min="12785" max="12785" width="20" style="8" customWidth="1"/>
    <col min="12786" max="12786" width="11.85546875" style="8" customWidth="1"/>
    <col min="12787" max="12787" width="11.42578125" style="8" customWidth="1"/>
    <col min="12788" max="12788" width="24.28515625" style="8" customWidth="1"/>
    <col min="12789" max="12789" width="15.28515625" style="8" customWidth="1"/>
    <col min="12790" max="12790" width="23.42578125" style="8" customWidth="1"/>
    <col min="12791" max="12791" width="8.42578125" style="8" customWidth="1"/>
    <col min="12792" max="12792" width="8.140625" style="8" customWidth="1"/>
    <col min="12793" max="12794" width="8.7109375" style="8" customWidth="1"/>
    <col min="12795" max="12798" width="7.28515625" style="8" bestFit="1" customWidth="1"/>
    <col min="12799" max="12799" width="0" style="8" hidden="1" customWidth="1"/>
    <col min="12800" max="12800" width="9.140625" style="8" bestFit="1" customWidth="1"/>
    <col min="12801" max="13033" width="11.42578125" style="8"/>
    <col min="13034" max="13034" width="5.28515625" style="8" customWidth="1"/>
    <col min="13035" max="13035" width="6.85546875" style="8" customWidth="1"/>
    <col min="13036" max="13036" width="18" style="8" customWidth="1"/>
    <col min="13037" max="13037" width="12" style="8" customWidth="1"/>
    <col min="13038" max="13038" width="11.28515625" style="8" customWidth="1"/>
    <col min="13039" max="13039" width="22.140625" style="8" customWidth="1"/>
    <col min="13040" max="13040" width="20.5703125" style="8" customWidth="1"/>
    <col min="13041" max="13041" width="20" style="8" customWidth="1"/>
    <col min="13042" max="13042" width="11.85546875" style="8" customWidth="1"/>
    <col min="13043" max="13043" width="11.42578125" style="8" customWidth="1"/>
    <col min="13044" max="13044" width="24.28515625" style="8" customWidth="1"/>
    <col min="13045" max="13045" width="15.28515625" style="8" customWidth="1"/>
    <col min="13046" max="13046" width="23.42578125" style="8" customWidth="1"/>
    <col min="13047" max="13047" width="8.42578125" style="8" customWidth="1"/>
    <col min="13048" max="13048" width="8.140625" style="8" customWidth="1"/>
    <col min="13049" max="13050" width="8.7109375" style="8" customWidth="1"/>
    <col min="13051" max="13054" width="7.28515625" style="8" bestFit="1" customWidth="1"/>
    <col min="13055" max="13055" width="0" style="8" hidden="1" customWidth="1"/>
    <col min="13056" max="13056" width="9.140625" style="8" bestFit="1" customWidth="1"/>
    <col min="13057" max="13289" width="11.42578125" style="8"/>
    <col min="13290" max="13290" width="5.28515625" style="8" customWidth="1"/>
    <col min="13291" max="13291" width="6.85546875" style="8" customWidth="1"/>
    <col min="13292" max="13292" width="18" style="8" customWidth="1"/>
    <col min="13293" max="13293" width="12" style="8" customWidth="1"/>
    <col min="13294" max="13294" width="11.28515625" style="8" customWidth="1"/>
    <col min="13295" max="13295" width="22.140625" style="8" customWidth="1"/>
    <col min="13296" max="13296" width="20.5703125" style="8" customWidth="1"/>
    <col min="13297" max="13297" width="20" style="8" customWidth="1"/>
    <col min="13298" max="13298" width="11.85546875" style="8" customWidth="1"/>
    <col min="13299" max="13299" width="11.42578125" style="8" customWidth="1"/>
    <col min="13300" max="13300" width="24.28515625" style="8" customWidth="1"/>
    <col min="13301" max="13301" width="15.28515625" style="8" customWidth="1"/>
    <col min="13302" max="13302" width="23.42578125" style="8" customWidth="1"/>
    <col min="13303" max="13303" width="8.42578125" style="8" customWidth="1"/>
    <col min="13304" max="13304" width="8.140625" style="8" customWidth="1"/>
    <col min="13305" max="13306" width="8.7109375" style="8" customWidth="1"/>
    <col min="13307" max="13310" width="7.28515625" style="8" bestFit="1" customWidth="1"/>
    <col min="13311" max="13311" width="0" style="8" hidden="1" customWidth="1"/>
    <col min="13312" max="13312" width="9.140625" style="8" bestFit="1" customWidth="1"/>
    <col min="13313" max="13545" width="11.42578125" style="8"/>
    <col min="13546" max="13546" width="5.28515625" style="8" customWidth="1"/>
    <col min="13547" max="13547" width="6.85546875" style="8" customWidth="1"/>
    <col min="13548" max="13548" width="18" style="8" customWidth="1"/>
    <col min="13549" max="13549" width="12" style="8" customWidth="1"/>
    <col min="13550" max="13550" width="11.28515625" style="8" customWidth="1"/>
    <col min="13551" max="13551" width="22.140625" style="8" customWidth="1"/>
    <col min="13552" max="13552" width="20.5703125" style="8" customWidth="1"/>
    <col min="13553" max="13553" width="20" style="8" customWidth="1"/>
    <col min="13554" max="13554" width="11.85546875" style="8" customWidth="1"/>
    <col min="13555" max="13555" width="11.42578125" style="8" customWidth="1"/>
    <col min="13556" max="13556" width="24.28515625" style="8" customWidth="1"/>
    <col min="13557" max="13557" width="15.28515625" style="8" customWidth="1"/>
    <col min="13558" max="13558" width="23.42578125" style="8" customWidth="1"/>
    <col min="13559" max="13559" width="8.42578125" style="8" customWidth="1"/>
    <col min="13560" max="13560" width="8.140625" style="8" customWidth="1"/>
    <col min="13561" max="13562" width="8.7109375" style="8" customWidth="1"/>
    <col min="13563" max="13566" width="7.28515625" style="8" bestFit="1" customWidth="1"/>
    <col min="13567" max="13567" width="0" style="8" hidden="1" customWidth="1"/>
    <col min="13568" max="13568" width="9.140625" style="8" bestFit="1" customWidth="1"/>
    <col min="13569" max="13801" width="11.42578125" style="8"/>
    <col min="13802" max="13802" width="5.28515625" style="8" customWidth="1"/>
    <col min="13803" max="13803" width="6.85546875" style="8" customWidth="1"/>
    <col min="13804" max="13804" width="18" style="8" customWidth="1"/>
    <col min="13805" max="13805" width="12" style="8" customWidth="1"/>
    <col min="13806" max="13806" width="11.28515625" style="8" customWidth="1"/>
    <col min="13807" max="13807" width="22.140625" style="8" customWidth="1"/>
    <col min="13808" max="13808" width="20.5703125" style="8" customWidth="1"/>
    <col min="13809" max="13809" width="20" style="8" customWidth="1"/>
    <col min="13810" max="13810" width="11.85546875" style="8" customWidth="1"/>
    <col min="13811" max="13811" width="11.42578125" style="8" customWidth="1"/>
    <col min="13812" max="13812" width="24.28515625" style="8" customWidth="1"/>
    <col min="13813" max="13813" width="15.28515625" style="8" customWidth="1"/>
    <col min="13814" max="13814" width="23.42578125" style="8" customWidth="1"/>
    <col min="13815" max="13815" width="8.42578125" style="8" customWidth="1"/>
    <col min="13816" max="13816" width="8.140625" style="8" customWidth="1"/>
    <col min="13817" max="13818" width="8.7109375" style="8" customWidth="1"/>
    <col min="13819" max="13822" width="7.28515625" style="8" bestFit="1" customWidth="1"/>
    <col min="13823" max="13823" width="0" style="8" hidden="1" customWidth="1"/>
    <col min="13824" max="13824" width="9.140625" style="8" bestFit="1" customWidth="1"/>
    <col min="13825" max="14057" width="11.42578125" style="8"/>
    <col min="14058" max="14058" width="5.28515625" style="8" customWidth="1"/>
    <col min="14059" max="14059" width="6.85546875" style="8" customWidth="1"/>
    <col min="14060" max="14060" width="18" style="8" customWidth="1"/>
    <col min="14061" max="14061" width="12" style="8" customWidth="1"/>
    <col min="14062" max="14062" width="11.28515625" style="8" customWidth="1"/>
    <col min="14063" max="14063" width="22.140625" style="8" customWidth="1"/>
    <col min="14064" max="14064" width="20.5703125" style="8" customWidth="1"/>
    <col min="14065" max="14065" width="20" style="8" customWidth="1"/>
    <col min="14066" max="14066" width="11.85546875" style="8" customWidth="1"/>
    <col min="14067" max="14067" width="11.42578125" style="8" customWidth="1"/>
    <col min="14068" max="14068" width="24.28515625" style="8" customWidth="1"/>
    <col min="14069" max="14069" width="15.28515625" style="8" customWidth="1"/>
    <col min="14070" max="14070" width="23.42578125" style="8" customWidth="1"/>
    <col min="14071" max="14071" width="8.42578125" style="8" customWidth="1"/>
    <col min="14072" max="14072" width="8.140625" style="8" customWidth="1"/>
    <col min="14073" max="14074" width="8.7109375" style="8" customWidth="1"/>
    <col min="14075" max="14078" width="7.28515625" style="8" bestFit="1" customWidth="1"/>
    <col min="14079" max="14079" width="0" style="8" hidden="1" customWidth="1"/>
    <col min="14080" max="14080" width="9.140625" style="8" bestFit="1" customWidth="1"/>
    <col min="14081" max="14313" width="11.42578125" style="8"/>
    <col min="14314" max="14314" width="5.28515625" style="8" customWidth="1"/>
    <col min="14315" max="14315" width="6.85546875" style="8" customWidth="1"/>
    <col min="14316" max="14316" width="18" style="8" customWidth="1"/>
    <col min="14317" max="14317" width="12" style="8" customWidth="1"/>
    <col min="14318" max="14318" width="11.28515625" style="8" customWidth="1"/>
    <col min="14319" max="14319" width="22.140625" style="8" customWidth="1"/>
    <col min="14320" max="14320" width="20.5703125" style="8" customWidth="1"/>
    <col min="14321" max="14321" width="20" style="8" customWidth="1"/>
    <col min="14322" max="14322" width="11.85546875" style="8" customWidth="1"/>
    <col min="14323" max="14323" width="11.42578125" style="8" customWidth="1"/>
    <col min="14324" max="14324" width="24.28515625" style="8" customWidth="1"/>
    <col min="14325" max="14325" width="15.28515625" style="8" customWidth="1"/>
    <col min="14326" max="14326" width="23.42578125" style="8" customWidth="1"/>
    <col min="14327" max="14327" width="8.42578125" style="8" customWidth="1"/>
    <col min="14328" max="14328" width="8.140625" style="8" customWidth="1"/>
    <col min="14329" max="14330" width="8.7109375" style="8" customWidth="1"/>
    <col min="14331" max="14334" width="7.28515625" style="8" bestFit="1" customWidth="1"/>
    <col min="14335" max="14335" width="0" style="8" hidden="1" customWidth="1"/>
    <col min="14336" max="14336" width="9.140625" style="8" bestFit="1" customWidth="1"/>
    <col min="14337" max="14569" width="11.42578125" style="8"/>
    <col min="14570" max="14570" width="5.28515625" style="8" customWidth="1"/>
    <col min="14571" max="14571" width="6.85546875" style="8" customWidth="1"/>
    <col min="14572" max="14572" width="18" style="8" customWidth="1"/>
    <col min="14573" max="14573" width="12" style="8" customWidth="1"/>
    <col min="14574" max="14574" width="11.28515625" style="8" customWidth="1"/>
    <col min="14575" max="14575" width="22.140625" style="8" customWidth="1"/>
    <col min="14576" max="14576" width="20.5703125" style="8" customWidth="1"/>
    <col min="14577" max="14577" width="20" style="8" customWidth="1"/>
    <col min="14578" max="14578" width="11.85546875" style="8" customWidth="1"/>
    <col min="14579" max="14579" width="11.42578125" style="8" customWidth="1"/>
    <col min="14580" max="14580" width="24.28515625" style="8" customWidth="1"/>
    <col min="14581" max="14581" width="15.28515625" style="8" customWidth="1"/>
    <col min="14582" max="14582" width="23.42578125" style="8" customWidth="1"/>
    <col min="14583" max="14583" width="8.42578125" style="8" customWidth="1"/>
    <col min="14584" max="14584" width="8.140625" style="8" customWidth="1"/>
    <col min="14585" max="14586" width="8.7109375" style="8" customWidth="1"/>
    <col min="14587" max="14590" width="7.28515625" style="8" bestFit="1" customWidth="1"/>
    <col min="14591" max="14591" width="0" style="8" hidden="1" customWidth="1"/>
    <col min="14592" max="14592" width="9.140625" style="8" bestFit="1" customWidth="1"/>
    <col min="14593" max="14825" width="11.42578125" style="8"/>
    <col min="14826" max="14826" width="5.28515625" style="8" customWidth="1"/>
    <col min="14827" max="14827" width="6.85546875" style="8" customWidth="1"/>
    <col min="14828" max="14828" width="18" style="8" customWidth="1"/>
    <col min="14829" max="14829" width="12" style="8" customWidth="1"/>
    <col min="14830" max="14830" width="11.28515625" style="8" customWidth="1"/>
    <col min="14831" max="14831" width="22.140625" style="8" customWidth="1"/>
    <col min="14832" max="14832" width="20.5703125" style="8" customWidth="1"/>
    <col min="14833" max="14833" width="20" style="8" customWidth="1"/>
    <col min="14834" max="14834" width="11.85546875" style="8" customWidth="1"/>
    <col min="14835" max="14835" width="11.42578125" style="8" customWidth="1"/>
    <col min="14836" max="14836" width="24.28515625" style="8" customWidth="1"/>
    <col min="14837" max="14837" width="15.28515625" style="8" customWidth="1"/>
    <col min="14838" max="14838" width="23.42578125" style="8" customWidth="1"/>
    <col min="14839" max="14839" width="8.42578125" style="8" customWidth="1"/>
    <col min="14840" max="14840" width="8.140625" style="8" customWidth="1"/>
    <col min="14841" max="14842" width="8.7109375" style="8" customWidth="1"/>
    <col min="14843" max="14846" width="7.28515625" style="8" bestFit="1" customWidth="1"/>
    <col min="14847" max="14847" width="0" style="8" hidden="1" customWidth="1"/>
    <col min="14848" max="14848" width="9.140625" style="8" bestFit="1" customWidth="1"/>
    <col min="14849" max="15081" width="11.42578125" style="8"/>
    <col min="15082" max="15082" width="5.28515625" style="8" customWidth="1"/>
    <col min="15083" max="15083" width="6.85546875" style="8" customWidth="1"/>
    <col min="15084" max="15084" width="18" style="8" customWidth="1"/>
    <col min="15085" max="15085" width="12" style="8" customWidth="1"/>
    <col min="15086" max="15086" width="11.28515625" style="8" customWidth="1"/>
    <col min="15087" max="15087" width="22.140625" style="8" customWidth="1"/>
    <col min="15088" max="15088" width="20.5703125" style="8" customWidth="1"/>
    <col min="15089" max="15089" width="20" style="8" customWidth="1"/>
    <col min="15090" max="15090" width="11.85546875" style="8" customWidth="1"/>
    <col min="15091" max="15091" width="11.42578125" style="8" customWidth="1"/>
    <col min="15092" max="15092" width="24.28515625" style="8" customWidth="1"/>
    <col min="15093" max="15093" width="15.28515625" style="8" customWidth="1"/>
    <col min="15094" max="15094" width="23.42578125" style="8" customWidth="1"/>
    <col min="15095" max="15095" width="8.42578125" style="8" customWidth="1"/>
    <col min="15096" max="15096" width="8.140625" style="8" customWidth="1"/>
    <col min="15097" max="15098" width="8.7109375" style="8" customWidth="1"/>
    <col min="15099" max="15102" width="7.28515625" style="8" bestFit="1" customWidth="1"/>
    <col min="15103" max="15103" width="0" style="8" hidden="1" customWidth="1"/>
    <col min="15104" max="15104" width="9.140625" style="8" bestFit="1" customWidth="1"/>
    <col min="15105" max="15337" width="11.42578125" style="8"/>
    <col min="15338" max="15338" width="5.28515625" style="8" customWidth="1"/>
    <col min="15339" max="15339" width="6.85546875" style="8" customWidth="1"/>
    <col min="15340" max="15340" width="18" style="8" customWidth="1"/>
    <col min="15341" max="15341" width="12" style="8" customWidth="1"/>
    <col min="15342" max="15342" width="11.28515625" style="8" customWidth="1"/>
    <col min="15343" max="15343" width="22.140625" style="8" customWidth="1"/>
    <col min="15344" max="15344" width="20.5703125" style="8" customWidth="1"/>
    <col min="15345" max="15345" width="20" style="8" customWidth="1"/>
    <col min="15346" max="15346" width="11.85546875" style="8" customWidth="1"/>
    <col min="15347" max="15347" width="11.42578125" style="8" customWidth="1"/>
    <col min="15348" max="15348" width="24.28515625" style="8" customWidth="1"/>
    <col min="15349" max="15349" width="15.28515625" style="8" customWidth="1"/>
    <col min="15350" max="15350" width="23.42578125" style="8" customWidth="1"/>
    <col min="15351" max="15351" width="8.42578125" style="8" customWidth="1"/>
    <col min="15352" max="15352" width="8.140625" style="8" customWidth="1"/>
    <col min="15353" max="15354" width="8.7109375" style="8" customWidth="1"/>
    <col min="15355" max="15358" width="7.28515625" style="8" bestFit="1" customWidth="1"/>
    <col min="15359" max="15359" width="0" style="8" hidden="1" customWidth="1"/>
    <col min="15360" max="15360" width="9.140625" style="8" bestFit="1" customWidth="1"/>
    <col min="15361" max="15593" width="11.42578125" style="8"/>
    <col min="15594" max="15594" width="5.28515625" style="8" customWidth="1"/>
    <col min="15595" max="15595" width="6.85546875" style="8" customWidth="1"/>
    <col min="15596" max="15596" width="18" style="8" customWidth="1"/>
    <col min="15597" max="15597" width="12" style="8" customWidth="1"/>
    <col min="15598" max="15598" width="11.28515625" style="8" customWidth="1"/>
    <col min="15599" max="15599" width="22.140625" style="8" customWidth="1"/>
    <col min="15600" max="15600" width="20.5703125" style="8" customWidth="1"/>
    <col min="15601" max="15601" width="20" style="8" customWidth="1"/>
    <col min="15602" max="15602" width="11.85546875" style="8" customWidth="1"/>
    <col min="15603" max="15603" width="11.42578125" style="8" customWidth="1"/>
    <col min="15604" max="15604" width="24.28515625" style="8" customWidth="1"/>
    <col min="15605" max="15605" width="15.28515625" style="8" customWidth="1"/>
    <col min="15606" max="15606" width="23.42578125" style="8" customWidth="1"/>
    <col min="15607" max="15607" width="8.42578125" style="8" customWidth="1"/>
    <col min="15608" max="15608" width="8.140625" style="8" customWidth="1"/>
    <col min="15609" max="15610" width="8.7109375" style="8" customWidth="1"/>
    <col min="15611" max="15614" width="7.28515625" style="8" bestFit="1" customWidth="1"/>
    <col min="15615" max="15615" width="0" style="8" hidden="1" customWidth="1"/>
    <col min="15616" max="15616" width="9.140625" style="8" bestFit="1" customWidth="1"/>
    <col min="15617" max="15849" width="11.42578125" style="8"/>
    <col min="15850" max="15850" width="5.28515625" style="8" customWidth="1"/>
    <col min="15851" max="15851" width="6.85546875" style="8" customWidth="1"/>
    <col min="15852" max="15852" width="18" style="8" customWidth="1"/>
    <col min="15853" max="15853" width="12" style="8" customWidth="1"/>
    <col min="15854" max="15854" width="11.28515625" style="8" customWidth="1"/>
    <col min="15855" max="15855" width="22.140625" style="8" customWidth="1"/>
    <col min="15856" max="15856" width="20.5703125" style="8" customWidth="1"/>
    <col min="15857" max="15857" width="20" style="8" customWidth="1"/>
    <col min="15858" max="15858" width="11.85546875" style="8" customWidth="1"/>
    <col min="15859" max="15859" width="11.42578125" style="8" customWidth="1"/>
    <col min="15860" max="15860" width="24.28515625" style="8" customWidth="1"/>
    <col min="15861" max="15861" width="15.28515625" style="8" customWidth="1"/>
    <col min="15862" max="15862" width="23.42578125" style="8" customWidth="1"/>
    <col min="15863" max="15863" width="8.42578125" style="8" customWidth="1"/>
    <col min="15864" max="15864" width="8.140625" style="8" customWidth="1"/>
    <col min="15865" max="15866" width="8.7109375" style="8" customWidth="1"/>
    <col min="15867" max="15870" width="7.28515625" style="8" bestFit="1" customWidth="1"/>
    <col min="15871" max="15871" width="0" style="8" hidden="1" customWidth="1"/>
    <col min="15872" max="15872" width="9.140625" style="8" bestFit="1" customWidth="1"/>
    <col min="15873" max="16105" width="11.42578125" style="8"/>
    <col min="16106" max="16106" width="5.28515625" style="8" customWidth="1"/>
    <col min="16107" max="16107" width="6.85546875" style="8" customWidth="1"/>
    <col min="16108" max="16108" width="18" style="8" customWidth="1"/>
    <col min="16109" max="16109" width="12" style="8" customWidth="1"/>
    <col min="16110" max="16110" width="11.28515625" style="8" customWidth="1"/>
    <col min="16111" max="16111" width="22.140625" style="8" customWidth="1"/>
    <col min="16112" max="16112" width="20.5703125" style="8" customWidth="1"/>
    <col min="16113" max="16113" width="20" style="8" customWidth="1"/>
    <col min="16114" max="16114" width="11.85546875" style="8" customWidth="1"/>
    <col min="16115" max="16115" width="11.42578125" style="8" customWidth="1"/>
    <col min="16116" max="16116" width="24.28515625" style="8" customWidth="1"/>
    <col min="16117" max="16117" width="15.28515625" style="8" customWidth="1"/>
    <col min="16118" max="16118" width="23.42578125" style="8" customWidth="1"/>
    <col min="16119" max="16119" width="8.42578125" style="8" customWidth="1"/>
    <col min="16120" max="16120" width="8.140625" style="8" customWidth="1"/>
    <col min="16121" max="16122" width="8.7109375" style="8" customWidth="1"/>
    <col min="16123" max="16126" width="7.28515625" style="8" bestFit="1" customWidth="1"/>
    <col min="16127" max="16127" width="0" style="8" hidden="1" customWidth="1"/>
    <col min="16128" max="16128" width="9.140625" style="8" bestFit="1" customWidth="1"/>
    <col min="16129" max="16384" width="11.42578125" style="8"/>
  </cols>
  <sheetData>
    <row r="1" spans="1:6" ht="51" customHeight="1" x14ac:dyDescent="0.2">
      <c r="A1" s="1196" t="s">
        <v>3472</v>
      </c>
      <c r="B1" s="1193" t="s">
        <v>3473</v>
      </c>
      <c r="C1" s="1193" t="str">
        <f>+'PLANINDICATIVO PD'!D1:D2</f>
        <v>PROGRAMA</v>
      </c>
      <c r="D1" s="1193" t="s">
        <v>590</v>
      </c>
      <c r="E1" s="1193" t="s">
        <v>3477</v>
      </c>
      <c r="F1" s="1193" t="s">
        <v>3479</v>
      </c>
    </row>
    <row r="2" spans="1:6" ht="24" customHeight="1" x14ac:dyDescent="0.2">
      <c r="A2" s="1197"/>
      <c r="B2" s="1194"/>
      <c r="C2" s="1194"/>
      <c r="D2" s="1194"/>
      <c r="E2" s="1194"/>
      <c r="F2" s="1195"/>
    </row>
    <row r="3" spans="1:6" ht="93.75" customHeight="1" x14ac:dyDescent="0.2">
      <c r="A3" s="1185" t="s">
        <v>3080</v>
      </c>
      <c r="B3" s="1189" t="s">
        <v>3482</v>
      </c>
      <c r="C3" s="1189" t="str">
        <f>+'PLANINDICATIVO PD'!D3:D6</f>
        <v>REVISIÓN Y ACTUALIZACIÓN DE LA NORMATIVIDAD INSTITUCIONAL</v>
      </c>
      <c r="D3" s="477" t="str">
        <f>+'PLANINDICATIVO PD'!I3</f>
        <v>ESTUDIO DE LA NORMATIVIDAD INTEGRAL DE LA UNIVERSIDAD Y ADOPCIÓN DE SUS CONCLUSIONES</v>
      </c>
      <c r="E3" s="451" t="s">
        <v>3487</v>
      </c>
      <c r="F3" s="451" t="s">
        <v>3488</v>
      </c>
    </row>
    <row r="4" spans="1:6" ht="78" customHeight="1" x14ac:dyDescent="0.2">
      <c r="A4" s="1186"/>
      <c r="B4" s="1190"/>
      <c r="C4" s="1190"/>
      <c r="D4" s="477" t="str">
        <f>+'PLANINDICATIVO PD'!I4</f>
        <v>ESTRUCTURACIÓN Y APROBACIÓN DE UN CÓDIGO DE BUEN GOBIERNO PARA UNA GESTIÓN EFICAZ Y TRANSPARENTE DE LA USCO</v>
      </c>
      <c r="E4" s="451" t="s">
        <v>3489</v>
      </c>
      <c r="F4" s="451" t="s">
        <v>3279</v>
      </c>
    </row>
    <row r="5" spans="1:6" ht="94.5" customHeight="1" x14ac:dyDescent="0.2">
      <c r="A5" s="1186"/>
      <c r="B5" s="1190"/>
      <c r="C5" s="1190"/>
      <c r="D5" s="477" t="str">
        <f>+'PLANINDICATIVO PD'!I5</f>
        <v>MEJORAMIENTO DE LAS RELACIONES CON LA COMUNIDAD UNIVERSITARIA</v>
      </c>
      <c r="E5" s="451" t="s">
        <v>3490</v>
      </c>
      <c r="F5" s="451" t="s">
        <v>3276</v>
      </c>
    </row>
    <row r="6" spans="1:6" ht="15" customHeight="1" x14ac:dyDescent="0.25">
      <c r="A6" s="396"/>
      <c r="B6" s="456"/>
      <c r="C6" s="396"/>
      <c r="D6" s="396"/>
      <c r="E6" s="396"/>
      <c r="F6" s="396"/>
    </row>
    <row r="7" spans="1:6" ht="63" customHeight="1" x14ac:dyDescent="0.2">
      <c r="A7" s="1185" t="s">
        <v>648</v>
      </c>
      <c r="B7" s="1185" t="s">
        <v>3656</v>
      </c>
      <c r="C7" s="1185" t="str">
        <f>+'PLANINDICATIVO PD'!D8</f>
        <v>FORTALECIMIENTO DE LA RELACIÓN UNIVERSIDAD - ESTADO - SECTOR PRODUCTIVO-COMUNIDAD</v>
      </c>
      <c r="D7" s="475" t="str">
        <f>+'PLANINDICATIVO PD'!I8</f>
        <v>FORTALECIMIENTO  USCO - EGRESADOS</v>
      </c>
      <c r="E7" s="475" t="str">
        <f>+'PLANINDICATIVO PD'!J8</f>
        <v>21 PROGRAMAS ACOMPAÑADOS</v>
      </c>
      <c r="F7" s="475" t="str">
        <f>+'PLANINDICATIVO PD'!L8</f>
        <v>NÚMERO DE PROGRAMAS ACOMPAÑADOS EN PROCESOS DE SEGUIMIENTO A EGRESADOS</v>
      </c>
    </row>
    <row r="8" spans="1:6" ht="75.75" customHeight="1" x14ac:dyDescent="0.2">
      <c r="A8" s="1186"/>
      <c r="B8" s="1186"/>
      <c r="C8" s="1186"/>
      <c r="D8" s="1185" t="str">
        <f>+'PLANINDICATIVO PD'!I9</f>
        <v xml:space="preserve"> CONSOLIDACIÓN DE LOS GRUPOS DE PROYECCIÓN SOCIAL DE LA USCO</v>
      </c>
      <c r="E8" s="475" t="str">
        <f>+'PLANINDICATIVO PD'!J9</f>
        <v>MANTENER LOS 50 CONVENIOS INTERINSTITUCIONALES PARA EL FORTALECIMIENTO DE LA PROYECCIÓN SOCIAL-COFINANCIADOS-</v>
      </c>
      <c r="F8" s="475" t="str">
        <f>+'PLANINDICATIVO PD'!L9</f>
        <v>NÚMERO DE CONVENIOS INTERINSTITUCIONALES</v>
      </c>
    </row>
    <row r="9" spans="1:6" ht="90" x14ac:dyDescent="0.2">
      <c r="A9" s="1186"/>
      <c r="B9" s="1186"/>
      <c r="C9" s="1186"/>
      <c r="D9" s="1186"/>
      <c r="E9" s="475" t="str">
        <f>+'PLANINDICATIVO PD'!J10</f>
        <v>CONSOLIDAR LOS GRUPOS EXISTENTES Y APOYAR LA CREACIÓN DE NUEVOS GRUPOS</v>
      </c>
      <c r="F9" s="475" t="str">
        <f>+'PLANINDICATIVO PD'!L10</f>
        <v>NÚMERO DE GRUPOS DE PROYECCIÓN SOCIAL</v>
      </c>
    </row>
    <row r="10" spans="1:6" ht="60" x14ac:dyDescent="0.2">
      <c r="A10" s="1186"/>
      <c r="B10" s="1186"/>
      <c r="C10" s="1186"/>
      <c r="D10" s="1186"/>
      <c r="E10" s="475" t="str">
        <f>+'PLANINDICATIVO PD'!J11</f>
        <v>INCORPORAR EL SERVICIO SOCIAL EN 20 PROGRAMAS USCO</v>
      </c>
      <c r="F10" s="475" t="str">
        <f>+'PLANINDICATIVO PD'!L11</f>
        <v>NÚMERO DE  PROGRAMAS REFORMADOS</v>
      </c>
    </row>
    <row r="11" spans="1:6" ht="98.25" customHeight="1" x14ac:dyDescent="0.2">
      <c r="A11" s="1186"/>
      <c r="B11" s="1186"/>
      <c r="C11" s="1186"/>
      <c r="D11" s="1187"/>
      <c r="E11" s="475" t="str">
        <f>+'PLANINDICATIVO PD'!J12</f>
        <v>FORTALECIMIENTO ORGANIZACIONAL DEL PROCESO DE PROYECCIÓN SOCIAL</v>
      </c>
      <c r="F11" s="475" t="str">
        <f>+'PLANINDICATIVO PD'!L12</f>
        <v>PROGRAMAS QUE CONFORMAN EL SUBSISTEMA DE PROYECCIÓN SOCIAL ORGANIZADOS Y DOTADOS</v>
      </c>
    </row>
    <row r="12" spans="1:6" ht="24.75" customHeight="1" x14ac:dyDescent="0.25">
      <c r="A12" s="456"/>
      <c r="B12" s="398"/>
      <c r="C12" s="396"/>
      <c r="D12" s="396"/>
      <c r="E12" s="396"/>
      <c r="F12" s="457"/>
    </row>
    <row r="13" spans="1:6" ht="54.75" customHeight="1" x14ac:dyDescent="0.2">
      <c r="A13" s="1188" t="s">
        <v>3162</v>
      </c>
      <c r="B13" s="1188" t="s">
        <v>3493</v>
      </c>
      <c r="C13" s="1188" t="str">
        <f>+'PLANINDICATIVO PD'!D15</f>
        <v>ACREDITACIÓN Y REACREDITACIÓN DE PROGRAMAS DE FORMACIÓN DE PREGRADO Y POSTGRADO</v>
      </c>
      <c r="D13" s="1185" t="str">
        <f>+'PLANINDICATIVO PD'!I15</f>
        <v>ACREDITACIÓN Y REACREDITACIÓN DE PROGRAMAS DE PREGRADO</v>
      </c>
      <c r="E13" s="451" t="str">
        <f>+'PLANINDICATIVO PD'!J15</f>
        <v>AUMENTAR A 16 LOS PROGRAMAS ACREDITADOS</v>
      </c>
      <c r="F13" s="451" t="str">
        <f>+'PLANINDICATIVO PD'!L15</f>
        <v>NÚMERO DE PROGRAMAS ACREDITADOS</v>
      </c>
    </row>
    <row r="14" spans="1:6" ht="66" customHeight="1" x14ac:dyDescent="0.2">
      <c r="A14" s="1188"/>
      <c r="B14" s="1188"/>
      <c r="C14" s="1188"/>
      <c r="D14" s="1187"/>
      <c r="E14" s="472" t="str">
        <f>+'PLANINDICATIVO PD'!J16</f>
        <v>6 PROGRAMAS PREGRADO REACREDITADOS</v>
      </c>
      <c r="F14" s="472" t="str">
        <f>+'PLANINDICATIVO PD'!L16</f>
        <v>NÚMERO PROGRAMAS PREGRADO REACREDITADOS</v>
      </c>
    </row>
    <row r="15" spans="1:6" ht="62.25" customHeight="1" x14ac:dyDescent="0.2">
      <c r="A15" s="1188"/>
      <c r="B15" s="1188"/>
      <c r="C15" s="1188"/>
      <c r="D15" s="472" t="str">
        <f>+'PLANINDICATIVO PD'!I17</f>
        <v>AUTOEVALUACIÓN DE PROGRAMAS DE POSTGRADO</v>
      </c>
      <c r="E15" s="472" t="str">
        <f>+'PLANINDICATIVO PD'!J17</f>
        <v>10 PROGRAMAS DE POSTGRADOS AUTOEVALUADOS</v>
      </c>
      <c r="F15" s="472" t="str">
        <f>+'PLANINDICATIVO PD'!L17</f>
        <v>NÚMERO PROGRAMAS  POSTGRADOS AUTOEVALUADOS</v>
      </c>
    </row>
    <row r="16" spans="1:6" ht="64.5" customHeight="1" x14ac:dyDescent="0.2">
      <c r="A16" s="1188"/>
      <c r="B16" s="1188"/>
      <c r="C16" s="1188"/>
      <c r="D16" s="472" t="str">
        <f>+'PLANINDICATIVO PD'!I18</f>
        <v>CERTIFICACION DE LABORATORIOS Y TALLERES</v>
      </c>
      <c r="E16" s="472" t="str">
        <f>+'PLANINDICATIVO PD'!J18</f>
        <v>6 PRUEBAS DE LABORATORIO CERTIFICADAS</v>
      </c>
      <c r="F16" s="472" t="str">
        <f>+'PLANINDICATIVO PD'!L18</f>
        <v>NÚMERO DE PRUEBAS DE LABORATORIO CERITIFICADAS</v>
      </c>
    </row>
    <row r="17" spans="1:6" ht="107.25" customHeight="1" x14ac:dyDescent="0.2">
      <c r="A17" s="1188" t="s">
        <v>3162</v>
      </c>
      <c r="B17" s="1188" t="s">
        <v>3729</v>
      </c>
      <c r="C17" s="1185" t="str">
        <f>+'PLANINDICATIVO PD'!D19</f>
        <v>MODERNIZACIÓN CURRICULAR</v>
      </c>
      <c r="D17" s="472" t="str">
        <f>+'PLANINDICATIVO PD'!I19</f>
        <v>CREACIÓN DE CICLOS BÁSICOS Y PROPEDÉUTICOS</v>
      </c>
      <c r="E17" s="472" t="str">
        <f>+'PLANINDICATIVO PD'!J19</f>
        <v xml:space="preserve">4 PROGRAMAS POR CICLOS PROPEDÉUTICOS </v>
      </c>
      <c r="F17" s="472" t="str">
        <f>+'PLANINDICATIVO PD'!L19</f>
        <v>NÚMERO DE PROGRAMAS CON CICLOS PROPEDÉUTICOS</v>
      </c>
    </row>
    <row r="18" spans="1:6" ht="105" customHeight="1" x14ac:dyDescent="0.2">
      <c r="A18" s="1188"/>
      <c r="B18" s="1188"/>
      <c r="C18" s="1186"/>
      <c r="D18" s="1185" t="str">
        <f>+'PLANINDICATIVO PD'!I20</f>
        <v>NUEVOS PROYECTOS ACADÉMICOS ACADÉMICOS (Incluidos los técnicos y Tecnológicos)</v>
      </c>
      <c r="E18" s="472" t="str">
        <f>+'PLANINDICATIVO PD'!J20</f>
        <v>ARTICULAR 100 ESTUDIANTES DE LA EDUCACIÓN MEDIA CON LA EDUCACIÓN SUPERIOR</v>
      </c>
      <c r="F18" s="472" t="str">
        <f>+'PLANINDICATIVO PD'!L20</f>
        <v>NÚMERO DE ESTUDIANTES DE LA ED. MEDIA ARTICULADOS CON LA ED. SUPERIOR</v>
      </c>
    </row>
    <row r="19" spans="1:6" ht="90" x14ac:dyDescent="0.2">
      <c r="A19" s="1188"/>
      <c r="B19" s="1188"/>
      <c r="C19" s="1186"/>
      <c r="D19" s="1186"/>
      <c r="E19" s="472" t="str">
        <f>+'PLANINDICATIVO PD'!J21</f>
        <v>AMPLIAR LA OFERTA ACADÉMICA EN 9  NUEVOS PROGRAMAS (PREGRADO Y POSTGRADO)</v>
      </c>
      <c r="F19" s="472" t="str">
        <f>+'PLANINDICATIVO PD'!L21</f>
        <v>NÚMERO DE  PROGRAMAS ACADÉMICOS OFRECIDOS POR USCO</v>
      </c>
    </row>
    <row r="20" spans="1:6" ht="84" customHeight="1" x14ac:dyDescent="0.2">
      <c r="A20" s="1188"/>
      <c r="B20" s="1188"/>
      <c r="C20" s="1186"/>
      <c r="D20" s="1187"/>
      <c r="E20" s="472" t="str">
        <f>+'PLANINDICATIVO PD'!J22</f>
        <v>7 FACULTADES CON DOCENTES ADSCRITOS Y READSCRITOS (PLANTA GLOBAL)</v>
      </c>
      <c r="F20" s="472" t="str">
        <f>+'PLANINDICATIVO PD'!L22</f>
        <v>NÚMERO DE FACULTADES CON ADSCRIPCIÓN/READSCRIPCIÓN DE DOCENTES</v>
      </c>
    </row>
    <row r="21" spans="1:6" ht="120" x14ac:dyDescent="0.2">
      <c r="A21" s="1188"/>
      <c r="B21" s="1188"/>
      <c r="C21" s="1186"/>
      <c r="D21" s="472" t="str">
        <f>+'PLANINDICATIVO PD'!I23</f>
        <v>INCORPORACIÓN DE LA CULTURA DEL EMPRENDIMIENTO A LA ESTRUCTURA ACADÉMICA DE LA USCO</v>
      </c>
      <c r="E21" s="472" t="str">
        <f>+'PLANINDICATIVO PD'!J23</f>
        <v>UNIDAD DE EMPRENDIMIENTO IMPLEMENTADA Y 2 PLANES DE NEGOCIOS GESTADOS</v>
      </c>
      <c r="F21" s="472" t="str">
        <f>+'PLANINDICATIVO PD'!L23</f>
        <v>1 UNIDAD DE EMPRENDIMIENTO EN FUNCIONAMIENTO Y 2 PLANES DE NEGOCIOS GESTADOS</v>
      </c>
    </row>
    <row r="22" spans="1:6" ht="90" x14ac:dyDescent="0.2">
      <c r="A22" s="1188"/>
      <c r="B22" s="1188"/>
      <c r="C22" s="1186"/>
      <c r="D22" s="472" t="str">
        <f>+'PLANINDICATIVO PD'!I24</f>
        <v xml:space="preserve">FORMACIÓN Y CAPACITACIÓN DE DOCENTES </v>
      </c>
      <c r="E22" s="472" t="str">
        <f>+'PLANINDICATIVO PD'!J24</f>
        <v>100% DOCENTES DE PLANTA Y OCASIONALES CAPACITADOS EN SUS ÁREAS DE CONOCIMIENTO</v>
      </c>
      <c r="F22" s="472" t="str">
        <f>+'PLANINDICATIVO PD'!L24</f>
        <v>NÚMERO DE DOCENTES CAPACITADOS</v>
      </c>
    </row>
    <row r="23" spans="1:6" ht="135" x14ac:dyDescent="0.2">
      <c r="A23" s="1188" t="s">
        <v>3162</v>
      </c>
      <c r="B23" s="1185" t="s">
        <v>3729</v>
      </c>
      <c r="C23" s="1188" t="str">
        <f>+'PLANINDICATIVO PD'!D25</f>
        <v>CONSOLIDACION DE LA CULTURA DE LA INVESTIGACIÓN</v>
      </c>
      <c r="D23" s="472" t="str">
        <f>+'PLANINDICATIVO PD'!I25</f>
        <v>FORMACIÓN DE ALTO NIVEL PARA LA INVESTIGACIÓN, FANIE (COMISIONES DE ESTUDIO Y APOYOS ECONÓMICOS))</v>
      </c>
      <c r="E23" s="472" t="str">
        <f>+'PLANINDICATIVO PD'!J25</f>
        <v>FORMACIÓN DE 15 DOCENTES A NIVEL MAESTRÍA, 10 DOCTORES, 4 POSTDOCTORADOS ADICIONALES</v>
      </c>
      <c r="F23" s="472" t="str">
        <f>+'PLANINDICATIVO PD'!L25</f>
        <v>NÚMERO DE MAGISTER, NÚMERO DE DOCTORES Y NÚMERO DE POSTDOCTORES FORMADOS</v>
      </c>
    </row>
    <row r="24" spans="1:6" ht="75" x14ac:dyDescent="0.2">
      <c r="A24" s="1188"/>
      <c r="B24" s="1186"/>
      <c r="C24" s="1188"/>
      <c r="D24" s="1185" t="str">
        <f>+'PLANINDICATIVO PD'!I26</f>
        <v>CONSOLIDACIÓN DE LOS GRUPOS DE INVESTIGACIÓN</v>
      </c>
      <c r="E24" s="472" t="str">
        <f>+'PLANINDICATIVO PD'!J26</f>
        <v>AUMENTAR A 25 LOS GRUPOS DE INVESTIGACIÓN RECONOCIDOS POR COLCIENCIAS</v>
      </c>
      <c r="F24" s="472" t="str">
        <f>+'PLANINDICATIVO PD'!L26</f>
        <v>NÚMERO DE GRUPOS DE INVESTIGACIÓN RECONOCIDOS POR COLCIENCIAS</v>
      </c>
    </row>
    <row r="25" spans="1:6" ht="96.75" customHeight="1" x14ac:dyDescent="0.2">
      <c r="A25" s="1188"/>
      <c r="B25" s="1186"/>
      <c r="C25" s="1188"/>
      <c r="D25" s="1186"/>
      <c r="E25" s="472" t="str">
        <f>+'PLANINDICATIVO PD'!J27</f>
        <v>AUMENTAR A 20 LOS JÓVENES INVESTIGADORES</v>
      </c>
      <c r="F25" s="472" t="str">
        <f>+'PLANINDICATIVO PD'!L27</f>
        <v>NÚMERO DE JÓVENES INVESTIGADORES EN USCO</v>
      </c>
    </row>
    <row r="26" spans="1:6" ht="45" x14ac:dyDescent="0.2">
      <c r="A26" s="1188"/>
      <c r="B26" s="1186"/>
      <c r="C26" s="1188"/>
      <c r="D26" s="1187"/>
      <c r="E26" s="472" t="str">
        <f>+'PLANINDICATIVO PD'!J28</f>
        <v>AMPLIAR A 34 LOS SEMILLEROS DE INVESTIGACIÓN</v>
      </c>
      <c r="F26" s="472" t="str">
        <f>+'PLANINDICATIVO PD'!L28</f>
        <v>NÚMERO DE SEMILLEROS DE INVESTIGACIÓN</v>
      </c>
    </row>
    <row r="27" spans="1:6" ht="135" x14ac:dyDescent="0.2">
      <c r="A27" s="1188"/>
      <c r="B27" s="1186"/>
      <c r="C27" s="1188"/>
      <c r="D27" s="1185" t="str">
        <f>+'PLANINDICATIVO PD'!I29</f>
        <v>PRODUCCIÓN EDITORIAL COMO SOPORTE A LA INVESTIGACIÓN</v>
      </c>
      <c r="E27" s="472" t="str">
        <f>+'PLANINDICATIVO PD'!J29</f>
        <v>PUBLICAR 35  LIBROS PRODUCTO DE INVESTIGACIÓN, 50 LOS ARTÍCULOS EN REVISTAS INDEXADAS E INDEXAR 2 REVISTAS USCO</v>
      </c>
      <c r="F27" s="472" t="str">
        <f>+'PLANINDICATIVO PD'!L29</f>
        <v>NÚMERO DE LIBROS PUBLICADOS,         NÚMERO DE ARTÍCULOS EN REVISTAS INDEXADAS Y NÚMERO DE REVISTAS USCO INDEXADAS</v>
      </c>
    </row>
    <row r="28" spans="1:6" ht="60" x14ac:dyDescent="0.2">
      <c r="A28" s="1188"/>
      <c r="B28" s="1186"/>
      <c r="C28" s="1188"/>
      <c r="D28" s="1187"/>
      <c r="E28" s="472" t="str">
        <f>+'PLANINDICATIVO PD'!J30</f>
        <v>PUBLICAR 13 LIBROS EN DESARROLLO DE LA EDITORIAL DE LA UNIVERSIDAD</v>
      </c>
      <c r="F28" s="472" t="str">
        <f>+'PLANINDICATIVO PD'!L30</f>
        <v xml:space="preserve">NÚMERO DE LIBROS PUBLICADOS </v>
      </c>
    </row>
    <row r="29" spans="1:6" ht="75" x14ac:dyDescent="0.2">
      <c r="A29" s="1188"/>
      <c r="B29" s="1186"/>
      <c r="C29" s="1188"/>
      <c r="D29" s="1185" t="str">
        <f>+'PLANINDICATIVO PD'!I31</f>
        <v>GESTIÓN PARA LA FINANCIACIÓN DE PROYECTOS DE INVESTIGACIÓN</v>
      </c>
      <c r="E29" s="472" t="str">
        <f>+'PLANINDICATIVO PD'!J31</f>
        <v>INCREMENTAR EN 5 LOS CONVENIOS/ALIANZAS PARA LA INVESTIGACIÓN</v>
      </c>
      <c r="F29" s="472" t="str">
        <f>+'PLANINDICATIVO PD'!L31</f>
        <v>NÚMERO DE CONVENIOS/ALIANZAS</v>
      </c>
    </row>
    <row r="30" spans="1:6" ht="75" x14ac:dyDescent="0.2">
      <c r="A30" s="1188"/>
      <c r="B30" s="1186"/>
      <c r="C30" s="1188"/>
      <c r="D30" s="1187"/>
      <c r="E30" s="472" t="str">
        <f>+'PLANINDICATIVO PD'!J32</f>
        <v>MANTENER FINANCIADOS 56 PROYECTOS DE INVESTIGACIÓN</v>
      </c>
      <c r="F30" s="472" t="str">
        <f>+'PLANINDICATIVO PD'!L32</f>
        <v>NÚMERO DE PROYECTOS DE INVESTIGACIÓN FINANCIADOS POR AÑO</v>
      </c>
    </row>
    <row r="31" spans="1:6" ht="60" x14ac:dyDescent="0.2">
      <c r="A31" s="1188"/>
      <c r="B31" s="1186"/>
      <c r="C31" s="1188"/>
      <c r="D31" s="472" t="str">
        <f>+'PLANINDICATIVO PD'!I33</f>
        <v>MEMBRESÍAS A REDES DEL CONOCIMIENTO E INVESTIGACIÓN</v>
      </c>
      <c r="E31" s="472" t="str">
        <f>+'PLANINDICATIVO PD'!J33</f>
        <v>AMPLIAR A 4 LAS MEMBRESÍAS A REDES DE INVESTIGACIÓN</v>
      </c>
      <c r="F31" s="472" t="str">
        <f>+'PLANINDICATIVO PD'!L33</f>
        <v>NÚMERO DE MEBRESÍAS A REDES DE INVESTIGACIÓN</v>
      </c>
    </row>
    <row r="32" spans="1:6" ht="60" customHeight="1" x14ac:dyDescent="0.2">
      <c r="A32" s="1188"/>
      <c r="B32" s="1186"/>
      <c r="C32" s="1188"/>
      <c r="D32" s="472" t="str">
        <f>+'PLANINDICATIVO PD'!I34</f>
        <v xml:space="preserve"> PATENTES, PROPIEDAD INTELECTUAL Y REGISTROS DE MARCA</v>
      </c>
      <c r="E32" s="472" t="str">
        <f>+'PLANINDICATIVO PD'!J34</f>
        <v>AVANZAR EN UN 50% EN EL PROCESOS PARA OBTENER UNA PATENTES O REGISTRO DE MARCA A NOMBRE DE USCO</v>
      </c>
      <c r="F32" s="472" t="str">
        <f>+'PLANINDICATIVO PD'!L34</f>
        <v>50% DEL PROCESO AVANZADO DE PATENTES O REGISTRO DE MARCA A FAVOR USCO</v>
      </c>
    </row>
    <row r="33" spans="1:6" ht="60" x14ac:dyDescent="0.2">
      <c r="A33" s="1188"/>
      <c r="B33" s="1186"/>
      <c r="C33" s="1188"/>
      <c r="D33" s="472" t="str">
        <f>+'PLANINDICATIVO PD'!I35</f>
        <v xml:space="preserve"> CREACIÓN DE CENTROS DE INVESTIGACIÓN </v>
      </c>
      <c r="E33" s="472" t="str">
        <f>+'PLANINDICATIVO PD'!J35</f>
        <v>CREAR UN(1) CENTRO DE INVESTIGACIÓN (RED) EN LA USCO</v>
      </c>
      <c r="F33" s="472" t="str">
        <f>+'PLANINDICATIVO PD'!L35</f>
        <v>NÚMERO DE CENTRO DE INVESTIGACIÓN EN LA USCO</v>
      </c>
    </row>
    <row r="34" spans="1:6" ht="90" x14ac:dyDescent="0.2">
      <c r="A34" s="1185" t="s">
        <v>3162</v>
      </c>
      <c r="B34" s="1188" t="s">
        <v>3729</v>
      </c>
      <c r="C34" s="1186" t="str">
        <f>+'PLANINDICATIVO PD'!D36</f>
        <v>INTERNACIONALIZACIÓN DE LA UNIVERSIDAD SURCOLOMBIANA</v>
      </c>
      <c r="D34" s="472" t="str">
        <f>+'PLANINDICATIVO PD'!I36</f>
        <v xml:space="preserve">IMPLEMENTACIÓN DE PROGRAMAS ACADÉMICOS CON DOBLE TITULACIÓN </v>
      </c>
      <c r="E34" s="472" t="str">
        <f>+'PLANINDICATIVO PD'!J36</f>
        <v>AVANZAR UN 40% DEL PROCESO  NUEVOS PROGRAMAS CON DOBLE TITULACIÓN OFRECIDOS</v>
      </c>
      <c r="F34" s="472" t="str">
        <f>+'PLANINDICATIVO PD'!L36</f>
        <v>40% AVANCE PROGRAMAS CON DOBLE TITULACIÓN OFRECIDOS</v>
      </c>
    </row>
    <row r="35" spans="1:6" ht="120" x14ac:dyDescent="0.2">
      <c r="A35" s="1187"/>
      <c r="B35" s="1188"/>
      <c r="C35" s="1187"/>
      <c r="D35" s="472" t="str">
        <f>+'PLANINDICATIVO PD'!I37</f>
        <v>CONVENIOS CON UNIVERSIDADES DEL PAÍS O DEL EXTERIOR PARA INTERCAMBIO DE DOCENTES Y ESTUDIANTES</v>
      </c>
      <c r="E35" s="472" t="str">
        <f>+'PLANINDICATIVO PD'!J37</f>
        <v>AUMENTAR A 11 LOS  CONVENIOS CON UNIVERSIDADES NALES/INTERNALES PARA INTERCAMBIO DE DOCENTES/ESTUDIANTES/EGRESADOS</v>
      </c>
      <c r="F35" s="472" t="str">
        <f>+'PLANINDICATIVO PD'!L37</f>
        <v>NÚMERO DE CONVENIOS EN OPERACIÓN</v>
      </c>
    </row>
    <row r="36" spans="1:6" ht="22.5" customHeight="1" x14ac:dyDescent="0.25">
      <c r="A36" s="456"/>
      <c r="B36" s="398"/>
      <c r="C36" s="396"/>
      <c r="D36" s="396"/>
      <c r="E36" s="396"/>
      <c r="F36" s="457"/>
    </row>
    <row r="37" spans="1:6" ht="75" x14ac:dyDescent="0.2">
      <c r="A37" s="1185" t="s">
        <v>3526</v>
      </c>
      <c r="B37" s="1185" t="s">
        <v>3527</v>
      </c>
      <c r="C37" s="1185" t="s">
        <v>3530</v>
      </c>
      <c r="D37" s="475" t="str">
        <f>+'PLANINDICATIVO PD'!I40</f>
        <v xml:space="preserve"> HACIA LAS CERTIFICACIONES ISO 9001:2000 y NTCGP-1000</v>
      </c>
      <c r="E37" s="451" t="str">
        <f>+'PLANINDICATIVO PD'!J40</f>
        <v>IMPLEMENTAR UN SISTEMA DE GESTIÒN INTEGRAL DE ACUERDO CON NORMATIVIDAD ISO</v>
      </c>
      <c r="F37" s="451" t="str">
        <f>+'PLANINDICATIVO PD'!L40</f>
        <v>SISTEMA DE GESTIÒN IMPLEMENTADO</v>
      </c>
    </row>
    <row r="38" spans="1:6" ht="60" x14ac:dyDescent="0.2">
      <c r="A38" s="1186"/>
      <c r="B38" s="1186"/>
      <c r="C38" s="1186"/>
      <c r="D38" s="475" t="str">
        <f>+'PLANINDICATIVO PD'!I41</f>
        <v xml:space="preserve"> CLIMA ORGANIZACIONAL PARA UNA USCO COMPETITIVA</v>
      </c>
      <c r="E38" s="472" t="str">
        <f>+'PLANINDICATIVO PD'!J41</f>
        <v>85% DE ACEPTACIÓN DE LA GESTIÒN EN LA COMUNIDAD UNIVERSITARIA</v>
      </c>
      <c r="F38" s="472" t="str">
        <f>+'PLANINDICATIVO PD'!L41</f>
        <v xml:space="preserve">NIVEL DE ACEPTACIÓN DE LA GESTIÓN ANUAL </v>
      </c>
    </row>
    <row r="39" spans="1:6" ht="135" x14ac:dyDescent="0.2">
      <c r="A39" s="1186"/>
      <c r="B39" s="1186"/>
      <c r="C39" s="1186"/>
      <c r="D39" s="475" t="str">
        <f>+'PLANINDICATIVO PD'!I42</f>
        <v>CONSTRUCCIÓN, ADECUACIÓN Y MANTENIMIENTO DE INFRAESTRUCTURA FÍSICA (PLANTA FÍSICA TODAS LAS SEDES)</v>
      </c>
      <c r="E39" s="472" t="str">
        <f>+'PLANINDICATIVO PD'!J42</f>
        <v xml:space="preserve">9210 NUEVOS M2 CONSTRUIDOS, 1.000 ADECUADOS Y 12.500 (Incluye estudios, diseños e interventorías) MANTENIDOS EN TODAS LAS SEDES </v>
      </c>
      <c r="F39" s="472" t="str">
        <f>+'PLANINDICATIVO PD'!L42</f>
        <v>M2 CONSTRUIDOS, M2 ADECUADOS, Y M2 MANTENIDOS EN TODAS LA SEDES</v>
      </c>
    </row>
    <row r="40" spans="1:6" ht="105" x14ac:dyDescent="0.2">
      <c r="A40" s="1186"/>
      <c r="B40" s="1186"/>
      <c r="C40" s="1186"/>
      <c r="D40" s="475" t="str">
        <f>+'PLANINDICATIVO PD'!I43</f>
        <v>DOTACIÓN Y MANTENIMIENTO DE EQUIPOS (DOTACIÓN OFICINAS Y AULAS TODAS LAS SEDES)</v>
      </c>
      <c r="E40" s="472" t="str">
        <f>+'PLANINDICATIVO PD'!J43</f>
        <v xml:space="preserve">DOTAR 130 AULAS Y 130 OFICINAS PARA DOCENTES Y ADMINISTRATIVOS </v>
      </c>
      <c r="F40" s="472" t="str">
        <f>+'PLANINDICATIVO PD'!L43</f>
        <v>NÙMERO DE AULAS Y OFICINAS DOTADAS</v>
      </c>
    </row>
    <row r="41" spans="1:6" ht="135" x14ac:dyDescent="0.2">
      <c r="A41" s="1186"/>
      <c r="B41" s="1186"/>
      <c r="C41" s="1186"/>
      <c r="D41" s="475" t="str">
        <f>+'PLANINDICATIVO PD'!I44</f>
        <v>DOTACIÓN Y MATENIMIENTO DE EQUIPOS E INSUMOS DE LABORATORIOS(DOTACIÓN LABORATORIOS TODAS LA SEDES)</v>
      </c>
      <c r="E41" s="472" t="str">
        <f>+'PLANINDICATIVO PD'!J44</f>
        <v>CONSTRUCCIÒN DE 2 LABORATORIOS PARA INVESTIGACIÒN Y MANTENIMIENTO Y DOTACIÒN DE EQUIPOS DE 16 LABORATORIOS DE DOCENCIA E INVESTIGACIÒN</v>
      </c>
      <c r="F41" s="472" t="str">
        <f>+'PLANINDICATIVO PD'!L44</f>
        <v xml:space="preserve">NÙMERO DE LABORATORIOS CONSTRUIDOS, DOTADOS Y MANTENIDOS </v>
      </c>
    </row>
    <row r="42" spans="1:6" ht="30" x14ac:dyDescent="0.2">
      <c r="A42" s="1187"/>
      <c r="B42" s="1186"/>
      <c r="C42" s="1186"/>
      <c r="D42" s="475" t="str">
        <f>+'PLANINDICATIVO PD'!I45</f>
        <v>NUEVO CAMPUS UNIVERSITARIO</v>
      </c>
      <c r="E42" s="472" t="str">
        <f>+'PLANINDICATIVO PD'!J45</f>
        <v>DISEÑO DE UN NUEVO CAMPUS</v>
      </c>
      <c r="F42" s="472" t="str">
        <f>+'PLANINDICATIVO PD'!L45</f>
        <v>NUEVO CAMPUS DISEÑADO</v>
      </c>
    </row>
    <row r="43" spans="1:6" ht="15" x14ac:dyDescent="0.25">
      <c r="A43" s="456"/>
      <c r="B43" s="398"/>
      <c r="C43" s="396"/>
      <c r="D43" s="396"/>
      <c r="E43" s="396"/>
      <c r="F43" s="457"/>
    </row>
    <row r="44" spans="1:6" ht="75" x14ac:dyDescent="0.2">
      <c r="A44" s="1185" t="s">
        <v>3112</v>
      </c>
      <c r="B44" s="1189" t="s">
        <v>3558</v>
      </c>
      <c r="C44" s="1188" t="s">
        <v>3484</v>
      </c>
      <c r="D44" s="472" t="str">
        <f>+'PLANINDICATIVO PD'!I48</f>
        <v>PROMOCIÓN DE LA EDUCACIÓN AMBIENTAL Y FORMACIÓN ECOLÓGICA</v>
      </c>
      <c r="E44" s="472" t="str">
        <f>+'PLANINDICATIVO PD'!J48</f>
        <v>IMPLEMENTAR UN SISTEMA DE GESTIÒN AMBIENTAL</v>
      </c>
      <c r="F44" s="451" t="str">
        <f>+'PLANINDICATIVO PD'!L48</f>
        <v>UN SISTEMA DE GESTIÒN AMBIENTAL IMPLEMENTADO</v>
      </c>
    </row>
    <row r="45" spans="1:6" ht="90" x14ac:dyDescent="0.2">
      <c r="A45" s="1186"/>
      <c r="B45" s="1191"/>
      <c r="C45" s="1188"/>
      <c r="D45" s="472" t="str">
        <f>+'PLANINDICATIVO PD'!I49</f>
        <v xml:space="preserve"> REVISIÓN DEL CUMPLIMIENTO DE NORMAS AMBIENTALES POR LA USCO</v>
      </c>
      <c r="E45" s="472" t="str">
        <f>+'PLANINDICATIVO PD'!J49</f>
        <v>100% DE LOS PROCESOS EJECUTADOS DENTRO DE LO LÌMITES AMBIENTALES</v>
      </c>
      <c r="F45" s="472" t="str">
        <f>+'PLANINDICATIVO PD'!L49</f>
        <v>NÙMERO DE PROCESOS EJECUTADOS DENTRO DE LOS LÌMITES AMBIENTALES</v>
      </c>
    </row>
    <row r="46" spans="1:6" ht="105" x14ac:dyDescent="0.2">
      <c r="A46" s="1187"/>
      <c r="B46" s="1192"/>
      <c r="C46" s="1188"/>
      <c r="D46" s="472" t="str">
        <f>+'PLANINDICATIVO PD'!I50</f>
        <v>REALIZACIÓN DE ESTUDIOS DE INVESTIGACIÓN AMBIENTALES EN LA REGIÓN SURCOLOMBIANA</v>
      </c>
      <c r="E46" s="472" t="str">
        <f>+'PLANINDICATIVO PD'!J50</f>
        <v>INCORPORAR LOS TEMAS AMBIENTALES EN EL 100% DE LOS PROGRAMAS ACADÈMICOS DE LA USCO</v>
      </c>
      <c r="F46" s="472" t="str">
        <f>+'PLANINDICATIVO PD'!L50</f>
        <v>NÙMERO DE PROGRAMAS CON CRITERIOS DE GESTIÒN AMBIENTAL</v>
      </c>
    </row>
    <row r="47" spans="1:6" ht="25.5" customHeight="1" x14ac:dyDescent="0.25">
      <c r="A47" s="456"/>
      <c r="B47" s="398"/>
      <c r="C47" s="396"/>
      <c r="D47" s="396"/>
      <c r="E47" s="396"/>
      <c r="F47" s="457"/>
    </row>
    <row r="48" spans="1:6" ht="90" x14ac:dyDescent="0.2">
      <c r="A48" s="1185" t="s">
        <v>3569</v>
      </c>
      <c r="B48" s="1185" t="s">
        <v>3570</v>
      </c>
      <c r="C48" s="1188" t="s">
        <v>3484</v>
      </c>
      <c r="D48" s="475" t="str">
        <f>+'PLANINDICATIVO PD'!I53</f>
        <v xml:space="preserve"> FORMACIÓN Y CAPACITACIÓN DEL PERSONAL ADMINISTRATIVO Y OPERATIVO</v>
      </c>
      <c r="E48" s="475" t="str">
        <f>+'PLANINDICATIVO PD'!J53</f>
        <v xml:space="preserve">IMPLEMENTAR UN PLAN DE FORMACIÒN Y CAPACITACIÒN PARA 200 FUNCIONARIOS  ADMINISTRATIVO  </v>
      </c>
      <c r="F48" s="452" t="str">
        <f>+'PLANINDICATIVO PD'!L53</f>
        <v>NÙMERO DE FUNCIONARIOS ADMINISTRATIVOS FORMADOS Y CAPACITADOS</v>
      </c>
    </row>
    <row r="49" spans="1:6" ht="75" x14ac:dyDescent="0.2">
      <c r="A49" s="1186"/>
      <c r="B49" s="1186"/>
      <c r="C49" s="1188"/>
      <c r="D49" s="475" t="str">
        <f>+'PLANINDICATIVO PD'!I54</f>
        <v>PREPARACIÓN DE ESTUDIANTES EN PRUEBAS SABER PRO</v>
      </c>
      <c r="E49" s="475" t="str">
        <f>+'PLANINDICATIVO PD'!J54</f>
        <v>CAPACITAR  2400 ESTUDIANTES EN PRUEBAS SABER PRO</v>
      </c>
      <c r="F49" s="475" t="str">
        <f>+'PLANINDICATIVO PD'!L54</f>
        <v>NÙMERO DE ESTUDIANTES CAPACITADOS EN PRUEBAS SABER PRO</v>
      </c>
    </row>
    <row r="50" spans="1:6" ht="105" x14ac:dyDescent="0.2">
      <c r="A50" s="1186"/>
      <c r="B50" s="1186"/>
      <c r="C50" s="1185" t="s">
        <v>3578</v>
      </c>
      <c r="D50" s="1185" t="str">
        <f>+'PLANINDICATIVO PD'!I55</f>
        <v>BIENESTAR UNIVERSITARIO: TODOS SOMOS USCO</v>
      </c>
      <c r="E50" s="475" t="str">
        <f>+'PLANINDICATIVO PD'!J55</f>
        <v>APOYO SOCIOECONÒMICO AL 15% DEL ESTUDIANTADO POR PARTICIPACIÓN EN PROCESOS INSTITUCIONALES</v>
      </c>
      <c r="F50" s="475" t="str">
        <f>+'PLANINDICATIVO PD'!L55</f>
        <v>PORCENTAJE DE ESTUDIANTES VINCULADOS A PROCESOS INSTITUCIONALES</v>
      </c>
    </row>
    <row r="51" spans="1:6" ht="49.5" customHeight="1" x14ac:dyDescent="0.2">
      <c r="A51" s="1186"/>
      <c r="B51" s="1186"/>
      <c r="C51" s="1186"/>
      <c r="D51" s="1186"/>
      <c r="E51" s="475" t="str">
        <f>+'PLANINDICATIVO PD'!J56</f>
        <v xml:space="preserve">ELEVAR AL 60% LA TASA DE RETENCION </v>
      </c>
      <c r="F51" s="475" t="str">
        <f>+'PLANINDICATIVO PD'!L56</f>
        <v>TASA DE RETENCIÒN ESCOLAR SEMESTRAL</v>
      </c>
    </row>
    <row r="52" spans="1:6" ht="60" x14ac:dyDescent="0.2">
      <c r="A52" s="1186"/>
      <c r="B52" s="1186"/>
      <c r="C52" s="1186"/>
      <c r="D52" s="1186"/>
      <c r="E52" s="475" t="str">
        <f>+'PLANINDICATIVO PD'!J57</f>
        <v>AUMENTAR LA ATENCION MEDICA AL 85% DE ESTUDIANTES  PYP</v>
      </c>
      <c r="F52" s="475" t="str">
        <f>+'PLANINDICATIVO PD'!L57</f>
        <v>TASA DE COBERTURA DE ATENCION MÈDICA</v>
      </c>
    </row>
    <row r="53" spans="1:6" ht="60" x14ac:dyDescent="0.2">
      <c r="A53" s="1186"/>
      <c r="B53" s="1186"/>
      <c r="C53" s="1186"/>
      <c r="D53" s="1186"/>
      <c r="E53" s="475" t="str">
        <f>+'PLANINDICATIVO PD'!J58</f>
        <v xml:space="preserve">AUMENTAR SERVICIO ODONTOLÒGICO AL 60% DE ESTUDIANTES </v>
      </c>
      <c r="F53" s="475" t="str">
        <f>+'PLANINDICATIVO PD'!L58</f>
        <v>TASA DE COBERTURA DE ATENCION ODONTOLÒGICA</v>
      </c>
    </row>
    <row r="54" spans="1:6" ht="75" x14ac:dyDescent="0.2">
      <c r="A54" s="1186"/>
      <c r="B54" s="1186"/>
      <c r="C54" s="1186"/>
      <c r="D54" s="1186"/>
      <c r="E54" s="475" t="str">
        <f>+'PLANINDICATIVO PD'!J59</f>
        <v>AUMENTAR EL SERVICIO DE ATENCIÓN SICOLÒGICA AL 50% DEL PERSONAL</v>
      </c>
      <c r="F54" s="475" t="str">
        <f>+'PLANINDICATIVO PD'!L59</f>
        <v xml:space="preserve">TASA DE COBERTURA DE ATENCIÒN SICOLOGICA </v>
      </c>
    </row>
    <row r="55" spans="1:6" ht="75" x14ac:dyDescent="0.2">
      <c r="A55" s="1186" t="s">
        <v>3569</v>
      </c>
      <c r="B55" s="1186" t="s">
        <v>3570</v>
      </c>
      <c r="C55" s="1186" t="s">
        <v>3578</v>
      </c>
      <c r="D55" s="1187"/>
      <c r="E55" s="475" t="str">
        <f>+'PLANINDICATIVO PD'!J60</f>
        <v>APOYAR A 1000 ESTUDIANTES CON SERVICIO DE ALIMENTACIÒN</v>
      </c>
      <c r="F55" s="475" t="str">
        <f>+'PLANINDICATIVO PD'!L60</f>
        <v>NÚMERO DE ESTUDIANTES BENEFICIADOS CON ATENCIÒN ALIMENTARIA</v>
      </c>
    </row>
    <row r="56" spans="1:6" ht="105" x14ac:dyDescent="0.2">
      <c r="A56" s="1186"/>
      <c r="B56" s="1186"/>
      <c r="C56" s="1186"/>
      <c r="D56" s="475" t="str">
        <f>+'PLANINDICATIVO PD'!I61</f>
        <v>PREVENCIÓN, NEGOCIACIÓN Y RESOLUCIÓN DE CONFLICTOS: CULTURA PARA LA INCLUSIÓN SOCIAL Y LA PAZ</v>
      </c>
      <c r="E56" s="475" t="str">
        <f>+'PLANINDICATIVO PD'!J61</f>
        <v xml:space="preserve">IMPLEMENTAR UN PLAN DE PREVENCIÒN Y RESOLUCIÒN DE CONFLICTOS EN UN 90% </v>
      </c>
      <c r="F56" s="475" t="str">
        <f>+'PLANINDICATIVO PD'!L61</f>
        <v xml:space="preserve">TASA DE RESOLUCIÓN DE CONFLICTOS. </v>
      </c>
    </row>
    <row r="57" spans="1:6" ht="97.5" customHeight="1" x14ac:dyDescent="0.2">
      <c r="A57" s="1186"/>
      <c r="B57" s="1186"/>
      <c r="C57" s="1186"/>
      <c r="D57" s="1188" t="str">
        <f>+'PLANINDICATIVO PD'!I62</f>
        <v>USCO: NO A LOS VICIOS Y ETV POR UN AMBIENTE SANO</v>
      </c>
      <c r="E57" s="475" t="str">
        <f>+'PLANINDICATIVO PD'!J62</f>
        <v>ATENCION INTEGRAL AL 50% DE PERSONAS ENVUELTAS EN PROBLEMAS DE DROGADICCION, PROSTITUCIÒN Y ETV.</v>
      </c>
      <c r="F57" s="475" t="str">
        <f>+'PLANINDICATIVO PD'!L62</f>
        <v xml:space="preserve">TASA DE COBERTURA EN ATENCION A PERSONAS EN SITUACIONES CRÌTICAS </v>
      </c>
    </row>
    <row r="58" spans="1:6" ht="105" x14ac:dyDescent="0.2">
      <c r="A58" s="1187"/>
      <c r="B58" s="1187"/>
      <c r="C58" s="1187"/>
      <c r="D58" s="1188"/>
      <c r="E58" s="475" t="str">
        <f>+'PLANINDICATIVO PD'!J63</f>
        <v>REALIZAR 50 ACTIVIDADES AÑO DE BIENESTAR (RECREACIÒN, CULTURA DEPORTE FORMATIVAS Y ARTÌSTICAS</v>
      </c>
      <c r="F58" s="475" t="str">
        <f>+'PLANINDICATIVO PD'!L63</f>
        <v>NÙMERO DE ACTIVIDADES/AÑO DE BIENESTAR UNIVERSITARIO</v>
      </c>
    </row>
    <row r="59" spans="1:6" ht="27.75" customHeight="1" x14ac:dyDescent="0.25">
      <c r="A59" s="456"/>
      <c r="B59" s="398"/>
      <c r="C59" s="396"/>
      <c r="D59" s="396"/>
      <c r="E59" s="396"/>
      <c r="F59" s="457"/>
    </row>
    <row r="60" spans="1:6" ht="67.5" customHeight="1" x14ac:dyDescent="0.2">
      <c r="A60" s="1188" t="s">
        <v>3598</v>
      </c>
      <c r="B60" s="1188" t="s">
        <v>3599</v>
      </c>
      <c r="C60" s="1188" t="s">
        <v>3674</v>
      </c>
      <c r="D60" s="1185" t="str">
        <f>+'PLANINDICATIVO PD'!I66</f>
        <v>SISTEUSCO: PARA LA INCORPORACIÓN DEFINITIVA DE LAS TIC A LA OPERATIVIDAD DE LA USCO</v>
      </c>
      <c r="E60" s="475" t="str">
        <f>+'PLANINDICATIVO PD'!J66</f>
        <v xml:space="preserve"> DISEÑO DE UN SISTEMA DE INFORMACIÓN INTEGRAL</v>
      </c>
      <c r="F60" s="452" t="str">
        <f>+'PLANINDICATIVO PD'!L66</f>
        <v>ESTUDIO REALIZADO</v>
      </c>
    </row>
    <row r="61" spans="1:6" ht="67.5" customHeight="1" x14ac:dyDescent="0.2">
      <c r="A61" s="1188"/>
      <c r="B61" s="1188"/>
      <c r="C61" s="1188"/>
      <c r="D61" s="1187"/>
      <c r="E61" s="475" t="str">
        <f>+'PLANINDICATIVO PD'!J67</f>
        <v>IMPLEMENTAR UN SISTEMA DE INFORMACIÒN INTEGRAL</v>
      </c>
      <c r="F61" s="475" t="str">
        <f>+'PLANINDICATIVO PD'!L67</f>
        <v xml:space="preserve">PORCENTAJE DEL DISEÑO E IMPLEMENTACIÒN DEL SISTEMA </v>
      </c>
    </row>
    <row r="62" spans="1:6" ht="45" x14ac:dyDescent="0.2">
      <c r="A62" s="1188"/>
      <c r="B62" s="1188"/>
      <c r="C62" s="1188" t="s">
        <v>3698</v>
      </c>
      <c r="D62" s="1185" t="str">
        <f>+'PLANINDICATIVO PD'!I68</f>
        <v xml:space="preserve"> EDUCACIÓN VIRTUAL </v>
      </c>
      <c r="E62" s="475" t="str">
        <f>+'PLANINDICATIVO PD'!J68</f>
        <v>ADECUAR Y DOTAR 10 AULAS MULTIMEDIA</v>
      </c>
      <c r="F62" s="475" t="str">
        <f>+'PLANINDICATIVO PD'!L68</f>
        <v>NÙMERO DE AULAS ADECUADAS Y DOTADAS</v>
      </c>
    </row>
    <row r="63" spans="1:6" ht="60" x14ac:dyDescent="0.2">
      <c r="A63" s="1188"/>
      <c r="B63" s="1188"/>
      <c r="C63" s="1188"/>
      <c r="D63" s="1186"/>
      <c r="E63" s="475" t="str">
        <f>+'PLANINDICATIVO PD'!J69</f>
        <v>IMPLEMENTAR UN PROYECTO DE EDUCACIÓN VIRTUAL PARA LA USCO</v>
      </c>
      <c r="F63" s="475" t="str">
        <f>+'PLANINDICATIVO PD'!L69</f>
        <v>LABORATORIO ADECUADO Y DOTADO</v>
      </c>
    </row>
    <row r="64" spans="1:6" ht="60" x14ac:dyDescent="0.2">
      <c r="A64" s="1188"/>
      <c r="B64" s="1188"/>
      <c r="C64" s="1188"/>
      <c r="D64" s="1187"/>
      <c r="E64" s="475" t="str">
        <f>+'PLANINDICATIVO PD'!J70</f>
        <v>DISEÑAR UN PROYECTO DE EDUCACIÒN VIRTUAL PARA LA USCO</v>
      </c>
      <c r="F64" s="475" t="str">
        <f>+'PLANINDICATIVO PD'!L70</f>
        <v>PORCENTAJE DEL DISEÑO E IMPLEMENTACIÒN DEL PROYECTO</v>
      </c>
    </row>
    <row r="65" spans="1:6" ht="135" x14ac:dyDescent="0.2">
      <c r="A65" s="1188"/>
      <c r="B65" s="1188"/>
      <c r="C65" s="1188"/>
      <c r="D65" s="472" t="str">
        <f>+'PLANINDICATIVO PD'!I71</f>
        <v>COMPRA, DESARROLLO, DOTACIÓN Y MANTENIMIENTO DE SOFTWARE Y HARDWARE PARA LA GESTIÓN TECNOLOGICA EN LA USCO</v>
      </c>
      <c r="E65" s="472" t="str">
        <f>+'PLANINDICATIVO PD'!J71</f>
        <v>AUMENTAR DE 300 A 500 LOS EQUIPOS DE SISTEMAS Y REDES DISPONIBLES EN AL USCO</v>
      </c>
      <c r="F65" s="472" t="str">
        <f>+'PLANINDICATIVO PD'!L71</f>
        <v>NÙMERO DE EQUIPOS DE SISTEMAS Y REDES ADQUIRIDOS Y MANTENIDOS</v>
      </c>
    </row>
    <row r="66" spans="1:6" ht="18" customHeight="1" x14ac:dyDescent="0.2">
      <c r="A66" s="419"/>
      <c r="B66" s="419"/>
      <c r="C66" s="419"/>
      <c r="D66" s="419"/>
      <c r="E66" s="419"/>
      <c r="F66" s="419"/>
    </row>
    <row r="67" spans="1:6" x14ac:dyDescent="0.2">
      <c r="A67" s="419"/>
      <c r="B67" s="419"/>
      <c r="C67" s="419"/>
      <c r="D67" s="419"/>
      <c r="E67" s="419"/>
      <c r="F67" s="419"/>
    </row>
    <row r="68" spans="1:6" ht="17.25" customHeight="1" x14ac:dyDescent="0.2">
      <c r="A68" s="419"/>
      <c r="B68" s="419"/>
      <c r="C68" s="419"/>
      <c r="D68" s="419"/>
      <c r="E68" s="419"/>
      <c r="F68" s="419"/>
    </row>
    <row r="69" spans="1:6" ht="17.25" customHeight="1" x14ac:dyDescent="0.2">
      <c r="A69" s="419"/>
      <c r="B69" s="419"/>
      <c r="C69" s="419"/>
      <c r="D69" s="419"/>
      <c r="E69" s="419"/>
      <c r="F69" s="419"/>
    </row>
    <row r="70" spans="1:6" ht="17.25" customHeight="1" x14ac:dyDescent="0.2">
      <c r="A70" s="419"/>
      <c r="B70" s="419"/>
      <c r="C70" s="419"/>
      <c r="D70" s="419"/>
      <c r="E70" s="419"/>
      <c r="F70" s="419"/>
    </row>
    <row r="71" spans="1:6" x14ac:dyDescent="0.2">
      <c r="A71" s="419"/>
      <c r="B71" s="419"/>
      <c r="C71" s="419"/>
      <c r="D71" s="419"/>
      <c r="E71" s="419"/>
      <c r="F71" s="419"/>
    </row>
    <row r="72" spans="1:6" x14ac:dyDescent="0.2">
      <c r="A72" s="419"/>
      <c r="B72" s="419"/>
      <c r="C72" s="419"/>
      <c r="D72" s="419"/>
      <c r="E72" s="419"/>
      <c r="F72" s="419"/>
    </row>
    <row r="76" spans="1:6" ht="46.5" customHeight="1" x14ac:dyDescent="0.2"/>
  </sheetData>
  <mergeCells count="51">
    <mergeCell ref="E1:E2"/>
    <mergeCell ref="F1:F2"/>
    <mergeCell ref="A1:A2"/>
    <mergeCell ref="B1:B2"/>
    <mergeCell ref="C1:C2"/>
    <mergeCell ref="D1:D2"/>
    <mergeCell ref="A44:A46"/>
    <mergeCell ref="B44:B46"/>
    <mergeCell ref="C44:C46"/>
    <mergeCell ref="B37:B42"/>
    <mergeCell ref="B23:B33"/>
    <mergeCell ref="B34:B35"/>
    <mergeCell ref="C50:C54"/>
    <mergeCell ref="A55:A58"/>
    <mergeCell ref="B55:B58"/>
    <mergeCell ref="C55:C58"/>
    <mergeCell ref="A48:A54"/>
    <mergeCell ref="B48:B54"/>
    <mergeCell ref="C48:C49"/>
    <mergeCell ref="A3:A5"/>
    <mergeCell ref="B3:B5"/>
    <mergeCell ref="C3:C5"/>
    <mergeCell ref="A7:A11"/>
    <mergeCell ref="B7:B11"/>
    <mergeCell ref="C7:C11"/>
    <mergeCell ref="D8:D11"/>
    <mergeCell ref="D18:D20"/>
    <mergeCell ref="C17:C22"/>
    <mergeCell ref="C37:C42"/>
    <mergeCell ref="A37:A42"/>
    <mergeCell ref="C13:C16"/>
    <mergeCell ref="C23:C33"/>
    <mergeCell ref="C34:C35"/>
    <mergeCell ref="B13:B16"/>
    <mergeCell ref="B17:B22"/>
    <mergeCell ref="D50:D55"/>
    <mergeCell ref="D57:D58"/>
    <mergeCell ref="D60:D61"/>
    <mergeCell ref="D62:D64"/>
    <mergeCell ref="A13:A16"/>
    <mergeCell ref="A17:A22"/>
    <mergeCell ref="A23:A33"/>
    <mergeCell ref="A34:A35"/>
    <mergeCell ref="D29:D30"/>
    <mergeCell ref="D27:D28"/>
    <mergeCell ref="D24:D26"/>
    <mergeCell ref="D13:D14"/>
    <mergeCell ref="C62:C65"/>
    <mergeCell ref="A60:A65"/>
    <mergeCell ref="B60:B65"/>
    <mergeCell ref="C60:C61"/>
  </mergeCells>
  <printOptions horizontalCentered="1" verticalCentered="1"/>
  <pageMargins left="0.19685039370078741" right="0.55118110236220474" top="0.86614173228346458" bottom="0.43307086614173229" header="0.62992125984251968" footer="0"/>
  <pageSetup scale="55" orientation="landscape" horizontalDpi="4294967293" verticalDpi="4294967293" r:id="rId1"/>
  <headerFooter alignWithMargins="0">
    <oddHeader>&amp;C&amp;"-,Negrita"&amp;20PLAN INDICATIVO 2009 - 2012</oddHeader>
    <oddFooter>&amp;LUnidad de Planeamiento Económico y Administrativo&amp;COficina de Planeación&amp;RPágina &amp;P de &amp;N</oddFooter>
  </headerFooter>
  <rowBreaks count="2" manualBreakCount="2">
    <brk id="12" max="16383" man="1"/>
    <brk id="43" max="16383"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dimension ref="A1:AE147"/>
  <sheetViews>
    <sheetView topLeftCell="S1" zoomScalePageLayoutView="50" workbookViewId="0">
      <pane ySplit="3" topLeftCell="A4" activePane="bottomLeft" state="frozen"/>
      <selection pane="bottomLeft" activeCell="Y4" sqref="Y4"/>
    </sheetView>
  </sheetViews>
  <sheetFormatPr baseColWidth="10" defaultColWidth="11.42578125" defaultRowHeight="15" x14ac:dyDescent="0.25"/>
  <cols>
    <col min="1" max="1" width="7.28515625" customWidth="1"/>
    <col min="2" max="2" width="12" customWidth="1"/>
    <col min="3" max="3" width="6.7109375" customWidth="1"/>
    <col min="4" max="4" width="15.28515625" customWidth="1"/>
    <col min="5" max="5" width="8.85546875" customWidth="1"/>
    <col min="6" max="6" width="20.42578125" customWidth="1"/>
    <col min="7" max="7" width="14" customWidth="1"/>
    <col min="8" max="8" width="12.5703125" customWidth="1"/>
    <col min="9" max="9" width="14.42578125" customWidth="1"/>
    <col min="10" max="10" width="8.42578125" customWidth="1"/>
    <col min="11" max="11" width="12.7109375" customWidth="1"/>
    <col min="12" max="12" width="15.5703125" customWidth="1"/>
    <col min="13" max="14" width="13.5703125" customWidth="1"/>
    <col min="15" max="15" width="12.7109375" customWidth="1"/>
    <col min="16" max="16" width="16.7109375" customWidth="1"/>
    <col min="17" max="17" width="14.7109375" hidden="1" customWidth="1"/>
    <col min="18" max="18" width="12.42578125" customWidth="1"/>
    <col min="19" max="19" width="15.85546875" customWidth="1"/>
    <col min="20" max="20" width="7.28515625" customWidth="1"/>
    <col min="21" max="21" width="14.140625" hidden="1" customWidth="1"/>
    <col min="22" max="22" width="14.42578125" customWidth="1"/>
    <col min="23" max="23" width="15" customWidth="1"/>
    <col min="24" max="24" width="16.85546875" bestFit="1" customWidth="1"/>
    <col min="25" max="25" width="15.5703125" bestFit="1" customWidth="1"/>
    <col min="26" max="26" width="12.7109375" customWidth="1"/>
    <col min="27" max="27" width="6.5703125" customWidth="1"/>
    <col min="28" max="28" width="14.7109375" hidden="1" customWidth="1"/>
    <col min="29" max="29" width="8" customWidth="1"/>
  </cols>
  <sheetData>
    <row r="1" spans="1:29" ht="18" customHeight="1" thickTop="1" x14ac:dyDescent="0.3">
      <c r="A1" s="1218" t="s">
        <v>3338</v>
      </c>
      <c r="B1" s="1219"/>
      <c r="C1" s="1219"/>
      <c r="D1" s="1219"/>
      <c r="E1" s="1219"/>
      <c r="F1" s="1219"/>
      <c r="G1" s="1220" t="s">
        <v>3428</v>
      </c>
      <c r="H1" s="1221"/>
      <c r="I1" s="1221"/>
      <c r="J1" s="1222"/>
      <c r="K1" s="1230" t="s">
        <v>3427</v>
      </c>
      <c r="L1" s="1221"/>
      <c r="M1" s="1221"/>
      <c r="N1" s="1221"/>
      <c r="O1" s="1231"/>
      <c r="P1" s="1220" t="s">
        <v>3429</v>
      </c>
      <c r="Q1" s="1221"/>
      <c r="R1" s="1221"/>
      <c r="S1" s="1221"/>
      <c r="T1" s="1222"/>
      <c r="U1" s="314"/>
      <c r="V1" s="1230" t="s">
        <v>3339</v>
      </c>
      <c r="W1" s="1221"/>
      <c r="X1" s="1221"/>
      <c r="Y1" s="1221"/>
      <c r="Z1" s="1231"/>
      <c r="AA1" s="1322" t="s">
        <v>447</v>
      </c>
      <c r="AC1" s="1316" t="s">
        <v>3347</v>
      </c>
    </row>
    <row r="2" spans="1:29" ht="30.75" customHeight="1" x14ac:dyDescent="0.25">
      <c r="A2" s="1235" t="s">
        <v>3137</v>
      </c>
      <c r="B2" s="1236"/>
      <c r="C2" s="1235" t="s">
        <v>3283</v>
      </c>
      <c r="D2" s="1236"/>
      <c r="E2" s="1235" t="s">
        <v>3139</v>
      </c>
      <c r="F2" s="1239"/>
      <c r="G2" s="1241" t="s">
        <v>3414</v>
      </c>
      <c r="H2" s="1310" t="s">
        <v>3419</v>
      </c>
      <c r="I2" s="1310"/>
      <c r="J2" s="1310"/>
      <c r="K2" s="1232" t="s">
        <v>461</v>
      </c>
      <c r="L2" s="1232"/>
      <c r="M2" s="1232"/>
      <c r="N2" s="1233" t="s">
        <v>3421</v>
      </c>
      <c r="O2" s="1234"/>
      <c r="P2" s="1241" t="s">
        <v>3415</v>
      </c>
      <c r="Q2" s="1293" t="s">
        <v>3284</v>
      </c>
      <c r="R2" s="1310" t="s">
        <v>3420</v>
      </c>
      <c r="S2" s="1310"/>
      <c r="T2" s="1310"/>
      <c r="U2" s="1315"/>
      <c r="V2" s="1232" t="s">
        <v>461</v>
      </c>
      <c r="W2" s="1232"/>
      <c r="X2" s="1232"/>
      <c r="Y2" s="1233" t="s">
        <v>3421</v>
      </c>
      <c r="Z2" s="1234"/>
      <c r="AA2" s="1323"/>
      <c r="AB2" s="1319" t="s">
        <v>3320</v>
      </c>
      <c r="AC2" s="1317"/>
    </row>
    <row r="3" spans="1:29" x14ac:dyDescent="0.25">
      <c r="A3" s="1237"/>
      <c r="B3" s="1238"/>
      <c r="C3" s="1237"/>
      <c r="D3" s="1238"/>
      <c r="E3" s="1237"/>
      <c r="F3" s="1240"/>
      <c r="G3" s="1242"/>
      <c r="H3" s="301" t="s">
        <v>1</v>
      </c>
      <c r="I3" s="301" t="s">
        <v>458</v>
      </c>
      <c r="J3" s="301" t="s">
        <v>459</v>
      </c>
      <c r="K3" s="298" t="s">
        <v>1</v>
      </c>
      <c r="L3" s="298" t="s">
        <v>2</v>
      </c>
      <c r="M3" s="298" t="s">
        <v>460</v>
      </c>
      <c r="N3" s="269" t="s">
        <v>433</v>
      </c>
      <c r="O3" s="306" t="s">
        <v>3422</v>
      </c>
      <c r="P3" s="1242"/>
      <c r="Q3" s="1294"/>
      <c r="R3" s="301" t="s">
        <v>1</v>
      </c>
      <c r="S3" s="301" t="s">
        <v>458</v>
      </c>
      <c r="T3" s="301" t="s">
        <v>459</v>
      </c>
      <c r="U3" s="301" t="s">
        <v>460</v>
      </c>
      <c r="V3" s="298" t="s">
        <v>1</v>
      </c>
      <c r="W3" s="298" t="s">
        <v>2</v>
      </c>
      <c r="X3" s="298" t="s">
        <v>460</v>
      </c>
      <c r="Y3" s="269" t="s">
        <v>433</v>
      </c>
      <c r="Z3" s="306" t="s">
        <v>3422</v>
      </c>
      <c r="AA3" s="1324"/>
      <c r="AB3" s="1320"/>
      <c r="AC3" s="1318"/>
    </row>
    <row r="4" spans="1:29" ht="81.75" customHeight="1" x14ac:dyDescent="0.25">
      <c r="A4" s="1243" t="s">
        <v>3079</v>
      </c>
      <c r="B4" s="1243" t="s">
        <v>3080</v>
      </c>
      <c r="C4" s="1243" t="s">
        <v>3081</v>
      </c>
      <c r="D4" s="1243" t="s">
        <v>3260</v>
      </c>
      <c r="E4" s="2" t="s">
        <v>3087</v>
      </c>
      <c r="F4" s="303" t="s">
        <v>3194</v>
      </c>
      <c r="G4" s="307">
        <v>200000000</v>
      </c>
      <c r="H4" s="299" t="s">
        <v>3089</v>
      </c>
      <c r="I4" s="300" t="s">
        <v>3275</v>
      </c>
      <c r="J4" s="110">
        <v>0.5</v>
      </c>
      <c r="K4" s="2" t="s">
        <v>315</v>
      </c>
      <c r="L4" s="154" t="s">
        <v>3195</v>
      </c>
      <c r="M4" s="158">
        <v>12500000</v>
      </c>
      <c r="N4" s="149">
        <v>2071086</v>
      </c>
      <c r="O4" s="308">
        <v>0.3125</v>
      </c>
      <c r="P4" s="307">
        <v>200000000</v>
      </c>
      <c r="Q4" s="107">
        <v>200000000</v>
      </c>
      <c r="R4" s="299" t="s">
        <v>3089</v>
      </c>
      <c r="S4" s="300" t="s">
        <v>3275</v>
      </c>
      <c r="T4" s="110">
        <v>0.5</v>
      </c>
      <c r="U4" s="101">
        <v>0</v>
      </c>
      <c r="V4" s="2" t="s">
        <v>315</v>
      </c>
      <c r="W4" s="154" t="s">
        <v>3195</v>
      </c>
      <c r="X4" s="158" t="e">
        <f>+#REF!</f>
        <v>#REF!</v>
      </c>
      <c r="Y4" s="149" t="e">
        <f>+'[1]PLAN DE ACCIÓN 2010 INIC'!#REF!</f>
        <v>#REF!</v>
      </c>
      <c r="Z4" s="309"/>
      <c r="AA4" s="277">
        <v>510</v>
      </c>
      <c r="AB4" s="157" t="e">
        <f>+#REF!-#REF!</f>
        <v>#REF!</v>
      </c>
      <c r="AC4" s="184" t="s">
        <v>3348</v>
      </c>
    </row>
    <row r="5" spans="1:29" ht="92.25" customHeight="1" x14ac:dyDescent="0.25">
      <c r="A5" s="1244"/>
      <c r="B5" s="1244"/>
      <c r="C5" s="1244"/>
      <c r="D5" s="1244"/>
      <c r="E5" s="2" t="s">
        <v>3083</v>
      </c>
      <c r="F5" s="303" t="s">
        <v>3265</v>
      </c>
      <c r="G5" s="307">
        <v>50000000</v>
      </c>
      <c r="H5" s="2" t="s">
        <v>3085</v>
      </c>
      <c r="I5" s="100" t="s">
        <v>3279</v>
      </c>
      <c r="J5" s="110">
        <v>0.5</v>
      </c>
      <c r="K5" s="2" t="s">
        <v>317</v>
      </c>
      <c r="L5" s="154" t="s">
        <v>3281</v>
      </c>
      <c r="M5" s="158">
        <v>0</v>
      </c>
      <c r="N5" s="149">
        <v>0</v>
      </c>
      <c r="O5" s="309">
        <v>0</v>
      </c>
      <c r="P5" s="307">
        <v>50000000</v>
      </c>
      <c r="Q5" s="107">
        <v>50000000</v>
      </c>
      <c r="R5" s="2" t="s">
        <v>3085</v>
      </c>
      <c r="S5" s="100" t="s">
        <v>3279</v>
      </c>
      <c r="T5" s="110">
        <v>0.5</v>
      </c>
      <c r="U5" s="101">
        <v>0</v>
      </c>
      <c r="V5" s="2" t="s">
        <v>317</v>
      </c>
      <c r="W5" s="154" t="s">
        <v>3281</v>
      </c>
      <c r="X5" s="158" t="e">
        <f>+#REF!</f>
        <v>#REF!</v>
      </c>
      <c r="Y5" s="149" t="e">
        <f>+#REF!</f>
        <v>#REF!</v>
      </c>
      <c r="Z5" s="309"/>
      <c r="AA5" s="277">
        <v>510</v>
      </c>
      <c r="AB5" s="157" t="e">
        <f>+#REF!-#REF!</f>
        <v>#REF!</v>
      </c>
      <c r="AC5" s="183" t="s">
        <v>3348</v>
      </c>
    </row>
    <row r="6" spans="1:29" ht="45" customHeight="1" x14ac:dyDescent="0.25">
      <c r="A6" s="1244"/>
      <c r="B6" s="1244"/>
      <c r="C6" s="1244"/>
      <c r="D6" s="1244"/>
      <c r="E6" s="1243" t="s">
        <v>3091</v>
      </c>
      <c r="F6" s="1292" t="s">
        <v>3092</v>
      </c>
      <c r="G6" s="1307">
        <v>75000000</v>
      </c>
      <c r="H6" s="1311" t="s">
        <v>3093</v>
      </c>
      <c r="I6" s="1311" t="s">
        <v>3276</v>
      </c>
      <c r="J6" s="1312">
        <v>0.3</v>
      </c>
      <c r="K6" s="109" t="s">
        <v>156</v>
      </c>
      <c r="L6" s="154" t="s">
        <v>3196</v>
      </c>
      <c r="M6" s="158">
        <v>12500000</v>
      </c>
      <c r="N6" s="149">
        <v>12498800</v>
      </c>
      <c r="O6" s="308">
        <v>0.05</v>
      </c>
      <c r="P6" s="1307">
        <v>25000000</v>
      </c>
      <c r="Q6" s="1279">
        <v>25000000</v>
      </c>
      <c r="R6" s="1311" t="s">
        <v>3093</v>
      </c>
      <c r="S6" s="1311" t="s">
        <v>3276</v>
      </c>
      <c r="T6" s="1312">
        <v>0.2</v>
      </c>
      <c r="U6" s="128"/>
      <c r="V6" s="109" t="s">
        <v>156</v>
      </c>
      <c r="W6" s="154" t="s">
        <v>3196</v>
      </c>
      <c r="X6" s="158" t="e">
        <f>+#REF!</f>
        <v>#REF!</v>
      </c>
      <c r="Y6" s="149" t="e">
        <f>+#REF!</f>
        <v>#REF!</v>
      </c>
      <c r="Z6" s="309"/>
      <c r="AA6" s="277">
        <v>510</v>
      </c>
      <c r="AB6" s="157" t="e">
        <f>+#REF!-#REF!</f>
        <v>#REF!</v>
      </c>
      <c r="AC6" s="184" t="s">
        <v>3349</v>
      </c>
    </row>
    <row r="7" spans="1:29" ht="35.25" customHeight="1" x14ac:dyDescent="0.25">
      <c r="A7" s="1244"/>
      <c r="B7" s="1244"/>
      <c r="C7" s="1244"/>
      <c r="D7" s="1244"/>
      <c r="E7" s="1244"/>
      <c r="F7" s="1293"/>
      <c r="G7" s="1308"/>
      <c r="H7" s="1204"/>
      <c r="I7" s="1204"/>
      <c r="J7" s="1313"/>
      <c r="K7" s="111" t="s">
        <v>327</v>
      </c>
      <c r="L7" s="159" t="s">
        <v>3282</v>
      </c>
      <c r="M7" s="168">
        <v>5000000</v>
      </c>
      <c r="N7" s="149">
        <v>0</v>
      </c>
      <c r="O7" s="308">
        <v>0</v>
      </c>
      <c r="P7" s="1308"/>
      <c r="Q7" s="1280"/>
      <c r="R7" s="1204"/>
      <c r="S7" s="1204"/>
      <c r="T7" s="1313"/>
      <c r="U7" s="182"/>
      <c r="V7" s="111" t="s">
        <v>327</v>
      </c>
      <c r="W7" s="159" t="s">
        <v>3282</v>
      </c>
      <c r="X7" s="158" t="e">
        <f>+#REF!</f>
        <v>#REF!</v>
      </c>
      <c r="Y7" s="149" t="e">
        <f>+#REF!</f>
        <v>#REF!</v>
      </c>
      <c r="Z7" s="309"/>
      <c r="AA7" s="277">
        <v>510</v>
      </c>
      <c r="AB7" s="157" t="e">
        <f>+#REF!-#REF!</f>
        <v>#REF!</v>
      </c>
      <c r="AC7" s="184" t="s">
        <v>3348</v>
      </c>
    </row>
    <row r="8" spans="1:29" ht="28.5" customHeight="1" x14ac:dyDescent="0.25">
      <c r="A8" s="1244"/>
      <c r="B8" s="1244"/>
      <c r="C8" s="1244"/>
      <c r="D8" s="1244"/>
      <c r="E8" s="1244"/>
      <c r="F8" s="1293"/>
      <c r="G8" s="1309"/>
      <c r="H8" s="1210"/>
      <c r="I8" s="1210"/>
      <c r="J8" s="1314"/>
      <c r="K8" s="299" t="s">
        <v>389</v>
      </c>
      <c r="L8" s="171" t="s">
        <v>390</v>
      </c>
      <c r="M8" s="173">
        <v>57394998</v>
      </c>
      <c r="N8" s="149">
        <v>52393600</v>
      </c>
      <c r="O8" s="308">
        <v>1</v>
      </c>
      <c r="P8" s="1309"/>
      <c r="Q8" s="1321"/>
      <c r="R8" s="1210"/>
      <c r="S8" s="1210"/>
      <c r="T8" s="1314"/>
      <c r="U8" s="182"/>
      <c r="V8" s="299" t="s">
        <v>389</v>
      </c>
      <c r="W8" s="171" t="s">
        <v>390</v>
      </c>
      <c r="X8" s="173" t="e">
        <f>+#REF!</f>
        <v>#REF!</v>
      </c>
      <c r="Y8" s="149" t="e">
        <f>+#REF!</f>
        <v>#REF!</v>
      </c>
      <c r="Z8" s="309"/>
      <c r="AA8" s="278">
        <v>510</v>
      </c>
      <c r="AB8" s="232" t="e">
        <f>+#REF!-#REF!</f>
        <v>#REF!</v>
      </c>
      <c r="AC8" s="263" t="s">
        <v>3350</v>
      </c>
    </row>
    <row r="9" spans="1:29" ht="24.75" customHeight="1" thickBot="1" x14ac:dyDescent="0.3">
      <c r="A9" s="1209" t="s">
        <v>3405</v>
      </c>
      <c r="B9" s="1209"/>
      <c r="C9" s="1209"/>
      <c r="D9" s="1209"/>
      <c r="E9" s="1209"/>
      <c r="F9" s="1207"/>
      <c r="G9" s="310">
        <f>SUM(G4:G8)</f>
        <v>325000000</v>
      </c>
      <c r="H9" s="1223"/>
      <c r="I9" s="1224"/>
      <c r="J9" s="1224"/>
      <c r="K9" s="1223"/>
      <c r="L9" s="1224"/>
      <c r="M9" s="311">
        <f>SUM(M4:M8)</f>
        <v>87394998</v>
      </c>
      <c r="N9" s="311">
        <f>SUM(N4:N8)</f>
        <v>66963486</v>
      </c>
      <c r="O9" s="312"/>
      <c r="P9" s="310">
        <f>SUM(P4:P8)</f>
        <v>275000000</v>
      </c>
      <c r="Q9" s="315">
        <f>SUM(Q4:Q8)</f>
        <v>275000000</v>
      </c>
      <c r="R9" s="1223"/>
      <c r="S9" s="1224"/>
      <c r="T9" s="1224"/>
      <c r="U9" s="1295"/>
      <c r="V9" s="1223"/>
      <c r="W9" s="1224"/>
      <c r="X9" s="311" t="e">
        <f>SUM(X4:X8)</f>
        <v>#REF!</v>
      </c>
      <c r="Y9" s="311" t="e">
        <f>SUM(Y4:Y8)</f>
        <v>#REF!</v>
      </c>
      <c r="Z9" s="316"/>
      <c r="AA9" s="1208"/>
      <c r="AB9" s="1208"/>
      <c r="AC9" s="1217"/>
    </row>
    <row r="10" spans="1:29" ht="17.25" customHeight="1" thickTop="1" x14ac:dyDescent="0.25">
      <c r="A10" s="117"/>
      <c r="B10" s="117"/>
      <c r="C10" s="117"/>
      <c r="D10" s="117"/>
      <c r="E10" s="117"/>
      <c r="F10" s="118"/>
      <c r="G10" s="304"/>
      <c r="H10" s="233"/>
      <c r="I10" s="233"/>
      <c r="J10" s="305"/>
      <c r="K10" s="305"/>
      <c r="L10" s="305"/>
      <c r="M10" s="305"/>
      <c r="N10" s="305"/>
      <c r="O10" s="305"/>
      <c r="P10" s="304"/>
      <c r="Q10" s="304"/>
      <c r="R10" s="233"/>
      <c r="S10" s="233"/>
      <c r="T10" s="305"/>
      <c r="U10" s="313"/>
      <c r="V10" s="233"/>
      <c r="W10" s="224"/>
      <c r="X10" s="225"/>
      <c r="Y10" s="222"/>
      <c r="Z10" s="222"/>
      <c r="AA10" s="164"/>
      <c r="AB10" s="164"/>
      <c r="AC10" s="185"/>
    </row>
    <row r="11" spans="1:29" ht="66.75" customHeight="1" x14ac:dyDescent="0.25">
      <c r="A11" s="1209" t="s">
        <v>3095</v>
      </c>
      <c r="B11" s="1209" t="s">
        <v>648</v>
      </c>
      <c r="C11" s="1209" t="s">
        <v>3097</v>
      </c>
      <c r="D11" s="1209" t="s">
        <v>3197</v>
      </c>
      <c r="E11" s="286" t="s">
        <v>3106</v>
      </c>
      <c r="F11" s="259" t="s">
        <v>3107</v>
      </c>
      <c r="G11" s="108">
        <v>10000000</v>
      </c>
      <c r="H11" s="256" t="s">
        <v>3108</v>
      </c>
      <c r="I11" s="259" t="s">
        <v>3229</v>
      </c>
      <c r="J11" s="256">
        <v>2</v>
      </c>
      <c r="K11" s="302" t="s">
        <v>20</v>
      </c>
      <c r="L11" s="302" t="s">
        <v>3433</v>
      </c>
      <c r="M11" s="168">
        <v>40591374</v>
      </c>
      <c r="N11" s="149">
        <v>27000000</v>
      </c>
      <c r="O11" s="324">
        <v>2</v>
      </c>
      <c r="P11" s="108">
        <v>15000000</v>
      </c>
      <c r="Q11" s="108">
        <v>15000000</v>
      </c>
      <c r="R11" s="256" t="s">
        <v>3108</v>
      </c>
      <c r="S11" s="259" t="s">
        <v>3229</v>
      </c>
      <c r="T11" s="256">
        <v>1</v>
      </c>
      <c r="U11" s="260">
        <v>0</v>
      </c>
      <c r="V11" s="256" t="s">
        <v>20</v>
      </c>
      <c r="W11" s="165" t="s">
        <v>3201</v>
      </c>
      <c r="X11" s="167">
        <v>0</v>
      </c>
      <c r="Y11" s="149" t="e">
        <f>+#REF!</f>
        <v>#REF!</v>
      </c>
      <c r="Z11" s="149"/>
      <c r="AA11" s="151">
        <v>520</v>
      </c>
      <c r="AB11" s="157" t="e">
        <f>+#REF!-#REF!</f>
        <v>#REF!</v>
      </c>
      <c r="AC11" s="1227" t="s">
        <v>3352</v>
      </c>
    </row>
    <row r="12" spans="1:29" ht="52.5" customHeight="1" x14ac:dyDescent="0.25">
      <c r="A12" s="1209"/>
      <c r="B12" s="1209"/>
      <c r="C12" s="1209"/>
      <c r="D12" s="1209"/>
      <c r="E12" s="1296" t="s">
        <v>3106</v>
      </c>
      <c r="F12" s="1243" t="s">
        <v>3107</v>
      </c>
      <c r="G12" s="1297"/>
      <c r="H12" s="1243"/>
      <c r="I12" s="1243"/>
      <c r="J12" s="1243"/>
      <c r="K12" s="1293"/>
      <c r="L12" s="1286"/>
      <c r="M12" s="1286"/>
      <c r="N12" s="1286"/>
      <c r="O12" s="1301"/>
      <c r="P12" s="1262">
        <v>15000000</v>
      </c>
      <c r="Q12" s="108"/>
      <c r="R12" s="1243" t="s">
        <v>3108</v>
      </c>
      <c r="S12" s="1243" t="s">
        <v>3432</v>
      </c>
      <c r="T12" s="1243" t="s">
        <v>3434</v>
      </c>
      <c r="U12" s="266"/>
      <c r="V12" s="273" t="e">
        <f>+#REF!</f>
        <v>#REF!</v>
      </c>
      <c r="W12" s="273" t="e">
        <f>+#REF!</f>
        <v>#REF!</v>
      </c>
      <c r="X12" s="158" t="e">
        <f>+#REF!</f>
        <v>#REF!</v>
      </c>
      <c r="Y12" s="149" t="e">
        <f>+#REF!</f>
        <v>#REF!</v>
      </c>
      <c r="Z12" s="149"/>
      <c r="AA12" s="151"/>
      <c r="AB12" s="157"/>
      <c r="AC12" s="1228"/>
    </row>
    <row r="13" spans="1:29" ht="46.5" customHeight="1" x14ac:dyDescent="0.25">
      <c r="A13" s="1209"/>
      <c r="B13" s="1209"/>
      <c r="C13" s="1209"/>
      <c r="D13" s="1209"/>
      <c r="E13" s="1249"/>
      <c r="F13" s="1244"/>
      <c r="G13" s="1298"/>
      <c r="H13" s="1244"/>
      <c r="I13" s="1244"/>
      <c r="J13" s="1244"/>
      <c r="K13" s="1293"/>
      <c r="L13" s="1286"/>
      <c r="M13" s="1286"/>
      <c r="N13" s="1286"/>
      <c r="O13" s="1301"/>
      <c r="P13" s="1277"/>
      <c r="Q13" s="108"/>
      <c r="R13" s="1244"/>
      <c r="S13" s="1244"/>
      <c r="T13" s="1244"/>
      <c r="U13" s="266"/>
      <c r="V13" s="273" t="e">
        <f>+#REF!</f>
        <v>#REF!</v>
      </c>
      <c r="W13" s="273" t="e">
        <f>+#REF!</f>
        <v>#REF!</v>
      </c>
      <c r="X13" s="158" t="e">
        <f>+#REF!</f>
        <v>#REF!</v>
      </c>
      <c r="Y13" s="149" t="e">
        <f>+#REF!</f>
        <v>#REF!</v>
      </c>
      <c r="Z13" s="149"/>
      <c r="AA13" s="151"/>
      <c r="AB13" s="157"/>
      <c r="AC13" s="1228"/>
    </row>
    <row r="14" spans="1:29" ht="45" customHeight="1" x14ac:dyDescent="0.25">
      <c r="A14" s="1209"/>
      <c r="B14" s="1209"/>
      <c r="C14" s="1209"/>
      <c r="D14" s="1209"/>
      <c r="E14" s="1249"/>
      <c r="F14" s="1244"/>
      <c r="G14" s="1298"/>
      <c r="H14" s="1244"/>
      <c r="I14" s="1244"/>
      <c r="J14" s="1244"/>
      <c r="K14" s="1293"/>
      <c r="L14" s="1286"/>
      <c r="M14" s="1286"/>
      <c r="N14" s="1286"/>
      <c r="O14" s="1301"/>
      <c r="P14" s="1277"/>
      <c r="Q14" s="108"/>
      <c r="R14" s="1244"/>
      <c r="S14" s="1244"/>
      <c r="T14" s="1244"/>
      <c r="U14" s="266"/>
      <c r="V14" s="273" t="e">
        <f>+#REF!</f>
        <v>#REF!</v>
      </c>
      <c r="W14" s="273" t="e">
        <f>+#REF!</f>
        <v>#REF!</v>
      </c>
      <c r="X14" s="158" t="e">
        <f>+#REF!</f>
        <v>#REF!</v>
      </c>
      <c r="Y14" s="149" t="e">
        <f>+#REF!</f>
        <v>#REF!</v>
      </c>
      <c r="Z14" s="149"/>
      <c r="AA14" s="151"/>
      <c r="AB14" s="157"/>
      <c r="AC14" s="1228"/>
    </row>
    <row r="15" spans="1:29" ht="52.5" customHeight="1" x14ac:dyDescent="0.25">
      <c r="A15" s="1209"/>
      <c r="B15" s="1209"/>
      <c r="C15" s="1209"/>
      <c r="D15" s="1209"/>
      <c r="E15" s="1249"/>
      <c r="F15" s="1244"/>
      <c r="G15" s="1298"/>
      <c r="H15" s="1244"/>
      <c r="I15" s="1244"/>
      <c r="J15" s="1244"/>
      <c r="K15" s="1293"/>
      <c r="L15" s="1286"/>
      <c r="M15" s="1286"/>
      <c r="N15" s="1286"/>
      <c r="O15" s="1301"/>
      <c r="P15" s="1277"/>
      <c r="Q15" s="108"/>
      <c r="R15" s="1244"/>
      <c r="S15" s="1244"/>
      <c r="T15" s="1244"/>
      <c r="U15" s="266"/>
      <c r="V15" s="273" t="e">
        <f>+#REF!</f>
        <v>#REF!</v>
      </c>
      <c r="W15" s="273" t="e">
        <f>+#REF!</f>
        <v>#REF!</v>
      </c>
      <c r="X15" s="158" t="e">
        <f>+#REF!</f>
        <v>#REF!</v>
      </c>
      <c r="Y15" s="149" t="e">
        <f>+#REF!</f>
        <v>#REF!</v>
      </c>
      <c r="Z15" s="149"/>
      <c r="AA15" s="151"/>
      <c r="AB15" s="157"/>
      <c r="AC15" s="1228"/>
    </row>
    <row r="16" spans="1:29" ht="56.25" customHeight="1" x14ac:dyDescent="0.25">
      <c r="A16" s="1209"/>
      <c r="B16" s="1209"/>
      <c r="C16" s="1209"/>
      <c r="D16" s="1209"/>
      <c r="E16" s="1249"/>
      <c r="F16" s="1260"/>
      <c r="G16" s="1299"/>
      <c r="H16" s="1260"/>
      <c r="I16" s="1260"/>
      <c r="J16" s="1260"/>
      <c r="K16" s="1294"/>
      <c r="L16" s="1302"/>
      <c r="M16" s="1302"/>
      <c r="N16" s="1302"/>
      <c r="O16" s="1303"/>
      <c r="P16" s="1300"/>
      <c r="Q16" s="108"/>
      <c r="R16" s="1260"/>
      <c r="S16" s="1260"/>
      <c r="T16" s="1260"/>
      <c r="U16" s="266"/>
      <c r="V16" s="273" t="e">
        <f>+#REF!</f>
        <v>#REF!</v>
      </c>
      <c r="W16" s="273" t="e">
        <f>+#REF!</f>
        <v>#REF!</v>
      </c>
      <c r="X16" s="158" t="e">
        <f>+#REF!</f>
        <v>#REF!</v>
      </c>
      <c r="Y16" s="149" t="e">
        <f>+#REF!</f>
        <v>#REF!</v>
      </c>
      <c r="Z16" s="149"/>
      <c r="AA16" s="151"/>
      <c r="AB16" s="157"/>
      <c r="AC16" s="1228"/>
    </row>
    <row r="17" spans="1:31" ht="75.75" customHeight="1" x14ac:dyDescent="0.25">
      <c r="A17" s="1209"/>
      <c r="B17" s="1209"/>
      <c r="C17" s="1209"/>
      <c r="D17" s="1209"/>
      <c r="E17" s="1209" t="s">
        <v>3099</v>
      </c>
      <c r="F17" s="325" t="s">
        <v>3198</v>
      </c>
      <c r="G17" s="107">
        <v>100000000</v>
      </c>
      <c r="H17" s="2" t="s">
        <v>3104</v>
      </c>
      <c r="I17" s="100" t="s">
        <v>3287</v>
      </c>
      <c r="J17" s="2">
        <v>111</v>
      </c>
      <c r="K17" s="2" t="s">
        <v>18</v>
      </c>
      <c r="L17" s="154" t="s">
        <v>19</v>
      </c>
      <c r="M17" s="113">
        <v>50000000</v>
      </c>
      <c r="N17" s="107">
        <v>0</v>
      </c>
      <c r="O17" s="2">
        <v>72</v>
      </c>
      <c r="P17" s="107">
        <v>100000000</v>
      </c>
      <c r="Q17" s="107">
        <v>100000000</v>
      </c>
      <c r="R17" s="2" t="s">
        <v>3104</v>
      </c>
      <c r="S17" s="100" t="s">
        <v>3287</v>
      </c>
      <c r="T17" s="2">
        <v>111</v>
      </c>
      <c r="U17" s="104"/>
      <c r="V17" s="2" t="s">
        <v>18</v>
      </c>
      <c r="W17" s="154" t="s">
        <v>19</v>
      </c>
      <c r="X17" s="158" t="e">
        <f>+#REF!</f>
        <v>#REF!</v>
      </c>
      <c r="Y17" s="149" t="e">
        <f>+#REF!</f>
        <v>#REF!</v>
      </c>
      <c r="Z17" s="149"/>
      <c r="AA17" s="151">
        <v>520</v>
      </c>
      <c r="AB17" s="157" t="e">
        <f>+#REF!-#REF!</f>
        <v>#REF!</v>
      </c>
      <c r="AC17" s="1228"/>
    </row>
    <row r="18" spans="1:31" ht="68.25" customHeight="1" x14ac:dyDescent="0.25">
      <c r="A18" s="1209"/>
      <c r="B18" s="1209"/>
      <c r="C18" s="1209"/>
      <c r="D18" s="1209"/>
      <c r="E18" s="1209"/>
      <c r="F18" s="325" t="s">
        <v>3199</v>
      </c>
      <c r="G18" s="107">
        <v>150000000</v>
      </c>
      <c r="H18" s="2" t="s">
        <v>3285</v>
      </c>
      <c r="I18" s="100" t="s">
        <v>3288</v>
      </c>
      <c r="J18" s="2">
        <v>1</v>
      </c>
      <c r="K18" s="2" t="s">
        <v>22</v>
      </c>
      <c r="L18" s="154" t="s">
        <v>3200</v>
      </c>
      <c r="M18" s="113">
        <v>123281913</v>
      </c>
      <c r="N18" s="107">
        <v>99146583</v>
      </c>
      <c r="O18" s="2">
        <v>1</v>
      </c>
      <c r="P18" s="107">
        <v>165000000</v>
      </c>
      <c r="Q18" s="107">
        <v>165000000</v>
      </c>
      <c r="R18" s="2" t="s">
        <v>3285</v>
      </c>
      <c r="S18" s="100" t="s">
        <v>3288</v>
      </c>
      <c r="T18" s="2">
        <v>1</v>
      </c>
      <c r="U18" s="104"/>
      <c r="V18" s="2" t="s">
        <v>22</v>
      </c>
      <c r="W18" s="154" t="s">
        <v>3200</v>
      </c>
      <c r="X18" s="158" t="e">
        <f>+#REF!</f>
        <v>#REF!</v>
      </c>
      <c r="Y18" s="149" t="e">
        <f>+#REF!</f>
        <v>#REF!</v>
      </c>
      <c r="Z18" s="149"/>
      <c r="AA18" s="151">
        <v>520</v>
      </c>
      <c r="AB18" s="157" t="e">
        <f>+#REF!-#REF!</f>
        <v>#REF!</v>
      </c>
      <c r="AC18" s="1228"/>
    </row>
    <row r="19" spans="1:31" ht="84.75" customHeight="1" x14ac:dyDescent="0.25">
      <c r="A19" s="1209"/>
      <c r="B19" s="1209"/>
      <c r="C19" s="1209"/>
      <c r="D19" s="1209"/>
      <c r="E19" s="1209"/>
      <c r="F19" s="326" t="s">
        <v>3290</v>
      </c>
      <c r="G19" s="113">
        <v>25000000</v>
      </c>
      <c r="H19" s="111" t="s">
        <v>3286</v>
      </c>
      <c r="I19" s="112" t="s">
        <v>3228</v>
      </c>
      <c r="J19" s="111">
        <v>5</v>
      </c>
      <c r="K19" s="2" t="s">
        <v>24</v>
      </c>
      <c r="L19" s="159" t="s">
        <v>25</v>
      </c>
      <c r="M19" s="113">
        <v>16000000</v>
      </c>
      <c r="N19" s="107">
        <v>0</v>
      </c>
      <c r="O19" s="111">
        <v>5</v>
      </c>
      <c r="P19" s="113">
        <v>25000000</v>
      </c>
      <c r="Q19" s="113">
        <v>25000000</v>
      </c>
      <c r="R19" s="111" t="s">
        <v>3286</v>
      </c>
      <c r="S19" s="112" t="s">
        <v>3228</v>
      </c>
      <c r="T19" s="111">
        <v>5</v>
      </c>
      <c r="U19" s="114">
        <v>0</v>
      </c>
      <c r="V19" s="111" t="s">
        <v>24</v>
      </c>
      <c r="W19" s="159" t="s">
        <v>25</v>
      </c>
      <c r="X19" s="158" t="e">
        <f>+#REF!</f>
        <v>#REF!</v>
      </c>
      <c r="Y19" s="149" t="e">
        <f>+#REF!</f>
        <v>#REF!</v>
      </c>
      <c r="Z19" s="149"/>
      <c r="AA19" s="151">
        <v>520</v>
      </c>
      <c r="AB19" s="157" t="e">
        <f>+#REF!-#REF!</f>
        <v>#REF!</v>
      </c>
      <c r="AC19" s="1228"/>
    </row>
    <row r="20" spans="1:31" ht="68.25" hidden="1" customHeight="1" x14ac:dyDescent="0.25">
      <c r="A20" s="1209"/>
      <c r="B20" s="1209"/>
      <c r="C20" s="1209"/>
      <c r="D20" s="1209"/>
      <c r="E20" s="1209"/>
      <c r="F20" s="325" t="s">
        <v>3198</v>
      </c>
      <c r="G20" s="1304"/>
      <c r="H20" s="1208"/>
      <c r="I20" s="1208"/>
      <c r="J20" s="1208"/>
      <c r="K20" s="1305"/>
      <c r="L20" s="1305"/>
      <c r="M20" s="1305"/>
      <c r="N20" s="1305"/>
      <c r="O20" s="1306"/>
      <c r="P20" s="1225"/>
      <c r="Q20" s="1226"/>
      <c r="R20" s="1226"/>
      <c r="S20" s="1226"/>
      <c r="T20" s="1226"/>
      <c r="U20" s="223"/>
      <c r="V20" s="111" t="s">
        <v>3417</v>
      </c>
      <c r="W20" s="159" t="e">
        <f>+#REF!</f>
        <v>#REF!</v>
      </c>
      <c r="X20" s="158" t="e">
        <f>+#REF!</f>
        <v>#REF!</v>
      </c>
      <c r="Y20" s="149">
        <v>13905000</v>
      </c>
      <c r="Z20" s="149"/>
      <c r="AA20" s="151">
        <v>520</v>
      </c>
      <c r="AB20" s="285"/>
      <c r="AC20" s="1229"/>
    </row>
    <row r="21" spans="1:31" ht="30.75" customHeight="1" x14ac:dyDescent="0.25">
      <c r="A21" s="1209" t="s">
        <v>3406</v>
      </c>
      <c r="B21" s="1209"/>
      <c r="C21" s="1209"/>
      <c r="D21" s="1209"/>
      <c r="E21" s="1209"/>
      <c r="F21" s="1209"/>
      <c r="G21" s="135">
        <f>SUM(G11:G19)</f>
        <v>285000000</v>
      </c>
      <c r="H21" s="1207"/>
      <c r="I21" s="1208"/>
      <c r="J21" s="1208"/>
      <c r="K21" s="1207"/>
      <c r="L21" s="1208"/>
      <c r="M21" s="135">
        <f>SUM(M11:M19)</f>
        <v>229873287</v>
      </c>
      <c r="N21" s="135">
        <f>SUM(N11:N19)</f>
        <v>126146583</v>
      </c>
      <c r="O21" s="267"/>
      <c r="P21" s="135">
        <f>SUM(P12:P19)</f>
        <v>305000000</v>
      </c>
      <c r="Q21" s="135">
        <f>SUM(Q11:Q19)</f>
        <v>305000000</v>
      </c>
      <c r="R21" s="1207"/>
      <c r="S21" s="1208"/>
      <c r="T21" s="1208"/>
      <c r="U21" s="1217"/>
      <c r="V21" s="1207"/>
      <c r="W21" s="1208"/>
      <c r="X21" s="133" t="e">
        <f>SUM(X12:X20)</f>
        <v>#REF!</v>
      </c>
      <c r="Y21" s="133" t="e">
        <f>SUM(Y12:Y20)</f>
        <v>#REF!</v>
      </c>
      <c r="Z21" s="133"/>
      <c r="AA21" s="1207"/>
      <c r="AB21" s="1208"/>
      <c r="AC21" s="1217"/>
    </row>
    <row r="22" spans="1:31" ht="15.75" customHeight="1" x14ac:dyDescent="0.25">
      <c r="A22" s="123"/>
      <c r="B22" s="123"/>
      <c r="C22" s="123"/>
      <c r="D22" s="123"/>
      <c r="E22" s="123"/>
      <c r="F22" s="123"/>
      <c r="G22" s="123"/>
      <c r="H22" s="123"/>
      <c r="I22" s="123"/>
      <c r="J22" s="123"/>
      <c r="K22" s="123"/>
      <c r="L22" s="123"/>
      <c r="M22" s="123"/>
      <c r="N22" s="123"/>
      <c r="O22" s="123"/>
      <c r="P22" s="123"/>
      <c r="Q22" s="123"/>
      <c r="R22" s="123"/>
      <c r="S22" s="123"/>
      <c r="T22" s="123"/>
      <c r="U22" s="123"/>
      <c r="V22" s="230"/>
      <c r="W22" s="231"/>
      <c r="X22" s="231"/>
      <c r="Y22" s="268"/>
      <c r="Z22" s="268"/>
      <c r="AA22" s="164"/>
      <c r="AB22" s="164"/>
      <c r="AC22" s="185"/>
    </row>
    <row r="23" spans="1:31" ht="51.75" customHeight="1" x14ac:dyDescent="0.25">
      <c r="A23" s="1244" t="s">
        <v>2923</v>
      </c>
      <c r="B23" s="1244" t="s">
        <v>3162</v>
      </c>
      <c r="C23" s="1244" t="s">
        <v>2925</v>
      </c>
      <c r="D23" s="1244" t="s">
        <v>3163</v>
      </c>
      <c r="E23" s="1244" t="s">
        <v>2927</v>
      </c>
      <c r="F23" s="1244" t="s">
        <v>3164</v>
      </c>
      <c r="G23" s="108">
        <v>50000000</v>
      </c>
      <c r="H23" s="256" t="s">
        <v>2929</v>
      </c>
      <c r="I23" s="259" t="s">
        <v>3217</v>
      </c>
      <c r="J23" s="256">
        <v>2</v>
      </c>
      <c r="K23" s="320" t="s">
        <v>42</v>
      </c>
      <c r="L23" s="165" t="s">
        <v>3165</v>
      </c>
      <c r="M23" s="113">
        <v>160000000</v>
      </c>
      <c r="N23" s="113">
        <v>106971735</v>
      </c>
      <c r="O23" s="256">
        <v>1</v>
      </c>
      <c r="P23" s="108">
        <v>50000000</v>
      </c>
      <c r="Q23" s="108">
        <v>200000000</v>
      </c>
      <c r="R23" s="256" t="s">
        <v>2929</v>
      </c>
      <c r="S23" s="259" t="s">
        <v>3217</v>
      </c>
      <c r="T23" s="256">
        <v>2</v>
      </c>
      <c r="U23" s="260">
        <v>0</v>
      </c>
      <c r="V23" s="256" t="s">
        <v>42</v>
      </c>
      <c r="W23" s="165" t="s">
        <v>3165</v>
      </c>
      <c r="X23" s="167" t="e">
        <f>+#REF!</f>
        <v>#REF!</v>
      </c>
      <c r="Y23" s="149" t="e">
        <f>+#REF!</f>
        <v>#REF!</v>
      </c>
      <c r="Z23" s="149"/>
      <c r="AA23" s="151">
        <v>510</v>
      </c>
      <c r="AB23" s="157" t="e">
        <f>+#REF!-#REF!</f>
        <v>#REF!</v>
      </c>
      <c r="AC23" s="1287" t="s">
        <v>3351</v>
      </c>
    </row>
    <row r="24" spans="1:31" ht="57" customHeight="1" x14ac:dyDescent="0.25">
      <c r="A24" s="1244"/>
      <c r="B24" s="1244"/>
      <c r="C24" s="1244"/>
      <c r="D24" s="1244"/>
      <c r="E24" s="1260"/>
      <c r="F24" s="1260"/>
      <c r="G24" s="108">
        <v>30000000</v>
      </c>
      <c r="H24" s="2" t="s">
        <v>2933</v>
      </c>
      <c r="I24" s="100" t="s">
        <v>3218</v>
      </c>
      <c r="J24" s="2">
        <v>0</v>
      </c>
      <c r="K24" s="2" t="s">
        <v>54</v>
      </c>
      <c r="L24" s="154" t="s">
        <v>3166</v>
      </c>
      <c r="M24" s="113">
        <v>30000000</v>
      </c>
      <c r="N24" s="113">
        <v>9943857</v>
      </c>
      <c r="O24" s="2">
        <v>0</v>
      </c>
      <c r="P24" s="101">
        <v>0</v>
      </c>
      <c r="Q24" s="101">
        <v>0</v>
      </c>
      <c r="R24" s="2" t="s">
        <v>2933</v>
      </c>
      <c r="S24" s="100" t="s">
        <v>3218</v>
      </c>
      <c r="T24" s="2">
        <v>0</v>
      </c>
      <c r="U24" s="101">
        <v>0</v>
      </c>
      <c r="V24" s="2" t="s">
        <v>54</v>
      </c>
      <c r="W24" s="154" t="s">
        <v>3166</v>
      </c>
      <c r="X24" s="167" t="e">
        <f>+#REF!</f>
        <v>#REF!</v>
      </c>
      <c r="Y24" s="149" t="e">
        <f>+#REF!</f>
        <v>#REF!</v>
      </c>
      <c r="Z24" s="283"/>
      <c r="AA24" s="151">
        <v>510</v>
      </c>
      <c r="AB24" s="157" t="e">
        <f>+#REF!-#REF!</f>
        <v>#REF!</v>
      </c>
      <c r="AC24" s="1288"/>
    </row>
    <row r="25" spans="1:31" ht="57" customHeight="1" x14ac:dyDescent="0.25">
      <c r="A25" s="1244"/>
      <c r="B25" s="1244"/>
      <c r="C25" s="1244"/>
      <c r="D25" s="1244"/>
      <c r="E25" s="2" t="s">
        <v>2935</v>
      </c>
      <c r="F25" s="100" t="s">
        <v>3167</v>
      </c>
      <c r="G25" s="107">
        <v>20000000</v>
      </c>
      <c r="H25" s="2" t="s">
        <v>2937</v>
      </c>
      <c r="I25" s="100" t="s">
        <v>3219</v>
      </c>
      <c r="J25" s="2">
        <v>2</v>
      </c>
      <c r="K25" s="2" t="s">
        <v>48</v>
      </c>
      <c r="L25" s="154" t="s">
        <v>3168</v>
      </c>
      <c r="M25" s="113">
        <v>0</v>
      </c>
      <c r="N25" s="113">
        <v>0</v>
      </c>
      <c r="O25" s="2">
        <v>0</v>
      </c>
      <c r="P25" s="107">
        <v>20000000</v>
      </c>
      <c r="Q25" s="107">
        <v>20000000</v>
      </c>
      <c r="R25" s="2" t="s">
        <v>2937</v>
      </c>
      <c r="S25" s="100" t="s">
        <v>3219</v>
      </c>
      <c r="T25" s="2">
        <v>2</v>
      </c>
      <c r="U25" s="101">
        <v>0</v>
      </c>
      <c r="V25" s="2" t="s">
        <v>48</v>
      </c>
      <c r="W25" s="154" t="s">
        <v>3168</v>
      </c>
      <c r="X25" s="167" t="e">
        <f>+#REF!</f>
        <v>#REF!</v>
      </c>
      <c r="Y25" s="149" t="e">
        <f>+#REF!</f>
        <v>#REF!</v>
      </c>
      <c r="Z25" s="149"/>
      <c r="AA25" s="151">
        <v>510</v>
      </c>
      <c r="AB25" s="157" t="e">
        <f>+#REF!-#REF!</f>
        <v>#REF!</v>
      </c>
      <c r="AC25" s="1289"/>
    </row>
    <row r="26" spans="1:31" ht="57" customHeight="1" x14ac:dyDescent="0.25">
      <c r="A26" s="1260"/>
      <c r="B26" s="1260"/>
      <c r="C26" s="1260"/>
      <c r="D26" s="1260"/>
      <c r="E26" s="2" t="s">
        <v>2939</v>
      </c>
      <c r="F26" s="100" t="s">
        <v>3169</v>
      </c>
      <c r="G26" s="107">
        <v>40000000</v>
      </c>
      <c r="H26" s="2" t="s">
        <v>2940</v>
      </c>
      <c r="I26" s="100" t="s">
        <v>3220</v>
      </c>
      <c r="J26" s="2">
        <v>1</v>
      </c>
      <c r="K26" s="2" t="s">
        <v>358</v>
      </c>
      <c r="L26" s="154" t="s">
        <v>3169</v>
      </c>
      <c r="M26" s="113">
        <v>31500000</v>
      </c>
      <c r="N26" s="113">
        <v>5050000</v>
      </c>
      <c r="O26" s="2">
        <v>0</v>
      </c>
      <c r="P26" s="107">
        <v>40000000</v>
      </c>
      <c r="Q26" s="107">
        <v>40000000</v>
      </c>
      <c r="R26" s="2" t="s">
        <v>2940</v>
      </c>
      <c r="S26" s="100" t="s">
        <v>3220</v>
      </c>
      <c r="T26" s="2">
        <v>1</v>
      </c>
      <c r="U26" s="101">
        <v>0</v>
      </c>
      <c r="V26" s="2" t="s">
        <v>358</v>
      </c>
      <c r="W26" s="154" t="s">
        <v>3169</v>
      </c>
      <c r="X26" s="167" t="e">
        <f>+#REF!</f>
        <v>#REF!</v>
      </c>
      <c r="Y26" s="149" t="e">
        <f>+#REF!</f>
        <v>#REF!</v>
      </c>
      <c r="Z26" s="149"/>
      <c r="AA26" s="151">
        <v>510</v>
      </c>
      <c r="AB26" s="157" t="e">
        <f>+#REF!-#REF!</f>
        <v>#REF!</v>
      </c>
      <c r="AC26" s="184" t="s">
        <v>3353</v>
      </c>
    </row>
    <row r="27" spans="1:31" ht="51" x14ac:dyDescent="0.25">
      <c r="A27" s="1243" t="s">
        <v>2923</v>
      </c>
      <c r="B27" s="1243" t="s">
        <v>3162</v>
      </c>
      <c r="C27" s="1243" t="s">
        <v>3003</v>
      </c>
      <c r="D27" s="1243" t="s">
        <v>3184</v>
      </c>
      <c r="E27" s="2" t="s">
        <v>3005</v>
      </c>
      <c r="F27" s="100" t="s">
        <v>3293</v>
      </c>
      <c r="G27" s="107">
        <v>10000000</v>
      </c>
      <c r="H27" s="2" t="s">
        <v>3007</v>
      </c>
      <c r="I27" s="100" t="s">
        <v>3239</v>
      </c>
      <c r="J27" s="2">
        <v>2</v>
      </c>
      <c r="K27" s="2" t="s">
        <v>368</v>
      </c>
      <c r="L27" s="154" t="s">
        <v>3238</v>
      </c>
      <c r="M27" s="113">
        <v>21500000</v>
      </c>
      <c r="N27" s="113">
        <v>18249832</v>
      </c>
      <c r="O27" s="334" t="s">
        <v>3440</v>
      </c>
      <c r="P27" s="107">
        <v>20000000</v>
      </c>
      <c r="Q27" s="107">
        <v>20000000</v>
      </c>
      <c r="R27" s="2" t="s">
        <v>3007</v>
      </c>
      <c r="S27" s="100" t="s">
        <v>3239</v>
      </c>
      <c r="T27" s="2">
        <v>2</v>
      </c>
      <c r="U27" s="101">
        <v>0</v>
      </c>
      <c r="V27" s="2" t="s">
        <v>368</v>
      </c>
      <c r="W27" s="154" t="s">
        <v>3238</v>
      </c>
      <c r="X27" s="167" t="e">
        <f>+#REF!</f>
        <v>#REF!</v>
      </c>
      <c r="Y27" s="149" t="e">
        <f>+#REF!</f>
        <v>#REF!</v>
      </c>
      <c r="Z27" s="149"/>
      <c r="AA27" s="151">
        <v>510</v>
      </c>
      <c r="AB27" s="157" t="e">
        <f>+#REF!-#REF!</f>
        <v>#REF!</v>
      </c>
      <c r="AC27" s="184" t="s">
        <v>3353</v>
      </c>
    </row>
    <row r="28" spans="1:31" ht="51" x14ac:dyDescent="0.25">
      <c r="A28" s="1244"/>
      <c r="B28" s="1244"/>
      <c r="C28" s="1244"/>
      <c r="D28" s="1244"/>
      <c r="E28" s="1243" t="s">
        <v>3018</v>
      </c>
      <c r="F28" s="1243" t="s">
        <v>3292</v>
      </c>
      <c r="G28" s="107">
        <v>10000000</v>
      </c>
      <c r="H28" s="2" t="s">
        <v>3020</v>
      </c>
      <c r="I28" s="100" t="s">
        <v>3295</v>
      </c>
      <c r="J28" s="2">
        <v>1</v>
      </c>
      <c r="K28" s="2" t="s">
        <v>46</v>
      </c>
      <c r="L28" s="154" t="s">
        <v>3186</v>
      </c>
      <c r="M28" s="113">
        <v>0</v>
      </c>
      <c r="N28" s="113">
        <v>0</v>
      </c>
      <c r="O28" s="2">
        <v>0</v>
      </c>
      <c r="P28" s="107">
        <v>10000000</v>
      </c>
      <c r="Q28" s="107">
        <v>10000000</v>
      </c>
      <c r="R28" s="2" t="s">
        <v>3020</v>
      </c>
      <c r="S28" s="100" t="s">
        <v>3295</v>
      </c>
      <c r="T28" s="2">
        <v>1</v>
      </c>
      <c r="U28" s="101">
        <v>0</v>
      </c>
      <c r="V28" s="2" t="s">
        <v>46</v>
      </c>
      <c r="W28" s="154" t="s">
        <v>3186</v>
      </c>
      <c r="X28" s="167" t="e">
        <f>+#REF!</f>
        <v>#REF!</v>
      </c>
      <c r="Y28" s="149" t="e">
        <f>+#REF!</f>
        <v>#REF!</v>
      </c>
      <c r="Z28" s="149"/>
      <c r="AA28" s="151">
        <v>510</v>
      </c>
      <c r="AB28" s="157" t="e">
        <f>+#REF!-#REF!</f>
        <v>#REF!</v>
      </c>
      <c r="AC28" s="1287" t="s">
        <v>3351</v>
      </c>
    </row>
    <row r="29" spans="1:31" ht="63.75" x14ac:dyDescent="0.25">
      <c r="A29" s="1244"/>
      <c r="B29" s="1244"/>
      <c r="C29" s="1244"/>
      <c r="D29" s="1244"/>
      <c r="E29" s="1244"/>
      <c r="F29" s="1244"/>
      <c r="G29" s="107">
        <v>40000000</v>
      </c>
      <c r="H29" s="2" t="s">
        <v>3023</v>
      </c>
      <c r="I29" s="100" t="s">
        <v>3294</v>
      </c>
      <c r="J29" s="2">
        <v>2</v>
      </c>
      <c r="K29" s="2" t="s">
        <v>52</v>
      </c>
      <c r="L29" s="154" t="s">
        <v>3291</v>
      </c>
      <c r="M29" s="113">
        <v>33841485</v>
      </c>
      <c r="N29" s="113">
        <v>33322108</v>
      </c>
      <c r="O29" s="2">
        <v>2</v>
      </c>
      <c r="P29" s="107">
        <v>80000000</v>
      </c>
      <c r="Q29" s="107">
        <v>80000000</v>
      </c>
      <c r="R29" s="2" t="s">
        <v>3023</v>
      </c>
      <c r="S29" s="100" t="s">
        <v>3294</v>
      </c>
      <c r="T29" s="2">
        <v>2</v>
      </c>
      <c r="U29" s="101">
        <v>0</v>
      </c>
      <c r="V29" s="2" t="s">
        <v>52</v>
      </c>
      <c r="W29" s="154" t="s">
        <v>3291</v>
      </c>
      <c r="X29" s="167" t="e">
        <f>+#REF!</f>
        <v>#REF!</v>
      </c>
      <c r="Y29" s="149" t="e">
        <f>+#REF!</f>
        <v>#REF!</v>
      </c>
      <c r="Z29" s="149"/>
      <c r="AA29" s="151">
        <v>510</v>
      </c>
      <c r="AB29" s="157" t="e">
        <f>+#REF!-#REF!</f>
        <v>#REF!</v>
      </c>
      <c r="AC29" s="1289"/>
    </row>
    <row r="30" spans="1:31" ht="63.75" x14ac:dyDescent="0.25">
      <c r="A30" s="1244"/>
      <c r="B30" s="1244"/>
      <c r="C30" s="1244"/>
      <c r="D30" s="1244"/>
      <c r="E30" s="1260"/>
      <c r="F30" s="1260"/>
      <c r="G30" s="107">
        <v>0</v>
      </c>
      <c r="H30" s="254" t="s">
        <v>3289</v>
      </c>
      <c r="I30" s="257" t="s">
        <v>3274</v>
      </c>
      <c r="J30" s="254">
        <v>7</v>
      </c>
      <c r="K30" s="2" t="s">
        <v>370</v>
      </c>
      <c r="L30" s="154" t="s">
        <v>3187</v>
      </c>
      <c r="M30" s="113">
        <v>0</v>
      </c>
      <c r="N30" s="113">
        <v>0</v>
      </c>
      <c r="O30" s="254">
        <v>0</v>
      </c>
      <c r="P30" s="107">
        <v>21000000</v>
      </c>
      <c r="Q30" s="107">
        <v>21000000</v>
      </c>
      <c r="R30" s="254" t="s">
        <v>3289</v>
      </c>
      <c r="S30" s="257" t="s">
        <v>3274</v>
      </c>
      <c r="T30" s="254">
        <v>7</v>
      </c>
      <c r="U30" s="101">
        <v>0</v>
      </c>
      <c r="V30" s="2" t="s">
        <v>370</v>
      </c>
      <c r="W30" s="154" t="s">
        <v>3187</v>
      </c>
      <c r="X30" s="167" t="e">
        <f>+#REF!</f>
        <v>#REF!</v>
      </c>
      <c r="Y30" s="149" t="e">
        <f>+#REF!</f>
        <v>#REF!</v>
      </c>
      <c r="Z30" s="149"/>
      <c r="AA30" s="151">
        <v>510</v>
      </c>
      <c r="AB30" s="157" t="e">
        <f>+#REF!-#REF!</f>
        <v>#REF!</v>
      </c>
      <c r="AC30" s="184" t="s">
        <v>3353</v>
      </c>
    </row>
    <row r="31" spans="1:31" ht="115.5" customHeight="1" x14ac:dyDescent="0.25">
      <c r="A31" s="1244"/>
      <c r="B31" s="1244"/>
      <c r="C31" s="1244"/>
      <c r="D31" s="1244"/>
      <c r="E31" s="2" t="s">
        <v>3014</v>
      </c>
      <c r="F31" s="100" t="s">
        <v>3299</v>
      </c>
      <c r="G31" s="107">
        <v>10000000</v>
      </c>
      <c r="H31" s="2" t="s">
        <v>3016</v>
      </c>
      <c r="I31" s="100" t="s">
        <v>3225</v>
      </c>
      <c r="J31" s="2">
        <v>20</v>
      </c>
      <c r="K31" s="2" t="s">
        <v>16</v>
      </c>
      <c r="L31" s="154" t="s">
        <v>3147</v>
      </c>
      <c r="M31" s="113">
        <v>10000000</v>
      </c>
      <c r="N31" s="113">
        <v>10000000</v>
      </c>
      <c r="O31" s="2">
        <v>0</v>
      </c>
      <c r="P31" s="107">
        <v>10000000</v>
      </c>
      <c r="Q31" s="107">
        <v>10000000</v>
      </c>
      <c r="R31" s="2" t="s">
        <v>3016</v>
      </c>
      <c r="S31" s="100" t="s">
        <v>3225</v>
      </c>
      <c r="T31" s="2">
        <v>20</v>
      </c>
      <c r="U31" s="101">
        <v>0</v>
      </c>
      <c r="V31" s="2" t="s">
        <v>16</v>
      </c>
      <c r="W31" s="154" t="s">
        <v>3147</v>
      </c>
      <c r="X31" s="167" t="e">
        <f>+#REF!</f>
        <v>#REF!</v>
      </c>
      <c r="Y31" s="149" t="e">
        <f>+#REF!</f>
        <v>#REF!</v>
      </c>
      <c r="Z31" s="149"/>
      <c r="AA31" s="151">
        <v>310</v>
      </c>
      <c r="AB31" s="157" t="e">
        <f>+#REF!-#REF!</f>
        <v>#REF!</v>
      </c>
      <c r="AC31" s="183" t="s">
        <v>3354</v>
      </c>
      <c r="AE31">
        <f>25035*0.217</f>
        <v>5432.5950000000003</v>
      </c>
    </row>
    <row r="32" spans="1:31" ht="57" customHeight="1" x14ac:dyDescent="0.25">
      <c r="A32" s="1260"/>
      <c r="B32" s="1260"/>
      <c r="C32" s="1260"/>
      <c r="D32" s="1260"/>
      <c r="E32" s="2" t="s">
        <v>3009</v>
      </c>
      <c r="F32" s="100" t="s">
        <v>3185</v>
      </c>
      <c r="G32" s="107">
        <v>150000000</v>
      </c>
      <c r="H32" s="2" t="s">
        <v>3011</v>
      </c>
      <c r="I32" s="100" t="s">
        <v>3224</v>
      </c>
      <c r="J32" s="2">
        <v>75</v>
      </c>
      <c r="K32" s="2" t="s">
        <v>356</v>
      </c>
      <c r="L32" s="154" t="s">
        <v>3146</v>
      </c>
      <c r="M32" s="113">
        <v>125661371</v>
      </c>
      <c r="N32" s="113">
        <v>108027639</v>
      </c>
      <c r="O32" s="274">
        <f>+ROUND(N32/600000,0)</f>
        <v>180</v>
      </c>
      <c r="P32" s="107">
        <v>250000000</v>
      </c>
      <c r="Q32" s="107">
        <v>250000000</v>
      </c>
      <c r="R32" s="2" t="s">
        <v>3011</v>
      </c>
      <c r="S32" s="100" t="s">
        <v>3224</v>
      </c>
      <c r="T32" s="2">
        <v>75</v>
      </c>
      <c r="U32" s="101">
        <v>0</v>
      </c>
      <c r="V32" s="2" t="s">
        <v>356</v>
      </c>
      <c r="W32" s="154" t="s">
        <v>3146</v>
      </c>
      <c r="X32" s="167" t="e">
        <f>+#REF!</f>
        <v>#REF!</v>
      </c>
      <c r="Y32" s="149" t="e">
        <f>+#REF!</f>
        <v>#REF!</v>
      </c>
      <c r="Z32" s="149"/>
      <c r="AA32" s="152">
        <v>310</v>
      </c>
      <c r="AB32" s="157" t="e">
        <f>+#REF!-#REF!</f>
        <v>#REF!</v>
      </c>
      <c r="AC32" s="184" t="s">
        <v>3353</v>
      </c>
      <c r="AE32">
        <f>8000/25035</f>
        <v>0.31955262632314757</v>
      </c>
    </row>
    <row r="33" spans="1:29" ht="39.75" customHeight="1" x14ac:dyDescent="0.25">
      <c r="A33" s="1243" t="s">
        <v>2923</v>
      </c>
      <c r="B33" s="1245" t="s">
        <v>3162</v>
      </c>
      <c r="C33" s="1243" t="s">
        <v>2943</v>
      </c>
      <c r="D33" s="1245" t="s">
        <v>3170</v>
      </c>
      <c r="E33" s="1243" t="s">
        <v>2961</v>
      </c>
      <c r="F33" s="1245" t="s">
        <v>3177</v>
      </c>
      <c r="G33" s="1262">
        <v>900000000</v>
      </c>
      <c r="H33" s="1209" t="s">
        <v>2964</v>
      </c>
      <c r="I33" s="1209" t="s">
        <v>3221</v>
      </c>
      <c r="J33" s="1209">
        <v>9</v>
      </c>
      <c r="K33" s="2" t="s">
        <v>134</v>
      </c>
      <c r="L33" s="154" t="s">
        <v>129</v>
      </c>
      <c r="M33" s="113">
        <v>34000000</v>
      </c>
      <c r="N33" s="113">
        <v>27947548</v>
      </c>
      <c r="O33" s="317" t="s">
        <v>3435</v>
      </c>
      <c r="P33" s="1265">
        <v>900000000</v>
      </c>
      <c r="Q33" s="1268">
        <v>900000000</v>
      </c>
      <c r="R33" s="1209" t="s">
        <v>2964</v>
      </c>
      <c r="S33" s="1209" t="s">
        <v>3221</v>
      </c>
      <c r="T33" s="1209">
        <v>9</v>
      </c>
      <c r="U33" s="106">
        <v>0</v>
      </c>
      <c r="V33" s="2" t="s">
        <v>134</v>
      </c>
      <c r="W33" s="154" t="s">
        <v>129</v>
      </c>
      <c r="X33" s="167" t="e">
        <f>+#REF!</f>
        <v>#REF!</v>
      </c>
      <c r="Y33" s="149" t="e">
        <f>+#REF!</f>
        <v>#REF!</v>
      </c>
      <c r="Z33" s="149"/>
      <c r="AA33" s="151">
        <v>310</v>
      </c>
      <c r="AB33" s="157" t="e">
        <f>+#REF!-#REF!</f>
        <v>#REF!</v>
      </c>
      <c r="AC33" s="184" t="s">
        <v>3355</v>
      </c>
    </row>
    <row r="34" spans="1:29" ht="25.5" x14ac:dyDescent="0.25">
      <c r="A34" s="1244"/>
      <c r="B34" s="1246"/>
      <c r="C34" s="1244"/>
      <c r="D34" s="1246"/>
      <c r="E34" s="1244"/>
      <c r="F34" s="1246"/>
      <c r="G34" s="1277"/>
      <c r="H34" s="1209"/>
      <c r="I34" s="1209"/>
      <c r="J34" s="1209"/>
      <c r="K34" s="2" t="s">
        <v>163</v>
      </c>
      <c r="L34" s="154" t="s">
        <v>158</v>
      </c>
      <c r="M34" s="113">
        <v>0</v>
      </c>
      <c r="N34" s="113">
        <v>0</v>
      </c>
      <c r="O34" s="271">
        <v>0</v>
      </c>
      <c r="P34" s="1278"/>
      <c r="Q34" s="1284"/>
      <c r="R34" s="1209"/>
      <c r="S34" s="1209"/>
      <c r="T34" s="1209"/>
      <c r="U34" s="126"/>
      <c r="V34" s="2" t="s">
        <v>163</v>
      </c>
      <c r="W34" s="154" t="s">
        <v>158</v>
      </c>
      <c r="X34" s="167" t="e">
        <f>+#REF!</f>
        <v>#REF!</v>
      </c>
      <c r="Y34" s="149" t="e">
        <f>+#REF!</f>
        <v>#REF!</v>
      </c>
      <c r="Z34" s="149"/>
      <c r="AA34" s="151">
        <v>310</v>
      </c>
      <c r="AB34" s="157" t="e">
        <f>+#REF!-#REF!</f>
        <v>#REF!</v>
      </c>
      <c r="AC34" s="184" t="s">
        <v>3355</v>
      </c>
    </row>
    <row r="35" spans="1:29" ht="51" x14ac:dyDescent="0.25">
      <c r="A35" s="1244"/>
      <c r="B35" s="1246"/>
      <c r="C35" s="1244"/>
      <c r="D35" s="1246"/>
      <c r="E35" s="1244"/>
      <c r="F35" s="1246"/>
      <c r="G35" s="1277"/>
      <c r="H35" s="1209"/>
      <c r="I35" s="1209"/>
      <c r="J35" s="1209"/>
      <c r="K35" s="2" t="s">
        <v>153</v>
      </c>
      <c r="L35" s="154" t="s">
        <v>148</v>
      </c>
      <c r="M35" s="113">
        <v>42935553</v>
      </c>
      <c r="N35" s="113">
        <v>38179008</v>
      </c>
      <c r="O35" s="317" t="s">
        <v>3436</v>
      </c>
      <c r="P35" s="1278"/>
      <c r="Q35" s="1284"/>
      <c r="R35" s="1209"/>
      <c r="S35" s="1209"/>
      <c r="T35" s="1209"/>
      <c r="U35" s="126"/>
      <c r="V35" s="2" t="s">
        <v>153</v>
      </c>
      <c r="W35" s="154" t="s">
        <v>148</v>
      </c>
      <c r="X35" s="167" t="e">
        <f>+#REF!</f>
        <v>#REF!</v>
      </c>
      <c r="Y35" s="149" t="e">
        <f>+#REF!</f>
        <v>#REF!</v>
      </c>
      <c r="Z35" s="149"/>
      <c r="AA35" s="151">
        <v>310</v>
      </c>
      <c r="AB35" s="157" t="e">
        <f>+#REF!-#REF!</f>
        <v>#REF!</v>
      </c>
      <c r="AC35" s="184" t="s">
        <v>3355</v>
      </c>
    </row>
    <row r="36" spans="1:29" ht="38.25" x14ac:dyDescent="0.25">
      <c r="A36" s="1244"/>
      <c r="B36" s="1246"/>
      <c r="C36" s="1244"/>
      <c r="D36" s="1246"/>
      <c r="E36" s="1244"/>
      <c r="F36" s="1246"/>
      <c r="G36" s="1277"/>
      <c r="H36" s="1209"/>
      <c r="I36" s="1209"/>
      <c r="J36" s="1209"/>
      <c r="K36" s="2" t="s">
        <v>141</v>
      </c>
      <c r="L36" s="154" t="s">
        <v>136</v>
      </c>
      <c r="M36" s="113">
        <v>0</v>
      </c>
      <c r="N36" s="113">
        <v>0</v>
      </c>
      <c r="O36" s="271">
        <v>0</v>
      </c>
      <c r="P36" s="1278"/>
      <c r="Q36" s="1284"/>
      <c r="R36" s="1209"/>
      <c r="S36" s="1209"/>
      <c r="T36" s="1209"/>
      <c r="U36" s="126"/>
      <c r="V36" s="2" t="s">
        <v>141</v>
      </c>
      <c r="W36" s="154" t="s">
        <v>136</v>
      </c>
      <c r="X36" s="167" t="e">
        <f>+#REF!</f>
        <v>#REF!</v>
      </c>
      <c r="Y36" s="149" t="e">
        <f>+#REF!</f>
        <v>#REF!</v>
      </c>
      <c r="Z36" s="149"/>
      <c r="AA36" s="151">
        <v>310</v>
      </c>
      <c r="AB36" s="157" t="e">
        <f>+#REF!-#REF!</f>
        <v>#REF!</v>
      </c>
      <c r="AC36" s="184" t="s">
        <v>3355</v>
      </c>
    </row>
    <row r="37" spans="1:29" ht="38.25" x14ac:dyDescent="0.25">
      <c r="A37" s="1244"/>
      <c r="B37" s="1246"/>
      <c r="C37" s="1244"/>
      <c r="D37" s="1246"/>
      <c r="E37" s="1244"/>
      <c r="F37" s="1246"/>
      <c r="G37" s="1277"/>
      <c r="H37" s="1209"/>
      <c r="I37" s="1209"/>
      <c r="J37" s="1209"/>
      <c r="K37" s="2" t="s">
        <v>171</v>
      </c>
      <c r="L37" s="154" t="s">
        <v>3296</v>
      </c>
      <c r="M37" s="113">
        <v>30000000</v>
      </c>
      <c r="N37" s="113">
        <v>29998560</v>
      </c>
      <c r="O37" s="317" t="s">
        <v>3437</v>
      </c>
      <c r="P37" s="1278"/>
      <c r="Q37" s="1284"/>
      <c r="R37" s="1209"/>
      <c r="S37" s="1209"/>
      <c r="T37" s="1209"/>
      <c r="U37" s="126"/>
      <c r="V37" s="2" t="s">
        <v>171</v>
      </c>
      <c r="W37" s="154" t="s">
        <v>3296</v>
      </c>
      <c r="X37" s="167" t="e">
        <f>+#REF!</f>
        <v>#REF!</v>
      </c>
      <c r="Y37" s="149" t="e">
        <f>+#REF!</f>
        <v>#REF!</v>
      </c>
      <c r="Z37" s="149"/>
      <c r="AA37" s="151">
        <v>310</v>
      </c>
      <c r="AB37" s="157" t="e">
        <f>+#REF!-#REF!</f>
        <v>#REF!</v>
      </c>
      <c r="AC37" s="184" t="s">
        <v>3355</v>
      </c>
    </row>
    <row r="38" spans="1:29" ht="25.5" x14ac:dyDescent="0.25">
      <c r="A38" s="1244"/>
      <c r="B38" s="1246"/>
      <c r="C38" s="1244"/>
      <c r="D38" s="1246"/>
      <c r="E38" s="1244"/>
      <c r="F38" s="1246"/>
      <c r="G38" s="1277"/>
      <c r="H38" s="1209"/>
      <c r="I38" s="1209"/>
      <c r="J38" s="1209"/>
      <c r="K38" s="2" t="s">
        <v>179</v>
      </c>
      <c r="L38" s="154" t="s">
        <v>174</v>
      </c>
      <c r="M38" s="113">
        <v>37376721</v>
      </c>
      <c r="N38" s="113">
        <v>37376721</v>
      </c>
      <c r="O38" s="317" t="s">
        <v>3438</v>
      </c>
      <c r="P38" s="1278"/>
      <c r="Q38" s="1284"/>
      <c r="R38" s="1209"/>
      <c r="S38" s="1209"/>
      <c r="T38" s="1209"/>
      <c r="U38" s="126"/>
      <c r="V38" s="2" t="s">
        <v>179</v>
      </c>
      <c r="W38" s="154" t="s">
        <v>174</v>
      </c>
      <c r="X38" s="167" t="e">
        <f>+#REF!</f>
        <v>#REF!</v>
      </c>
      <c r="Y38" s="149" t="e">
        <f>+#REF!</f>
        <v>#REF!</v>
      </c>
      <c r="Z38" s="149"/>
      <c r="AA38" s="151">
        <v>310</v>
      </c>
      <c r="AB38" s="157" t="e">
        <f>+#REF!-#REF!</f>
        <v>#REF!</v>
      </c>
      <c r="AC38" s="184" t="s">
        <v>3355</v>
      </c>
    </row>
    <row r="39" spans="1:29" ht="25.5" x14ac:dyDescent="0.25">
      <c r="A39" s="1244"/>
      <c r="B39" s="1246"/>
      <c r="C39" s="1244"/>
      <c r="D39" s="1246"/>
      <c r="E39" s="1244"/>
      <c r="F39" s="1246"/>
      <c r="G39" s="1263"/>
      <c r="H39" s="1209"/>
      <c r="I39" s="1209"/>
      <c r="J39" s="1209"/>
      <c r="K39" s="2" t="s">
        <v>187</v>
      </c>
      <c r="L39" s="154" t="s">
        <v>182</v>
      </c>
      <c r="M39" s="113">
        <v>0</v>
      </c>
      <c r="N39" s="113">
        <v>0</v>
      </c>
      <c r="O39" s="271">
        <v>0</v>
      </c>
      <c r="P39" s="1266"/>
      <c r="Q39" s="1269"/>
      <c r="R39" s="1209"/>
      <c r="S39" s="1209"/>
      <c r="T39" s="1209"/>
      <c r="U39" s="102"/>
      <c r="V39" s="2" t="s">
        <v>187</v>
      </c>
      <c r="W39" s="154" t="s">
        <v>182</v>
      </c>
      <c r="X39" s="167" t="e">
        <f>+#REF!</f>
        <v>#REF!</v>
      </c>
      <c r="Y39" s="149" t="e">
        <f>+#REF!</f>
        <v>#REF!</v>
      </c>
      <c r="Z39" s="149"/>
      <c r="AA39" s="151">
        <v>310</v>
      </c>
      <c r="AB39" s="157" t="e">
        <f>+#REF!-#REF!</f>
        <v>#REF!</v>
      </c>
      <c r="AC39" s="184" t="s">
        <v>3355</v>
      </c>
    </row>
    <row r="40" spans="1:29" ht="75.75" customHeight="1" x14ac:dyDescent="0.25">
      <c r="A40" s="1243" t="s">
        <v>2923</v>
      </c>
      <c r="B40" s="1243" t="s">
        <v>3162</v>
      </c>
      <c r="C40" s="1243" t="s">
        <v>2943</v>
      </c>
      <c r="D40" s="1243" t="s">
        <v>3170</v>
      </c>
      <c r="E40" s="2" t="s">
        <v>2945</v>
      </c>
      <c r="F40" s="100" t="s">
        <v>3171</v>
      </c>
      <c r="G40" s="107">
        <v>420000000</v>
      </c>
      <c r="H40" s="2" t="s">
        <v>2948</v>
      </c>
      <c r="I40" s="100" t="s">
        <v>3232</v>
      </c>
      <c r="J40" s="2">
        <v>3</v>
      </c>
      <c r="K40" s="2" t="s">
        <v>63</v>
      </c>
      <c r="L40" s="154" t="s">
        <v>3172</v>
      </c>
      <c r="M40" s="113">
        <v>40125307</v>
      </c>
      <c r="N40" s="113">
        <v>28150307</v>
      </c>
      <c r="O40" s="329" t="s">
        <v>3441</v>
      </c>
      <c r="P40" s="107">
        <v>440000000</v>
      </c>
      <c r="Q40" s="107">
        <v>440000000</v>
      </c>
      <c r="R40" s="2" t="s">
        <v>2948</v>
      </c>
      <c r="S40" s="100" t="s">
        <v>3232</v>
      </c>
      <c r="T40" s="2">
        <v>3</v>
      </c>
      <c r="U40" s="101">
        <v>0</v>
      </c>
      <c r="V40" s="2" t="s">
        <v>63</v>
      </c>
      <c r="W40" s="154" t="s">
        <v>3172</v>
      </c>
      <c r="X40" s="167" t="e">
        <f>+#REF!</f>
        <v>#REF!</v>
      </c>
      <c r="Y40" s="149" t="e">
        <f>+#REF!</f>
        <v>#REF!</v>
      </c>
      <c r="Z40" s="149" t="s">
        <v>3447</v>
      </c>
      <c r="AA40" s="151">
        <v>410</v>
      </c>
      <c r="AB40" s="157" t="e">
        <f>+#REF!-#REF!</f>
        <v>#REF!</v>
      </c>
      <c r="AC40" s="1287" t="s">
        <v>3356</v>
      </c>
    </row>
    <row r="41" spans="1:29" ht="63.75" x14ac:dyDescent="0.25">
      <c r="A41" s="1244"/>
      <c r="B41" s="1244"/>
      <c r="C41" s="1244"/>
      <c r="D41" s="1244"/>
      <c r="E41" s="2" t="s">
        <v>2945</v>
      </c>
      <c r="F41" s="100" t="s">
        <v>3173</v>
      </c>
      <c r="G41" s="107">
        <v>160000000</v>
      </c>
      <c r="H41" s="2" t="s">
        <v>2952</v>
      </c>
      <c r="I41" s="100" t="s">
        <v>3271</v>
      </c>
      <c r="J41" s="2">
        <v>1</v>
      </c>
      <c r="K41" s="2" t="s">
        <v>61</v>
      </c>
      <c r="L41" s="154" t="s">
        <v>3264</v>
      </c>
      <c r="M41" s="113">
        <v>0</v>
      </c>
      <c r="N41" s="113">
        <v>0</v>
      </c>
      <c r="O41" s="2" t="s">
        <v>3442</v>
      </c>
      <c r="P41" s="107">
        <v>170000000</v>
      </c>
      <c r="Q41" s="107">
        <v>170000000</v>
      </c>
      <c r="R41" s="2" t="s">
        <v>2952</v>
      </c>
      <c r="S41" s="100" t="s">
        <v>3271</v>
      </c>
      <c r="T41" s="2">
        <v>1</v>
      </c>
      <c r="U41" s="101">
        <v>0</v>
      </c>
      <c r="V41" s="2" t="s">
        <v>61</v>
      </c>
      <c r="W41" s="154" t="s">
        <v>3264</v>
      </c>
      <c r="X41" s="167" t="e">
        <f>+#REF!</f>
        <v>#REF!</v>
      </c>
      <c r="Y41" s="149" t="e">
        <f>+#REF!</f>
        <v>#REF!</v>
      </c>
      <c r="Z41" s="149" t="s">
        <v>3448</v>
      </c>
      <c r="AA41" s="151">
        <v>410</v>
      </c>
      <c r="AB41" s="157" t="e">
        <f>+#REF!-#REF!</f>
        <v>#REF!</v>
      </c>
      <c r="AC41" s="1288"/>
    </row>
    <row r="42" spans="1:29" ht="64.5" customHeight="1" x14ac:dyDescent="0.25">
      <c r="A42" s="1260"/>
      <c r="B42" s="1260"/>
      <c r="C42" s="1260"/>
      <c r="D42" s="1260"/>
      <c r="E42" s="2" t="s">
        <v>2945</v>
      </c>
      <c r="F42" s="100" t="s">
        <v>3174</v>
      </c>
      <c r="G42" s="322">
        <v>56000000</v>
      </c>
      <c r="H42" s="319" t="s">
        <v>2955</v>
      </c>
      <c r="I42" s="321" t="s">
        <v>3233</v>
      </c>
      <c r="J42" s="319">
        <v>1</v>
      </c>
      <c r="K42" s="319" t="s">
        <v>59</v>
      </c>
      <c r="L42" s="171" t="s">
        <v>60</v>
      </c>
      <c r="M42" s="322">
        <v>52229374</v>
      </c>
      <c r="N42" s="322">
        <v>52229374</v>
      </c>
      <c r="O42" s="328" t="s">
        <v>3443</v>
      </c>
      <c r="P42" s="322">
        <v>58000000</v>
      </c>
      <c r="Q42" s="322">
        <v>58000000</v>
      </c>
      <c r="R42" s="319" t="s">
        <v>2955</v>
      </c>
      <c r="S42" s="321" t="s">
        <v>3233</v>
      </c>
      <c r="T42" s="2">
        <v>1</v>
      </c>
      <c r="U42" s="101">
        <v>0</v>
      </c>
      <c r="V42" s="2" t="s">
        <v>59</v>
      </c>
      <c r="W42" s="154" t="s">
        <v>60</v>
      </c>
      <c r="X42" s="167" t="e">
        <f>+#REF!</f>
        <v>#REF!</v>
      </c>
      <c r="Y42" s="149" t="e">
        <f>+#REF!</f>
        <v>#REF!</v>
      </c>
      <c r="Z42" s="149" t="s">
        <v>3449</v>
      </c>
      <c r="AA42" s="151">
        <v>410</v>
      </c>
      <c r="AB42" s="157" t="e">
        <f>+#REF!-#REF!</f>
        <v>#REF!</v>
      </c>
      <c r="AC42" s="1289"/>
    </row>
    <row r="43" spans="1:29" ht="40.5" customHeight="1" x14ac:dyDescent="0.25">
      <c r="A43" s="1243" t="s">
        <v>2923</v>
      </c>
      <c r="B43" s="1243" t="s">
        <v>3162</v>
      </c>
      <c r="C43" s="1243" t="s">
        <v>2943</v>
      </c>
      <c r="D43" s="1243" t="s">
        <v>3170</v>
      </c>
      <c r="E43" s="1243" t="s">
        <v>2988</v>
      </c>
      <c r="F43" s="1292" t="s">
        <v>3180</v>
      </c>
      <c r="G43" s="1214">
        <v>122000000</v>
      </c>
      <c r="H43" s="1209" t="s">
        <v>2990</v>
      </c>
      <c r="I43" s="1209" t="s">
        <v>3272</v>
      </c>
      <c r="J43" s="1209">
        <v>5</v>
      </c>
      <c r="K43" s="317" t="s">
        <v>391</v>
      </c>
      <c r="L43" s="331" t="s">
        <v>3181</v>
      </c>
      <c r="M43" s="135">
        <v>11261724</v>
      </c>
      <c r="N43" s="135">
        <v>11261724</v>
      </c>
      <c r="O43" s="317">
        <v>21</v>
      </c>
      <c r="P43" s="1214">
        <v>170000000</v>
      </c>
      <c r="Q43" s="1290">
        <v>170000000</v>
      </c>
      <c r="R43" s="1209" t="s">
        <v>2990</v>
      </c>
      <c r="S43" s="1209" t="s">
        <v>3439</v>
      </c>
      <c r="T43" s="1285">
        <v>5</v>
      </c>
      <c r="U43" s="106">
        <v>0</v>
      </c>
      <c r="V43" s="2" t="s">
        <v>391</v>
      </c>
      <c r="W43" s="154" t="s">
        <v>3181</v>
      </c>
      <c r="X43" s="167" t="e">
        <f>+#REF!</f>
        <v>#REF!</v>
      </c>
      <c r="Y43" s="149" t="e">
        <f>+#REF!</f>
        <v>#REF!</v>
      </c>
      <c r="Z43" s="149"/>
      <c r="AA43" s="151">
        <v>410</v>
      </c>
      <c r="AB43" s="157" t="e">
        <f>+#REF!-#REF!</f>
        <v>#REF!</v>
      </c>
      <c r="AC43" s="1205" t="s">
        <v>3350</v>
      </c>
    </row>
    <row r="44" spans="1:29" ht="40.5" customHeight="1" x14ac:dyDescent="0.25">
      <c r="A44" s="1244"/>
      <c r="B44" s="1244"/>
      <c r="C44" s="1244"/>
      <c r="D44" s="1244"/>
      <c r="E44" s="1244"/>
      <c r="F44" s="1293"/>
      <c r="G44" s="1214"/>
      <c r="H44" s="1209"/>
      <c r="I44" s="1209"/>
      <c r="J44" s="1209"/>
      <c r="K44" s="317" t="s">
        <v>379</v>
      </c>
      <c r="L44" s="331" t="s">
        <v>3237</v>
      </c>
      <c r="M44" s="135">
        <v>11750000</v>
      </c>
      <c r="N44" s="135">
        <v>0</v>
      </c>
      <c r="O44" s="317">
        <v>21</v>
      </c>
      <c r="P44" s="1214"/>
      <c r="Q44" s="1291"/>
      <c r="R44" s="1209"/>
      <c r="S44" s="1209"/>
      <c r="T44" s="1286"/>
      <c r="U44" s="102"/>
      <c r="V44" s="2" t="s">
        <v>379</v>
      </c>
      <c r="W44" s="154" t="s">
        <v>3237</v>
      </c>
      <c r="X44" s="167" t="e">
        <f>+#REF!</f>
        <v>#REF!</v>
      </c>
      <c r="Y44" s="149" t="e">
        <f>+#REF!</f>
        <v>#REF!</v>
      </c>
      <c r="Z44" s="149"/>
      <c r="AA44" s="151">
        <v>410</v>
      </c>
      <c r="AB44" s="157" t="e">
        <f>+#REF!-#REF!</f>
        <v>#REF!</v>
      </c>
      <c r="AC44" s="1199"/>
    </row>
    <row r="45" spans="1:29" ht="39" customHeight="1" x14ac:dyDescent="0.25">
      <c r="A45" s="1244"/>
      <c r="B45" s="1244"/>
      <c r="C45" s="1244"/>
      <c r="D45" s="1244"/>
      <c r="E45" s="1244"/>
      <c r="F45" s="1293"/>
      <c r="G45" s="1214"/>
      <c r="H45" s="1209"/>
      <c r="I45" s="1209"/>
      <c r="J45" s="1209"/>
      <c r="K45" s="317" t="s">
        <v>393</v>
      </c>
      <c r="L45" s="331" t="s">
        <v>394</v>
      </c>
      <c r="M45" s="135">
        <v>49500000</v>
      </c>
      <c r="N45" s="135">
        <v>40458993</v>
      </c>
      <c r="O45" s="317">
        <v>0</v>
      </c>
      <c r="P45" s="1214"/>
      <c r="Q45" s="1291"/>
      <c r="R45" s="1209"/>
      <c r="S45" s="1209"/>
      <c r="T45" s="1286"/>
      <c r="U45" s="102"/>
      <c r="V45" s="2" t="s">
        <v>393</v>
      </c>
      <c r="W45" s="154" t="s">
        <v>394</v>
      </c>
      <c r="X45" s="167" t="e">
        <f>+#REF!</f>
        <v>#REF!</v>
      </c>
      <c r="Y45" s="149" t="e">
        <f>+#REF!</f>
        <v>#REF!</v>
      </c>
      <c r="Z45" s="149"/>
      <c r="AA45" s="151">
        <v>410</v>
      </c>
      <c r="AB45" s="157" t="e">
        <f>+#REF!-#REF!</f>
        <v>#REF!</v>
      </c>
      <c r="AC45" s="1206"/>
    </row>
    <row r="46" spans="1:29" ht="72" customHeight="1" x14ac:dyDescent="0.25">
      <c r="A46" s="1260"/>
      <c r="B46" s="1260"/>
      <c r="C46" s="1260"/>
      <c r="D46" s="1260"/>
      <c r="E46" s="1260"/>
      <c r="F46" s="1294"/>
      <c r="G46" s="1214"/>
      <c r="H46" s="1209"/>
      <c r="I46" s="1209"/>
      <c r="J46" s="1209"/>
      <c r="K46" s="317"/>
      <c r="L46" s="331"/>
      <c r="M46" s="135"/>
      <c r="N46" s="135"/>
      <c r="O46" s="317"/>
      <c r="P46" s="1214"/>
      <c r="Q46" s="127"/>
      <c r="R46" s="1209"/>
      <c r="S46" s="1209"/>
      <c r="T46" s="1286"/>
      <c r="U46" s="102"/>
      <c r="V46" s="2" t="s">
        <v>3423</v>
      </c>
      <c r="W46" s="154" t="s">
        <v>3424</v>
      </c>
      <c r="X46" s="167" t="e">
        <f>+#REF!</f>
        <v>#REF!</v>
      </c>
      <c r="Y46" s="149" t="e">
        <f>+#REF!</f>
        <v>#REF!</v>
      </c>
      <c r="Z46" s="149"/>
      <c r="AA46" s="151"/>
      <c r="AB46" s="157"/>
      <c r="AC46" s="318"/>
    </row>
    <row r="47" spans="1:29" ht="76.5" x14ac:dyDescent="0.25">
      <c r="A47" s="1243" t="s">
        <v>2923</v>
      </c>
      <c r="B47" s="1243" t="s">
        <v>3162</v>
      </c>
      <c r="C47" s="1243" t="s">
        <v>2943</v>
      </c>
      <c r="D47" s="1243" t="s">
        <v>3170</v>
      </c>
      <c r="E47" s="2" t="s">
        <v>2973</v>
      </c>
      <c r="F47" s="100" t="s">
        <v>3205</v>
      </c>
      <c r="G47" s="327">
        <v>90000000</v>
      </c>
      <c r="H47" s="256" t="s">
        <v>2975</v>
      </c>
      <c r="I47" s="259" t="s">
        <v>3222</v>
      </c>
      <c r="J47" s="256">
        <v>1</v>
      </c>
      <c r="K47" s="320" t="s">
        <v>383</v>
      </c>
      <c r="L47" s="165" t="s">
        <v>3178</v>
      </c>
      <c r="M47" s="323">
        <v>535312097</v>
      </c>
      <c r="N47" s="323">
        <v>429163788</v>
      </c>
      <c r="O47" s="176" t="s">
        <v>3446</v>
      </c>
      <c r="P47" s="327">
        <v>105000000</v>
      </c>
      <c r="Q47" s="327">
        <v>105000000</v>
      </c>
      <c r="R47" s="256" t="s">
        <v>2975</v>
      </c>
      <c r="S47" s="259" t="s">
        <v>3222</v>
      </c>
      <c r="T47" s="256">
        <v>1</v>
      </c>
      <c r="U47" s="101">
        <v>0</v>
      </c>
      <c r="V47" s="2" t="s">
        <v>383</v>
      </c>
      <c r="W47" s="154" t="s">
        <v>3178</v>
      </c>
      <c r="X47" s="167" t="e">
        <f>+#REF!</f>
        <v>#REF!</v>
      </c>
      <c r="Y47" s="149" t="e">
        <f>+#REF!</f>
        <v>#REF!</v>
      </c>
      <c r="Z47" s="149"/>
      <c r="AA47" s="151">
        <v>410</v>
      </c>
      <c r="AB47" s="157" t="e">
        <f>+#REF!-#REF!</f>
        <v>#REF!</v>
      </c>
      <c r="AC47" s="262" t="s">
        <v>3350</v>
      </c>
    </row>
    <row r="48" spans="1:29" ht="76.5" customHeight="1" x14ac:dyDescent="0.25">
      <c r="A48" s="1260"/>
      <c r="B48" s="1260"/>
      <c r="C48" s="1260"/>
      <c r="D48" s="1260"/>
      <c r="E48" s="2" t="s">
        <v>2973</v>
      </c>
      <c r="F48" s="100" t="s">
        <v>3206</v>
      </c>
      <c r="G48" s="107">
        <v>760000000</v>
      </c>
      <c r="H48" s="2" t="s">
        <v>2978</v>
      </c>
      <c r="I48" s="100" t="s">
        <v>3235</v>
      </c>
      <c r="J48" s="2">
        <v>1</v>
      </c>
      <c r="K48" s="2" t="s">
        <v>65</v>
      </c>
      <c r="L48" s="154" t="s">
        <v>3179</v>
      </c>
      <c r="M48" s="113">
        <v>10000000</v>
      </c>
      <c r="N48" s="113">
        <v>7999999</v>
      </c>
      <c r="O48" s="2" t="s">
        <v>3444</v>
      </c>
      <c r="P48" s="107">
        <v>780000000</v>
      </c>
      <c r="Q48" s="107">
        <v>780000000</v>
      </c>
      <c r="R48" s="2" t="s">
        <v>2978</v>
      </c>
      <c r="S48" s="100" t="s">
        <v>3235</v>
      </c>
      <c r="T48" s="2">
        <v>1</v>
      </c>
      <c r="U48" s="101">
        <v>0</v>
      </c>
      <c r="V48" s="2" t="s">
        <v>65</v>
      </c>
      <c r="W48" s="154" t="s">
        <v>3179</v>
      </c>
      <c r="X48" s="167" t="e">
        <f>+#REF!</f>
        <v>#REF!</v>
      </c>
      <c r="Y48" s="149">
        <v>490840301</v>
      </c>
      <c r="Z48" s="149"/>
      <c r="AA48" s="151">
        <v>410</v>
      </c>
      <c r="AB48" s="157" t="e">
        <f>+#REF!-#REF!</f>
        <v>#REF!</v>
      </c>
      <c r="AC48" s="186" t="s">
        <v>3357</v>
      </c>
    </row>
    <row r="49" spans="1:29" ht="69.75" customHeight="1" x14ac:dyDescent="0.25">
      <c r="A49" s="2" t="s">
        <v>2923</v>
      </c>
      <c r="B49" s="100" t="s">
        <v>3162</v>
      </c>
      <c r="C49" s="2" t="s">
        <v>2943</v>
      </c>
      <c r="D49" s="100" t="s">
        <v>3170</v>
      </c>
      <c r="E49" s="2" t="s">
        <v>2980</v>
      </c>
      <c r="F49" s="100" t="s">
        <v>3230</v>
      </c>
      <c r="G49" s="107">
        <v>30000000</v>
      </c>
      <c r="H49" s="2" t="s">
        <v>2982</v>
      </c>
      <c r="I49" s="100" t="s">
        <v>3236</v>
      </c>
      <c r="J49" s="2">
        <v>1</v>
      </c>
      <c r="K49" s="2" t="s">
        <v>385</v>
      </c>
      <c r="L49" s="154" t="s">
        <v>3231</v>
      </c>
      <c r="M49" s="113">
        <v>9664000</v>
      </c>
      <c r="N49" s="113">
        <v>2000000</v>
      </c>
      <c r="O49" s="2" t="s">
        <v>3445</v>
      </c>
      <c r="P49" s="107">
        <v>30000000</v>
      </c>
      <c r="Q49" s="107">
        <v>30000000</v>
      </c>
      <c r="R49" s="2" t="s">
        <v>2982</v>
      </c>
      <c r="S49" s="100" t="s">
        <v>3236</v>
      </c>
      <c r="T49" s="2">
        <v>1</v>
      </c>
      <c r="U49" s="101">
        <v>0</v>
      </c>
      <c r="V49" s="2" t="s">
        <v>385</v>
      </c>
      <c r="W49" s="154" t="s">
        <v>3231</v>
      </c>
      <c r="X49" s="167" t="e">
        <f>+#REF!</f>
        <v>#REF!</v>
      </c>
      <c r="Y49" s="149">
        <v>12967923</v>
      </c>
      <c r="Z49" s="149"/>
      <c r="AA49" s="151">
        <v>410</v>
      </c>
      <c r="AB49" s="157" t="e">
        <f>+#REF!-#REF!</f>
        <v>#REF!</v>
      </c>
      <c r="AC49" s="1205" t="s">
        <v>3350</v>
      </c>
    </row>
    <row r="50" spans="1:29" ht="63.75" x14ac:dyDescent="0.25">
      <c r="A50" s="2" t="s">
        <v>2923</v>
      </c>
      <c r="B50" s="100" t="s">
        <v>3162</v>
      </c>
      <c r="C50" s="2" t="s">
        <v>2943</v>
      </c>
      <c r="D50" s="100" t="s">
        <v>3170</v>
      </c>
      <c r="E50" s="2" t="s">
        <v>2984</v>
      </c>
      <c r="F50" s="100" t="s">
        <v>2985</v>
      </c>
      <c r="G50" s="107">
        <v>5000000</v>
      </c>
      <c r="H50" s="254" t="s">
        <v>2986</v>
      </c>
      <c r="I50" s="257" t="s">
        <v>3223</v>
      </c>
      <c r="J50" s="254">
        <v>0</v>
      </c>
      <c r="K50" s="2" t="s">
        <v>387</v>
      </c>
      <c r="L50" s="154" t="s">
        <v>388</v>
      </c>
      <c r="M50" s="113">
        <v>4000000</v>
      </c>
      <c r="N50" s="113">
        <v>500000</v>
      </c>
      <c r="O50" s="254">
        <v>0</v>
      </c>
      <c r="P50" s="107">
        <v>20000000</v>
      </c>
      <c r="Q50" s="107">
        <v>20000000</v>
      </c>
      <c r="R50" s="254" t="s">
        <v>2986</v>
      </c>
      <c r="S50" s="257" t="s">
        <v>3223</v>
      </c>
      <c r="T50" s="254">
        <v>0</v>
      </c>
      <c r="U50" s="101">
        <v>0</v>
      </c>
      <c r="V50" s="2" t="s">
        <v>387</v>
      </c>
      <c r="W50" s="154" t="s">
        <v>388</v>
      </c>
      <c r="X50" s="167" t="e">
        <f>+#REF!</f>
        <v>#REF!</v>
      </c>
      <c r="Y50" s="149">
        <v>0</v>
      </c>
      <c r="Z50" s="149"/>
      <c r="AA50" s="151">
        <v>410</v>
      </c>
      <c r="AB50" s="157" t="e">
        <f>+#REF!-#REF!</f>
        <v>#REF!</v>
      </c>
      <c r="AC50" s="1199"/>
    </row>
    <row r="51" spans="1:29" ht="51" x14ac:dyDescent="0.25">
      <c r="A51" s="2" t="s">
        <v>2923</v>
      </c>
      <c r="B51" s="100" t="s">
        <v>3162</v>
      </c>
      <c r="C51" s="2" t="s">
        <v>2943</v>
      </c>
      <c r="D51" s="100" t="s">
        <v>3170</v>
      </c>
      <c r="E51" s="2" t="s">
        <v>2957</v>
      </c>
      <c r="F51" s="100" t="s">
        <v>3175</v>
      </c>
      <c r="G51" s="107">
        <v>15000000</v>
      </c>
      <c r="H51" s="254" t="s">
        <v>2959</v>
      </c>
      <c r="I51" s="257" t="s">
        <v>3234</v>
      </c>
      <c r="J51" s="254">
        <v>0</v>
      </c>
      <c r="K51" s="2" t="s">
        <v>381</v>
      </c>
      <c r="L51" s="154" t="s">
        <v>3176</v>
      </c>
      <c r="M51" s="113">
        <v>6500000</v>
      </c>
      <c r="N51" s="113">
        <v>0</v>
      </c>
      <c r="O51" s="254">
        <v>0</v>
      </c>
      <c r="P51" s="107">
        <v>50000000</v>
      </c>
      <c r="Q51" s="107">
        <v>50000000</v>
      </c>
      <c r="R51" s="254" t="s">
        <v>2959</v>
      </c>
      <c r="S51" s="257" t="s">
        <v>3234</v>
      </c>
      <c r="T51" s="254">
        <v>0</v>
      </c>
      <c r="U51" s="101">
        <v>0</v>
      </c>
      <c r="V51" s="2" t="s">
        <v>381</v>
      </c>
      <c r="W51" s="154" t="s">
        <v>3176</v>
      </c>
      <c r="X51" s="167" t="e">
        <f>+#REF!</f>
        <v>#REF!</v>
      </c>
      <c r="Y51" s="149">
        <v>16339871</v>
      </c>
      <c r="Z51" s="149"/>
      <c r="AA51" s="151">
        <v>410</v>
      </c>
      <c r="AB51" s="157" t="e">
        <f>+#REF!-#REF!</f>
        <v>#REF!</v>
      </c>
      <c r="AC51" s="1206"/>
    </row>
    <row r="52" spans="1:29" ht="66.75" customHeight="1" x14ac:dyDescent="0.25">
      <c r="A52" s="2" t="s">
        <v>2923</v>
      </c>
      <c r="B52" s="100" t="s">
        <v>3162</v>
      </c>
      <c r="C52" s="2" t="s">
        <v>2992</v>
      </c>
      <c r="D52" s="100" t="s">
        <v>3182</v>
      </c>
      <c r="E52" s="2" t="s">
        <v>2999</v>
      </c>
      <c r="F52" s="100" t="s">
        <v>3300</v>
      </c>
      <c r="G52" s="107">
        <v>5000000</v>
      </c>
      <c r="H52" s="2" t="s">
        <v>3001</v>
      </c>
      <c r="I52" s="100" t="s">
        <v>3240</v>
      </c>
      <c r="J52" s="2">
        <v>0</v>
      </c>
      <c r="K52" s="2" t="s">
        <v>366</v>
      </c>
      <c r="L52" s="154" t="s">
        <v>3183</v>
      </c>
      <c r="M52" s="113">
        <v>0</v>
      </c>
      <c r="N52" s="113">
        <v>0</v>
      </c>
      <c r="O52" s="2">
        <v>0</v>
      </c>
      <c r="P52" s="107">
        <v>5000000</v>
      </c>
      <c r="Q52" s="107">
        <v>5000000</v>
      </c>
      <c r="R52" s="2" t="s">
        <v>3001</v>
      </c>
      <c r="S52" s="100" t="s">
        <v>3240</v>
      </c>
      <c r="T52" s="2">
        <v>0</v>
      </c>
      <c r="U52" s="101">
        <v>0</v>
      </c>
      <c r="V52" s="2" t="s">
        <v>366</v>
      </c>
      <c r="W52" s="154" t="s">
        <v>3183</v>
      </c>
      <c r="X52" s="167" t="e">
        <f>+#REF!</f>
        <v>#REF!</v>
      </c>
      <c r="Y52" s="149">
        <v>0</v>
      </c>
      <c r="Z52" s="149"/>
      <c r="AA52" s="151">
        <v>510</v>
      </c>
      <c r="AB52" s="157" t="e">
        <f>+#REF!-#REF!</f>
        <v>#REF!</v>
      </c>
      <c r="AC52" s="184" t="s">
        <v>3353</v>
      </c>
    </row>
    <row r="53" spans="1:29" ht="76.5" x14ac:dyDescent="0.25">
      <c r="A53" s="254" t="s">
        <v>2923</v>
      </c>
      <c r="B53" s="257" t="s">
        <v>3162</v>
      </c>
      <c r="C53" s="254" t="s">
        <v>2992</v>
      </c>
      <c r="D53" s="257" t="s">
        <v>3182</v>
      </c>
      <c r="E53" s="254" t="s">
        <v>2994</v>
      </c>
      <c r="F53" s="257" t="s">
        <v>3301</v>
      </c>
      <c r="G53" s="251">
        <v>100000000</v>
      </c>
      <c r="H53" s="255" t="s">
        <v>2996</v>
      </c>
      <c r="I53" s="258" t="s">
        <v>3273</v>
      </c>
      <c r="J53" s="255">
        <v>4</v>
      </c>
      <c r="K53" s="319" t="s">
        <v>241</v>
      </c>
      <c r="L53" s="171" t="s">
        <v>242</v>
      </c>
      <c r="M53" s="113">
        <v>80700000</v>
      </c>
      <c r="N53" s="113">
        <v>59931712</v>
      </c>
      <c r="O53" s="333" t="s">
        <v>3450</v>
      </c>
      <c r="P53" s="251">
        <v>100000000</v>
      </c>
      <c r="Q53" s="251">
        <v>100000000</v>
      </c>
      <c r="R53" s="255" t="s">
        <v>2996</v>
      </c>
      <c r="S53" s="258" t="s">
        <v>3273</v>
      </c>
      <c r="T53" s="255">
        <v>4</v>
      </c>
      <c r="U53" s="116">
        <v>0</v>
      </c>
      <c r="V53" s="254" t="s">
        <v>241</v>
      </c>
      <c r="W53" s="171" t="s">
        <v>242</v>
      </c>
      <c r="X53" s="167" t="e">
        <f>+#REF!</f>
        <v>#REF!</v>
      </c>
      <c r="Y53" s="149">
        <v>25853367</v>
      </c>
      <c r="Z53" s="149"/>
      <c r="AA53" s="199">
        <v>510</v>
      </c>
      <c r="AB53" s="232" t="e">
        <f>+#REF!-#REF!</f>
        <v>#REF!</v>
      </c>
      <c r="AC53" s="263" t="s">
        <v>3358</v>
      </c>
    </row>
    <row r="54" spans="1:29" ht="22.5" customHeight="1" x14ac:dyDescent="0.25">
      <c r="A54" s="1209" t="s">
        <v>3407</v>
      </c>
      <c r="B54" s="1209"/>
      <c r="C54" s="1209"/>
      <c r="D54" s="1209"/>
      <c r="E54" s="1209"/>
      <c r="F54" s="1209"/>
      <c r="G54" s="135">
        <f>SUM(G23:G53)</f>
        <v>3023000000</v>
      </c>
      <c r="H54" s="1207"/>
      <c r="I54" s="1208"/>
      <c r="J54" s="1208"/>
      <c r="K54" s="1207"/>
      <c r="L54" s="1208"/>
      <c r="M54" s="135">
        <f>SUM(M23:M53)</f>
        <v>1367857632</v>
      </c>
      <c r="N54" s="135">
        <f>SUM(N23:N53)</f>
        <v>1056762905</v>
      </c>
      <c r="O54" s="267"/>
      <c r="P54" s="135">
        <f>SUM(P23:P53)</f>
        <v>3329000000</v>
      </c>
      <c r="Q54" s="135">
        <f>SUM(Q47:Q53)</f>
        <v>1090000000</v>
      </c>
      <c r="R54" s="1207"/>
      <c r="S54" s="1208"/>
      <c r="T54" s="1208"/>
      <c r="U54" s="1217"/>
      <c r="V54" s="1207"/>
      <c r="W54" s="1208"/>
      <c r="X54" s="133" t="e">
        <f>SUM(X23:X53)</f>
        <v>#REF!</v>
      </c>
      <c r="Y54" s="133" t="e">
        <f>SUM(Y23:Y53)</f>
        <v>#REF!</v>
      </c>
      <c r="Z54" s="133"/>
      <c r="AA54" s="1207"/>
      <c r="AB54" s="1208"/>
      <c r="AC54" s="1217"/>
    </row>
    <row r="55" spans="1:29" ht="18.75" customHeight="1" x14ac:dyDescent="0.25">
      <c r="A55" s="117"/>
      <c r="B55" s="118"/>
      <c r="C55" s="117"/>
      <c r="D55" s="118"/>
      <c r="E55" s="117"/>
      <c r="F55" s="118"/>
      <c r="G55" s="119"/>
      <c r="H55" s="117"/>
      <c r="I55" s="117"/>
      <c r="J55" s="117"/>
      <c r="K55" s="117"/>
      <c r="L55" s="117"/>
      <c r="M55" s="117"/>
      <c r="N55" s="117"/>
      <c r="O55" s="117"/>
      <c r="P55" s="119"/>
      <c r="Q55" s="119"/>
      <c r="R55" s="117"/>
      <c r="S55" s="117"/>
      <c r="T55" s="117"/>
      <c r="U55" s="121"/>
      <c r="V55" s="233"/>
      <c r="W55" s="224"/>
      <c r="X55" s="225"/>
      <c r="Y55" s="222"/>
      <c r="Z55" s="222"/>
      <c r="AA55" s="164"/>
      <c r="AB55" s="164"/>
      <c r="AC55" s="185"/>
    </row>
    <row r="56" spans="1:29" ht="63.75" x14ac:dyDescent="0.25">
      <c r="A56" s="1243" t="s">
        <v>2814</v>
      </c>
      <c r="B56" s="1245" t="s">
        <v>3138</v>
      </c>
      <c r="C56" s="1243" t="s">
        <v>2816</v>
      </c>
      <c r="D56" s="1245" t="s">
        <v>3140</v>
      </c>
      <c r="E56" s="1243" t="s">
        <v>2822</v>
      </c>
      <c r="F56" s="1245" t="s">
        <v>2823</v>
      </c>
      <c r="G56" s="1262">
        <v>50000000</v>
      </c>
      <c r="H56" s="1209" t="s">
        <v>2824</v>
      </c>
      <c r="I56" s="1209" t="s">
        <v>3451</v>
      </c>
      <c r="J56" s="1209">
        <v>0</v>
      </c>
      <c r="K56" s="109" t="s">
        <v>323</v>
      </c>
      <c r="L56" s="154" t="s">
        <v>3145</v>
      </c>
      <c r="M56" s="113">
        <v>18500000</v>
      </c>
      <c r="N56" s="113">
        <v>18500000</v>
      </c>
      <c r="O56" s="271"/>
      <c r="P56" s="1265">
        <v>100000000</v>
      </c>
      <c r="Q56" s="1268">
        <v>100000000</v>
      </c>
      <c r="R56" s="1209" t="s">
        <v>2824</v>
      </c>
      <c r="S56" s="1209" t="s">
        <v>3141</v>
      </c>
      <c r="T56" s="1209">
        <v>1</v>
      </c>
      <c r="U56" s="1200">
        <v>0</v>
      </c>
      <c r="V56" s="109" t="s">
        <v>323</v>
      </c>
      <c r="W56" s="154" t="s">
        <v>3145</v>
      </c>
      <c r="X56" s="158" t="e">
        <f>+#REF!</f>
        <v>#REF!</v>
      </c>
      <c r="Y56" s="149">
        <v>41065933</v>
      </c>
      <c r="Z56" s="149"/>
      <c r="AA56" s="151">
        <v>510</v>
      </c>
      <c r="AB56" s="157" t="e">
        <f>+#REF!-#REF!</f>
        <v>#REF!</v>
      </c>
      <c r="AC56" s="1202" t="s">
        <v>3348</v>
      </c>
    </row>
    <row r="57" spans="1:29" ht="63.75" x14ac:dyDescent="0.25">
      <c r="A57" s="1244"/>
      <c r="B57" s="1246"/>
      <c r="C57" s="1244"/>
      <c r="D57" s="1246"/>
      <c r="E57" s="1244"/>
      <c r="F57" s="1246"/>
      <c r="G57" s="1277"/>
      <c r="H57" s="1209"/>
      <c r="I57" s="1209"/>
      <c r="J57" s="1209"/>
      <c r="K57" s="109" t="s">
        <v>319</v>
      </c>
      <c r="L57" s="154" t="s">
        <v>3143</v>
      </c>
      <c r="M57" s="113">
        <v>5000000</v>
      </c>
      <c r="N57" s="113">
        <v>1090000</v>
      </c>
      <c r="O57" s="271"/>
      <c r="P57" s="1278"/>
      <c r="Q57" s="1284"/>
      <c r="R57" s="1209"/>
      <c r="S57" s="1209"/>
      <c r="T57" s="1209"/>
      <c r="U57" s="1201"/>
      <c r="V57" s="109" t="s">
        <v>319</v>
      </c>
      <c r="W57" s="154" t="s">
        <v>3143</v>
      </c>
      <c r="X57" s="158" t="e">
        <f>+#REF!</f>
        <v>#REF!</v>
      </c>
      <c r="Y57" s="149" t="e">
        <f>+#REF!</f>
        <v>#REF!</v>
      </c>
      <c r="Z57" s="149"/>
      <c r="AA57" s="151">
        <v>510</v>
      </c>
      <c r="AB57" s="157" t="e">
        <f>+#REF!-#REF!</f>
        <v>#REF!</v>
      </c>
      <c r="AC57" s="1202"/>
    </row>
    <row r="58" spans="1:29" ht="76.5" x14ac:dyDescent="0.25">
      <c r="A58" s="1244"/>
      <c r="B58" s="1246"/>
      <c r="C58" s="1244"/>
      <c r="D58" s="1246"/>
      <c r="E58" s="1244"/>
      <c r="F58" s="1246"/>
      <c r="G58" s="1263"/>
      <c r="H58" s="1209"/>
      <c r="I58" s="1209"/>
      <c r="J58" s="1209"/>
      <c r="K58" s="109" t="s">
        <v>321</v>
      </c>
      <c r="L58" s="154" t="s">
        <v>3144</v>
      </c>
      <c r="M58" s="113">
        <v>1500000</v>
      </c>
      <c r="N58" s="113">
        <v>0</v>
      </c>
      <c r="O58" s="271"/>
      <c r="P58" s="1266"/>
      <c r="Q58" s="1269"/>
      <c r="R58" s="1209"/>
      <c r="S58" s="1209"/>
      <c r="T58" s="1209"/>
      <c r="U58" s="1201"/>
      <c r="V58" s="109" t="s">
        <v>321</v>
      </c>
      <c r="W58" s="154" t="s">
        <v>3144</v>
      </c>
      <c r="X58" s="158" t="e">
        <f>+#REF!</f>
        <v>#REF!</v>
      </c>
      <c r="Y58" s="149" t="e">
        <f>+#REF!</f>
        <v>#REF!</v>
      </c>
      <c r="Z58" s="149"/>
      <c r="AA58" s="151">
        <v>510</v>
      </c>
      <c r="AB58" s="157" t="e">
        <f>+#REF!-#REF!</f>
        <v>#REF!</v>
      </c>
      <c r="AC58" s="1202"/>
    </row>
    <row r="59" spans="1:29" ht="63.75" customHeight="1" x14ac:dyDescent="0.25">
      <c r="A59" s="2" t="s">
        <v>2814</v>
      </c>
      <c r="B59" s="100" t="s">
        <v>3138</v>
      </c>
      <c r="C59" s="2" t="s">
        <v>2816</v>
      </c>
      <c r="D59" s="100" t="s">
        <v>3140</v>
      </c>
      <c r="E59" s="2" t="s">
        <v>2818</v>
      </c>
      <c r="F59" s="100" t="s">
        <v>2819</v>
      </c>
      <c r="G59" s="107">
        <v>5000000</v>
      </c>
      <c r="H59" s="124" t="s">
        <v>2820</v>
      </c>
      <c r="I59" s="125" t="s">
        <v>3141</v>
      </c>
      <c r="J59" s="345">
        <v>0.4</v>
      </c>
      <c r="K59" s="329" t="s">
        <v>325</v>
      </c>
      <c r="L59" s="165" t="s">
        <v>3142</v>
      </c>
      <c r="M59" s="113">
        <v>43500000</v>
      </c>
      <c r="N59" s="113">
        <v>40431058</v>
      </c>
      <c r="O59" s="271"/>
      <c r="P59" s="276">
        <v>5000000</v>
      </c>
      <c r="Q59" s="107">
        <v>5000000</v>
      </c>
      <c r="R59" s="124" t="s">
        <v>2820</v>
      </c>
      <c r="S59" s="125" t="s">
        <v>3141</v>
      </c>
      <c r="T59" s="346">
        <v>0.1</v>
      </c>
      <c r="U59" s="252">
        <v>0</v>
      </c>
      <c r="V59" s="256" t="s">
        <v>325</v>
      </c>
      <c r="W59" s="165" t="s">
        <v>3142</v>
      </c>
      <c r="X59" s="158" t="e">
        <f>+#REF!</f>
        <v>#REF!</v>
      </c>
      <c r="Y59" s="149" t="e">
        <f>+#REF!</f>
        <v>#REF!</v>
      </c>
      <c r="Z59" s="149"/>
      <c r="AA59" s="151">
        <v>510</v>
      </c>
      <c r="AB59" s="157" t="e">
        <f>+#REF!-#REF!</f>
        <v>#REF!</v>
      </c>
      <c r="AC59" s="184" t="s">
        <v>3348</v>
      </c>
    </row>
    <row r="60" spans="1:29" ht="38.25" x14ac:dyDescent="0.25">
      <c r="A60" s="1243" t="s">
        <v>2814</v>
      </c>
      <c r="B60" s="1245" t="s">
        <v>3138</v>
      </c>
      <c r="C60" s="1243" t="s">
        <v>3030</v>
      </c>
      <c r="D60" s="1245" t="s">
        <v>3259</v>
      </c>
      <c r="E60" s="1243" t="s">
        <v>3032</v>
      </c>
      <c r="F60" s="1245" t="s">
        <v>3340</v>
      </c>
      <c r="G60" s="1262">
        <v>4600000000</v>
      </c>
      <c r="H60" s="1209" t="s">
        <v>3035</v>
      </c>
      <c r="I60" s="1209" t="s">
        <v>3036</v>
      </c>
      <c r="J60" s="337" t="s">
        <v>3454</v>
      </c>
      <c r="K60" s="109" t="s">
        <v>232</v>
      </c>
      <c r="L60" s="154" t="s">
        <v>3297</v>
      </c>
      <c r="M60" s="113">
        <v>4830889623</v>
      </c>
      <c r="N60" s="113">
        <v>113437936</v>
      </c>
      <c r="O60" s="271"/>
      <c r="P60" s="1265">
        <v>3500000000</v>
      </c>
      <c r="Q60" s="1268">
        <v>3500000000</v>
      </c>
      <c r="R60" s="1209" t="s">
        <v>3035</v>
      </c>
      <c r="S60" s="1209" t="s">
        <v>3036</v>
      </c>
      <c r="T60" s="337" t="s">
        <v>3457</v>
      </c>
      <c r="U60" s="106">
        <v>0</v>
      </c>
      <c r="V60" s="2" t="s">
        <v>232</v>
      </c>
      <c r="W60" s="154" t="s">
        <v>3297</v>
      </c>
      <c r="X60" s="158" t="e">
        <f>+#REF!</f>
        <v>#REF!</v>
      </c>
      <c r="Y60" s="149">
        <v>2919730921</v>
      </c>
      <c r="Z60" s="149"/>
      <c r="AA60" s="151">
        <v>111</v>
      </c>
      <c r="AB60" s="157" t="e">
        <f>+#REF!-#REF!</f>
        <v>#REF!</v>
      </c>
      <c r="AC60" s="1283" t="s">
        <v>3359</v>
      </c>
    </row>
    <row r="61" spans="1:29" ht="25.5" x14ac:dyDescent="0.25">
      <c r="A61" s="1244"/>
      <c r="B61" s="1246"/>
      <c r="C61" s="1244"/>
      <c r="D61" s="1246"/>
      <c r="E61" s="1244"/>
      <c r="F61" s="1246"/>
      <c r="G61" s="1277"/>
      <c r="H61" s="1209"/>
      <c r="I61" s="1209"/>
      <c r="J61" s="337" t="s">
        <v>3455</v>
      </c>
      <c r="K61" s="109" t="s">
        <v>230</v>
      </c>
      <c r="L61" s="154" t="s">
        <v>2811</v>
      </c>
      <c r="M61" s="113">
        <v>618650000</v>
      </c>
      <c r="N61" s="113">
        <v>358328172</v>
      </c>
      <c r="O61" s="271"/>
      <c r="P61" s="1278"/>
      <c r="Q61" s="1284"/>
      <c r="R61" s="1209"/>
      <c r="S61" s="1209"/>
      <c r="T61" s="337" t="s">
        <v>3458</v>
      </c>
      <c r="U61" s="126"/>
      <c r="V61" s="2" t="s">
        <v>230</v>
      </c>
      <c r="W61" s="154" t="s">
        <v>2811</v>
      </c>
      <c r="X61" s="158" t="e">
        <f>+#REF!</f>
        <v>#REF!</v>
      </c>
      <c r="Y61" s="149">
        <v>420908963</v>
      </c>
      <c r="Z61" s="149"/>
      <c r="AA61" s="151">
        <v>111</v>
      </c>
      <c r="AB61" s="157" t="e">
        <f>+#REF!-#REF!</f>
        <v>#REF!</v>
      </c>
      <c r="AC61" s="1283"/>
    </row>
    <row r="62" spans="1:29" ht="39" customHeight="1" x14ac:dyDescent="0.25">
      <c r="A62" s="1244"/>
      <c r="B62" s="1246"/>
      <c r="C62" s="1244"/>
      <c r="D62" s="1246"/>
      <c r="E62" s="1244"/>
      <c r="F62" s="1246"/>
      <c r="G62" s="1263"/>
      <c r="H62" s="1203"/>
      <c r="I62" s="1203"/>
      <c r="J62" s="337" t="s">
        <v>3456</v>
      </c>
      <c r="K62" s="247" t="s">
        <v>234</v>
      </c>
      <c r="L62" s="154" t="s">
        <v>3298</v>
      </c>
      <c r="M62" s="113"/>
      <c r="N62" s="113"/>
      <c r="O62" s="271"/>
      <c r="P62" s="1266"/>
      <c r="Q62" s="1269"/>
      <c r="R62" s="1203"/>
      <c r="S62" s="1203"/>
      <c r="T62" s="337" t="s">
        <v>3456</v>
      </c>
      <c r="U62" s="102"/>
      <c r="V62" s="254" t="s">
        <v>234</v>
      </c>
      <c r="W62" s="154" t="s">
        <v>3298</v>
      </c>
      <c r="X62" s="158" t="e">
        <f>+#REF!</f>
        <v>#REF!</v>
      </c>
      <c r="Y62" s="149" t="e">
        <f>+#REF!</f>
        <v>#REF!</v>
      </c>
      <c r="Z62" s="149"/>
      <c r="AA62" s="151">
        <v>111</v>
      </c>
      <c r="AB62" s="157" t="e">
        <f>+#REF!-#REF!</f>
        <v>#REF!</v>
      </c>
      <c r="AC62" s="184" t="s">
        <v>3361</v>
      </c>
    </row>
    <row r="63" spans="1:29" ht="49.5" customHeight="1" x14ac:dyDescent="0.25">
      <c r="A63" s="1209" t="s">
        <v>2814</v>
      </c>
      <c r="B63" s="1209" t="s">
        <v>3138</v>
      </c>
      <c r="C63" s="1209" t="s">
        <v>3030</v>
      </c>
      <c r="D63" s="1209" t="s">
        <v>3259</v>
      </c>
      <c r="E63" s="1209" t="s">
        <v>3032</v>
      </c>
      <c r="F63" s="1209" t="s">
        <v>3188</v>
      </c>
      <c r="G63" s="1214">
        <v>300000000</v>
      </c>
      <c r="H63" s="1209" t="s">
        <v>3042</v>
      </c>
      <c r="I63" s="1209" t="s">
        <v>3226</v>
      </c>
      <c r="J63" s="1209" t="s">
        <v>3459</v>
      </c>
      <c r="K63" s="330" t="s">
        <v>91</v>
      </c>
      <c r="L63" s="174" t="s">
        <v>3192</v>
      </c>
      <c r="M63" s="113">
        <v>67619227</v>
      </c>
      <c r="N63" s="113">
        <v>62537481</v>
      </c>
      <c r="O63" s="249"/>
      <c r="P63" s="1211">
        <v>680000000</v>
      </c>
      <c r="Q63" s="1214">
        <v>680000000</v>
      </c>
      <c r="R63" s="1209" t="s">
        <v>3042</v>
      </c>
      <c r="S63" s="1209" t="s">
        <v>3226</v>
      </c>
      <c r="T63" s="1209" t="s">
        <v>3460</v>
      </c>
      <c r="U63" s="4"/>
      <c r="V63" s="249" t="s">
        <v>91</v>
      </c>
      <c r="W63" s="174" t="s">
        <v>3192</v>
      </c>
      <c r="X63" s="158" t="e">
        <f>+#REF!</f>
        <v>#REF!</v>
      </c>
      <c r="Y63" s="149">
        <v>0</v>
      </c>
      <c r="Z63" s="149"/>
      <c r="AA63" s="151">
        <v>211</v>
      </c>
      <c r="AB63" s="157" t="e">
        <f>+#REF!-#REF!</f>
        <v>#REF!</v>
      </c>
      <c r="AC63" s="1205" t="s">
        <v>3360</v>
      </c>
    </row>
    <row r="64" spans="1:29" ht="49.5" customHeight="1" x14ac:dyDescent="0.25">
      <c r="A64" s="1209"/>
      <c r="B64" s="1209"/>
      <c r="C64" s="1209"/>
      <c r="D64" s="1209"/>
      <c r="E64" s="1209"/>
      <c r="F64" s="1209"/>
      <c r="G64" s="1214"/>
      <c r="H64" s="1209"/>
      <c r="I64" s="1209"/>
      <c r="J64" s="1209"/>
      <c r="K64" s="330" t="s">
        <v>93</v>
      </c>
      <c r="L64" s="174" t="s">
        <v>3189</v>
      </c>
      <c r="M64" s="113">
        <v>2057660</v>
      </c>
      <c r="N64" s="113">
        <v>1922700</v>
      </c>
      <c r="O64" s="249"/>
      <c r="P64" s="1212"/>
      <c r="Q64" s="1214"/>
      <c r="R64" s="1209"/>
      <c r="S64" s="1209"/>
      <c r="T64" s="1209"/>
      <c r="U64" s="127">
        <v>0</v>
      </c>
      <c r="V64" s="249" t="s">
        <v>93</v>
      </c>
      <c r="W64" s="174" t="s">
        <v>3189</v>
      </c>
      <c r="X64" s="158" t="e">
        <f>+#REF!</f>
        <v>#REF!</v>
      </c>
      <c r="Y64" s="149">
        <v>0</v>
      </c>
      <c r="Z64" s="149"/>
      <c r="AA64" s="151">
        <v>211</v>
      </c>
      <c r="AB64" s="157" t="e">
        <f>+#REF!-#REF!</f>
        <v>#REF!</v>
      </c>
      <c r="AC64" s="1199"/>
    </row>
    <row r="65" spans="1:29" ht="48.75" customHeight="1" x14ac:dyDescent="0.25">
      <c r="A65" s="1209"/>
      <c r="B65" s="1209"/>
      <c r="C65" s="1209"/>
      <c r="D65" s="1209"/>
      <c r="E65" s="1209"/>
      <c r="F65" s="1209"/>
      <c r="G65" s="1214"/>
      <c r="H65" s="1209"/>
      <c r="I65" s="1209"/>
      <c r="J65" s="1209"/>
      <c r="K65" s="330" t="s">
        <v>97</v>
      </c>
      <c r="L65" s="174" t="s">
        <v>3190</v>
      </c>
      <c r="M65" s="113">
        <v>27384250</v>
      </c>
      <c r="N65" s="113">
        <v>14840001</v>
      </c>
      <c r="O65" s="249"/>
      <c r="P65" s="1212"/>
      <c r="Q65" s="1214"/>
      <c r="R65" s="1209"/>
      <c r="S65" s="1209"/>
      <c r="T65" s="1209"/>
      <c r="U65" s="128"/>
      <c r="V65" s="249" t="s">
        <v>97</v>
      </c>
      <c r="W65" s="174" t="s">
        <v>3190</v>
      </c>
      <c r="X65" s="158" t="e">
        <f>+#REF!</f>
        <v>#REF!</v>
      </c>
      <c r="Y65" s="149">
        <v>0</v>
      </c>
      <c r="Z65" s="149"/>
      <c r="AA65" s="151">
        <v>211</v>
      </c>
      <c r="AB65" s="157" t="e">
        <f>+#REF!-#REF!</f>
        <v>#REF!</v>
      </c>
      <c r="AC65" s="1206"/>
    </row>
    <row r="66" spans="1:29" ht="50.25" customHeight="1" x14ac:dyDescent="0.25">
      <c r="A66" s="1209"/>
      <c r="B66" s="1209"/>
      <c r="C66" s="1209"/>
      <c r="D66" s="1209"/>
      <c r="E66" s="1209"/>
      <c r="F66" s="1209"/>
      <c r="G66" s="1214"/>
      <c r="H66" s="1209"/>
      <c r="I66" s="1209"/>
      <c r="J66" s="1209"/>
      <c r="K66" s="330" t="s">
        <v>95</v>
      </c>
      <c r="L66" s="174" t="s">
        <v>3191</v>
      </c>
      <c r="M66" s="113">
        <v>758380774</v>
      </c>
      <c r="N66" s="113">
        <v>526508834</v>
      </c>
      <c r="O66" s="249"/>
      <c r="P66" s="1213"/>
      <c r="Q66" s="1214"/>
      <c r="R66" s="1209"/>
      <c r="S66" s="1209"/>
      <c r="T66" s="1209"/>
      <c r="U66" s="128"/>
      <c r="V66" s="249" t="s">
        <v>95</v>
      </c>
      <c r="W66" s="174" t="s">
        <v>3191</v>
      </c>
      <c r="X66" s="158" t="e">
        <f>+#REF!</f>
        <v>#REF!</v>
      </c>
      <c r="Y66" s="149">
        <v>7254712</v>
      </c>
      <c r="Z66" s="149"/>
      <c r="AA66" s="151">
        <v>211</v>
      </c>
      <c r="AB66" s="157" t="e">
        <f>+#REF!-#REF!</f>
        <v>#REF!</v>
      </c>
      <c r="AC66" s="184" t="s">
        <v>3361</v>
      </c>
    </row>
    <row r="67" spans="1:29" ht="25.5" customHeight="1" x14ac:dyDescent="0.25">
      <c r="A67" s="1209" t="s">
        <v>2814</v>
      </c>
      <c r="B67" s="1209" t="s">
        <v>3138</v>
      </c>
      <c r="C67" s="1209" t="s">
        <v>3030</v>
      </c>
      <c r="D67" s="1209" t="s">
        <v>3259</v>
      </c>
      <c r="E67" s="1209" t="s">
        <v>3032</v>
      </c>
      <c r="F67" s="1209" t="s">
        <v>3193</v>
      </c>
      <c r="G67" s="1214">
        <v>2300000000</v>
      </c>
      <c r="H67" s="1209" t="s">
        <v>3052</v>
      </c>
      <c r="I67" s="1209" t="s">
        <v>3227</v>
      </c>
      <c r="J67" s="1203" t="s">
        <v>3461</v>
      </c>
      <c r="K67" s="2" t="s">
        <v>299</v>
      </c>
      <c r="L67" s="154" t="s">
        <v>300</v>
      </c>
      <c r="M67" s="113"/>
      <c r="N67" s="113"/>
      <c r="O67" s="271"/>
      <c r="P67" s="1214">
        <v>2650000000</v>
      </c>
      <c r="Q67" s="351">
        <v>2750000000</v>
      </c>
      <c r="R67" s="1209" t="s">
        <v>3052</v>
      </c>
      <c r="S67" s="1209" t="s">
        <v>3227</v>
      </c>
      <c r="T67" s="1203" t="s">
        <v>3462</v>
      </c>
      <c r="U67" s="106">
        <v>0</v>
      </c>
      <c r="V67" s="2" t="s">
        <v>299</v>
      </c>
      <c r="W67" s="154" t="s">
        <v>300</v>
      </c>
      <c r="X67" s="158" t="e">
        <f>+#REF!</f>
        <v>#REF!</v>
      </c>
      <c r="Y67" s="149">
        <v>0</v>
      </c>
      <c r="Z67" s="149"/>
      <c r="AA67" s="151">
        <v>211</v>
      </c>
      <c r="AB67" s="157" t="e">
        <f>+#REF!-#REF!</f>
        <v>#REF!</v>
      </c>
      <c r="AC67" s="184" t="s">
        <v>3362</v>
      </c>
    </row>
    <row r="68" spans="1:29" ht="25.5" x14ac:dyDescent="0.25">
      <c r="A68" s="1209"/>
      <c r="B68" s="1209"/>
      <c r="C68" s="1209"/>
      <c r="D68" s="1209"/>
      <c r="E68" s="1209"/>
      <c r="F68" s="1209"/>
      <c r="G68" s="1214"/>
      <c r="H68" s="1209"/>
      <c r="I68" s="1209"/>
      <c r="J68" s="1204"/>
      <c r="K68" s="2"/>
      <c r="L68" s="154" t="s">
        <v>3452</v>
      </c>
      <c r="M68" s="113">
        <v>73635000</v>
      </c>
      <c r="N68" s="113">
        <v>11985910</v>
      </c>
      <c r="O68" s="337"/>
      <c r="P68" s="1214"/>
      <c r="Q68" s="352"/>
      <c r="R68" s="1209"/>
      <c r="S68" s="1209"/>
      <c r="T68" s="1204"/>
      <c r="U68" s="340"/>
      <c r="V68" s="2"/>
      <c r="W68" s="154"/>
      <c r="X68" s="158"/>
      <c r="Y68" s="149"/>
      <c r="Z68" s="149"/>
      <c r="AA68" s="151"/>
      <c r="AB68" s="157"/>
      <c r="AC68" s="184"/>
    </row>
    <row r="69" spans="1:29" ht="39.75" customHeight="1" x14ac:dyDescent="0.25">
      <c r="A69" s="1209"/>
      <c r="B69" s="1209"/>
      <c r="C69" s="1209"/>
      <c r="D69" s="1209"/>
      <c r="E69" s="1209"/>
      <c r="F69" s="1209"/>
      <c r="G69" s="1214"/>
      <c r="H69" s="1209"/>
      <c r="I69" s="1209"/>
      <c r="J69" s="1204"/>
      <c r="K69" s="2" t="s">
        <v>277</v>
      </c>
      <c r="L69" s="154" t="s">
        <v>3251</v>
      </c>
      <c r="M69" s="113"/>
      <c r="N69" s="113"/>
      <c r="O69" s="271"/>
      <c r="P69" s="1214"/>
      <c r="Q69" s="352"/>
      <c r="R69" s="1209"/>
      <c r="S69" s="1209"/>
      <c r="T69" s="1204"/>
      <c r="U69" s="126"/>
      <c r="V69" s="2" t="s">
        <v>277</v>
      </c>
      <c r="W69" s="154" t="s">
        <v>3251</v>
      </c>
      <c r="X69" s="158" t="e">
        <f>+#REF!</f>
        <v>#REF!</v>
      </c>
      <c r="Y69" s="149">
        <v>8293965</v>
      </c>
      <c r="Z69" s="149"/>
      <c r="AA69" s="151">
        <v>211</v>
      </c>
      <c r="AB69" s="157" t="e">
        <f>+#REF!-#REF!</f>
        <v>#REF!</v>
      </c>
      <c r="AC69" s="184" t="s">
        <v>3362</v>
      </c>
    </row>
    <row r="70" spans="1:29" ht="42" customHeight="1" x14ac:dyDescent="0.25">
      <c r="A70" s="1209"/>
      <c r="B70" s="1209"/>
      <c r="C70" s="1209"/>
      <c r="D70" s="1209"/>
      <c r="E70" s="1209"/>
      <c r="F70" s="1209"/>
      <c r="G70" s="1214"/>
      <c r="H70" s="1209"/>
      <c r="I70" s="1209"/>
      <c r="J70" s="1204"/>
      <c r="K70" s="2" t="s">
        <v>180</v>
      </c>
      <c r="L70" s="154" t="s">
        <v>3247</v>
      </c>
      <c r="M70" s="113"/>
      <c r="N70" s="113"/>
      <c r="O70" s="271"/>
      <c r="P70" s="1214"/>
      <c r="Q70" s="352"/>
      <c r="R70" s="1209"/>
      <c r="S70" s="1209"/>
      <c r="T70" s="1204"/>
      <c r="U70" s="126"/>
      <c r="V70" s="2" t="s">
        <v>180</v>
      </c>
      <c r="W70" s="154" t="s">
        <v>3247</v>
      </c>
      <c r="X70" s="158" t="e">
        <f>+#REF!</f>
        <v>#REF!</v>
      </c>
      <c r="Y70" s="149">
        <v>0</v>
      </c>
      <c r="Z70" s="149"/>
      <c r="AA70" s="151">
        <v>211</v>
      </c>
      <c r="AB70" s="157" t="e">
        <f>+#REF!-#REF!</f>
        <v>#REF!</v>
      </c>
      <c r="AC70" s="184" t="s">
        <v>3362</v>
      </c>
    </row>
    <row r="71" spans="1:29" ht="25.5" x14ac:dyDescent="0.25">
      <c r="A71" s="1209"/>
      <c r="B71" s="1209"/>
      <c r="C71" s="1209"/>
      <c r="D71" s="1209"/>
      <c r="E71" s="1209"/>
      <c r="F71" s="1209"/>
      <c r="G71" s="1214"/>
      <c r="H71" s="1209"/>
      <c r="I71" s="1209"/>
      <c r="J71" s="1204"/>
      <c r="K71" s="2"/>
      <c r="L71" s="154" t="s">
        <v>3453</v>
      </c>
      <c r="M71" s="113">
        <v>25000000</v>
      </c>
      <c r="N71" s="113">
        <v>20100400</v>
      </c>
      <c r="O71" s="337"/>
      <c r="P71" s="1214"/>
      <c r="Q71" s="352"/>
      <c r="R71" s="1209"/>
      <c r="S71" s="1209"/>
      <c r="T71" s="1204"/>
      <c r="U71" s="340"/>
      <c r="V71" s="2"/>
      <c r="W71" s="154"/>
      <c r="X71" s="158"/>
      <c r="Y71" s="149"/>
      <c r="Z71" s="149"/>
      <c r="AA71" s="151"/>
      <c r="AB71" s="157"/>
      <c r="AC71" s="184"/>
    </row>
    <row r="72" spans="1:29" ht="40.5" customHeight="1" x14ac:dyDescent="0.25">
      <c r="A72" s="1209"/>
      <c r="B72" s="1209"/>
      <c r="C72" s="1209"/>
      <c r="D72" s="1209"/>
      <c r="E72" s="1209"/>
      <c r="F72" s="1209"/>
      <c r="G72" s="1214"/>
      <c r="H72" s="1209"/>
      <c r="I72" s="1209"/>
      <c r="J72" s="1204"/>
      <c r="K72" s="2" t="s">
        <v>284</v>
      </c>
      <c r="L72" s="154" t="s">
        <v>3255</v>
      </c>
      <c r="M72" s="113"/>
      <c r="N72" s="113"/>
      <c r="O72" s="271"/>
      <c r="P72" s="1214"/>
      <c r="Q72" s="352"/>
      <c r="R72" s="1209"/>
      <c r="S72" s="1209"/>
      <c r="T72" s="1204"/>
      <c r="U72" s="126"/>
      <c r="V72" s="2" t="s">
        <v>284</v>
      </c>
      <c r="W72" s="154" t="s">
        <v>3255</v>
      </c>
      <c r="X72" s="158" t="e">
        <f>+#REF!</f>
        <v>#REF!</v>
      </c>
      <c r="Y72" s="149">
        <v>0</v>
      </c>
      <c r="Z72" s="149"/>
      <c r="AA72" s="151">
        <v>211</v>
      </c>
      <c r="AB72" s="157" t="e">
        <f>+#REF!-#REF!</f>
        <v>#REF!</v>
      </c>
      <c r="AC72" s="184" t="s">
        <v>3363</v>
      </c>
    </row>
    <row r="73" spans="1:29" ht="41.25" customHeight="1" x14ac:dyDescent="0.25">
      <c r="A73" s="1209"/>
      <c r="B73" s="1209"/>
      <c r="C73" s="1209"/>
      <c r="D73" s="1209"/>
      <c r="E73" s="1209"/>
      <c r="F73" s="1209"/>
      <c r="G73" s="1214"/>
      <c r="H73" s="1209"/>
      <c r="I73" s="1209"/>
      <c r="J73" s="1204"/>
      <c r="K73" s="2" t="s">
        <v>289</v>
      </c>
      <c r="L73" s="154" t="s">
        <v>3246</v>
      </c>
      <c r="M73" s="113">
        <v>174000000</v>
      </c>
      <c r="N73" s="113">
        <v>173638600</v>
      </c>
      <c r="O73" s="271"/>
      <c r="P73" s="1214"/>
      <c r="Q73" s="352"/>
      <c r="R73" s="1209"/>
      <c r="S73" s="1209"/>
      <c r="T73" s="1204"/>
      <c r="U73" s="126"/>
      <c r="V73" s="2" t="s">
        <v>289</v>
      </c>
      <c r="W73" s="154" t="s">
        <v>3246</v>
      </c>
      <c r="X73" s="158" t="e">
        <f>+#REF!</f>
        <v>#REF!</v>
      </c>
      <c r="Y73" s="149">
        <v>0</v>
      </c>
      <c r="Z73" s="149"/>
      <c r="AA73" s="151">
        <v>211</v>
      </c>
      <c r="AB73" s="157" t="e">
        <f>+#REF!-#REF!</f>
        <v>#REF!</v>
      </c>
      <c r="AC73" s="184" t="s">
        <v>3363</v>
      </c>
    </row>
    <row r="74" spans="1:29" ht="37.5" customHeight="1" x14ac:dyDescent="0.25">
      <c r="A74" s="1209"/>
      <c r="B74" s="1209"/>
      <c r="C74" s="1209"/>
      <c r="D74" s="1209"/>
      <c r="E74" s="1209"/>
      <c r="F74" s="1209"/>
      <c r="G74" s="1214"/>
      <c r="H74" s="1209"/>
      <c r="I74" s="1209"/>
      <c r="J74" s="1204"/>
      <c r="K74" s="2" t="s">
        <v>294</v>
      </c>
      <c r="L74" s="154" t="s">
        <v>3254</v>
      </c>
      <c r="M74" s="113"/>
      <c r="N74" s="113"/>
      <c r="O74" s="271"/>
      <c r="P74" s="1214"/>
      <c r="Q74" s="352"/>
      <c r="R74" s="1209"/>
      <c r="S74" s="1209"/>
      <c r="T74" s="1204"/>
      <c r="U74" s="126"/>
      <c r="V74" s="2" t="s">
        <v>294</v>
      </c>
      <c r="W74" s="154" t="s">
        <v>3254</v>
      </c>
      <c r="X74" s="158" t="e">
        <f>+#REF!</f>
        <v>#REF!</v>
      </c>
      <c r="Y74" s="149">
        <v>0</v>
      </c>
      <c r="Z74" s="149"/>
      <c r="AA74" s="151">
        <v>211</v>
      </c>
      <c r="AB74" s="157" t="e">
        <f>+#REF!-#REF!</f>
        <v>#REF!</v>
      </c>
      <c r="AC74" s="184" t="s">
        <v>3363</v>
      </c>
    </row>
    <row r="75" spans="1:29" ht="67.5" customHeight="1" x14ac:dyDescent="0.25">
      <c r="A75" s="1209"/>
      <c r="B75" s="1209"/>
      <c r="C75" s="1209"/>
      <c r="D75" s="1209"/>
      <c r="E75" s="1209"/>
      <c r="F75" s="1209"/>
      <c r="G75" s="1214"/>
      <c r="H75" s="1209"/>
      <c r="I75" s="1209"/>
      <c r="J75" s="1204"/>
      <c r="K75" s="2" t="s">
        <v>308</v>
      </c>
      <c r="L75" s="154" t="s">
        <v>3242</v>
      </c>
      <c r="M75" s="113"/>
      <c r="N75" s="113"/>
      <c r="O75" s="271"/>
      <c r="P75" s="1214"/>
      <c r="Q75" s="352"/>
      <c r="R75" s="1209"/>
      <c r="S75" s="1209"/>
      <c r="T75" s="1204"/>
      <c r="U75" s="102"/>
      <c r="V75" s="2" t="s">
        <v>308</v>
      </c>
      <c r="W75" s="154" t="s">
        <v>3242</v>
      </c>
      <c r="X75" s="158" t="e">
        <f>+#REF!</f>
        <v>#REF!</v>
      </c>
      <c r="Y75" s="149">
        <v>0</v>
      </c>
      <c r="Z75" s="149"/>
      <c r="AA75" s="151">
        <v>211</v>
      </c>
      <c r="AB75" s="157" t="e">
        <f>+#REF!-#REF!</f>
        <v>#REF!</v>
      </c>
      <c r="AC75" s="184" t="s">
        <v>3363</v>
      </c>
    </row>
    <row r="76" spans="1:29" ht="39" customHeight="1" x14ac:dyDescent="0.25">
      <c r="A76" s="1209"/>
      <c r="B76" s="1209"/>
      <c r="C76" s="1209"/>
      <c r="D76" s="1209"/>
      <c r="E76" s="1209"/>
      <c r="F76" s="1209"/>
      <c r="G76" s="1214"/>
      <c r="H76" s="1209"/>
      <c r="I76" s="1209"/>
      <c r="J76" s="1204"/>
      <c r="K76" s="2" t="s">
        <v>188</v>
      </c>
      <c r="L76" s="154" t="s">
        <v>3244</v>
      </c>
      <c r="M76" s="113"/>
      <c r="N76" s="113"/>
      <c r="O76" s="271"/>
      <c r="P76" s="1214"/>
      <c r="Q76" s="352"/>
      <c r="R76" s="1209"/>
      <c r="S76" s="1209"/>
      <c r="T76" s="1204"/>
      <c r="U76" s="102"/>
      <c r="V76" s="2" t="s">
        <v>188</v>
      </c>
      <c r="W76" s="154" t="s">
        <v>3244</v>
      </c>
      <c r="X76" s="158" t="e">
        <f>+#REF!</f>
        <v>#REF!</v>
      </c>
      <c r="Y76" s="149">
        <v>0</v>
      </c>
      <c r="Z76" s="149"/>
      <c r="AA76" s="151">
        <v>211</v>
      </c>
      <c r="AB76" s="157" t="e">
        <f>+#REF!-#REF!</f>
        <v>#REF!</v>
      </c>
      <c r="AC76" s="184" t="s">
        <v>3363</v>
      </c>
    </row>
    <row r="77" spans="1:29" ht="66" customHeight="1" x14ac:dyDescent="0.25">
      <c r="A77" s="1209"/>
      <c r="B77" s="1209"/>
      <c r="C77" s="1209"/>
      <c r="D77" s="1209"/>
      <c r="E77" s="1209"/>
      <c r="F77" s="1209"/>
      <c r="G77" s="1214"/>
      <c r="H77" s="1209"/>
      <c r="I77" s="1209"/>
      <c r="J77" s="1204"/>
      <c r="K77" s="2" t="s">
        <v>154</v>
      </c>
      <c r="L77" s="154" t="s">
        <v>155</v>
      </c>
      <c r="M77" s="113"/>
      <c r="N77" s="113"/>
      <c r="O77" s="271"/>
      <c r="P77" s="1214"/>
      <c r="Q77" s="352"/>
      <c r="R77" s="1209"/>
      <c r="S77" s="1209"/>
      <c r="T77" s="1204"/>
      <c r="U77" s="102"/>
      <c r="V77" s="2" t="s">
        <v>154</v>
      </c>
      <c r="W77" s="154" t="s">
        <v>155</v>
      </c>
      <c r="X77" s="158" t="e">
        <f>+#REF!</f>
        <v>#REF!</v>
      </c>
      <c r="Y77" s="149">
        <v>0</v>
      </c>
      <c r="Z77" s="149"/>
      <c r="AA77" s="151">
        <v>211</v>
      </c>
      <c r="AB77" s="157" t="e">
        <f>+#REF!-#REF!</f>
        <v>#REF!</v>
      </c>
      <c r="AC77" s="184" t="s">
        <v>3366</v>
      </c>
    </row>
    <row r="78" spans="1:29" ht="30.75" customHeight="1" x14ac:dyDescent="0.25">
      <c r="A78" s="1209"/>
      <c r="B78" s="1209"/>
      <c r="C78" s="1209"/>
      <c r="D78" s="1209"/>
      <c r="E78" s="1209"/>
      <c r="F78" s="1209"/>
      <c r="G78" s="1214"/>
      <c r="H78" s="1209"/>
      <c r="I78" s="1209"/>
      <c r="J78" s="1204"/>
      <c r="K78" s="2" t="s">
        <v>146</v>
      </c>
      <c r="L78" s="154" t="s">
        <v>3252</v>
      </c>
      <c r="M78" s="113"/>
      <c r="N78" s="113"/>
      <c r="O78" s="271"/>
      <c r="P78" s="1214"/>
      <c r="Q78" s="352"/>
      <c r="R78" s="1209"/>
      <c r="S78" s="1209"/>
      <c r="T78" s="1204"/>
      <c r="U78" s="102"/>
      <c r="V78" s="2" t="s">
        <v>146</v>
      </c>
      <c r="W78" s="154" t="s">
        <v>3252</v>
      </c>
      <c r="X78" s="158" t="e">
        <f>+#REF!</f>
        <v>#REF!</v>
      </c>
      <c r="Y78" s="149">
        <v>0</v>
      </c>
      <c r="Z78" s="149"/>
      <c r="AA78" s="151">
        <v>211</v>
      </c>
      <c r="AB78" s="157" t="e">
        <f>+#REF!-#REF!</f>
        <v>#REF!</v>
      </c>
      <c r="AC78" s="184" t="s">
        <v>3364</v>
      </c>
    </row>
    <row r="79" spans="1:29" ht="31.5" customHeight="1" x14ac:dyDescent="0.25">
      <c r="A79" s="1209"/>
      <c r="B79" s="1209"/>
      <c r="C79" s="1209"/>
      <c r="D79" s="1209"/>
      <c r="E79" s="1209"/>
      <c r="F79" s="1209"/>
      <c r="G79" s="1214"/>
      <c r="H79" s="1209"/>
      <c r="I79" s="1209"/>
      <c r="J79" s="1204"/>
      <c r="K79" s="2" t="s">
        <v>144</v>
      </c>
      <c r="L79" s="154" t="s">
        <v>3256</v>
      </c>
      <c r="M79" s="113"/>
      <c r="N79" s="113"/>
      <c r="O79" s="271"/>
      <c r="P79" s="1214"/>
      <c r="Q79" s="352"/>
      <c r="R79" s="1209"/>
      <c r="S79" s="1209"/>
      <c r="T79" s="1204"/>
      <c r="U79" s="102"/>
      <c r="V79" s="2" t="s">
        <v>144</v>
      </c>
      <c r="W79" s="154" t="s">
        <v>3256</v>
      </c>
      <c r="X79" s="158" t="e">
        <f>+#REF!</f>
        <v>#REF!</v>
      </c>
      <c r="Y79" s="149">
        <v>0</v>
      </c>
      <c r="Z79" s="149"/>
      <c r="AA79" s="151">
        <v>211</v>
      </c>
      <c r="AB79" s="157" t="e">
        <f>+#REF!-#REF!</f>
        <v>#REF!</v>
      </c>
      <c r="AC79" s="184" t="s">
        <v>3364</v>
      </c>
    </row>
    <row r="80" spans="1:29" ht="32.25" customHeight="1" x14ac:dyDescent="0.25">
      <c r="A80" s="1209"/>
      <c r="B80" s="1209"/>
      <c r="C80" s="1209"/>
      <c r="D80" s="1209"/>
      <c r="E80" s="1209"/>
      <c r="F80" s="1209"/>
      <c r="G80" s="1214"/>
      <c r="H80" s="1209"/>
      <c r="I80" s="1209"/>
      <c r="J80" s="1204"/>
      <c r="K80" s="2" t="s">
        <v>142</v>
      </c>
      <c r="L80" s="154" t="s">
        <v>3245</v>
      </c>
      <c r="M80" s="113"/>
      <c r="N80" s="113"/>
      <c r="O80" s="271"/>
      <c r="P80" s="1214"/>
      <c r="Q80" s="352"/>
      <c r="R80" s="1209"/>
      <c r="S80" s="1209"/>
      <c r="T80" s="1204"/>
      <c r="U80" s="102"/>
      <c r="V80" s="2" t="s">
        <v>142</v>
      </c>
      <c r="W80" s="154" t="s">
        <v>3245</v>
      </c>
      <c r="X80" s="158" t="e">
        <f>+#REF!</f>
        <v>#REF!</v>
      </c>
      <c r="Y80" s="149">
        <v>0</v>
      </c>
      <c r="Z80" s="149"/>
      <c r="AA80" s="151">
        <v>211</v>
      </c>
      <c r="AB80" s="157" t="e">
        <f>+#REF!-#REF!</f>
        <v>#REF!</v>
      </c>
      <c r="AC80" s="184" t="s">
        <v>3364</v>
      </c>
    </row>
    <row r="81" spans="1:29" ht="27.75" customHeight="1" x14ac:dyDescent="0.25">
      <c r="A81" s="1209"/>
      <c r="B81" s="1209"/>
      <c r="C81" s="1209"/>
      <c r="D81" s="1209"/>
      <c r="E81" s="1209"/>
      <c r="F81" s="1209"/>
      <c r="G81" s="1214"/>
      <c r="H81" s="1209"/>
      <c r="I81" s="1209"/>
      <c r="J81" s="1204"/>
      <c r="K81" s="2" t="s">
        <v>250</v>
      </c>
      <c r="L81" s="154" t="s">
        <v>251</v>
      </c>
      <c r="M81" s="113"/>
      <c r="N81" s="113"/>
      <c r="O81" s="271"/>
      <c r="P81" s="1214"/>
      <c r="Q81" s="352"/>
      <c r="R81" s="1209"/>
      <c r="S81" s="1209"/>
      <c r="T81" s="1204"/>
      <c r="U81" s="102"/>
      <c r="V81" s="2" t="s">
        <v>250</v>
      </c>
      <c r="W81" s="154" t="s">
        <v>251</v>
      </c>
      <c r="X81" s="158" t="e">
        <f>+#REF!</f>
        <v>#REF!</v>
      </c>
      <c r="Y81" s="149">
        <v>0</v>
      </c>
      <c r="Z81" s="149"/>
      <c r="AA81" s="151">
        <v>211</v>
      </c>
      <c r="AB81" s="157" t="e">
        <f>+#REF!-#REF!</f>
        <v>#REF!</v>
      </c>
      <c r="AC81" s="184" t="s">
        <v>3364</v>
      </c>
    </row>
    <row r="82" spans="1:29" ht="28.5" customHeight="1" x14ac:dyDescent="0.25">
      <c r="A82" s="1209"/>
      <c r="B82" s="1209"/>
      <c r="C82" s="1209"/>
      <c r="D82" s="1209"/>
      <c r="E82" s="1209"/>
      <c r="F82" s="1209"/>
      <c r="G82" s="1214"/>
      <c r="H82" s="1209"/>
      <c r="I82" s="1209"/>
      <c r="J82" s="1204"/>
      <c r="K82" s="2" t="s">
        <v>164</v>
      </c>
      <c r="L82" s="154" t="s">
        <v>165</v>
      </c>
      <c r="M82" s="113"/>
      <c r="N82" s="113"/>
      <c r="O82" s="271"/>
      <c r="P82" s="1214"/>
      <c r="Q82" s="352"/>
      <c r="R82" s="1209"/>
      <c r="S82" s="1209"/>
      <c r="T82" s="1204"/>
      <c r="U82" s="102"/>
      <c r="V82" s="2" t="s">
        <v>164</v>
      </c>
      <c r="W82" s="154" t="s">
        <v>165</v>
      </c>
      <c r="X82" s="158" t="e">
        <f>+#REF!</f>
        <v>#REF!</v>
      </c>
      <c r="Y82" s="149">
        <v>0</v>
      </c>
      <c r="Z82" s="149"/>
      <c r="AA82" s="151">
        <v>211</v>
      </c>
      <c r="AB82" s="157" t="e">
        <f>+#REF!-#REF!</f>
        <v>#REF!</v>
      </c>
      <c r="AC82" s="184" t="s">
        <v>3368</v>
      </c>
    </row>
    <row r="83" spans="1:29" ht="58.5" customHeight="1" x14ac:dyDescent="0.25">
      <c r="A83" s="1209"/>
      <c r="B83" s="1209"/>
      <c r="C83" s="1209"/>
      <c r="D83" s="1209"/>
      <c r="E83" s="1209"/>
      <c r="F83" s="1209"/>
      <c r="G83" s="1214"/>
      <c r="H83" s="1209"/>
      <c r="I83" s="1209"/>
      <c r="J83" s="1204"/>
      <c r="K83" s="2" t="s">
        <v>172</v>
      </c>
      <c r="L83" s="154" t="s">
        <v>3249</v>
      </c>
      <c r="M83" s="113"/>
      <c r="N83" s="113"/>
      <c r="O83" s="271"/>
      <c r="P83" s="1214"/>
      <c r="Q83" s="352"/>
      <c r="R83" s="1209"/>
      <c r="S83" s="1209"/>
      <c r="T83" s="1204"/>
      <c r="U83" s="102"/>
      <c r="V83" s="2" t="s">
        <v>172</v>
      </c>
      <c r="W83" s="154" t="s">
        <v>3249</v>
      </c>
      <c r="X83" s="158" t="e">
        <f>+#REF!</f>
        <v>#REF!</v>
      </c>
      <c r="Y83" s="149">
        <v>0</v>
      </c>
      <c r="Z83" s="149"/>
      <c r="AA83" s="151">
        <v>211</v>
      </c>
      <c r="AB83" s="157" t="e">
        <f>+#REF!-#REF!</f>
        <v>#REF!</v>
      </c>
      <c r="AC83" s="184" t="s">
        <v>3367</v>
      </c>
    </row>
    <row r="84" spans="1:29" ht="37.5" customHeight="1" x14ac:dyDescent="0.25">
      <c r="A84" s="1209"/>
      <c r="B84" s="1209"/>
      <c r="C84" s="1209"/>
      <c r="D84" s="1209"/>
      <c r="E84" s="1209"/>
      <c r="F84" s="1209"/>
      <c r="G84" s="1214"/>
      <c r="H84" s="1209"/>
      <c r="I84" s="1209"/>
      <c r="J84" s="1204"/>
      <c r="K84" s="2" t="s">
        <v>73</v>
      </c>
      <c r="L84" s="154" t="s">
        <v>74</v>
      </c>
      <c r="M84" s="113">
        <v>15000000</v>
      </c>
      <c r="N84" s="113">
        <v>15000000</v>
      </c>
      <c r="O84" s="271"/>
      <c r="P84" s="1214"/>
      <c r="Q84" s="352"/>
      <c r="R84" s="1209"/>
      <c r="S84" s="1209"/>
      <c r="T84" s="1204"/>
      <c r="U84" s="102"/>
      <c r="V84" s="2" t="s">
        <v>73</v>
      </c>
      <c r="W84" s="154" t="s">
        <v>74</v>
      </c>
      <c r="X84" s="158" t="e">
        <f>+#REF!</f>
        <v>#REF!</v>
      </c>
      <c r="Y84" s="149">
        <v>0</v>
      </c>
      <c r="Z84" s="149"/>
      <c r="AA84" s="151">
        <v>211</v>
      </c>
      <c r="AB84" s="157" t="e">
        <f>+#REF!-#REF!</f>
        <v>#REF!</v>
      </c>
      <c r="AC84" s="184" t="s">
        <v>3365</v>
      </c>
    </row>
    <row r="85" spans="1:29" ht="37.5" customHeight="1" x14ac:dyDescent="0.25">
      <c r="A85" s="1209"/>
      <c r="B85" s="1209"/>
      <c r="C85" s="1209"/>
      <c r="D85" s="1209"/>
      <c r="E85" s="1209"/>
      <c r="F85" s="1209"/>
      <c r="G85" s="1214"/>
      <c r="H85" s="1209"/>
      <c r="I85" s="1209"/>
      <c r="J85" s="1204"/>
      <c r="K85" s="2" t="s">
        <v>206</v>
      </c>
      <c r="L85" s="154" t="s">
        <v>3250</v>
      </c>
      <c r="M85" s="113"/>
      <c r="N85" s="113"/>
      <c r="O85" s="271"/>
      <c r="P85" s="1214"/>
      <c r="Q85" s="352"/>
      <c r="R85" s="1209"/>
      <c r="S85" s="1209"/>
      <c r="T85" s="1204"/>
      <c r="U85" s="102"/>
      <c r="V85" s="2" t="s">
        <v>206</v>
      </c>
      <c r="W85" s="154" t="s">
        <v>3250</v>
      </c>
      <c r="X85" s="158" t="e">
        <f>+#REF!</f>
        <v>#REF!</v>
      </c>
      <c r="Y85" s="149">
        <v>0</v>
      </c>
      <c r="Z85" s="149"/>
      <c r="AA85" s="151">
        <v>211</v>
      </c>
      <c r="AB85" s="157" t="e">
        <f>+#REF!-#REF!</f>
        <v>#REF!</v>
      </c>
      <c r="AC85" s="184" t="s">
        <v>3365</v>
      </c>
    </row>
    <row r="86" spans="1:29" ht="51" customHeight="1" x14ac:dyDescent="0.25">
      <c r="A86" s="1209"/>
      <c r="B86" s="1209"/>
      <c r="C86" s="1209"/>
      <c r="D86" s="1209"/>
      <c r="E86" s="1209"/>
      <c r="F86" s="1209"/>
      <c r="G86" s="1214"/>
      <c r="H86" s="1209"/>
      <c r="I86" s="1209"/>
      <c r="J86" s="1204"/>
      <c r="K86" s="2" t="s">
        <v>208</v>
      </c>
      <c r="L86" s="154" t="s">
        <v>3243</v>
      </c>
      <c r="M86" s="113"/>
      <c r="N86" s="113"/>
      <c r="O86" s="271"/>
      <c r="P86" s="1214"/>
      <c r="Q86" s="352"/>
      <c r="R86" s="1209"/>
      <c r="S86" s="1209"/>
      <c r="T86" s="1204"/>
      <c r="U86" s="102"/>
      <c r="V86" s="2" t="s">
        <v>208</v>
      </c>
      <c r="W86" s="154" t="s">
        <v>3243</v>
      </c>
      <c r="X86" s="158" t="e">
        <f>+#REF!</f>
        <v>#REF!</v>
      </c>
      <c r="Y86" s="149">
        <v>0</v>
      </c>
      <c r="Z86" s="149"/>
      <c r="AA86" s="151">
        <v>211</v>
      </c>
      <c r="AB86" s="157" t="e">
        <f>+#REF!-#REF!</f>
        <v>#REF!</v>
      </c>
      <c r="AC86" s="184" t="s">
        <v>3365</v>
      </c>
    </row>
    <row r="87" spans="1:29" ht="31.5" customHeight="1" x14ac:dyDescent="0.25">
      <c r="A87" s="1209"/>
      <c r="B87" s="1209"/>
      <c r="C87" s="1209"/>
      <c r="D87" s="1209"/>
      <c r="E87" s="1209"/>
      <c r="F87" s="1209"/>
      <c r="G87" s="1214"/>
      <c r="H87" s="1209"/>
      <c r="I87" s="1209"/>
      <c r="J87" s="1204"/>
      <c r="K87" s="2" t="s">
        <v>203</v>
      </c>
      <c r="L87" s="154" t="s">
        <v>3257</v>
      </c>
      <c r="M87" s="113"/>
      <c r="N87" s="113"/>
      <c r="O87" s="271"/>
      <c r="P87" s="1214"/>
      <c r="Q87" s="352"/>
      <c r="R87" s="1209"/>
      <c r="S87" s="1209"/>
      <c r="T87" s="1204"/>
      <c r="U87" s="102"/>
      <c r="V87" s="2" t="s">
        <v>203</v>
      </c>
      <c r="W87" s="154" t="s">
        <v>3257</v>
      </c>
      <c r="X87" s="158" t="e">
        <f>+#REF!</f>
        <v>#REF!</v>
      </c>
      <c r="Y87" s="149">
        <v>0</v>
      </c>
      <c r="Z87" s="149"/>
      <c r="AA87" s="151">
        <v>211</v>
      </c>
      <c r="AB87" s="157" t="e">
        <f>+#REF!-#REF!</f>
        <v>#REF!</v>
      </c>
      <c r="AC87" s="184" t="s">
        <v>3365</v>
      </c>
    </row>
    <row r="88" spans="1:29" ht="38.25" x14ac:dyDescent="0.25">
      <c r="A88" s="1209"/>
      <c r="B88" s="1209"/>
      <c r="C88" s="1209"/>
      <c r="D88" s="1209"/>
      <c r="E88" s="1209"/>
      <c r="F88" s="1209"/>
      <c r="G88" s="1214"/>
      <c r="H88" s="1209"/>
      <c r="I88" s="1209"/>
      <c r="J88" s="1204"/>
      <c r="K88" s="2" t="s">
        <v>210</v>
      </c>
      <c r="L88" s="154" t="s">
        <v>3248</v>
      </c>
      <c r="M88" s="113"/>
      <c r="N88" s="113"/>
      <c r="O88" s="271"/>
      <c r="P88" s="1214"/>
      <c r="Q88" s="352"/>
      <c r="R88" s="1209"/>
      <c r="S88" s="1209"/>
      <c r="T88" s="1204"/>
      <c r="U88" s="102"/>
      <c r="V88" s="2" t="s">
        <v>210</v>
      </c>
      <c r="W88" s="154" t="s">
        <v>3248</v>
      </c>
      <c r="X88" s="158" t="e">
        <f>+#REF!</f>
        <v>#REF!</v>
      </c>
      <c r="Y88" s="149">
        <v>0</v>
      </c>
      <c r="Z88" s="149"/>
      <c r="AA88" s="151">
        <v>211</v>
      </c>
      <c r="AB88" s="157" t="e">
        <f>+#REF!-#REF!</f>
        <v>#REF!</v>
      </c>
      <c r="AC88" s="184" t="s">
        <v>3365</v>
      </c>
    </row>
    <row r="89" spans="1:29" ht="41.25" customHeight="1" x14ac:dyDescent="0.25">
      <c r="A89" s="1209" t="s">
        <v>2814</v>
      </c>
      <c r="B89" s="1209" t="s">
        <v>3138</v>
      </c>
      <c r="C89" s="1203" t="s">
        <v>3030</v>
      </c>
      <c r="D89" s="1203" t="s">
        <v>3259</v>
      </c>
      <c r="E89" s="1203" t="s">
        <v>3032</v>
      </c>
      <c r="F89" s="1203" t="s">
        <v>3193</v>
      </c>
      <c r="G89" s="1251"/>
      <c r="H89" s="1203" t="s">
        <v>3052</v>
      </c>
      <c r="I89" s="1203" t="s">
        <v>3227</v>
      </c>
      <c r="J89" s="1209" t="s">
        <v>3461</v>
      </c>
      <c r="K89" s="2" t="s">
        <v>1652</v>
      </c>
      <c r="L89" s="154" t="s">
        <v>3253</v>
      </c>
      <c r="M89" s="113">
        <v>97700000</v>
      </c>
      <c r="N89" s="113">
        <v>56540745</v>
      </c>
      <c r="O89" s="271"/>
      <c r="P89" s="1251"/>
      <c r="Q89" s="352"/>
      <c r="R89" s="1203" t="s">
        <v>3052</v>
      </c>
      <c r="S89" s="1203" t="s">
        <v>3227</v>
      </c>
      <c r="T89" s="1209" t="s">
        <v>3462</v>
      </c>
      <c r="U89" s="102"/>
      <c r="V89" s="2" t="s">
        <v>1652</v>
      </c>
      <c r="W89" s="154" t="s">
        <v>3253</v>
      </c>
      <c r="X89" s="158" t="e">
        <f>+#REF!</f>
        <v>#REF!</v>
      </c>
      <c r="Y89" s="149">
        <v>0</v>
      </c>
      <c r="Z89" s="149"/>
      <c r="AA89" s="151">
        <v>211</v>
      </c>
      <c r="AB89" s="157" t="e">
        <f>+#REF!-#REF!</f>
        <v>#REF!</v>
      </c>
      <c r="AC89" s="184" t="s">
        <v>3369</v>
      </c>
    </row>
    <row r="90" spans="1:29" ht="39" customHeight="1" x14ac:dyDescent="0.25">
      <c r="A90" s="1209"/>
      <c r="B90" s="1209"/>
      <c r="C90" s="1204"/>
      <c r="D90" s="1204"/>
      <c r="E90" s="1204"/>
      <c r="F90" s="1204"/>
      <c r="G90" s="1252"/>
      <c r="H90" s="1204"/>
      <c r="I90" s="1204"/>
      <c r="J90" s="1209"/>
      <c r="K90" s="2" t="s">
        <v>3341</v>
      </c>
      <c r="L90" s="154" t="s">
        <v>3342</v>
      </c>
      <c r="M90" s="113">
        <v>300146151</v>
      </c>
      <c r="N90" s="113">
        <v>244968174</v>
      </c>
      <c r="O90" s="271"/>
      <c r="P90" s="1252"/>
      <c r="Q90" s="353"/>
      <c r="R90" s="1204"/>
      <c r="S90" s="1204"/>
      <c r="T90" s="1209"/>
      <c r="U90" s="102"/>
      <c r="V90" s="2" t="s">
        <v>3341</v>
      </c>
      <c r="W90" s="154" t="s">
        <v>3342</v>
      </c>
      <c r="X90" s="158" t="e">
        <f>+#REF!</f>
        <v>#REF!</v>
      </c>
      <c r="Y90" s="149">
        <v>0</v>
      </c>
      <c r="Z90" s="149"/>
      <c r="AA90" s="151">
        <v>211</v>
      </c>
      <c r="AB90" s="157"/>
      <c r="AC90" s="184" t="s">
        <v>3364</v>
      </c>
    </row>
    <row r="91" spans="1:29" ht="39" customHeight="1" x14ac:dyDescent="0.25">
      <c r="A91" s="1209"/>
      <c r="B91" s="1209"/>
      <c r="C91" s="1204"/>
      <c r="D91" s="1204"/>
      <c r="E91" s="1210"/>
      <c r="F91" s="1210"/>
      <c r="G91" s="1253"/>
      <c r="H91" s="1210"/>
      <c r="I91" s="1210"/>
      <c r="J91" s="1209"/>
      <c r="K91" s="2" t="s">
        <v>3412</v>
      </c>
      <c r="L91" s="154" t="s">
        <v>3413</v>
      </c>
      <c r="M91" s="113"/>
      <c r="N91" s="113"/>
      <c r="O91" s="250"/>
      <c r="P91" s="1253"/>
      <c r="Q91" s="253"/>
      <c r="R91" s="1210"/>
      <c r="S91" s="1210"/>
      <c r="T91" s="1209"/>
      <c r="U91" s="102"/>
      <c r="V91" s="2" t="s">
        <v>3412</v>
      </c>
      <c r="W91" s="154" t="s">
        <v>3413</v>
      </c>
      <c r="X91" s="158" t="e">
        <f>+#REF!</f>
        <v>#REF!</v>
      </c>
      <c r="Y91" s="149">
        <v>0</v>
      </c>
      <c r="Z91" s="149"/>
      <c r="AA91" s="199">
        <v>211</v>
      </c>
      <c r="AB91" s="232"/>
      <c r="AC91" s="184" t="s">
        <v>3365</v>
      </c>
    </row>
    <row r="92" spans="1:29" ht="92.25" customHeight="1" x14ac:dyDescent="0.25">
      <c r="A92" s="1209"/>
      <c r="B92" s="1209"/>
      <c r="C92" s="1210"/>
      <c r="D92" s="1210"/>
      <c r="E92" s="249" t="s">
        <v>3076</v>
      </c>
      <c r="F92" s="131" t="s">
        <v>237</v>
      </c>
      <c r="G92" s="135">
        <v>10000000</v>
      </c>
      <c r="H92" s="249" t="s">
        <v>3077</v>
      </c>
      <c r="I92" s="131" t="s">
        <v>3258</v>
      </c>
      <c r="J92" s="265">
        <v>0</v>
      </c>
      <c r="K92" s="328" t="s">
        <v>236</v>
      </c>
      <c r="L92" s="171" t="s">
        <v>237</v>
      </c>
      <c r="M92" s="113"/>
      <c r="N92" s="113"/>
      <c r="O92" s="271"/>
      <c r="P92" s="135">
        <v>90000000</v>
      </c>
      <c r="Q92" s="135">
        <v>90000000</v>
      </c>
      <c r="R92" s="249" t="s">
        <v>3077</v>
      </c>
      <c r="S92" s="131" t="s">
        <v>3258</v>
      </c>
      <c r="T92" s="248">
        <v>1</v>
      </c>
      <c r="U92" s="116">
        <v>0</v>
      </c>
      <c r="V92" s="254" t="s">
        <v>236</v>
      </c>
      <c r="W92" s="171" t="s">
        <v>237</v>
      </c>
      <c r="X92" s="158" t="e">
        <f>+#REF!</f>
        <v>#REF!</v>
      </c>
      <c r="Y92" s="149">
        <v>0</v>
      </c>
      <c r="Z92" s="149"/>
      <c r="AA92" s="199">
        <v>111</v>
      </c>
      <c r="AB92" s="232" t="e">
        <f>+#REF!-#REF!</f>
        <v>#REF!</v>
      </c>
      <c r="AC92" s="263" t="s">
        <v>3359</v>
      </c>
    </row>
    <row r="93" spans="1:29" ht="31.5" customHeight="1" x14ac:dyDescent="0.25">
      <c r="A93" s="1209" t="s">
        <v>3408</v>
      </c>
      <c r="B93" s="1209"/>
      <c r="C93" s="1209"/>
      <c r="D93" s="1209"/>
      <c r="E93" s="1209"/>
      <c r="F93" s="1209"/>
      <c r="G93" s="135">
        <f>SUM(G56:G92)</f>
        <v>7265000000</v>
      </c>
      <c r="H93" s="1207"/>
      <c r="I93" s="1208"/>
      <c r="J93" s="1208"/>
      <c r="K93" s="1207"/>
      <c r="L93" s="1208"/>
      <c r="M93" s="332">
        <f>SUM(M56:M92)</f>
        <v>7058962685</v>
      </c>
      <c r="N93" s="332">
        <f>SUM(N56:N92)</f>
        <v>1659830011</v>
      </c>
      <c r="O93" s="267"/>
      <c r="P93" s="135">
        <f>SUM(P56:P92)</f>
        <v>7025000000</v>
      </c>
      <c r="Q93" s="135">
        <f>SUM(Q56:Q92)</f>
        <v>7125000000</v>
      </c>
      <c r="R93" s="1207"/>
      <c r="S93" s="1208"/>
      <c r="T93" s="1208"/>
      <c r="U93" s="1217"/>
      <c r="V93" s="1207"/>
      <c r="W93" s="1208"/>
      <c r="X93" s="133" t="e">
        <f>SUM(X56:X92)</f>
        <v>#REF!</v>
      </c>
      <c r="Y93" s="133" t="e">
        <f>SUM(Y56:Y92)</f>
        <v>#REF!</v>
      </c>
      <c r="Z93" s="133"/>
      <c r="AA93" s="1209"/>
      <c r="AB93" s="1209"/>
      <c r="AC93" s="1209"/>
    </row>
    <row r="94" spans="1:29" ht="19.5" customHeight="1" x14ac:dyDescent="0.25">
      <c r="A94" s="117"/>
      <c r="B94" s="117"/>
      <c r="C94" s="117"/>
      <c r="D94" s="117"/>
      <c r="E94" s="117"/>
      <c r="F94" s="117"/>
      <c r="G94" s="129"/>
      <c r="H94" s="117"/>
      <c r="I94" s="117"/>
      <c r="J94" s="117"/>
      <c r="K94" s="117"/>
      <c r="L94" s="117"/>
      <c r="M94" s="117"/>
      <c r="N94" s="117"/>
      <c r="O94" s="117"/>
      <c r="P94" s="129"/>
      <c r="Q94" s="129"/>
      <c r="R94" s="117"/>
      <c r="S94" s="117"/>
      <c r="T94" s="117"/>
      <c r="U94" s="121"/>
      <c r="V94" s="233"/>
      <c r="W94" s="224"/>
      <c r="X94" s="225"/>
      <c r="Y94" s="222"/>
      <c r="Z94" s="222"/>
      <c r="AA94" s="164"/>
      <c r="AB94" s="164"/>
      <c r="AC94" s="185"/>
    </row>
    <row r="95" spans="1:29" ht="63.75" x14ac:dyDescent="0.25">
      <c r="A95" s="2" t="s">
        <v>3111</v>
      </c>
      <c r="B95" s="100" t="s">
        <v>3112</v>
      </c>
      <c r="C95" s="2" t="s">
        <v>3113</v>
      </c>
      <c r="D95" s="100" t="s">
        <v>3202</v>
      </c>
      <c r="E95" s="2" t="s">
        <v>3115</v>
      </c>
      <c r="F95" s="100" t="s">
        <v>3266</v>
      </c>
      <c r="G95" s="107">
        <v>25000000</v>
      </c>
      <c r="H95" s="2" t="s">
        <v>3117</v>
      </c>
      <c r="I95" s="100" t="s">
        <v>3277</v>
      </c>
      <c r="J95" s="110">
        <v>0.3</v>
      </c>
      <c r="K95" s="2" t="s">
        <v>196</v>
      </c>
      <c r="L95" s="154" t="s">
        <v>3207</v>
      </c>
      <c r="M95" s="113">
        <v>11598885</v>
      </c>
      <c r="N95" s="113">
        <v>11159653</v>
      </c>
      <c r="O95" s="110">
        <v>0.33</v>
      </c>
      <c r="P95" s="107">
        <v>25000000</v>
      </c>
      <c r="Q95" s="107">
        <v>25000000</v>
      </c>
      <c r="R95" s="2" t="s">
        <v>3117</v>
      </c>
      <c r="S95" s="100" t="s">
        <v>3277</v>
      </c>
      <c r="T95" s="110">
        <v>0.3</v>
      </c>
      <c r="U95" s="101">
        <v>0</v>
      </c>
      <c r="V95" s="2" t="s">
        <v>196</v>
      </c>
      <c r="W95" s="154" t="s">
        <v>3207</v>
      </c>
      <c r="X95" s="158" t="e">
        <f>+#REF!</f>
        <v>#REF!</v>
      </c>
      <c r="Y95" s="149">
        <v>32622093</v>
      </c>
      <c r="Z95" s="149"/>
      <c r="AA95" s="151">
        <v>510</v>
      </c>
      <c r="AB95" s="157" t="e">
        <f>+#REF!-#REF!</f>
        <v>#REF!</v>
      </c>
      <c r="AC95" s="1205" t="s">
        <v>3359</v>
      </c>
    </row>
    <row r="96" spans="1:29" ht="76.5" x14ac:dyDescent="0.25">
      <c r="A96" s="2" t="s">
        <v>3111</v>
      </c>
      <c r="B96" s="100" t="s">
        <v>3112</v>
      </c>
      <c r="C96" s="2" t="s">
        <v>3113</v>
      </c>
      <c r="D96" s="100" t="s">
        <v>3202</v>
      </c>
      <c r="E96" s="2" t="s">
        <v>3125</v>
      </c>
      <c r="F96" s="100" t="s">
        <v>3268</v>
      </c>
      <c r="G96" s="107">
        <v>30000000</v>
      </c>
      <c r="H96" s="2" t="s">
        <v>3127</v>
      </c>
      <c r="I96" s="100" t="s">
        <v>3280</v>
      </c>
      <c r="J96" s="2">
        <v>4</v>
      </c>
      <c r="K96" s="2" t="s">
        <v>194</v>
      </c>
      <c r="L96" s="154" t="s">
        <v>195</v>
      </c>
      <c r="M96" s="113">
        <v>1200000</v>
      </c>
      <c r="N96" s="113">
        <v>244368</v>
      </c>
      <c r="O96" s="2">
        <v>0</v>
      </c>
      <c r="P96" s="107">
        <v>30000000</v>
      </c>
      <c r="Q96" s="107">
        <v>30000000</v>
      </c>
      <c r="R96" s="2" t="s">
        <v>3127</v>
      </c>
      <c r="S96" s="100" t="s">
        <v>3280</v>
      </c>
      <c r="T96" s="2">
        <v>4</v>
      </c>
      <c r="U96" s="101">
        <v>0</v>
      </c>
      <c r="V96" s="2" t="s">
        <v>194</v>
      </c>
      <c r="W96" s="154" t="s">
        <v>195</v>
      </c>
      <c r="X96" s="158" t="e">
        <f>+#REF!</f>
        <v>#REF!</v>
      </c>
      <c r="Y96" s="149">
        <v>28486666</v>
      </c>
      <c r="Z96" s="149"/>
      <c r="AA96" s="151">
        <v>510</v>
      </c>
      <c r="AB96" s="157" t="e">
        <f>+#REF!-#REF!</f>
        <v>#REF!</v>
      </c>
      <c r="AC96" s="1206"/>
    </row>
    <row r="97" spans="1:29" ht="81.75" customHeight="1" x14ac:dyDescent="0.25">
      <c r="A97" s="254" t="s">
        <v>3111</v>
      </c>
      <c r="B97" s="257" t="s">
        <v>3112</v>
      </c>
      <c r="C97" s="254" t="s">
        <v>3113</v>
      </c>
      <c r="D97" s="257" t="s">
        <v>3202</v>
      </c>
      <c r="E97" s="254" t="s">
        <v>3120</v>
      </c>
      <c r="F97" s="257" t="s">
        <v>3267</v>
      </c>
      <c r="G97" s="251">
        <v>10000000</v>
      </c>
      <c r="H97" s="254" t="s">
        <v>3122</v>
      </c>
      <c r="I97" s="257" t="s">
        <v>3278</v>
      </c>
      <c r="J97" s="254">
        <v>4</v>
      </c>
      <c r="K97" s="335" t="s">
        <v>50</v>
      </c>
      <c r="L97" s="171" t="s">
        <v>3385</v>
      </c>
      <c r="M97" s="113">
        <v>0</v>
      </c>
      <c r="N97" s="113">
        <v>0</v>
      </c>
      <c r="O97" s="254">
        <v>21</v>
      </c>
      <c r="P97" s="251">
        <v>10000000</v>
      </c>
      <c r="Q97" s="251">
        <v>10000000</v>
      </c>
      <c r="R97" s="254" t="s">
        <v>3122</v>
      </c>
      <c r="S97" s="257" t="s">
        <v>3278</v>
      </c>
      <c r="T97" s="254">
        <v>6</v>
      </c>
      <c r="U97" s="116">
        <v>0</v>
      </c>
      <c r="V97" s="254" t="s">
        <v>50</v>
      </c>
      <c r="W97" s="171" t="s">
        <v>3385</v>
      </c>
      <c r="X97" s="391" t="e">
        <f>+#REF!</f>
        <v>#REF!</v>
      </c>
      <c r="Y97" s="149">
        <v>0</v>
      </c>
      <c r="Z97" s="149"/>
      <c r="AA97" s="199">
        <v>510</v>
      </c>
      <c r="AB97" s="232" t="e">
        <f>+#REF!-#REF!</f>
        <v>#REF!</v>
      </c>
      <c r="AC97" s="263" t="s">
        <v>3370</v>
      </c>
    </row>
    <row r="98" spans="1:29" ht="28.5" customHeight="1" x14ac:dyDescent="0.25">
      <c r="A98" s="1209" t="s">
        <v>3409</v>
      </c>
      <c r="B98" s="1209"/>
      <c r="C98" s="1209"/>
      <c r="D98" s="1209"/>
      <c r="E98" s="1209"/>
      <c r="F98" s="1209"/>
      <c r="G98" s="135">
        <f>SUM(G95:G97)</f>
        <v>65000000</v>
      </c>
      <c r="H98" s="1207"/>
      <c r="I98" s="1208"/>
      <c r="J98" s="1208"/>
      <c r="K98" s="1207"/>
      <c r="L98" s="1208"/>
      <c r="M98" s="341">
        <f>SUM(M95:M97)</f>
        <v>12798885</v>
      </c>
      <c r="N98" s="341">
        <f>SUM(N95:N97)</f>
        <v>11404021</v>
      </c>
      <c r="O98" s="267"/>
      <c r="P98" s="135">
        <f>SUM(P95:P97)</f>
        <v>65000000</v>
      </c>
      <c r="Q98" s="135"/>
      <c r="R98" s="1207"/>
      <c r="S98" s="1208"/>
      <c r="T98" s="1208"/>
      <c r="U98" s="1217"/>
      <c r="V98" s="1207"/>
      <c r="W98" s="1208"/>
      <c r="X98" s="133" t="e">
        <f>SUM(X95:X97)</f>
        <v>#REF!</v>
      </c>
      <c r="Y98" s="133">
        <f>SUM(Y95:Y97)</f>
        <v>61108759</v>
      </c>
      <c r="Z98" s="133"/>
      <c r="AA98" s="1209"/>
      <c r="AB98" s="1209"/>
      <c r="AC98" s="1209"/>
    </row>
    <row r="99" spans="1:29" ht="15.75" customHeight="1" x14ac:dyDescent="0.25">
      <c r="A99" s="117"/>
      <c r="B99" s="117"/>
      <c r="C99" s="117"/>
      <c r="D99" s="117"/>
      <c r="E99" s="117"/>
      <c r="F99" s="117"/>
      <c r="G99" s="129"/>
      <c r="H99" s="117"/>
      <c r="I99" s="117"/>
      <c r="J99" s="117"/>
      <c r="K99" s="117"/>
      <c r="L99" s="117"/>
      <c r="M99" s="117"/>
      <c r="N99" s="117"/>
      <c r="O99" s="117"/>
      <c r="P99" s="129"/>
      <c r="Q99" s="129"/>
      <c r="R99" s="117"/>
      <c r="S99" s="117"/>
      <c r="T99" s="117"/>
      <c r="U99" s="121"/>
      <c r="V99" s="233"/>
      <c r="W99" s="224"/>
      <c r="X99" s="225"/>
      <c r="Y99" s="222"/>
      <c r="Z99" s="222"/>
      <c r="AA99" s="164"/>
      <c r="AB99" s="164"/>
      <c r="AC99" s="185"/>
    </row>
    <row r="100" spans="1:29" ht="71.25" customHeight="1" x14ac:dyDescent="0.25">
      <c r="A100" s="2" t="s">
        <v>2826</v>
      </c>
      <c r="B100" s="100" t="s">
        <v>2827</v>
      </c>
      <c r="C100" s="2" t="s">
        <v>2828</v>
      </c>
      <c r="D100" s="1259" t="s">
        <v>3371</v>
      </c>
      <c r="E100" s="2" t="s">
        <v>2830</v>
      </c>
      <c r="F100" s="100" t="s">
        <v>3372</v>
      </c>
      <c r="G100" s="107">
        <v>150000000</v>
      </c>
      <c r="H100" s="254" t="s">
        <v>2832</v>
      </c>
      <c r="I100" s="257" t="s">
        <v>3386</v>
      </c>
      <c r="J100" s="254">
        <v>50</v>
      </c>
      <c r="K100" s="2" t="s">
        <v>351</v>
      </c>
      <c r="L100" s="154" t="s">
        <v>3325</v>
      </c>
      <c r="M100" s="113">
        <v>130774363</v>
      </c>
      <c r="N100" s="113">
        <v>71961584</v>
      </c>
      <c r="O100" s="254"/>
      <c r="P100" s="107">
        <v>150000000</v>
      </c>
      <c r="Q100" s="107">
        <v>150000000</v>
      </c>
      <c r="R100" s="254" t="s">
        <v>2832</v>
      </c>
      <c r="S100" s="257" t="s">
        <v>3386</v>
      </c>
      <c r="T100" s="254">
        <v>50</v>
      </c>
      <c r="U100" s="101">
        <v>0</v>
      </c>
      <c r="V100" s="2" t="s">
        <v>351</v>
      </c>
      <c r="W100" s="154" t="s">
        <v>3325</v>
      </c>
      <c r="X100" s="158" t="e">
        <f>+#REF!</f>
        <v>#REF!</v>
      </c>
      <c r="Y100" s="149">
        <v>123610905</v>
      </c>
      <c r="Z100" s="149"/>
      <c r="AA100" s="151">
        <v>310</v>
      </c>
      <c r="AB100" s="157" t="e">
        <f>+#REF!-#REF!</f>
        <v>#REF!</v>
      </c>
      <c r="AC100" s="184" t="s">
        <v>3361</v>
      </c>
    </row>
    <row r="101" spans="1:29" ht="74.25" customHeight="1" x14ac:dyDescent="0.25">
      <c r="A101" s="2" t="s">
        <v>2826</v>
      </c>
      <c r="B101" s="100" t="s">
        <v>2827</v>
      </c>
      <c r="C101" s="2" t="s">
        <v>2828</v>
      </c>
      <c r="D101" s="1260"/>
      <c r="E101" s="2" t="s">
        <v>2835</v>
      </c>
      <c r="F101" s="100" t="s">
        <v>3344</v>
      </c>
      <c r="G101" s="107">
        <v>15000000</v>
      </c>
      <c r="H101" s="254" t="s">
        <v>2837</v>
      </c>
      <c r="I101" s="257" t="s">
        <v>3345</v>
      </c>
      <c r="J101" s="254">
        <v>600</v>
      </c>
      <c r="K101" s="2" t="s">
        <v>362</v>
      </c>
      <c r="L101" s="154" t="s">
        <v>363</v>
      </c>
      <c r="M101" s="113">
        <v>45000000</v>
      </c>
      <c r="N101" s="113">
        <v>17557768</v>
      </c>
      <c r="O101" s="254">
        <v>1457</v>
      </c>
      <c r="P101" s="107">
        <v>15000000</v>
      </c>
      <c r="Q101" s="107">
        <v>15000000</v>
      </c>
      <c r="R101" s="254" t="s">
        <v>2837</v>
      </c>
      <c r="S101" s="257" t="s">
        <v>3345</v>
      </c>
      <c r="T101" s="254">
        <v>600</v>
      </c>
      <c r="U101" s="101">
        <v>0</v>
      </c>
      <c r="V101" s="2" t="s">
        <v>362</v>
      </c>
      <c r="W101" s="154" t="s">
        <v>363</v>
      </c>
      <c r="X101" s="158" t="e">
        <f>+#REF!</f>
        <v>#REF!</v>
      </c>
      <c r="Y101" s="149">
        <v>11638898</v>
      </c>
      <c r="Z101" s="149"/>
      <c r="AA101" s="151">
        <v>510</v>
      </c>
      <c r="AB101" s="157" t="e">
        <f>+#REF!-#REF!</f>
        <v>#REF!</v>
      </c>
      <c r="AC101" s="184" t="s">
        <v>3353</v>
      </c>
    </row>
    <row r="102" spans="1:29" ht="63.75" x14ac:dyDescent="0.25">
      <c r="A102" s="2" t="s">
        <v>2826</v>
      </c>
      <c r="B102" s="100" t="s">
        <v>2827</v>
      </c>
      <c r="C102" s="2" t="s">
        <v>2840</v>
      </c>
      <c r="D102" s="100" t="s">
        <v>434</v>
      </c>
      <c r="E102" s="2" t="s">
        <v>2841</v>
      </c>
      <c r="F102" s="100" t="s">
        <v>3387</v>
      </c>
      <c r="G102" s="107">
        <v>50000000</v>
      </c>
      <c r="H102" s="254" t="s">
        <v>2843</v>
      </c>
      <c r="I102" s="257" t="s">
        <v>2844</v>
      </c>
      <c r="J102" s="349">
        <v>0.02</v>
      </c>
      <c r="K102" s="2" t="s">
        <v>374</v>
      </c>
      <c r="L102" s="154" t="s">
        <v>3327</v>
      </c>
      <c r="M102" s="113"/>
      <c r="N102" s="113"/>
      <c r="O102" s="254"/>
      <c r="P102" s="107">
        <v>60000000</v>
      </c>
      <c r="Q102" s="107">
        <v>60000000</v>
      </c>
      <c r="R102" s="254" t="s">
        <v>2843</v>
      </c>
      <c r="S102" s="257" t="s">
        <v>2844</v>
      </c>
      <c r="T102" s="349">
        <v>0.01</v>
      </c>
      <c r="U102" s="101">
        <v>0</v>
      </c>
      <c r="V102" s="2" t="s">
        <v>374</v>
      </c>
      <c r="W102" s="154" t="s">
        <v>3327</v>
      </c>
      <c r="X102" s="158" t="e">
        <f>+#REF!</f>
        <v>#REF!</v>
      </c>
      <c r="Y102" s="149">
        <v>3605000</v>
      </c>
      <c r="Z102" s="149"/>
      <c r="AA102" s="151">
        <v>301</v>
      </c>
      <c r="AB102" s="157" t="e">
        <f>+#REF!-#REF!</f>
        <v>#REF!</v>
      </c>
      <c r="AC102" s="1257" t="s">
        <v>3373</v>
      </c>
    </row>
    <row r="103" spans="1:29" ht="63.75" x14ac:dyDescent="0.25">
      <c r="A103" s="2" t="s">
        <v>2826</v>
      </c>
      <c r="B103" s="100" t="s">
        <v>2827</v>
      </c>
      <c r="C103" s="2" t="s">
        <v>2840</v>
      </c>
      <c r="D103" s="100" t="s">
        <v>434</v>
      </c>
      <c r="E103" s="2" t="s">
        <v>2841</v>
      </c>
      <c r="F103" s="100" t="s">
        <v>2846</v>
      </c>
      <c r="G103" s="107">
        <v>30000000</v>
      </c>
      <c r="H103" s="254" t="s">
        <v>2847</v>
      </c>
      <c r="I103" s="257" t="s">
        <v>2848</v>
      </c>
      <c r="J103" s="349">
        <v>0.01</v>
      </c>
      <c r="K103" s="2" t="s">
        <v>372</v>
      </c>
      <c r="L103" s="154" t="s">
        <v>3326</v>
      </c>
      <c r="M103" s="113"/>
      <c r="N103" s="113"/>
      <c r="O103" s="254"/>
      <c r="P103" s="107">
        <v>50000000</v>
      </c>
      <c r="Q103" s="107">
        <v>50000000</v>
      </c>
      <c r="R103" s="254" t="s">
        <v>2847</v>
      </c>
      <c r="S103" s="257" t="s">
        <v>2848</v>
      </c>
      <c r="T103" s="349">
        <v>0.01</v>
      </c>
      <c r="U103" s="101">
        <v>0</v>
      </c>
      <c r="V103" s="2" t="s">
        <v>372</v>
      </c>
      <c r="W103" s="154" t="s">
        <v>3326</v>
      </c>
      <c r="X103" s="158" t="e">
        <f>+#REF!</f>
        <v>#REF!</v>
      </c>
      <c r="Y103" s="149">
        <v>11238596</v>
      </c>
      <c r="Z103" s="149"/>
      <c r="AA103" s="151">
        <v>301</v>
      </c>
      <c r="AB103" s="157" t="e">
        <f>+#REF!-#REF!</f>
        <v>#REF!</v>
      </c>
      <c r="AC103" s="1258"/>
    </row>
    <row r="104" spans="1:29" ht="51" customHeight="1" x14ac:dyDescent="0.25">
      <c r="A104" s="2" t="s">
        <v>2826</v>
      </c>
      <c r="B104" s="100" t="s">
        <v>2827</v>
      </c>
      <c r="C104" s="2" t="s">
        <v>2840</v>
      </c>
      <c r="D104" s="100" t="s">
        <v>434</v>
      </c>
      <c r="E104" s="2" t="s">
        <v>2841</v>
      </c>
      <c r="F104" s="100" t="s">
        <v>2850</v>
      </c>
      <c r="G104" s="107">
        <v>25000000</v>
      </c>
      <c r="H104" s="254" t="s">
        <v>2851</v>
      </c>
      <c r="I104" s="257" t="s">
        <v>2852</v>
      </c>
      <c r="J104" s="349">
        <v>0.03</v>
      </c>
      <c r="K104" s="2" t="s">
        <v>337</v>
      </c>
      <c r="L104" s="154" t="s">
        <v>3328</v>
      </c>
      <c r="M104" s="113">
        <v>15222764</v>
      </c>
      <c r="N104" s="113">
        <v>12222764</v>
      </c>
      <c r="O104" s="254"/>
      <c r="P104" s="107">
        <v>35000000</v>
      </c>
      <c r="Q104" s="107">
        <v>35000000</v>
      </c>
      <c r="R104" s="254" t="s">
        <v>2851</v>
      </c>
      <c r="S104" s="257" t="s">
        <v>2852</v>
      </c>
      <c r="T104" s="349">
        <v>7.0000000000000007E-2</v>
      </c>
      <c r="U104" s="101">
        <v>0</v>
      </c>
      <c r="V104" s="2" t="s">
        <v>337</v>
      </c>
      <c r="W104" s="154" t="s">
        <v>3328</v>
      </c>
      <c r="X104" s="158" t="e">
        <f>+#REF!</f>
        <v>#REF!</v>
      </c>
      <c r="Y104" s="149">
        <v>26631097</v>
      </c>
      <c r="Z104" s="149"/>
      <c r="AA104" s="151">
        <v>301</v>
      </c>
      <c r="AB104" s="157" t="e">
        <f>+#REF!-#REF!</f>
        <v>#REF!</v>
      </c>
      <c r="AC104" s="1198" t="s">
        <v>3373</v>
      </c>
    </row>
    <row r="105" spans="1:29" ht="51" x14ac:dyDescent="0.25">
      <c r="A105" s="2" t="s">
        <v>2826</v>
      </c>
      <c r="B105" s="100" t="s">
        <v>2827</v>
      </c>
      <c r="C105" s="2" t="s">
        <v>2840</v>
      </c>
      <c r="D105" s="100" t="s">
        <v>434</v>
      </c>
      <c r="E105" s="2" t="s">
        <v>2841</v>
      </c>
      <c r="F105" s="100" t="s">
        <v>2854</v>
      </c>
      <c r="G105" s="107">
        <v>20000000</v>
      </c>
      <c r="H105" s="254" t="s">
        <v>2855</v>
      </c>
      <c r="I105" s="257" t="s">
        <v>2856</v>
      </c>
      <c r="J105" s="349">
        <v>0.05</v>
      </c>
      <c r="K105" s="2" t="s">
        <v>219</v>
      </c>
      <c r="L105" s="154" t="s">
        <v>3329</v>
      </c>
      <c r="M105" s="113">
        <v>14000000</v>
      </c>
      <c r="N105" s="113">
        <v>5893200</v>
      </c>
      <c r="O105" s="254"/>
      <c r="P105" s="107">
        <v>30000000</v>
      </c>
      <c r="Q105" s="107">
        <v>30000000</v>
      </c>
      <c r="R105" s="254" t="s">
        <v>2855</v>
      </c>
      <c r="S105" s="257" t="s">
        <v>2856</v>
      </c>
      <c r="T105" s="349">
        <v>0.05</v>
      </c>
      <c r="U105" s="101">
        <v>0</v>
      </c>
      <c r="V105" s="2" t="s">
        <v>219</v>
      </c>
      <c r="W105" s="154" t="s">
        <v>3329</v>
      </c>
      <c r="X105" s="158" t="e">
        <f>+#REF!</f>
        <v>#REF!</v>
      </c>
      <c r="Y105" s="149">
        <v>5805672</v>
      </c>
      <c r="Z105" s="149"/>
      <c r="AA105" s="151">
        <v>301</v>
      </c>
      <c r="AB105" s="157" t="e">
        <f>+#REF!-#REF!</f>
        <v>#REF!</v>
      </c>
      <c r="AC105" s="1198"/>
    </row>
    <row r="106" spans="1:29" ht="167.25" customHeight="1" x14ac:dyDescent="0.25">
      <c r="A106" s="2" t="s">
        <v>2826</v>
      </c>
      <c r="B106" s="100" t="s">
        <v>2827</v>
      </c>
      <c r="C106" s="2" t="s">
        <v>2840</v>
      </c>
      <c r="D106" s="100" t="s">
        <v>434</v>
      </c>
      <c r="E106" s="2" t="s">
        <v>2841</v>
      </c>
      <c r="F106" s="100" t="s">
        <v>2857</v>
      </c>
      <c r="G106" s="107">
        <v>10000000</v>
      </c>
      <c r="H106" s="254" t="s">
        <v>2858</v>
      </c>
      <c r="I106" s="257" t="s">
        <v>2859</v>
      </c>
      <c r="J106" s="349">
        <v>0.05</v>
      </c>
      <c r="K106" s="2" t="s">
        <v>341</v>
      </c>
      <c r="L106" s="154" t="s">
        <v>3330</v>
      </c>
      <c r="M106" s="113">
        <v>4000000</v>
      </c>
      <c r="N106" s="113">
        <v>4000000</v>
      </c>
      <c r="O106" s="254"/>
      <c r="P106" s="107">
        <v>15000000</v>
      </c>
      <c r="Q106" s="107">
        <v>15000000</v>
      </c>
      <c r="R106" s="254" t="s">
        <v>2858</v>
      </c>
      <c r="S106" s="257" t="s">
        <v>2859</v>
      </c>
      <c r="T106" s="349">
        <v>0.05</v>
      </c>
      <c r="U106" s="101">
        <v>0</v>
      </c>
      <c r="V106" s="2" t="s">
        <v>341</v>
      </c>
      <c r="W106" s="154" t="s">
        <v>3330</v>
      </c>
      <c r="X106" s="158" t="e">
        <f>+#REF!</f>
        <v>#REF!</v>
      </c>
      <c r="Y106" s="149" t="e">
        <f>+#REF!</f>
        <v>#REF!</v>
      </c>
      <c r="Z106" s="149"/>
      <c r="AA106" s="151">
        <v>301</v>
      </c>
      <c r="AB106" s="157" t="e">
        <f>+#REF!-#REF!</f>
        <v>#REF!</v>
      </c>
      <c r="AC106" s="1199" t="s">
        <v>3373</v>
      </c>
    </row>
    <row r="107" spans="1:29" ht="23.25" customHeight="1" x14ac:dyDescent="0.25">
      <c r="A107" s="2"/>
      <c r="B107" s="100"/>
      <c r="C107" s="2"/>
      <c r="D107" s="100"/>
      <c r="E107" s="2"/>
      <c r="F107" s="100"/>
      <c r="G107" s="107"/>
      <c r="H107" s="335"/>
      <c r="I107" s="339"/>
      <c r="J107" s="349"/>
      <c r="K107" s="2"/>
      <c r="L107" s="154" t="s">
        <v>3464</v>
      </c>
      <c r="M107" s="113">
        <v>106698390</v>
      </c>
      <c r="N107" s="113">
        <v>57719084</v>
      </c>
      <c r="O107" s="335"/>
      <c r="P107" s="107"/>
      <c r="Q107" s="107"/>
      <c r="R107" s="335"/>
      <c r="S107" s="339"/>
      <c r="T107" s="349"/>
      <c r="U107" s="101"/>
      <c r="V107" s="2"/>
      <c r="W107" s="154"/>
      <c r="X107" s="158"/>
      <c r="Y107" s="149"/>
      <c r="Z107" s="149"/>
      <c r="AA107" s="151"/>
      <c r="AB107" s="157"/>
      <c r="AC107" s="1199"/>
    </row>
    <row r="108" spans="1:29" ht="76.5" x14ac:dyDescent="0.25">
      <c r="A108" s="2" t="s">
        <v>2826</v>
      </c>
      <c r="B108" s="100" t="s">
        <v>2827</v>
      </c>
      <c r="C108" s="2" t="s">
        <v>2840</v>
      </c>
      <c r="D108" s="100" t="s">
        <v>434</v>
      </c>
      <c r="E108" s="2" t="s">
        <v>2841</v>
      </c>
      <c r="F108" s="100" t="s">
        <v>2860</v>
      </c>
      <c r="G108" s="107">
        <v>500000000</v>
      </c>
      <c r="H108" s="254" t="s">
        <v>2862</v>
      </c>
      <c r="I108" s="257" t="s">
        <v>2863</v>
      </c>
      <c r="J108" s="254">
        <v>18</v>
      </c>
      <c r="K108" s="2" t="s">
        <v>110</v>
      </c>
      <c r="L108" s="154" t="s">
        <v>3331</v>
      </c>
      <c r="M108" s="113">
        <v>0</v>
      </c>
      <c r="N108" s="113">
        <v>0</v>
      </c>
      <c r="O108" s="254"/>
      <c r="P108" s="107">
        <v>550000000</v>
      </c>
      <c r="Q108" s="107">
        <v>550000000</v>
      </c>
      <c r="R108" s="254" t="s">
        <v>2862</v>
      </c>
      <c r="S108" s="257" t="s">
        <v>2863</v>
      </c>
      <c r="T108" s="254">
        <v>70</v>
      </c>
      <c r="U108" s="101">
        <v>0</v>
      </c>
      <c r="V108" s="2" t="s">
        <v>110</v>
      </c>
      <c r="W108" s="154" t="s">
        <v>3331</v>
      </c>
      <c r="X108" s="158" t="e">
        <f>+#REF!</f>
        <v>#REF!</v>
      </c>
      <c r="Y108" s="149">
        <v>442012325</v>
      </c>
      <c r="Z108" s="149"/>
      <c r="AA108" s="151">
        <v>301</v>
      </c>
      <c r="AB108" s="157" t="e">
        <f>+#REF!-#REF!</f>
        <v>#REF!</v>
      </c>
      <c r="AC108" s="1199"/>
    </row>
    <row r="109" spans="1:29" ht="76.5" x14ac:dyDescent="0.25">
      <c r="A109" s="2" t="s">
        <v>2826</v>
      </c>
      <c r="B109" s="100" t="s">
        <v>2827</v>
      </c>
      <c r="C109" s="2" t="s">
        <v>2840</v>
      </c>
      <c r="D109" s="100" t="s">
        <v>434</v>
      </c>
      <c r="E109" s="2" t="s">
        <v>2865</v>
      </c>
      <c r="F109" s="100" t="s">
        <v>2866</v>
      </c>
      <c r="G109" s="107">
        <v>35000000</v>
      </c>
      <c r="H109" s="254" t="s">
        <v>2867</v>
      </c>
      <c r="I109" s="257" t="s">
        <v>2868</v>
      </c>
      <c r="J109" s="349">
        <v>0.3</v>
      </c>
      <c r="K109" s="2" t="s">
        <v>112</v>
      </c>
      <c r="L109" s="154" t="s">
        <v>3332</v>
      </c>
      <c r="M109" s="113">
        <v>73000000</v>
      </c>
      <c r="N109" s="113">
        <v>21212269</v>
      </c>
      <c r="O109" s="254"/>
      <c r="P109" s="107">
        <v>35000000</v>
      </c>
      <c r="Q109" s="107">
        <v>35000000</v>
      </c>
      <c r="R109" s="254" t="s">
        <v>2867</v>
      </c>
      <c r="S109" s="257" t="s">
        <v>2868</v>
      </c>
      <c r="T109" s="349">
        <v>0.3</v>
      </c>
      <c r="U109" s="101">
        <v>0</v>
      </c>
      <c r="V109" s="2" t="s">
        <v>112</v>
      </c>
      <c r="W109" s="154" t="s">
        <v>3332</v>
      </c>
      <c r="X109" s="158" t="e">
        <f>+#REF!</f>
        <v>#REF!</v>
      </c>
      <c r="Y109" s="149">
        <v>5000000</v>
      </c>
      <c r="Z109" s="149"/>
      <c r="AA109" s="151">
        <v>301</v>
      </c>
      <c r="AB109" s="157" t="e">
        <f>+#REF!-#REF!</f>
        <v>#REF!</v>
      </c>
      <c r="AC109" s="1199"/>
    </row>
    <row r="110" spans="1:29" ht="89.25" x14ac:dyDescent="0.25">
      <c r="A110" s="2" t="s">
        <v>2826</v>
      </c>
      <c r="B110" s="100" t="s">
        <v>2827</v>
      </c>
      <c r="C110" s="2" t="s">
        <v>2840</v>
      </c>
      <c r="D110" s="100" t="s">
        <v>434</v>
      </c>
      <c r="E110" s="2" t="s">
        <v>2870</v>
      </c>
      <c r="F110" s="100" t="s">
        <v>3203</v>
      </c>
      <c r="G110" s="107">
        <v>40000000</v>
      </c>
      <c r="H110" s="254" t="s">
        <v>2872</v>
      </c>
      <c r="I110" s="339" t="s">
        <v>3463</v>
      </c>
      <c r="J110" s="350">
        <v>0.1</v>
      </c>
      <c r="K110" s="2" t="s">
        <v>108</v>
      </c>
      <c r="L110" s="154" t="s">
        <v>3148</v>
      </c>
      <c r="M110" s="113">
        <v>121000000</v>
      </c>
      <c r="N110" s="113">
        <v>85653316</v>
      </c>
      <c r="O110" s="271"/>
      <c r="P110" s="276">
        <v>60000000</v>
      </c>
      <c r="Q110" s="107">
        <v>60000000</v>
      </c>
      <c r="R110" s="254" t="s">
        <v>2872</v>
      </c>
      <c r="S110" s="257" t="s">
        <v>3269</v>
      </c>
      <c r="T110" s="349">
        <v>0.1</v>
      </c>
      <c r="U110" s="101">
        <v>0</v>
      </c>
      <c r="V110" s="2" t="s">
        <v>108</v>
      </c>
      <c r="W110" s="154" t="s">
        <v>3148</v>
      </c>
      <c r="X110" s="158" t="e">
        <f>+#REF!</f>
        <v>#REF!</v>
      </c>
      <c r="Y110" s="149">
        <v>25830226</v>
      </c>
      <c r="Z110" s="149"/>
      <c r="AA110" s="151">
        <v>301</v>
      </c>
      <c r="AB110" s="157" t="e">
        <f>+#REF!-#REF!</f>
        <v>#REF!</v>
      </c>
      <c r="AC110" s="1199"/>
    </row>
    <row r="111" spans="1:29" ht="25.5" x14ac:dyDescent="0.25">
      <c r="A111" s="1243" t="s">
        <v>2826</v>
      </c>
      <c r="B111" s="1245" t="s">
        <v>2827</v>
      </c>
      <c r="C111" s="1243" t="s">
        <v>2840</v>
      </c>
      <c r="D111" s="1245" t="s">
        <v>434</v>
      </c>
      <c r="E111" s="1243" t="s">
        <v>2870</v>
      </c>
      <c r="F111" s="1245" t="s">
        <v>3149</v>
      </c>
      <c r="G111" s="1262">
        <v>200000000</v>
      </c>
      <c r="H111" s="1203" t="s">
        <v>2876</v>
      </c>
      <c r="I111" s="1203" t="s">
        <v>3216</v>
      </c>
      <c r="J111" s="1281">
        <v>2</v>
      </c>
      <c r="K111" s="2" t="s">
        <v>78</v>
      </c>
      <c r="L111" s="154" t="s">
        <v>79</v>
      </c>
      <c r="M111" s="113"/>
      <c r="N111" s="113"/>
      <c r="O111" s="271"/>
      <c r="P111" s="1265">
        <v>200000000</v>
      </c>
      <c r="Q111" s="1279">
        <v>200000000</v>
      </c>
      <c r="R111" s="1203" t="s">
        <v>2876</v>
      </c>
      <c r="S111" s="1203" t="s">
        <v>3216</v>
      </c>
      <c r="T111" s="1203">
        <v>2</v>
      </c>
      <c r="U111" s="106">
        <v>0</v>
      </c>
      <c r="V111" s="2" t="s">
        <v>78</v>
      </c>
      <c r="W111" s="154" t="s">
        <v>79</v>
      </c>
      <c r="X111" s="158" t="e">
        <f>+#REF!</f>
        <v>#REF!</v>
      </c>
      <c r="Y111" s="149">
        <v>77177498</v>
      </c>
      <c r="Z111" s="149"/>
      <c r="AA111" s="151">
        <v>301</v>
      </c>
      <c r="AB111" s="157" t="e">
        <f>+#REF!-#REF!</f>
        <v>#REF!</v>
      </c>
      <c r="AC111" s="1199"/>
    </row>
    <row r="112" spans="1:29" ht="25.5" x14ac:dyDescent="0.25">
      <c r="A112" s="1244"/>
      <c r="B112" s="1246"/>
      <c r="C112" s="1244"/>
      <c r="D112" s="1246"/>
      <c r="E112" s="1244"/>
      <c r="F112" s="1246"/>
      <c r="G112" s="1277"/>
      <c r="H112" s="1204"/>
      <c r="I112" s="1204"/>
      <c r="J112" s="1282"/>
      <c r="K112" s="335" t="s">
        <v>127</v>
      </c>
      <c r="L112" s="171" t="s">
        <v>128</v>
      </c>
      <c r="M112" s="113">
        <v>8000000</v>
      </c>
      <c r="N112" s="113">
        <v>8000000</v>
      </c>
      <c r="O112" s="271"/>
      <c r="P112" s="1278"/>
      <c r="Q112" s="1280"/>
      <c r="R112" s="1204"/>
      <c r="S112" s="1204"/>
      <c r="T112" s="1204"/>
      <c r="U112" s="102"/>
      <c r="V112" s="254" t="s">
        <v>127</v>
      </c>
      <c r="W112" s="171" t="s">
        <v>128</v>
      </c>
      <c r="X112" s="158" t="e">
        <f>+#REF!</f>
        <v>#REF!</v>
      </c>
      <c r="Y112" s="149">
        <v>42059368</v>
      </c>
      <c r="Z112" s="149"/>
      <c r="AA112" s="199">
        <v>301</v>
      </c>
      <c r="AB112" s="232" t="e">
        <f>+#REF!-#REF!</f>
        <v>#REF!</v>
      </c>
      <c r="AC112" s="1199"/>
    </row>
    <row r="113" spans="1:29" ht="43.5" customHeight="1" x14ac:dyDescent="0.25">
      <c r="A113" s="1209" t="s">
        <v>3410</v>
      </c>
      <c r="B113" s="1209"/>
      <c r="C113" s="1209"/>
      <c r="D113" s="1209"/>
      <c r="E113" s="1209"/>
      <c r="F113" s="1209"/>
      <c r="G113" s="135">
        <f>SUM(G100:G112)</f>
        <v>1075000000</v>
      </c>
      <c r="H113" s="1207"/>
      <c r="I113" s="1208"/>
      <c r="J113" s="1208"/>
      <c r="K113" s="1207"/>
      <c r="L113" s="1208"/>
      <c r="M113" s="341">
        <f>SUM(M100:M112)</f>
        <v>517695517</v>
      </c>
      <c r="N113" s="341">
        <f>SUM(N100:N112)</f>
        <v>284219985</v>
      </c>
      <c r="O113" s="267"/>
      <c r="P113" s="135">
        <f>SUM(P100:P112)</f>
        <v>1200000000</v>
      </c>
      <c r="Q113" s="135"/>
      <c r="R113" s="1207"/>
      <c r="S113" s="1208"/>
      <c r="T113" s="1208"/>
      <c r="U113" s="1217"/>
      <c r="V113" s="1207" t="s">
        <v>3410</v>
      </c>
      <c r="W113" s="1208"/>
      <c r="X113" s="133" t="e">
        <f>SUM(X100:X112)</f>
        <v>#REF!</v>
      </c>
      <c r="Y113" s="133" t="e">
        <f>SUM(Y100:Y112)</f>
        <v>#REF!</v>
      </c>
      <c r="Z113" s="133"/>
      <c r="AA113" s="1209"/>
      <c r="AB113" s="1209"/>
      <c r="AC113" s="1209"/>
    </row>
    <row r="114" spans="1:29" ht="18.75" customHeight="1" x14ac:dyDescent="0.25">
      <c r="A114" s="117"/>
      <c r="B114" s="118"/>
      <c r="C114" s="117"/>
      <c r="D114" s="118"/>
      <c r="E114" s="117"/>
      <c r="F114" s="118"/>
      <c r="G114" s="119"/>
      <c r="H114" s="117"/>
      <c r="I114" s="117"/>
      <c r="J114" s="117"/>
      <c r="K114" s="117"/>
      <c r="L114" s="117"/>
      <c r="M114" s="117"/>
      <c r="N114" s="117"/>
      <c r="O114" s="117"/>
      <c r="P114" s="119"/>
      <c r="Q114" s="119"/>
      <c r="R114" s="117"/>
      <c r="S114" s="117"/>
      <c r="T114" s="117"/>
      <c r="U114" s="121"/>
      <c r="V114" s="233"/>
      <c r="W114" s="224"/>
      <c r="X114" s="225"/>
      <c r="Y114" s="222"/>
      <c r="Z114" s="222"/>
      <c r="AA114" s="164"/>
      <c r="AB114" s="164"/>
      <c r="AC114" s="185"/>
    </row>
    <row r="115" spans="1:29" ht="90" customHeight="1" x14ac:dyDescent="0.25">
      <c r="A115" s="1244" t="s">
        <v>2880</v>
      </c>
      <c r="B115" s="1244" t="s">
        <v>3215</v>
      </c>
      <c r="C115" s="1244" t="s">
        <v>2882</v>
      </c>
      <c r="D115" s="1244" t="s">
        <v>3465</v>
      </c>
      <c r="E115" s="256" t="s">
        <v>2884</v>
      </c>
      <c r="F115" s="259" t="s">
        <v>3261</v>
      </c>
      <c r="G115" s="108">
        <v>25000000</v>
      </c>
      <c r="H115" s="255" t="s">
        <v>2886</v>
      </c>
      <c r="I115" s="258" t="s">
        <v>2887</v>
      </c>
      <c r="J115" s="275">
        <v>0</v>
      </c>
      <c r="K115" s="336" t="s">
        <v>26</v>
      </c>
      <c r="L115" s="165" t="s">
        <v>3262</v>
      </c>
      <c r="M115" s="113">
        <v>1300000</v>
      </c>
      <c r="N115" s="113">
        <v>1300000</v>
      </c>
      <c r="O115" s="271"/>
      <c r="P115" s="284">
        <v>35000000</v>
      </c>
      <c r="Q115" s="108">
        <v>35000000</v>
      </c>
      <c r="R115" s="255" t="s">
        <v>2886</v>
      </c>
      <c r="S115" s="258" t="s">
        <v>2887</v>
      </c>
      <c r="T115" s="255">
        <v>1</v>
      </c>
      <c r="U115" s="252">
        <v>0</v>
      </c>
      <c r="V115" s="255" t="s">
        <v>26</v>
      </c>
      <c r="W115" s="165" t="s">
        <v>3262</v>
      </c>
      <c r="X115" s="167" t="e">
        <f>+#REF!</f>
        <v>#REF!</v>
      </c>
      <c r="Y115" s="149">
        <v>3152088</v>
      </c>
      <c r="Z115" s="149"/>
      <c r="AA115" s="151">
        <v>510</v>
      </c>
      <c r="AB115" s="157" t="e">
        <f>+#REF!-#REF!</f>
        <v>#REF!</v>
      </c>
      <c r="AC115" s="184" t="s">
        <v>3374</v>
      </c>
    </row>
    <row r="116" spans="1:29" ht="90" customHeight="1" x14ac:dyDescent="0.25">
      <c r="A116" s="1260"/>
      <c r="B116" s="1260"/>
      <c r="C116" s="1260"/>
      <c r="D116" s="1260"/>
      <c r="E116" s="2" t="s">
        <v>2884</v>
      </c>
      <c r="F116" s="100" t="s">
        <v>3204</v>
      </c>
      <c r="G116" s="107">
        <v>30000000</v>
      </c>
      <c r="H116" s="249" t="s">
        <v>2890</v>
      </c>
      <c r="I116" s="131" t="s">
        <v>3208</v>
      </c>
      <c r="J116" s="272">
        <v>0</v>
      </c>
      <c r="K116" s="337" t="s">
        <v>37</v>
      </c>
      <c r="L116" s="174" t="s">
        <v>3150</v>
      </c>
      <c r="M116" s="113">
        <v>0</v>
      </c>
      <c r="N116" s="113">
        <v>0</v>
      </c>
      <c r="O116" s="271"/>
      <c r="P116" s="276">
        <v>50000000</v>
      </c>
      <c r="Q116" s="130">
        <v>50000000</v>
      </c>
      <c r="R116" s="249" t="s">
        <v>2890</v>
      </c>
      <c r="S116" s="131" t="s">
        <v>3208</v>
      </c>
      <c r="T116" s="249">
        <v>1</v>
      </c>
      <c r="U116" s="127">
        <v>0</v>
      </c>
      <c r="V116" s="249" t="s">
        <v>37</v>
      </c>
      <c r="W116" s="174" t="s">
        <v>3150</v>
      </c>
      <c r="X116" s="167" t="e">
        <f>+#REF!</f>
        <v>#REF!</v>
      </c>
      <c r="Y116" s="149">
        <v>12850000</v>
      </c>
      <c r="Z116" s="149"/>
      <c r="AA116" s="151">
        <v>510</v>
      </c>
      <c r="AB116" s="157" t="e">
        <f>+#REF!-#REF!</f>
        <v>#REF!</v>
      </c>
      <c r="AC116" s="184" t="s">
        <v>3375</v>
      </c>
    </row>
    <row r="117" spans="1:29" ht="102.75" customHeight="1" x14ac:dyDescent="0.25">
      <c r="A117" s="2" t="s">
        <v>2880</v>
      </c>
      <c r="B117" s="100" t="s">
        <v>3215</v>
      </c>
      <c r="C117" s="2" t="s">
        <v>2892</v>
      </c>
      <c r="D117" s="100" t="s">
        <v>3209</v>
      </c>
      <c r="E117" s="2" t="s">
        <v>2901</v>
      </c>
      <c r="F117" s="100" t="s">
        <v>3153</v>
      </c>
      <c r="G117" s="107">
        <v>100000000</v>
      </c>
      <c r="H117" s="261" t="s">
        <v>2903</v>
      </c>
      <c r="I117" s="131" t="s">
        <v>3210</v>
      </c>
      <c r="J117" s="272">
        <v>10</v>
      </c>
      <c r="K117" s="337" t="s">
        <v>226</v>
      </c>
      <c r="L117" s="174" t="s">
        <v>3154</v>
      </c>
      <c r="M117" s="113"/>
      <c r="N117" s="113"/>
      <c r="O117" s="271"/>
      <c r="P117" s="276">
        <v>100000000</v>
      </c>
      <c r="Q117" s="130">
        <v>100000000</v>
      </c>
      <c r="R117" s="261" t="s">
        <v>2903</v>
      </c>
      <c r="S117" s="131" t="s">
        <v>3210</v>
      </c>
      <c r="T117" s="249">
        <v>10</v>
      </c>
      <c r="U117" s="127">
        <v>0</v>
      </c>
      <c r="V117" s="249" t="s">
        <v>226</v>
      </c>
      <c r="W117" s="174" t="s">
        <v>3154</v>
      </c>
      <c r="X117" s="167" t="e">
        <f>+#REF!</f>
        <v>#REF!</v>
      </c>
      <c r="Y117" s="149" t="e">
        <f>+#REF!</f>
        <v>#REF!</v>
      </c>
      <c r="Z117" s="149"/>
      <c r="AA117" s="151">
        <v>111</v>
      </c>
      <c r="AB117" s="157" t="e">
        <f>+#REF!-#REF!</f>
        <v>#REF!</v>
      </c>
      <c r="AC117" s="184" t="s">
        <v>3359</v>
      </c>
    </row>
    <row r="118" spans="1:29" ht="102" x14ac:dyDescent="0.25">
      <c r="A118" s="335" t="s">
        <v>2880</v>
      </c>
      <c r="B118" s="339" t="s">
        <v>3215</v>
      </c>
      <c r="C118" s="335" t="s">
        <v>2892</v>
      </c>
      <c r="D118" s="339" t="s">
        <v>3209</v>
      </c>
      <c r="E118" s="335" t="s">
        <v>2901</v>
      </c>
      <c r="F118" s="339" t="s">
        <v>3155</v>
      </c>
      <c r="G118" s="116">
        <v>0</v>
      </c>
      <c r="H118" s="354" t="s">
        <v>2906</v>
      </c>
      <c r="I118" s="347" t="s">
        <v>2907</v>
      </c>
      <c r="J118" s="342">
        <v>0</v>
      </c>
      <c r="K118" s="337" t="s">
        <v>228</v>
      </c>
      <c r="L118" s="174" t="s">
        <v>3156</v>
      </c>
      <c r="M118" s="113"/>
      <c r="N118" s="113"/>
      <c r="O118" s="271"/>
      <c r="P118" s="344">
        <v>0</v>
      </c>
      <c r="Q118" s="343">
        <v>0</v>
      </c>
      <c r="R118" s="354" t="s">
        <v>2906</v>
      </c>
      <c r="S118" s="347" t="s">
        <v>2907</v>
      </c>
      <c r="T118" s="249">
        <v>1</v>
      </c>
      <c r="U118" s="127">
        <v>0</v>
      </c>
      <c r="V118" s="249" t="s">
        <v>228</v>
      </c>
      <c r="W118" s="174" t="s">
        <v>3156</v>
      </c>
      <c r="X118" s="167" t="e">
        <f>+#REF!</f>
        <v>#REF!</v>
      </c>
      <c r="Y118" s="149" t="e">
        <f>+#REF!</f>
        <v>#REF!</v>
      </c>
      <c r="Z118" s="283"/>
      <c r="AA118" s="151">
        <v>111</v>
      </c>
      <c r="AB118" s="157" t="e">
        <f>+#REF!-#REF!</f>
        <v>#REF!</v>
      </c>
      <c r="AC118" s="184" t="s">
        <v>3359</v>
      </c>
    </row>
    <row r="119" spans="1:29" ht="63" customHeight="1" x14ac:dyDescent="0.25">
      <c r="A119" s="1209" t="s">
        <v>2880</v>
      </c>
      <c r="B119" s="1209" t="s">
        <v>3215</v>
      </c>
      <c r="C119" s="1209" t="s">
        <v>2892</v>
      </c>
      <c r="D119" s="1209" t="s">
        <v>3209</v>
      </c>
      <c r="E119" s="1209" t="s">
        <v>2901</v>
      </c>
      <c r="F119" s="1209" t="s">
        <v>3157</v>
      </c>
      <c r="G119" s="1214">
        <v>400000000</v>
      </c>
      <c r="H119" s="1247" t="s">
        <v>2909</v>
      </c>
      <c r="I119" s="1209" t="s">
        <v>3211</v>
      </c>
      <c r="J119" s="1209">
        <v>10</v>
      </c>
      <c r="K119" s="109" t="s">
        <v>132</v>
      </c>
      <c r="L119" s="154" t="s">
        <v>133</v>
      </c>
      <c r="M119" s="113"/>
      <c r="N119" s="113"/>
      <c r="O119" s="271"/>
      <c r="P119" s="1214">
        <v>400000000</v>
      </c>
      <c r="Q119" s="351">
        <v>400000000</v>
      </c>
      <c r="R119" s="1247" t="s">
        <v>2909</v>
      </c>
      <c r="S119" s="1209" t="s">
        <v>3211</v>
      </c>
      <c r="T119" s="1203">
        <v>10</v>
      </c>
      <c r="U119" s="106">
        <v>0</v>
      </c>
      <c r="V119" s="2" t="s">
        <v>132</v>
      </c>
      <c r="W119" s="154" t="s">
        <v>133</v>
      </c>
      <c r="X119" s="167" t="e">
        <f>+#REF!</f>
        <v>#REF!</v>
      </c>
      <c r="Y119" s="149">
        <v>0</v>
      </c>
      <c r="Z119" s="149"/>
      <c r="AA119" s="151">
        <v>211</v>
      </c>
      <c r="AB119" s="157" t="e">
        <f>+#REF!-#REF!</f>
        <v>#REF!</v>
      </c>
      <c r="AC119" s="184" t="s">
        <v>3384</v>
      </c>
    </row>
    <row r="120" spans="1:29" ht="89.25" customHeight="1" x14ac:dyDescent="0.25">
      <c r="A120" s="1209"/>
      <c r="B120" s="1209"/>
      <c r="C120" s="1209"/>
      <c r="D120" s="1209"/>
      <c r="E120" s="1209"/>
      <c r="F120" s="1209"/>
      <c r="G120" s="1214"/>
      <c r="H120" s="1247"/>
      <c r="I120" s="1209"/>
      <c r="J120" s="1209"/>
      <c r="K120" s="109" t="s">
        <v>139</v>
      </c>
      <c r="L120" s="154" t="s">
        <v>140</v>
      </c>
      <c r="M120" s="113"/>
      <c r="N120" s="113"/>
      <c r="O120" s="271"/>
      <c r="P120" s="1214"/>
      <c r="Q120" s="352"/>
      <c r="R120" s="1247"/>
      <c r="S120" s="1209"/>
      <c r="T120" s="1204"/>
      <c r="U120" s="126"/>
      <c r="V120" s="2" t="s">
        <v>139</v>
      </c>
      <c r="W120" s="154" t="s">
        <v>140</v>
      </c>
      <c r="X120" s="167" t="e">
        <f>+#REF!</f>
        <v>#REF!</v>
      </c>
      <c r="Y120" s="149" t="e">
        <f>+#REF!</f>
        <v>#REF!</v>
      </c>
      <c r="Z120" s="149"/>
      <c r="AA120" s="151">
        <v>211</v>
      </c>
      <c r="AB120" s="157" t="e">
        <f>+#REF!-#REF!</f>
        <v>#REF!</v>
      </c>
      <c r="AC120" s="184" t="s">
        <v>3376</v>
      </c>
    </row>
    <row r="121" spans="1:29" ht="87" customHeight="1" x14ac:dyDescent="0.25">
      <c r="A121" s="1209"/>
      <c r="B121" s="1209"/>
      <c r="C121" s="1209"/>
      <c r="D121" s="1209"/>
      <c r="E121" s="1209"/>
      <c r="F121" s="1209"/>
      <c r="G121" s="1214"/>
      <c r="H121" s="1247"/>
      <c r="I121" s="1209"/>
      <c r="J121" s="1209"/>
      <c r="K121" s="109" t="s">
        <v>151</v>
      </c>
      <c r="L121" s="154" t="s">
        <v>152</v>
      </c>
      <c r="M121" s="113"/>
      <c r="N121" s="113"/>
      <c r="O121" s="271"/>
      <c r="P121" s="1214"/>
      <c r="Q121" s="352"/>
      <c r="R121" s="1247"/>
      <c r="S121" s="1209"/>
      <c r="T121" s="1204"/>
      <c r="U121" s="126"/>
      <c r="V121" s="2" t="s">
        <v>151</v>
      </c>
      <c r="W121" s="154" t="s">
        <v>152</v>
      </c>
      <c r="X121" s="167" t="e">
        <f>+#REF!</f>
        <v>#REF!</v>
      </c>
      <c r="Y121" s="149" t="e">
        <f>+#REF!</f>
        <v>#REF!</v>
      </c>
      <c r="Z121" s="149"/>
      <c r="AA121" s="151">
        <v>211</v>
      </c>
      <c r="AB121" s="157" t="e">
        <f>+#REF!-#REF!</f>
        <v>#REF!</v>
      </c>
      <c r="AC121" s="184" t="s">
        <v>3379</v>
      </c>
    </row>
    <row r="122" spans="1:29" ht="66" customHeight="1" x14ac:dyDescent="0.25">
      <c r="A122" s="1209"/>
      <c r="B122" s="1209"/>
      <c r="C122" s="1209"/>
      <c r="D122" s="1209"/>
      <c r="E122" s="1209"/>
      <c r="F122" s="1209"/>
      <c r="G122" s="1214"/>
      <c r="H122" s="1247"/>
      <c r="I122" s="1209"/>
      <c r="J122" s="1209"/>
      <c r="K122" s="109" t="s">
        <v>161</v>
      </c>
      <c r="L122" s="154" t="s">
        <v>162</v>
      </c>
      <c r="M122" s="113"/>
      <c r="N122" s="113"/>
      <c r="O122" s="271"/>
      <c r="P122" s="1214"/>
      <c r="Q122" s="352"/>
      <c r="R122" s="1247"/>
      <c r="S122" s="1209"/>
      <c r="T122" s="1204"/>
      <c r="U122" s="126"/>
      <c r="V122" s="2" t="s">
        <v>161</v>
      </c>
      <c r="W122" s="154" t="s">
        <v>162</v>
      </c>
      <c r="X122" s="167" t="e">
        <f>+#REF!</f>
        <v>#REF!</v>
      </c>
      <c r="Y122" s="149" t="e">
        <f>+#REF!</f>
        <v>#REF!</v>
      </c>
      <c r="Z122" s="149"/>
      <c r="AA122" s="151">
        <v>211</v>
      </c>
      <c r="AB122" s="157" t="e">
        <f>+#REF!-#REF!</f>
        <v>#REF!</v>
      </c>
      <c r="AC122" s="184" t="s">
        <v>3382</v>
      </c>
    </row>
    <row r="123" spans="1:29" ht="89.25" customHeight="1" x14ac:dyDescent="0.25">
      <c r="A123" s="1209"/>
      <c r="B123" s="1209"/>
      <c r="C123" s="1209"/>
      <c r="D123" s="1209"/>
      <c r="E123" s="1209"/>
      <c r="F123" s="1209"/>
      <c r="G123" s="1214"/>
      <c r="H123" s="1247"/>
      <c r="I123" s="1209"/>
      <c r="J123" s="1209"/>
      <c r="K123" s="109" t="s">
        <v>169</v>
      </c>
      <c r="L123" s="154" t="s">
        <v>3214</v>
      </c>
      <c r="M123" s="113"/>
      <c r="N123" s="113"/>
      <c r="O123" s="271"/>
      <c r="P123" s="1214"/>
      <c r="Q123" s="352"/>
      <c r="R123" s="1247"/>
      <c r="S123" s="1209"/>
      <c r="T123" s="1204"/>
      <c r="U123" s="126"/>
      <c r="V123" s="2" t="s">
        <v>169</v>
      </c>
      <c r="W123" s="154" t="s">
        <v>3214</v>
      </c>
      <c r="X123" s="167" t="e">
        <f>+#REF!</f>
        <v>#REF!</v>
      </c>
      <c r="Y123" s="149">
        <v>11744000</v>
      </c>
      <c r="Z123" s="149"/>
      <c r="AA123" s="151">
        <v>211</v>
      </c>
      <c r="AB123" s="157" t="e">
        <f>+#REF!-#REF!</f>
        <v>#REF!</v>
      </c>
      <c r="AC123" s="184" t="s">
        <v>3383</v>
      </c>
    </row>
    <row r="124" spans="1:29" ht="63.75" customHeight="1" x14ac:dyDescent="0.25">
      <c r="A124" s="1259" t="s">
        <v>2880</v>
      </c>
      <c r="B124" s="1259" t="s">
        <v>3215</v>
      </c>
      <c r="C124" s="1259" t="s">
        <v>2892</v>
      </c>
      <c r="D124" s="1259" t="s">
        <v>3209</v>
      </c>
      <c r="E124" s="1259" t="s">
        <v>2901</v>
      </c>
      <c r="F124" s="1259" t="s">
        <v>3157</v>
      </c>
      <c r="G124" s="1325"/>
      <c r="H124" s="1254" t="s">
        <v>2909</v>
      </c>
      <c r="I124" s="1203" t="s">
        <v>3211</v>
      </c>
      <c r="J124" s="1248"/>
      <c r="K124" s="2" t="s">
        <v>177</v>
      </c>
      <c r="L124" s="154" t="s">
        <v>3158</v>
      </c>
      <c r="M124" s="113">
        <v>35000000</v>
      </c>
      <c r="N124" s="113">
        <v>0</v>
      </c>
      <c r="O124" s="271"/>
      <c r="P124" s="1251"/>
      <c r="Q124" s="352"/>
      <c r="R124" s="1254" t="s">
        <v>2909</v>
      </c>
      <c r="S124" s="1203" t="s">
        <v>3211</v>
      </c>
      <c r="T124" s="1204"/>
      <c r="U124" s="126"/>
      <c r="V124" s="2" t="s">
        <v>177</v>
      </c>
      <c r="W124" s="154" t="s">
        <v>3158</v>
      </c>
      <c r="X124" s="167" t="e">
        <f>+#REF!</f>
        <v>#REF!</v>
      </c>
      <c r="Y124" s="149" t="e">
        <f>+#REF!</f>
        <v>#REF!</v>
      </c>
      <c r="Z124" s="149"/>
      <c r="AA124" s="151">
        <v>211</v>
      </c>
      <c r="AB124" s="157" t="e">
        <f>+#REF!-#REF!</f>
        <v>#REF!</v>
      </c>
      <c r="AC124" s="184" t="s">
        <v>3381</v>
      </c>
    </row>
    <row r="125" spans="1:29" ht="67.5" customHeight="1" x14ac:dyDescent="0.25">
      <c r="A125" s="1244"/>
      <c r="B125" s="1244"/>
      <c r="C125" s="1244"/>
      <c r="D125" s="1244"/>
      <c r="E125" s="1244"/>
      <c r="F125" s="1244"/>
      <c r="G125" s="1326"/>
      <c r="H125" s="1255"/>
      <c r="I125" s="1204"/>
      <c r="J125" s="1249"/>
      <c r="K125" s="2" t="s">
        <v>185</v>
      </c>
      <c r="L125" s="154" t="s">
        <v>3212</v>
      </c>
      <c r="M125" s="113"/>
      <c r="N125" s="113"/>
      <c r="O125" s="271"/>
      <c r="P125" s="1252"/>
      <c r="Q125" s="352"/>
      <c r="R125" s="1255"/>
      <c r="S125" s="1204"/>
      <c r="T125" s="1204"/>
      <c r="U125" s="126"/>
      <c r="V125" s="2" t="s">
        <v>185</v>
      </c>
      <c r="W125" s="154" t="s">
        <v>3212</v>
      </c>
      <c r="X125" s="167" t="e">
        <f>+#REF!</f>
        <v>#REF!</v>
      </c>
      <c r="Y125" s="149" t="e">
        <f>+#REF!</f>
        <v>#REF!</v>
      </c>
      <c r="Z125" s="149"/>
      <c r="AA125" s="151">
        <v>211</v>
      </c>
      <c r="AB125" s="157" t="e">
        <f>+#REF!-#REF!</f>
        <v>#REF!</v>
      </c>
      <c r="AC125" s="184" t="s">
        <v>3378</v>
      </c>
    </row>
    <row r="126" spans="1:29" ht="63" customHeight="1" x14ac:dyDescent="0.25">
      <c r="A126" s="1244"/>
      <c r="B126" s="1244"/>
      <c r="C126" s="1244"/>
      <c r="D126" s="1244"/>
      <c r="E126" s="1244"/>
      <c r="F126" s="1244"/>
      <c r="G126" s="1326"/>
      <c r="H126" s="1255"/>
      <c r="I126" s="1204"/>
      <c r="J126" s="1249"/>
      <c r="K126" s="2" t="s">
        <v>101</v>
      </c>
      <c r="L126" s="154" t="s">
        <v>102</v>
      </c>
      <c r="M126" s="113"/>
      <c r="N126" s="113"/>
      <c r="O126" s="271"/>
      <c r="P126" s="1252"/>
      <c r="Q126" s="352"/>
      <c r="R126" s="1255"/>
      <c r="S126" s="1204"/>
      <c r="T126" s="1204"/>
      <c r="U126" s="126"/>
      <c r="V126" s="2" t="s">
        <v>101</v>
      </c>
      <c r="W126" s="154" t="s">
        <v>102</v>
      </c>
      <c r="X126" s="167" t="e">
        <f>+#REF!</f>
        <v>#REF!</v>
      </c>
      <c r="Y126" s="149" t="e">
        <f>+#REF!</f>
        <v>#REF!</v>
      </c>
      <c r="Z126" s="149"/>
      <c r="AA126" s="151">
        <v>211</v>
      </c>
      <c r="AB126" s="157" t="e">
        <f>+#REF!-#REF!</f>
        <v>#REF!</v>
      </c>
      <c r="AC126" s="184" t="s">
        <v>3380</v>
      </c>
    </row>
    <row r="127" spans="1:29" ht="52.5" customHeight="1" x14ac:dyDescent="0.25">
      <c r="A127" s="1244"/>
      <c r="B127" s="1244"/>
      <c r="C127" s="1244"/>
      <c r="D127" s="1244"/>
      <c r="E127" s="1244"/>
      <c r="F127" s="1244"/>
      <c r="G127" s="1326"/>
      <c r="H127" s="1255"/>
      <c r="I127" s="1204"/>
      <c r="J127" s="1249"/>
      <c r="K127" s="2" t="s">
        <v>99</v>
      </c>
      <c r="L127" s="154" t="s">
        <v>3213</v>
      </c>
      <c r="M127" s="113"/>
      <c r="N127" s="113"/>
      <c r="O127" s="271"/>
      <c r="P127" s="1252"/>
      <c r="Q127" s="352"/>
      <c r="R127" s="1255"/>
      <c r="S127" s="1204"/>
      <c r="T127" s="1204"/>
      <c r="U127" s="126"/>
      <c r="V127" s="2" t="s">
        <v>99</v>
      </c>
      <c r="W127" s="154" t="s">
        <v>3213</v>
      </c>
      <c r="X127" s="167" t="e">
        <f>+#REF!</f>
        <v>#REF!</v>
      </c>
      <c r="Y127" s="149" t="e">
        <f>+#REF!</f>
        <v>#REF!</v>
      </c>
      <c r="Z127" s="149"/>
      <c r="AA127" s="151">
        <v>211</v>
      </c>
      <c r="AB127" s="157" t="e">
        <f>+#REF!-#REF!</f>
        <v>#REF!</v>
      </c>
      <c r="AC127" s="184" t="s">
        <v>3380</v>
      </c>
    </row>
    <row r="128" spans="1:29" ht="60.75" customHeight="1" x14ac:dyDescent="0.25">
      <c r="A128" s="1260"/>
      <c r="B128" s="1260"/>
      <c r="C128" s="1260"/>
      <c r="D128" s="1260"/>
      <c r="E128" s="1260"/>
      <c r="F128" s="1260"/>
      <c r="G128" s="1327"/>
      <c r="H128" s="1256"/>
      <c r="I128" s="1210"/>
      <c r="J128" s="1250"/>
      <c r="K128" s="2" t="s">
        <v>103</v>
      </c>
      <c r="L128" s="154" t="s">
        <v>104</v>
      </c>
      <c r="M128" s="113"/>
      <c r="N128" s="113"/>
      <c r="O128" s="271"/>
      <c r="P128" s="1253"/>
      <c r="Q128" s="348"/>
      <c r="R128" s="1256"/>
      <c r="S128" s="1210"/>
      <c r="T128" s="1210"/>
      <c r="U128" s="102"/>
      <c r="V128" s="2" t="s">
        <v>103</v>
      </c>
      <c r="W128" s="154" t="s">
        <v>104</v>
      </c>
      <c r="X128" s="167" t="e">
        <f>+#REF!</f>
        <v>#REF!</v>
      </c>
      <c r="Y128" s="149" t="e">
        <f>+#REF!</f>
        <v>#REF!</v>
      </c>
      <c r="Z128" s="149"/>
      <c r="AA128" s="151">
        <v>211</v>
      </c>
      <c r="AB128" s="157" t="e">
        <f>+#REF!-#REF!</f>
        <v>#REF!</v>
      </c>
      <c r="AC128" s="184" t="s">
        <v>3377</v>
      </c>
    </row>
    <row r="129" spans="1:29" ht="102" x14ac:dyDescent="0.25">
      <c r="A129" s="2" t="s">
        <v>2880</v>
      </c>
      <c r="B129" s="100" t="s">
        <v>3215</v>
      </c>
      <c r="C129" s="2" t="s">
        <v>2892</v>
      </c>
      <c r="D129" s="100" t="s">
        <v>3209</v>
      </c>
      <c r="E129" s="2" t="s">
        <v>2901</v>
      </c>
      <c r="F129" s="100" t="s">
        <v>3159</v>
      </c>
      <c r="G129" s="107">
        <v>50000000</v>
      </c>
      <c r="H129" s="176" t="s">
        <v>2918</v>
      </c>
      <c r="I129" s="259" t="s">
        <v>2919</v>
      </c>
      <c r="J129" s="256">
        <v>0</v>
      </c>
      <c r="K129" s="2" t="s">
        <v>360</v>
      </c>
      <c r="L129" s="154" t="s">
        <v>361</v>
      </c>
      <c r="M129" s="113"/>
      <c r="N129" s="113"/>
      <c r="O129" s="256"/>
      <c r="P129" s="338">
        <v>100000000</v>
      </c>
      <c r="Q129" s="338">
        <v>100000000</v>
      </c>
      <c r="R129" s="176" t="s">
        <v>2918</v>
      </c>
      <c r="S129" s="259" t="s">
        <v>2919</v>
      </c>
      <c r="T129" s="256">
        <v>1</v>
      </c>
      <c r="U129" s="101">
        <v>0</v>
      </c>
      <c r="V129" s="2" t="s">
        <v>360</v>
      </c>
      <c r="W129" s="154" t="s">
        <v>361</v>
      </c>
      <c r="X129" s="167" t="e">
        <f>+#REF!</f>
        <v>#REF!</v>
      </c>
      <c r="Y129" s="149" t="e">
        <f>+#REF!</f>
        <v>#REF!</v>
      </c>
      <c r="Z129" s="149"/>
      <c r="AA129" s="151">
        <v>211</v>
      </c>
      <c r="AB129" s="157" t="e">
        <f>+#REF!-#REF!</f>
        <v>#REF!</v>
      </c>
      <c r="AC129" s="184" t="s">
        <v>3353</v>
      </c>
    </row>
    <row r="130" spans="1:29" ht="102" x14ac:dyDescent="0.25">
      <c r="A130" s="2" t="s">
        <v>2880</v>
      </c>
      <c r="B130" s="100" t="s">
        <v>3215</v>
      </c>
      <c r="C130" s="2" t="s">
        <v>2892</v>
      </c>
      <c r="D130" s="100" t="s">
        <v>3209</v>
      </c>
      <c r="E130" s="2" t="s">
        <v>2901</v>
      </c>
      <c r="F130" s="100" t="s">
        <v>3160</v>
      </c>
      <c r="G130" s="107">
        <v>50000000</v>
      </c>
      <c r="H130" s="177" t="s">
        <v>2921</v>
      </c>
      <c r="I130" s="100" t="s">
        <v>3270</v>
      </c>
      <c r="J130" s="2">
        <v>0</v>
      </c>
      <c r="K130" s="2" t="s">
        <v>364</v>
      </c>
      <c r="L130" s="154" t="s">
        <v>3161</v>
      </c>
      <c r="M130" s="113">
        <v>15376647</v>
      </c>
      <c r="N130" s="113">
        <v>14929584</v>
      </c>
      <c r="O130" s="274"/>
      <c r="P130" s="107">
        <v>150000000</v>
      </c>
      <c r="Q130" s="107">
        <v>150000000</v>
      </c>
      <c r="R130" s="177" t="s">
        <v>2921</v>
      </c>
      <c r="S130" s="100" t="s">
        <v>3466</v>
      </c>
      <c r="T130" s="2">
        <v>1</v>
      </c>
      <c r="U130" s="101">
        <v>0</v>
      </c>
      <c r="V130" s="2" t="s">
        <v>364</v>
      </c>
      <c r="W130" s="154" t="s">
        <v>3161</v>
      </c>
      <c r="X130" s="167" t="e">
        <f>+#REF!</f>
        <v>#REF!</v>
      </c>
      <c r="Y130" s="149">
        <v>6836665</v>
      </c>
      <c r="Z130" s="149"/>
      <c r="AA130" s="151">
        <v>510</v>
      </c>
      <c r="AB130" s="157" t="e">
        <f>+#REF!-#REF!</f>
        <v>#REF!</v>
      </c>
      <c r="AC130" s="184" t="s">
        <v>3353</v>
      </c>
    </row>
    <row r="131" spans="1:29" ht="38.25" x14ac:dyDescent="0.25">
      <c r="A131" s="1243" t="s">
        <v>2880</v>
      </c>
      <c r="B131" s="1245" t="s">
        <v>3215</v>
      </c>
      <c r="C131" s="1243" t="s">
        <v>2892</v>
      </c>
      <c r="D131" s="1245" t="s">
        <v>3209</v>
      </c>
      <c r="E131" s="1243" t="s">
        <v>2894</v>
      </c>
      <c r="F131" s="1245" t="s">
        <v>3263</v>
      </c>
      <c r="G131" s="1262">
        <v>600000000</v>
      </c>
      <c r="H131" s="1247" t="s">
        <v>2896</v>
      </c>
      <c r="I131" s="1209" t="s">
        <v>3343</v>
      </c>
      <c r="J131" s="1209">
        <v>50</v>
      </c>
      <c r="K131" s="2" t="s">
        <v>39</v>
      </c>
      <c r="L131" s="154" t="s">
        <v>40</v>
      </c>
      <c r="M131" s="113">
        <v>153569675</v>
      </c>
      <c r="N131" s="113">
        <v>144720628</v>
      </c>
      <c r="O131" s="271"/>
      <c r="P131" s="1265">
        <v>1000000000</v>
      </c>
      <c r="Q131" s="1268">
        <v>1000000000</v>
      </c>
      <c r="R131" s="1247" t="s">
        <v>2896</v>
      </c>
      <c r="S131" s="1209" t="s">
        <v>3343</v>
      </c>
      <c r="T131" s="1209">
        <v>50</v>
      </c>
      <c r="U131" s="106">
        <v>0</v>
      </c>
      <c r="V131" s="2" t="s">
        <v>39</v>
      </c>
      <c r="W131" s="154" t="s">
        <v>40</v>
      </c>
      <c r="X131" s="167" t="e">
        <f>+#REF!</f>
        <v>#REF!</v>
      </c>
      <c r="Y131" s="149">
        <v>115104744</v>
      </c>
      <c r="Z131" s="149"/>
      <c r="AA131" s="151">
        <v>211</v>
      </c>
      <c r="AB131" s="157" t="e">
        <f>+#REF!-#REF!</f>
        <v>#REF!</v>
      </c>
      <c r="AC131" s="1205" t="s">
        <v>3375</v>
      </c>
    </row>
    <row r="132" spans="1:29" ht="25.5" x14ac:dyDescent="0.25">
      <c r="A132" s="1244"/>
      <c r="B132" s="1246"/>
      <c r="C132" s="1244"/>
      <c r="D132" s="1246"/>
      <c r="E132" s="1244"/>
      <c r="F132" s="1246"/>
      <c r="G132" s="1263"/>
      <c r="H132" s="1247"/>
      <c r="I132" s="1209"/>
      <c r="J132" s="1209"/>
      <c r="K132" s="2" t="s">
        <v>33</v>
      </c>
      <c r="L132" s="154" t="s">
        <v>3152</v>
      </c>
      <c r="M132" s="113">
        <v>450996000</v>
      </c>
      <c r="N132" s="113">
        <v>261980256</v>
      </c>
      <c r="O132" s="271"/>
      <c r="P132" s="1266"/>
      <c r="Q132" s="1269"/>
      <c r="R132" s="1247"/>
      <c r="S132" s="1209"/>
      <c r="T132" s="1209"/>
      <c r="U132" s="102"/>
      <c r="V132" s="2" t="s">
        <v>33</v>
      </c>
      <c r="W132" s="154" t="s">
        <v>3152</v>
      </c>
      <c r="X132" s="167" t="e">
        <f>+#REF!</f>
        <v>#REF!</v>
      </c>
      <c r="Y132" s="149">
        <v>0</v>
      </c>
      <c r="Z132" s="149"/>
      <c r="AA132" s="151">
        <v>211</v>
      </c>
      <c r="AB132" s="157" t="e">
        <f>+#REF!-#REF!</f>
        <v>#REF!</v>
      </c>
      <c r="AC132" s="1199"/>
    </row>
    <row r="133" spans="1:29" ht="38.25" x14ac:dyDescent="0.25">
      <c r="A133" s="1260"/>
      <c r="B133" s="1261"/>
      <c r="C133" s="1260"/>
      <c r="D133" s="1261"/>
      <c r="E133" s="1260"/>
      <c r="F133" s="1261"/>
      <c r="G133" s="1264"/>
      <c r="H133" s="1247"/>
      <c r="I133" s="1209"/>
      <c r="J133" s="1209"/>
      <c r="K133" s="335" t="s">
        <v>35</v>
      </c>
      <c r="L133" s="171" t="s">
        <v>3151</v>
      </c>
      <c r="M133" s="113"/>
      <c r="N133" s="113"/>
      <c r="O133" s="271"/>
      <c r="P133" s="1267"/>
      <c r="Q133" s="1270"/>
      <c r="R133" s="1247"/>
      <c r="S133" s="1209"/>
      <c r="T133" s="1209"/>
      <c r="U133" s="103"/>
      <c r="V133" s="254" t="s">
        <v>35</v>
      </c>
      <c r="W133" s="171" t="s">
        <v>3151</v>
      </c>
      <c r="X133" s="167" t="e">
        <f>+#REF!</f>
        <v>#REF!</v>
      </c>
      <c r="Y133" s="149">
        <v>23418092</v>
      </c>
      <c r="Z133" s="149"/>
      <c r="AA133" s="199">
        <v>211</v>
      </c>
      <c r="AB133" s="232" t="e">
        <f>+#REF!-#REF!</f>
        <v>#REF!</v>
      </c>
      <c r="AC133" s="1199"/>
    </row>
    <row r="134" spans="1:29" ht="32.25" customHeight="1" x14ac:dyDescent="0.25">
      <c r="A134" s="1209" t="s">
        <v>3411</v>
      </c>
      <c r="B134" s="1209"/>
      <c r="C134" s="1209"/>
      <c r="D134" s="1209"/>
      <c r="E134" s="1209"/>
      <c r="F134" s="1209"/>
      <c r="G134" s="135">
        <f>SUM(G115:G133)</f>
        <v>1255000000</v>
      </c>
      <c r="H134" s="1207"/>
      <c r="I134" s="1208"/>
      <c r="J134" s="1208"/>
      <c r="K134" s="1207"/>
      <c r="L134" s="1208"/>
      <c r="M134" s="341">
        <f>SUM(M115:M133)</f>
        <v>656242322</v>
      </c>
      <c r="N134" s="341">
        <f>SUM(N115:N133)</f>
        <v>422930468</v>
      </c>
      <c r="O134" s="267"/>
      <c r="P134" s="135">
        <f>SUM(P115:P133)</f>
        <v>1835000000</v>
      </c>
      <c r="Q134" s="135"/>
      <c r="R134" s="1207"/>
      <c r="S134" s="1208"/>
      <c r="T134" s="1208"/>
      <c r="U134" s="1217"/>
      <c r="V134" s="1207"/>
      <c r="W134" s="1208"/>
      <c r="X134" s="133" t="e">
        <f>SUM(X115:X133)</f>
        <v>#REF!</v>
      </c>
      <c r="Y134" s="133" t="e">
        <f>SUM(Y115:Y133)</f>
        <v>#REF!</v>
      </c>
      <c r="Z134" s="133"/>
      <c r="AA134" s="1209"/>
      <c r="AB134" s="1209"/>
      <c r="AC134" s="1209"/>
    </row>
    <row r="135" spans="1:29" ht="20.25" customHeight="1" x14ac:dyDescent="0.25">
      <c r="A135" s="1215"/>
      <c r="B135" s="1215"/>
      <c r="C135" s="1215"/>
      <c r="D135" s="1215"/>
      <c r="E135" s="1215"/>
      <c r="F135" s="1215"/>
      <c r="G135" s="281"/>
      <c r="H135" s="1216"/>
      <c r="I135" s="1216"/>
      <c r="J135" s="1216"/>
      <c r="K135" s="279"/>
      <c r="L135" s="279"/>
      <c r="M135" s="279"/>
      <c r="N135" s="279"/>
      <c r="O135" s="279"/>
      <c r="P135" s="281"/>
      <c r="Q135" s="281"/>
      <c r="R135" s="1216"/>
      <c r="S135" s="1216"/>
      <c r="T135" s="1216"/>
      <c r="U135" s="280"/>
      <c r="V135" s="1215"/>
      <c r="W135" s="1215"/>
      <c r="X135" s="1215"/>
      <c r="Y135" s="1215"/>
      <c r="Z135" s="1215"/>
      <c r="AA135" s="1215"/>
      <c r="AB135" s="282"/>
      <c r="AC135" s="282"/>
    </row>
    <row r="136" spans="1:29" ht="15" customHeight="1" x14ac:dyDescent="0.25">
      <c r="A136" s="1209" t="s">
        <v>622</v>
      </c>
      <c r="B136" s="1209"/>
      <c r="C136" s="1209"/>
      <c r="D136" s="1209"/>
      <c r="E136" s="1209"/>
      <c r="F136" s="1209"/>
      <c r="G136" s="135">
        <f>+G134+G113+G98+G93+G54+G21+G9</f>
        <v>13293000000</v>
      </c>
      <c r="H136" s="1207"/>
      <c r="I136" s="1208"/>
      <c r="J136" s="1208"/>
      <c r="K136" s="1207"/>
      <c r="L136" s="1208"/>
      <c r="M136" s="133"/>
      <c r="N136" s="133"/>
      <c r="O136" s="267"/>
      <c r="P136" s="341">
        <f>+P134+P113+P98+P93+P54+P21+P9</f>
        <v>14034000000</v>
      </c>
      <c r="Q136" s="135">
        <f>SUM(Q4:Q133)</f>
        <v>23079000000</v>
      </c>
      <c r="R136" s="1207"/>
      <c r="S136" s="1208"/>
      <c r="T136" s="1208"/>
      <c r="U136" s="1217"/>
      <c r="V136" s="1207" t="s">
        <v>622</v>
      </c>
      <c r="W136" s="1208"/>
      <c r="X136" s="341" t="e">
        <f>+X134+X113+X98+X93+X54+X21+X9</f>
        <v>#REF!</v>
      </c>
      <c r="Y136" s="341" t="e">
        <f>+Y134+Y113+Y98+Y93+Y54+Y21+Y9</f>
        <v>#REF!</v>
      </c>
      <c r="Z136" s="133"/>
      <c r="AA136" s="1209"/>
      <c r="AB136" s="1209" t="e">
        <f>+#REF!-#REF!</f>
        <v>#REF!</v>
      </c>
      <c r="AC136" s="1209"/>
    </row>
    <row r="137" spans="1:29" ht="15" customHeight="1" x14ac:dyDescent="0.25">
      <c r="A137" s="181"/>
      <c r="B137" s="181"/>
      <c r="C137" s="181"/>
      <c r="D137" s="181"/>
      <c r="E137" s="181"/>
      <c r="F137" s="181"/>
      <c r="G137" s="122"/>
      <c r="H137" s="122"/>
      <c r="I137" s="122"/>
      <c r="J137" s="122"/>
      <c r="K137" s="122"/>
      <c r="L137" s="122"/>
      <c r="M137" s="122"/>
      <c r="N137" s="122"/>
      <c r="O137" s="122"/>
      <c r="P137" s="122"/>
      <c r="Q137" s="122"/>
      <c r="R137" s="119"/>
      <c r="S137" s="119"/>
      <c r="T137" s="119"/>
      <c r="U137" s="119"/>
      <c r="V137" s="118"/>
      <c r="W137" s="118"/>
      <c r="X137" s="122"/>
      <c r="Y137" s="122"/>
      <c r="Z137" s="122"/>
      <c r="AA137" s="123"/>
      <c r="AB137" s="123"/>
      <c r="AC137" s="123"/>
    </row>
    <row r="138" spans="1:29" ht="27" customHeight="1" x14ac:dyDescent="0.25">
      <c r="A138" s="1274" t="s">
        <v>3302</v>
      </c>
      <c r="B138" s="1275"/>
      <c r="C138" s="1275"/>
      <c r="D138" s="1275"/>
      <c r="E138" s="1275"/>
      <c r="F138" s="1276"/>
      <c r="G138" s="133">
        <f>SUMIF($AA$4:$AA$133,"111",$G$4:$G$133)</f>
        <v>4710000000</v>
      </c>
      <c r="H138" s="178"/>
      <c r="I138" s="178"/>
      <c r="J138" s="178"/>
      <c r="K138" s="178"/>
      <c r="L138" s="178"/>
      <c r="M138" s="178"/>
      <c r="N138" s="178"/>
      <c r="O138" s="178"/>
      <c r="P138" s="178">
        <f>SUMIF($AA$4:$AA$133,"111",$P$4:$P$133)</f>
        <v>3690000000</v>
      </c>
      <c r="Q138" s="133">
        <f>SUMIF($AA$4:$AA$133,"111",$Q$4:$Q$133)</f>
        <v>3690000000</v>
      </c>
      <c r="R138" s="1274" t="s">
        <v>3302</v>
      </c>
      <c r="S138" s="1275"/>
      <c r="T138" s="1275"/>
      <c r="U138" s="1275"/>
      <c r="V138" s="1275"/>
      <c r="W138" s="1276"/>
      <c r="X138" s="133" t="e">
        <f>SUMIF($AA$4:$AA$133,"111",$X$4:$X$133)</f>
        <v>#REF!</v>
      </c>
      <c r="Y138" s="133" t="e">
        <f>SUMIF($AA$4:$AA$133,"111",$Y$4:$Y$133)</f>
        <v>#REF!</v>
      </c>
      <c r="Z138" s="133"/>
      <c r="AA138" s="264">
        <v>111</v>
      </c>
      <c r="AB138" s="133" t="e">
        <f>SUMIF($AA$4:$AA$133,"111",$AB$4:$AB$133)</f>
        <v>#REF!</v>
      </c>
      <c r="AC138" s="133"/>
    </row>
    <row r="139" spans="1:29" ht="29.25" customHeight="1" x14ac:dyDescent="0.25">
      <c r="A139" s="1274" t="s">
        <v>3303</v>
      </c>
      <c r="B139" s="1275"/>
      <c r="C139" s="1275"/>
      <c r="D139" s="1275"/>
      <c r="E139" s="1275"/>
      <c r="F139" s="1276"/>
      <c r="G139" s="133">
        <f>SUMIF($AA$4:$AA$133,"211",$G$4:$G$133)</f>
        <v>3650000000</v>
      </c>
      <c r="H139" s="178"/>
      <c r="I139" s="178"/>
      <c r="J139" s="178"/>
      <c r="K139" s="178"/>
      <c r="L139" s="178"/>
      <c r="M139" s="178"/>
      <c r="N139" s="178"/>
      <c r="O139" s="178"/>
      <c r="P139" s="178">
        <f>SUMIF($AA$4:$AA$133,"211",$P$4:$P$133)</f>
        <v>4830000000</v>
      </c>
      <c r="Q139" s="133">
        <f>SUMIF($AA$4:$AA$133,"211",$Q$4:$Q$133)</f>
        <v>4930000000</v>
      </c>
      <c r="R139" s="1274" t="s">
        <v>3303</v>
      </c>
      <c r="S139" s="1275"/>
      <c r="T139" s="1275"/>
      <c r="U139" s="1275"/>
      <c r="V139" s="1275"/>
      <c r="W139" s="1276"/>
      <c r="X139" s="133" t="e">
        <f>SUMIF($AA$4:$AA$133,"211",$X$4:$X$133)</f>
        <v>#REF!</v>
      </c>
      <c r="Y139" s="133" t="e">
        <f>SUMIF($AA$4:$AA$133,"211",$Y$4:$Y$133)</f>
        <v>#REF!</v>
      </c>
      <c r="Z139" s="133"/>
      <c r="AA139" s="264">
        <v>211</v>
      </c>
      <c r="AB139" s="133" t="e">
        <f>SUMIF($AA$4:$AA$133,"211",$AB$4:$AB$133)</f>
        <v>#REF!</v>
      </c>
      <c r="AC139" s="133"/>
    </row>
    <row r="140" spans="1:29" ht="30" customHeight="1" x14ac:dyDescent="0.25">
      <c r="A140" s="1274" t="s">
        <v>3304</v>
      </c>
      <c r="B140" s="1275"/>
      <c r="C140" s="1275"/>
      <c r="D140" s="1275"/>
      <c r="E140" s="1275"/>
      <c r="F140" s="1276"/>
      <c r="G140" s="133">
        <f>SUMIF($AA$4:$AA$133,"310",$G$4:$G$133)</f>
        <v>1210000000</v>
      </c>
      <c r="H140" s="178"/>
      <c r="I140" s="178"/>
      <c r="J140" s="178"/>
      <c r="K140" s="178"/>
      <c r="L140" s="178"/>
      <c r="M140" s="178"/>
      <c r="N140" s="178"/>
      <c r="O140" s="178"/>
      <c r="P140" s="178">
        <f>SUMIF($AA$4:$AA$133,"310",$P$4:$P$133)</f>
        <v>1310000000</v>
      </c>
      <c r="Q140" s="133">
        <f>SUMIF($AA$4:$AA$133,"310",$Q$4:$Q$133)</f>
        <v>1310000000</v>
      </c>
      <c r="R140" s="1274" t="s">
        <v>3304</v>
      </c>
      <c r="S140" s="1275"/>
      <c r="T140" s="1275"/>
      <c r="U140" s="1275"/>
      <c r="V140" s="1275"/>
      <c r="W140" s="1276"/>
      <c r="X140" s="133" t="e">
        <f>SUMIF($AA$4:$AA$133,"310",$X$4:$X$133)</f>
        <v>#REF!</v>
      </c>
      <c r="Y140" s="133" t="e">
        <f>SUMIF($AA$4:$AA$133,"310",$Y$4:$Y$133)</f>
        <v>#REF!</v>
      </c>
      <c r="Z140" s="133"/>
      <c r="AA140" s="264">
        <v>310</v>
      </c>
      <c r="AB140" s="133" t="e">
        <f>SUMIF($AA$4:$AA$133,"310",$AB$4:$AB$133)</f>
        <v>#REF!</v>
      </c>
      <c r="AC140" s="133"/>
    </row>
    <row r="141" spans="1:29" x14ac:dyDescent="0.25">
      <c r="A141" s="1271" t="s">
        <v>443</v>
      </c>
      <c r="B141" s="1272"/>
      <c r="C141" s="1272"/>
      <c r="D141" s="1272"/>
      <c r="E141" s="1272"/>
      <c r="F141" s="1273"/>
      <c r="G141" s="133">
        <f>SUMIF($AA$4:$AA$133,"410",$G$4:$G$133)</f>
        <v>1658000000</v>
      </c>
      <c r="H141" s="178"/>
      <c r="I141" s="178"/>
      <c r="J141" s="178"/>
      <c r="K141" s="178"/>
      <c r="L141" s="178"/>
      <c r="M141" s="178"/>
      <c r="N141" s="178"/>
      <c r="O141" s="178"/>
      <c r="P141" s="178">
        <f>SUMIF($AA$4:$AA$133,"410",$P$4:$P$133)</f>
        <v>1823000000</v>
      </c>
      <c r="Q141" s="133">
        <f>SUMIF($AA$4:$AA$133,"410",$Q$4:$Q$133)</f>
        <v>1823000000</v>
      </c>
      <c r="R141" s="1271" t="s">
        <v>443</v>
      </c>
      <c r="S141" s="1272"/>
      <c r="T141" s="1272"/>
      <c r="U141" s="1272"/>
      <c r="V141" s="1272"/>
      <c r="W141" s="1273"/>
      <c r="X141" s="133" t="e">
        <f>SUMIF($AA$4:$AA$133,"410",$X$4:$X$133)</f>
        <v>#REF!</v>
      </c>
      <c r="Y141" s="133" t="e">
        <f>SUMIF($AA$4:$AA$133,"410",$Y$4:$Y$133)</f>
        <v>#REF!</v>
      </c>
      <c r="Z141" s="133"/>
      <c r="AA141" s="264">
        <v>410</v>
      </c>
      <c r="AB141" s="133" t="e">
        <f>SUMIF($AA$4:$AA$133,"410",$AB$4:$AB$133)</f>
        <v>#REF!</v>
      </c>
      <c r="AC141" s="133"/>
    </row>
    <row r="142" spans="1:29" x14ac:dyDescent="0.25">
      <c r="A142" s="1271" t="s">
        <v>3305</v>
      </c>
      <c r="B142" s="1272"/>
      <c r="C142" s="1272"/>
      <c r="D142" s="1272"/>
      <c r="E142" s="1272"/>
      <c r="F142" s="1273"/>
      <c r="G142" s="133">
        <f>SUMIF($AA$4:$AA$133,"510",$G$4:$G$133)</f>
        <v>870000000</v>
      </c>
      <c r="H142" s="178"/>
      <c r="I142" s="178"/>
      <c r="J142" s="178"/>
      <c r="K142" s="178"/>
      <c r="L142" s="178"/>
      <c r="M142" s="178"/>
      <c r="N142" s="178"/>
      <c r="O142" s="178"/>
      <c r="P142" s="178">
        <f>SUMIF($AA$4:$AA$133,"510",$P$4:$P$133)</f>
        <v>1041000000</v>
      </c>
      <c r="Q142" s="133">
        <f>SUMIF($AA$4:$AA$133,"510",$Q$4:$Q$133)</f>
        <v>1191000000</v>
      </c>
      <c r="R142" s="1271" t="s">
        <v>3305</v>
      </c>
      <c r="S142" s="1272"/>
      <c r="T142" s="1272"/>
      <c r="U142" s="1272"/>
      <c r="V142" s="1272"/>
      <c r="W142" s="1273"/>
      <c r="X142" s="133" t="e">
        <f>SUMIF($AA$4:$AA$133,"510",$X$4:$X$133)</f>
        <v>#REF!</v>
      </c>
      <c r="Y142" s="133" t="e">
        <f>SUMIF($AA$4:$AA$133,"510",$Y$4:$Y$133)</f>
        <v>#REF!</v>
      </c>
      <c r="Z142" s="133"/>
      <c r="AA142" s="264">
        <v>510</v>
      </c>
      <c r="AB142" s="133" t="e">
        <f>SUMIF($AA$4:$AA$133,"510",$AB$4:$AB$133)</f>
        <v>#REF!</v>
      </c>
      <c r="AC142" s="133"/>
    </row>
    <row r="143" spans="1:29" x14ac:dyDescent="0.25">
      <c r="A143" s="1271" t="s">
        <v>3306</v>
      </c>
      <c r="B143" s="1272"/>
      <c r="C143" s="1272"/>
      <c r="D143" s="1272"/>
      <c r="E143" s="1272"/>
      <c r="F143" s="1273"/>
      <c r="G143" s="133">
        <f>SUMIF($AA$4:$AA$133,"520",$G$4:$G$133)</f>
        <v>285000000</v>
      </c>
      <c r="H143" s="178"/>
      <c r="I143" s="178"/>
      <c r="J143" s="178"/>
      <c r="K143" s="178"/>
      <c r="L143" s="178"/>
      <c r="M143" s="178"/>
      <c r="N143" s="178"/>
      <c r="O143" s="178"/>
      <c r="P143" s="178">
        <f>SUMIF($AA$4:$AA$133,"520",$P$4:$P$133)</f>
        <v>305000000</v>
      </c>
      <c r="Q143" s="133">
        <f>SUMIF($AA$4:$AA$133,"520",$Q$4:$Q$133)</f>
        <v>305000000</v>
      </c>
      <c r="R143" s="1271" t="s">
        <v>3306</v>
      </c>
      <c r="S143" s="1272"/>
      <c r="T143" s="1272"/>
      <c r="U143" s="1272"/>
      <c r="V143" s="1272"/>
      <c r="W143" s="1273"/>
      <c r="X143" s="133" t="e">
        <f>SUMIF($AA$4:$AA$133,"520",$X$4:$X$133)</f>
        <v>#REF!</v>
      </c>
      <c r="Y143" s="133" t="e">
        <f>SUMIF($AA$4:$AA$133,"520",$Y$4:$Y$133)</f>
        <v>#REF!</v>
      </c>
      <c r="Z143" s="133"/>
      <c r="AA143" s="264">
        <v>520</v>
      </c>
      <c r="AB143" s="133" t="e">
        <f>SUMIF($AA$4:$AA$133,"520",$AB$4:$AB$133)</f>
        <v>#REF!</v>
      </c>
      <c r="AC143" s="133"/>
    </row>
    <row r="144" spans="1:29" x14ac:dyDescent="0.25">
      <c r="A144" s="1271" t="s">
        <v>3308</v>
      </c>
      <c r="B144" s="1272"/>
      <c r="C144" s="1272"/>
      <c r="D144" s="1272"/>
      <c r="E144" s="1272"/>
      <c r="F144" s="1273"/>
      <c r="G144" s="3">
        <f>SUM(G138:G143)</f>
        <v>12383000000</v>
      </c>
      <c r="H144" s="179"/>
      <c r="I144" s="179"/>
      <c r="J144" s="179"/>
      <c r="K144" s="179"/>
      <c r="L144" s="179"/>
      <c r="M144" s="179"/>
      <c r="N144" s="179"/>
      <c r="O144" s="179"/>
      <c r="P144" s="179">
        <f>SUM(P138:P143)</f>
        <v>12999000000</v>
      </c>
      <c r="Q144" s="3">
        <f>SUM(Q138:Q143)</f>
        <v>13249000000</v>
      </c>
      <c r="R144" s="1271" t="s">
        <v>3308</v>
      </c>
      <c r="S144" s="1272"/>
      <c r="T144" s="1272"/>
      <c r="U144" s="1272"/>
      <c r="V144" s="1272"/>
      <c r="W144" s="1273"/>
      <c r="X144" s="3" t="e">
        <f>SUM(X138:X143)</f>
        <v>#REF!</v>
      </c>
      <c r="Y144" s="3" t="e">
        <f>SUM(Y138:Y143)</f>
        <v>#REF!</v>
      </c>
      <c r="Z144" s="3"/>
      <c r="AA144" s="4"/>
      <c r="AB144" s="3" t="e">
        <f>SUM(AB138:AB143)</f>
        <v>#REF!</v>
      </c>
      <c r="AC144" s="3"/>
    </row>
    <row r="145" spans="1:29" x14ac:dyDescent="0.25">
      <c r="A145" s="1271" t="s">
        <v>3307</v>
      </c>
      <c r="B145" s="1272"/>
      <c r="C145" s="1272"/>
      <c r="D145" s="1272"/>
      <c r="E145" s="1272"/>
      <c r="F145" s="1273"/>
      <c r="G145" s="133">
        <f>SUMIF($AA$4:$AA$133,"301",$G$4:$G$133)</f>
        <v>910000000</v>
      </c>
      <c r="H145" s="178"/>
      <c r="I145" s="178"/>
      <c r="J145" s="178"/>
      <c r="K145" s="178"/>
      <c r="L145" s="178"/>
      <c r="M145" s="178"/>
      <c r="N145" s="178"/>
      <c r="O145" s="178"/>
      <c r="P145" s="178">
        <f>SUMIF($AA$4:$AA$133,"301",$P$4:$P$133)</f>
        <v>1035000000</v>
      </c>
      <c r="Q145" s="133">
        <f>SUMIF($AA$4:$AA$133,"301",$Q$4:$Q$133)</f>
        <v>1035000000</v>
      </c>
      <c r="R145" s="1271" t="s">
        <v>3307</v>
      </c>
      <c r="S145" s="1272"/>
      <c r="T145" s="1272"/>
      <c r="U145" s="1272"/>
      <c r="V145" s="1272"/>
      <c r="W145" s="1273"/>
      <c r="X145" s="133" t="e">
        <f>SUMIF($AA$4:$AA$133,"301",$X$4:$X$133)</f>
        <v>#REF!</v>
      </c>
      <c r="Y145" s="133" t="e">
        <f>SUMIF($AA$4:$AA$133,"301",$Y$4:$Y$133)</f>
        <v>#REF!</v>
      </c>
      <c r="Z145" s="133"/>
      <c r="AA145" s="264">
        <v>301</v>
      </c>
      <c r="AB145" s="133" t="e">
        <f>SUMIF($AA$4:$AA$133,"301",$AB$4:$AB$133)</f>
        <v>#REF!</v>
      </c>
      <c r="AC145" s="133"/>
    </row>
    <row r="146" spans="1:29" ht="15.75" thickBot="1" x14ac:dyDescent="0.3">
      <c r="A146" s="195" t="s">
        <v>3309</v>
      </c>
      <c r="B146" s="196"/>
      <c r="C146" s="196"/>
      <c r="D146" s="196"/>
      <c r="E146" s="196"/>
      <c r="F146" s="197"/>
      <c r="G146" s="134">
        <f>SUM(G144:G145)</f>
        <v>13293000000</v>
      </c>
      <c r="H146" s="180"/>
      <c r="I146" s="180"/>
      <c r="J146" s="180"/>
      <c r="K146" s="180"/>
      <c r="L146" s="180"/>
      <c r="M146" s="180"/>
      <c r="N146" s="180"/>
      <c r="O146" s="180"/>
      <c r="P146" s="180">
        <f>SUM(P144:P145)</f>
        <v>14034000000</v>
      </c>
      <c r="Q146" s="134">
        <f>SUM(Q144:Q145)</f>
        <v>14284000000</v>
      </c>
      <c r="R146" s="195" t="s">
        <v>3309</v>
      </c>
      <c r="S146" s="196"/>
      <c r="T146" s="196"/>
      <c r="U146" s="196"/>
      <c r="V146" s="196"/>
      <c r="W146" s="197"/>
      <c r="X146" s="134" t="e">
        <f>SUM(X144:X145)</f>
        <v>#REF!</v>
      </c>
      <c r="Y146" s="134" t="e">
        <f>SUM(Y144:Y145)</f>
        <v>#REF!</v>
      </c>
      <c r="Z146" s="134"/>
      <c r="AA146" s="132"/>
      <c r="AB146" s="134" t="e">
        <f>SUM(AB144:AB145)</f>
        <v>#REF!</v>
      </c>
      <c r="AC146" s="134"/>
    </row>
    <row r="147" spans="1:29" ht="15.75" thickTop="1" x14ac:dyDescent="0.25"/>
  </sheetData>
  <mergeCells count="321">
    <mergeCell ref="A124:A128"/>
    <mergeCell ref="B124:B128"/>
    <mergeCell ref="C124:C128"/>
    <mergeCell ref="D124:D128"/>
    <mergeCell ref="E124:E128"/>
    <mergeCell ref="F124:F128"/>
    <mergeCell ref="G124:G128"/>
    <mergeCell ref="H124:H128"/>
    <mergeCell ref="I124:I128"/>
    <mergeCell ref="A119:A123"/>
    <mergeCell ref="B119:B123"/>
    <mergeCell ref="C119:C123"/>
    <mergeCell ref="D119:D123"/>
    <mergeCell ref="E119:E123"/>
    <mergeCell ref="F119:F123"/>
    <mergeCell ref="G119:G123"/>
    <mergeCell ref="H119:H123"/>
    <mergeCell ref="I119:I123"/>
    <mergeCell ref="Q2:Q3"/>
    <mergeCell ref="R2:U2"/>
    <mergeCell ref="V2:X2"/>
    <mergeCell ref="AC1:AC3"/>
    <mergeCell ref="AB2:AB3"/>
    <mergeCell ref="P6:P8"/>
    <mergeCell ref="Q6:Q8"/>
    <mergeCell ref="R6:R8"/>
    <mergeCell ref="S6:S8"/>
    <mergeCell ref="T6:T8"/>
    <mergeCell ref="Y2:Z2"/>
    <mergeCell ref="V1:Z1"/>
    <mergeCell ref="AA1:AA3"/>
    <mergeCell ref="P1:T1"/>
    <mergeCell ref="C4:C8"/>
    <mergeCell ref="D4:D8"/>
    <mergeCell ref="E6:E8"/>
    <mergeCell ref="F6:F8"/>
    <mergeCell ref="G6:G8"/>
    <mergeCell ref="H9:J9"/>
    <mergeCell ref="P2:P3"/>
    <mergeCell ref="H2:J2"/>
    <mergeCell ref="H6:H8"/>
    <mergeCell ref="I6:I8"/>
    <mergeCell ref="J6:J8"/>
    <mergeCell ref="A9:F9"/>
    <mergeCell ref="R9:U9"/>
    <mergeCell ref="A21:F21"/>
    <mergeCell ref="E12:E16"/>
    <mergeCell ref="F12:F16"/>
    <mergeCell ref="G12:G16"/>
    <mergeCell ref="H12:H16"/>
    <mergeCell ref="I12:I16"/>
    <mergeCell ref="J12:J16"/>
    <mergeCell ref="P12:P16"/>
    <mergeCell ref="K12:O16"/>
    <mergeCell ref="R12:R16"/>
    <mergeCell ref="S12:S16"/>
    <mergeCell ref="T12:T16"/>
    <mergeCell ref="E17:E20"/>
    <mergeCell ref="G20:J20"/>
    <mergeCell ref="K20:O20"/>
    <mergeCell ref="J33:J39"/>
    <mergeCell ref="A23:A26"/>
    <mergeCell ref="B23:B26"/>
    <mergeCell ref="C23:C26"/>
    <mergeCell ref="D23:D26"/>
    <mergeCell ref="E23:E24"/>
    <mergeCell ref="F23:F24"/>
    <mergeCell ref="AC23:AC25"/>
    <mergeCell ref="H21:J21"/>
    <mergeCell ref="D43:D46"/>
    <mergeCell ref="E43:E46"/>
    <mergeCell ref="F43:F46"/>
    <mergeCell ref="AC28:AC29"/>
    <mergeCell ref="A33:A39"/>
    <mergeCell ref="B33:B39"/>
    <mergeCell ref="C33:C39"/>
    <mergeCell ref="D33:D39"/>
    <mergeCell ref="E33:E39"/>
    <mergeCell ref="F33:F39"/>
    <mergeCell ref="G33:G39"/>
    <mergeCell ref="P33:P39"/>
    <mergeCell ref="Q33:Q39"/>
    <mergeCell ref="A27:A32"/>
    <mergeCell ref="B27:B32"/>
    <mergeCell ref="C27:C32"/>
    <mergeCell ref="D27:D32"/>
    <mergeCell ref="E28:E30"/>
    <mergeCell ref="F28:F30"/>
    <mergeCell ref="R33:R39"/>
    <mergeCell ref="S33:S39"/>
    <mergeCell ref="T33:T39"/>
    <mergeCell ref="H33:H39"/>
    <mergeCell ref="I33:I39"/>
    <mergeCell ref="G43:G46"/>
    <mergeCell ref="H43:H46"/>
    <mergeCell ref="I43:I46"/>
    <mergeCell ref="I60:I62"/>
    <mergeCell ref="AC49:AC51"/>
    <mergeCell ref="A54:F54"/>
    <mergeCell ref="R54:U54"/>
    <mergeCell ref="A40:A42"/>
    <mergeCell ref="B40:B42"/>
    <mergeCell ref="C40:C42"/>
    <mergeCell ref="D40:D42"/>
    <mergeCell ref="AC40:AC42"/>
    <mergeCell ref="Q43:Q45"/>
    <mergeCell ref="AC43:AC45"/>
    <mergeCell ref="K54:L54"/>
    <mergeCell ref="A47:A48"/>
    <mergeCell ref="B47:B48"/>
    <mergeCell ref="C47:C48"/>
    <mergeCell ref="D47:D48"/>
    <mergeCell ref="V54:W54"/>
    <mergeCell ref="AA54:AC54"/>
    <mergeCell ref="A43:A46"/>
    <mergeCell ref="B43:B46"/>
    <mergeCell ref="C43:C46"/>
    <mergeCell ref="J43:J46"/>
    <mergeCell ref="P43:P46"/>
    <mergeCell ref="R43:R46"/>
    <mergeCell ref="S43:S46"/>
    <mergeCell ref="T43:T46"/>
    <mergeCell ref="H54:J54"/>
    <mergeCell ref="H56:H58"/>
    <mergeCell ref="I56:I58"/>
    <mergeCell ref="J56:J58"/>
    <mergeCell ref="AC60:AC61"/>
    <mergeCell ref="G56:G58"/>
    <mergeCell ref="P56:P58"/>
    <mergeCell ref="Q56:Q58"/>
    <mergeCell ref="R56:R58"/>
    <mergeCell ref="S56:S58"/>
    <mergeCell ref="T56:T58"/>
    <mergeCell ref="Q60:Q62"/>
    <mergeCell ref="R60:R62"/>
    <mergeCell ref="S63:S66"/>
    <mergeCell ref="A60:A62"/>
    <mergeCell ref="B60:B62"/>
    <mergeCell ref="C60:C62"/>
    <mergeCell ref="D60:D62"/>
    <mergeCell ref="E60:E62"/>
    <mergeCell ref="F60:F62"/>
    <mergeCell ref="G60:G62"/>
    <mergeCell ref="P60:P62"/>
    <mergeCell ref="H60:H62"/>
    <mergeCell ref="H63:H66"/>
    <mergeCell ref="I63:I66"/>
    <mergeCell ref="J63:J66"/>
    <mergeCell ref="A115:A116"/>
    <mergeCell ref="B115:B116"/>
    <mergeCell ref="C115:C116"/>
    <mergeCell ref="D115:D116"/>
    <mergeCell ref="F111:F112"/>
    <mergeCell ref="G111:G112"/>
    <mergeCell ref="P111:P112"/>
    <mergeCell ref="Q111:Q112"/>
    <mergeCell ref="R111:R112"/>
    <mergeCell ref="H111:H112"/>
    <mergeCell ref="I111:I112"/>
    <mergeCell ref="J111:J112"/>
    <mergeCell ref="A111:A112"/>
    <mergeCell ref="B111:B112"/>
    <mergeCell ref="A113:F113"/>
    <mergeCell ref="C111:C112"/>
    <mergeCell ref="D111:D112"/>
    <mergeCell ref="E111:E112"/>
    <mergeCell ref="R145:W145"/>
    <mergeCell ref="R142:W142"/>
    <mergeCell ref="R143:W143"/>
    <mergeCell ref="A144:F144"/>
    <mergeCell ref="R144:W144"/>
    <mergeCell ref="R138:W138"/>
    <mergeCell ref="R139:W139"/>
    <mergeCell ref="R140:W140"/>
    <mergeCell ref="R141:W141"/>
    <mergeCell ref="A142:F142"/>
    <mergeCell ref="A143:F143"/>
    <mergeCell ref="A145:F145"/>
    <mergeCell ref="A141:F141"/>
    <mergeCell ref="A139:F139"/>
    <mergeCell ref="A140:F140"/>
    <mergeCell ref="A138:F138"/>
    <mergeCell ref="A131:A133"/>
    <mergeCell ref="B131:B133"/>
    <mergeCell ref="C131:C133"/>
    <mergeCell ref="D131:D133"/>
    <mergeCell ref="E131:E133"/>
    <mergeCell ref="F131:F133"/>
    <mergeCell ref="G131:G133"/>
    <mergeCell ref="P131:P133"/>
    <mergeCell ref="Q131:Q133"/>
    <mergeCell ref="A98:F98"/>
    <mergeCell ref="R98:U98"/>
    <mergeCell ref="AC102:AC103"/>
    <mergeCell ref="H93:J93"/>
    <mergeCell ref="H98:J98"/>
    <mergeCell ref="G89:G91"/>
    <mergeCell ref="P89:P91"/>
    <mergeCell ref="R89:R91"/>
    <mergeCell ref="S89:S91"/>
    <mergeCell ref="T89:T91"/>
    <mergeCell ref="A93:F93"/>
    <mergeCell ref="R93:U93"/>
    <mergeCell ref="V93:W93"/>
    <mergeCell ref="AA93:AC93"/>
    <mergeCell ref="K98:L98"/>
    <mergeCell ref="V98:W98"/>
    <mergeCell ref="AA98:AC98"/>
    <mergeCell ref="D100:D101"/>
    <mergeCell ref="A89:A92"/>
    <mergeCell ref="B89:B92"/>
    <mergeCell ref="C89:C92"/>
    <mergeCell ref="D89:D92"/>
    <mergeCell ref="E89:E91"/>
    <mergeCell ref="F89:F91"/>
    <mergeCell ref="J89:J91"/>
    <mergeCell ref="H89:H91"/>
    <mergeCell ref="I89:I91"/>
    <mergeCell ref="H131:H133"/>
    <mergeCell ref="I131:I133"/>
    <mergeCell ref="J131:J133"/>
    <mergeCell ref="S111:S112"/>
    <mergeCell ref="J119:J123"/>
    <mergeCell ref="J124:J128"/>
    <mergeCell ref="P119:P123"/>
    <mergeCell ref="R119:R123"/>
    <mergeCell ref="S119:S123"/>
    <mergeCell ref="P124:P128"/>
    <mergeCell ref="R124:R128"/>
    <mergeCell ref="S124:S128"/>
    <mergeCell ref="K113:L113"/>
    <mergeCell ref="R113:U113"/>
    <mergeCell ref="R131:R133"/>
    <mergeCell ref="S131:S133"/>
    <mergeCell ref="T131:T133"/>
    <mergeCell ref="H113:J113"/>
    <mergeCell ref="A56:A58"/>
    <mergeCell ref="B56:B58"/>
    <mergeCell ref="C56:C58"/>
    <mergeCell ref="D56:D58"/>
    <mergeCell ref="E56:E58"/>
    <mergeCell ref="F56:F58"/>
    <mergeCell ref="G67:G88"/>
    <mergeCell ref="B67:B88"/>
    <mergeCell ref="C67:C88"/>
    <mergeCell ref="E67:E88"/>
    <mergeCell ref="F67:F88"/>
    <mergeCell ref="A67:A88"/>
    <mergeCell ref="D67:D88"/>
    <mergeCell ref="E63:E66"/>
    <mergeCell ref="H67:H88"/>
    <mergeCell ref="I67:I88"/>
    <mergeCell ref="J67:J88"/>
    <mergeCell ref="F63:F66"/>
    <mergeCell ref="G63:G66"/>
    <mergeCell ref="A63:A66"/>
    <mergeCell ref="B63:B66"/>
    <mergeCell ref="C63:C66"/>
    <mergeCell ref="D63:D66"/>
    <mergeCell ref="A1:F1"/>
    <mergeCell ref="G1:J1"/>
    <mergeCell ref="K9:L9"/>
    <mergeCell ref="V9:W9"/>
    <mergeCell ref="AA9:AC9"/>
    <mergeCell ref="K21:L21"/>
    <mergeCell ref="V21:W21"/>
    <mergeCell ref="AA21:AC21"/>
    <mergeCell ref="A11:A20"/>
    <mergeCell ref="B11:B20"/>
    <mergeCell ref="C11:C20"/>
    <mergeCell ref="D11:D20"/>
    <mergeCell ref="P20:T20"/>
    <mergeCell ref="AC11:AC20"/>
    <mergeCell ref="K1:O1"/>
    <mergeCell ref="K2:M2"/>
    <mergeCell ref="N2:O2"/>
    <mergeCell ref="A2:B3"/>
    <mergeCell ref="C2:D3"/>
    <mergeCell ref="E2:F3"/>
    <mergeCell ref="G2:G3"/>
    <mergeCell ref="R21:U21"/>
    <mergeCell ref="A4:A8"/>
    <mergeCell ref="B4:B8"/>
    <mergeCell ref="A135:F135"/>
    <mergeCell ref="H134:J134"/>
    <mergeCell ref="H135:J135"/>
    <mergeCell ref="H136:J136"/>
    <mergeCell ref="R135:T135"/>
    <mergeCell ref="V135:AA135"/>
    <mergeCell ref="A136:F136"/>
    <mergeCell ref="R136:U136"/>
    <mergeCell ref="V136:W136"/>
    <mergeCell ref="A134:F134"/>
    <mergeCell ref="R134:U134"/>
    <mergeCell ref="K134:L134"/>
    <mergeCell ref="V134:W134"/>
    <mergeCell ref="AA134:AC134"/>
    <mergeCell ref="AC104:AC105"/>
    <mergeCell ref="AC106:AC112"/>
    <mergeCell ref="U56:U58"/>
    <mergeCell ref="AC56:AC58"/>
    <mergeCell ref="T111:T112"/>
    <mergeCell ref="AC95:AC96"/>
    <mergeCell ref="K136:L136"/>
    <mergeCell ref="AA136:AC136"/>
    <mergeCell ref="K93:L93"/>
    <mergeCell ref="AC131:AC133"/>
    <mergeCell ref="T119:T123"/>
    <mergeCell ref="T124:T128"/>
    <mergeCell ref="V113:W113"/>
    <mergeCell ref="AA113:AC113"/>
    <mergeCell ref="R67:R88"/>
    <mergeCell ref="S67:S88"/>
    <mergeCell ref="T67:T88"/>
    <mergeCell ref="P63:P66"/>
    <mergeCell ref="S60:S62"/>
    <mergeCell ref="P67:P88"/>
    <mergeCell ref="T63:T66"/>
    <mergeCell ref="AC63:AC65"/>
    <mergeCell ref="Q63:Q66"/>
    <mergeCell ref="R63:R66"/>
  </mergeCells>
  <printOptions horizontalCentered="1" verticalCentered="1"/>
  <pageMargins left="0.39370078740157483" right="0.47244094488188981" top="1.1811023622047245" bottom="0.47244094488188981" header="0.78740157480314965" footer="0.27559055118110237"/>
  <pageSetup scale="60" pageOrder="overThenDown" orientation="landscape" r:id="rId1"/>
  <headerFooter>
    <oddHeader>&amp;C&amp;"-,Negrita"&amp;14UNIVERSIDAD SURCOLOMBIANAPLAN DE ACCIÓN 2010 - RESOLUCIONES, 0195 DE 2009, 002, 018, 035 y 046 DE 2010</oddHeader>
    <oddFooter>&amp;LUNIDAD DE PLANEAMIENTO ECONÓMICO Y ADMINISTRATIVO&amp;COFICINA DE PLANEACIÓN&amp;RPágina &amp;P de &amp;N</oddFooter>
  </headerFooter>
  <rowBreaks count="3" manualBreakCount="3">
    <brk id="26" max="16383" man="1"/>
    <brk id="39" max="16383" man="1"/>
    <brk id="66" max="16383"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Y88"/>
  <sheetViews>
    <sheetView topLeftCell="A70" workbookViewId="0">
      <selection activeCell="C68" sqref="C68"/>
    </sheetView>
  </sheetViews>
  <sheetFormatPr baseColWidth="10" defaultColWidth="11.42578125" defaultRowHeight="12.75" x14ac:dyDescent="0.2"/>
  <cols>
    <col min="1" max="1" width="5.5703125" style="495" customWidth="1"/>
    <col min="2" max="2" width="43.85546875" style="495" customWidth="1"/>
    <col min="3" max="3" width="17" style="495" customWidth="1"/>
    <col min="4" max="4" width="2.85546875" style="495" customWidth="1"/>
    <col min="5" max="5" width="17.140625" style="495" hidden="1" customWidth="1"/>
    <col min="6" max="7" width="17.28515625" style="495" hidden="1" customWidth="1"/>
    <col min="8" max="8" width="3.140625" style="495" hidden="1" customWidth="1"/>
    <col min="9" max="9" width="17.5703125" style="495" hidden="1" customWidth="1"/>
    <col min="10" max="10" width="17.42578125" style="495" hidden="1" customWidth="1"/>
    <col min="11" max="11" width="3.5703125" style="537" hidden="1" customWidth="1"/>
    <col min="12" max="12" width="15" style="495" hidden="1" customWidth="1"/>
    <col min="13" max="13" width="17.5703125" style="495" hidden="1" customWidth="1"/>
    <col min="14" max="14" width="16.5703125" style="495" bestFit="1" customWidth="1"/>
    <col min="15" max="15" width="15.85546875" style="495" bestFit="1" customWidth="1"/>
    <col min="16" max="16" width="14.7109375" style="495" bestFit="1" customWidth="1"/>
    <col min="17" max="19" width="13.140625" style="495" customWidth="1"/>
    <col min="20" max="20" width="17.5703125" style="495" customWidth="1"/>
    <col min="21" max="21" width="14.7109375" style="495" bestFit="1" customWidth="1"/>
    <col min="22" max="22" width="14.7109375" style="495" customWidth="1"/>
    <col min="23" max="23" width="16.5703125" style="495" bestFit="1" customWidth="1"/>
    <col min="24" max="24" width="16.5703125" style="495" customWidth="1"/>
    <col min="25" max="25" width="16.5703125" style="495" bestFit="1" customWidth="1"/>
    <col min="26" max="218" width="11.42578125" style="495"/>
    <col min="219" max="219" width="5.5703125" style="495" customWidth="1"/>
    <col min="220" max="220" width="35.85546875" style="495" customWidth="1"/>
    <col min="221" max="221" width="16.85546875" style="495" customWidth="1"/>
    <col min="222" max="222" width="13.7109375" style="495" customWidth="1"/>
    <col min="223" max="223" width="17.140625" style="495" customWidth="1"/>
    <col min="224" max="225" width="17.85546875" style="495" customWidth="1"/>
    <col min="226" max="227" width="17.140625" style="495" customWidth="1"/>
    <col min="228" max="228" width="16.85546875" style="495" customWidth="1"/>
    <col min="229" max="229" width="20.5703125" style="495" customWidth="1"/>
    <col min="230" max="232" width="6.42578125" style="495" customWidth="1"/>
    <col min="233" max="233" width="15.85546875" style="495" customWidth="1"/>
    <col min="234" max="234" width="16" style="495" customWidth="1"/>
    <col min="235" max="235" width="15.7109375" style="495" customWidth="1"/>
    <col min="236" max="237" width="19.28515625" style="495" customWidth="1"/>
    <col min="238" max="238" width="18.140625" style="495" customWidth="1"/>
    <col min="239" max="239" width="16" style="495" customWidth="1"/>
    <col min="240" max="240" width="18" style="495" customWidth="1"/>
    <col min="241" max="241" width="17.85546875" style="495" customWidth="1"/>
    <col min="242" max="243" width="16.140625" style="495" customWidth="1"/>
    <col min="244" max="246" width="17.5703125" style="495" customWidth="1"/>
    <col min="247" max="247" width="13.7109375" style="495" customWidth="1"/>
    <col min="248" max="474" width="11.42578125" style="495"/>
    <col min="475" max="475" width="5.5703125" style="495" customWidth="1"/>
    <col min="476" max="476" width="35.85546875" style="495" customWidth="1"/>
    <col min="477" max="477" width="16.85546875" style="495" customWidth="1"/>
    <col min="478" max="478" width="13.7109375" style="495" customWidth="1"/>
    <col min="479" max="479" width="17.140625" style="495" customWidth="1"/>
    <col min="480" max="481" width="17.85546875" style="495" customWidth="1"/>
    <col min="482" max="483" width="17.140625" style="495" customWidth="1"/>
    <col min="484" max="484" width="16.85546875" style="495" customWidth="1"/>
    <col min="485" max="485" width="20.5703125" style="495" customWidth="1"/>
    <col min="486" max="488" width="6.42578125" style="495" customWidth="1"/>
    <col min="489" max="489" width="15.85546875" style="495" customWidth="1"/>
    <col min="490" max="490" width="16" style="495" customWidth="1"/>
    <col min="491" max="491" width="15.7109375" style="495" customWidth="1"/>
    <col min="492" max="493" width="19.28515625" style="495" customWidth="1"/>
    <col min="494" max="494" width="18.140625" style="495" customWidth="1"/>
    <col min="495" max="495" width="16" style="495" customWidth="1"/>
    <col min="496" max="496" width="18" style="495" customWidth="1"/>
    <col min="497" max="497" width="17.85546875" style="495" customWidth="1"/>
    <col min="498" max="499" width="16.140625" style="495" customWidth="1"/>
    <col min="500" max="502" width="17.5703125" style="495" customWidth="1"/>
    <col min="503" max="503" width="13.7109375" style="495" customWidth="1"/>
    <col min="504" max="730" width="11.42578125" style="495"/>
    <col min="731" max="731" width="5.5703125" style="495" customWidth="1"/>
    <col min="732" max="732" width="35.85546875" style="495" customWidth="1"/>
    <col min="733" max="733" width="16.85546875" style="495" customWidth="1"/>
    <col min="734" max="734" width="13.7109375" style="495" customWidth="1"/>
    <col min="735" max="735" width="17.140625" style="495" customWidth="1"/>
    <col min="736" max="737" width="17.85546875" style="495" customWidth="1"/>
    <col min="738" max="739" width="17.140625" style="495" customWidth="1"/>
    <col min="740" max="740" width="16.85546875" style="495" customWidth="1"/>
    <col min="741" max="741" width="20.5703125" style="495" customWidth="1"/>
    <col min="742" max="744" width="6.42578125" style="495" customWidth="1"/>
    <col min="745" max="745" width="15.85546875" style="495" customWidth="1"/>
    <col min="746" max="746" width="16" style="495" customWidth="1"/>
    <col min="747" max="747" width="15.7109375" style="495" customWidth="1"/>
    <col min="748" max="749" width="19.28515625" style="495" customWidth="1"/>
    <col min="750" max="750" width="18.140625" style="495" customWidth="1"/>
    <col min="751" max="751" width="16" style="495" customWidth="1"/>
    <col min="752" max="752" width="18" style="495" customWidth="1"/>
    <col min="753" max="753" width="17.85546875" style="495" customWidth="1"/>
    <col min="754" max="755" width="16.140625" style="495" customWidth="1"/>
    <col min="756" max="758" width="17.5703125" style="495" customWidth="1"/>
    <col min="759" max="759" width="13.7109375" style="495" customWidth="1"/>
    <col min="760" max="986" width="11.42578125" style="495"/>
    <col min="987" max="987" width="5.5703125" style="495" customWidth="1"/>
    <col min="988" max="988" width="35.85546875" style="495" customWidth="1"/>
    <col min="989" max="989" width="16.85546875" style="495" customWidth="1"/>
    <col min="990" max="990" width="13.7109375" style="495" customWidth="1"/>
    <col min="991" max="991" width="17.140625" style="495" customWidth="1"/>
    <col min="992" max="993" width="17.85546875" style="495" customWidth="1"/>
    <col min="994" max="995" width="17.140625" style="495" customWidth="1"/>
    <col min="996" max="996" width="16.85546875" style="495" customWidth="1"/>
    <col min="997" max="997" width="20.5703125" style="495" customWidth="1"/>
    <col min="998" max="1000" width="6.42578125" style="495" customWidth="1"/>
    <col min="1001" max="1001" width="15.85546875" style="495" customWidth="1"/>
    <col min="1002" max="1002" width="16" style="495" customWidth="1"/>
    <col min="1003" max="1003" width="15.7109375" style="495" customWidth="1"/>
    <col min="1004" max="1005" width="19.28515625" style="495" customWidth="1"/>
    <col min="1006" max="1006" width="18.140625" style="495" customWidth="1"/>
    <col min="1007" max="1007" width="16" style="495" customWidth="1"/>
    <col min="1008" max="1008" width="18" style="495" customWidth="1"/>
    <col min="1009" max="1009" width="17.85546875" style="495" customWidth="1"/>
    <col min="1010" max="1011" width="16.140625" style="495" customWidth="1"/>
    <col min="1012" max="1014" width="17.5703125" style="495" customWidth="1"/>
    <col min="1015" max="1015" width="13.7109375" style="495" customWidth="1"/>
    <col min="1016" max="1242" width="11.42578125" style="495"/>
    <col min="1243" max="1243" width="5.5703125" style="495" customWidth="1"/>
    <col min="1244" max="1244" width="35.85546875" style="495" customWidth="1"/>
    <col min="1245" max="1245" width="16.85546875" style="495" customWidth="1"/>
    <col min="1246" max="1246" width="13.7109375" style="495" customWidth="1"/>
    <col min="1247" max="1247" width="17.140625" style="495" customWidth="1"/>
    <col min="1248" max="1249" width="17.85546875" style="495" customWidth="1"/>
    <col min="1250" max="1251" width="17.140625" style="495" customWidth="1"/>
    <col min="1252" max="1252" width="16.85546875" style="495" customWidth="1"/>
    <col min="1253" max="1253" width="20.5703125" style="495" customWidth="1"/>
    <col min="1254" max="1256" width="6.42578125" style="495" customWidth="1"/>
    <col min="1257" max="1257" width="15.85546875" style="495" customWidth="1"/>
    <col min="1258" max="1258" width="16" style="495" customWidth="1"/>
    <col min="1259" max="1259" width="15.7109375" style="495" customWidth="1"/>
    <col min="1260" max="1261" width="19.28515625" style="495" customWidth="1"/>
    <col min="1262" max="1262" width="18.140625" style="495" customWidth="1"/>
    <col min="1263" max="1263" width="16" style="495" customWidth="1"/>
    <col min="1264" max="1264" width="18" style="495" customWidth="1"/>
    <col min="1265" max="1265" width="17.85546875" style="495" customWidth="1"/>
    <col min="1266" max="1267" width="16.140625" style="495" customWidth="1"/>
    <col min="1268" max="1270" width="17.5703125" style="495" customWidth="1"/>
    <col min="1271" max="1271" width="13.7109375" style="495" customWidth="1"/>
    <col min="1272" max="1498" width="11.42578125" style="495"/>
    <col min="1499" max="1499" width="5.5703125" style="495" customWidth="1"/>
    <col min="1500" max="1500" width="35.85546875" style="495" customWidth="1"/>
    <col min="1501" max="1501" width="16.85546875" style="495" customWidth="1"/>
    <col min="1502" max="1502" width="13.7109375" style="495" customWidth="1"/>
    <col min="1503" max="1503" width="17.140625" style="495" customWidth="1"/>
    <col min="1504" max="1505" width="17.85546875" style="495" customWidth="1"/>
    <col min="1506" max="1507" width="17.140625" style="495" customWidth="1"/>
    <col min="1508" max="1508" width="16.85546875" style="495" customWidth="1"/>
    <col min="1509" max="1509" width="20.5703125" style="495" customWidth="1"/>
    <col min="1510" max="1512" width="6.42578125" style="495" customWidth="1"/>
    <col min="1513" max="1513" width="15.85546875" style="495" customWidth="1"/>
    <col min="1514" max="1514" width="16" style="495" customWidth="1"/>
    <col min="1515" max="1515" width="15.7109375" style="495" customWidth="1"/>
    <col min="1516" max="1517" width="19.28515625" style="495" customWidth="1"/>
    <col min="1518" max="1518" width="18.140625" style="495" customWidth="1"/>
    <col min="1519" max="1519" width="16" style="495" customWidth="1"/>
    <col min="1520" max="1520" width="18" style="495" customWidth="1"/>
    <col min="1521" max="1521" width="17.85546875" style="495" customWidth="1"/>
    <col min="1522" max="1523" width="16.140625" style="495" customWidth="1"/>
    <col min="1524" max="1526" width="17.5703125" style="495" customWidth="1"/>
    <col min="1527" max="1527" width="13.7109375" style="495" customWidth="1"/>
    <col min="1528" max="1754" width="11.42578125" style="495"/>
    <col min="1755" max="1755" width="5.5703125" style="495" customWidth="1"/>
    <col min="1756" max="1756" width="35.85546875" style="495" customWidth="1"/>
    <col min="1757" max="1757" width="16.85546875" style="495" customWidth="1"/>
    <col min="1758" max="1758" width="13.7109375" style="495" customWidth="1"/>
    <col min="1759" max="1759" width="17.140625" style="495" customWidth="1"/>
    <col min="1760" max="1761" width="17.85546875" style="495" customWidth="1"/>
    <col min="1762" max="1763" width="17.140625" style="495" customWidth="1"/>
    <col min="1764" max="1764" width="16.85546875" style="495" customWidth="1"/>
    <col min="1765" max="1765" width="20.5703125" style="495" customWidth="1"/>
    <col min="1766" max="1768" width="6.42578125" style="495" customWidth="1"/>
    <col min="1769" max="1769" width="15.85546875" style="495" customWidth="1"/>
    <col min="1770" max="1770" width="16" style="495" customWidth="1"/>
    <col min="1771" max="1771" width="15.7109375" style="495" customWidth="1"/>
    <col min="1772" max="1773" width="19.28515625" style="495" customWidth="1"/>
    <col min="1774" max="1774" width="18.140625" style="495" customWidth="1"/>
    <col min="1775" max="1775" width="16" style="495" customWidth="1"/>
    <col min="1776" max="1776" width="18" style="495" customWidth="1"/>
    <col min="1777" max="1777" width="17.85546875" style="495" customWidth="1"/>
    <col min="1778" max="1779" width="16.140625" style="495" customWidth="1"/>
    <col min="1780" max="1782" width="17.5703125" style="495" customWidth="1"/>
    <col min="1783" max="1783" width="13.7109375" style="495" customWidth="1"/>
    <col min="1784" max="2010" width="11.42578125" style="495"/>
    <col min="2011" max="2011" width="5.5703125" style="495" customWidth="1"/>
    <col min="2012" max="2012" width="35.85546875" style="495" customWidth="1"/>
    <col min="2013" max="2013" width="16.85546875" style="495" customWidth="1"/>
    <col min="2014" max="2014" width="13.7109375" style="495" customWidth="1"/>
    <col min="2015" max="2015" width="17.140625" style="495" customWidth="1"/>
    <col min="2016" max="2017" width="17.85546875" style="495" customWidth="1"/>
    <col min="2018" max="2019" width="17.140625" style="495" customWidth="1"/>
    <col min="2020" max="2020" width="16.85546875" style="495" customWidth="1"/>
    <col min="2021" max="2021" width="20.5703125" style="495" customWidth="1"/>
    <col min="2022" max="2024" width="6.42578125" style="495" customWidth="1"/>
    <col min="2025" max="2025" width="15.85546875" style="495" customWidth="1"/>
    <col min="2026" max="2026" width="16" style="495" customWidth="1"/>
    <col min="2027" max="2027" width="15.7109375" style="495" customWidth="1"/>
    <col min="2028" max="2029" width="19.28515625" style="495" customWidth="1"/>
    <col min="2030" max="2030" width="18.140625" style="495" customWidth="1"/>
    <col min="2031" max="2031" width="16" style="495" customWidth="1"/>
    <col min="2032" max="2032" width="18" style="495" customWidth="1"/>
    <col min="2033" max="2033" width="17.85546875" style="495" customWidth="1"/>
    <col min="2034" max="2035" width="16.140625" style="495" customWidth="1"/>
    <col min="2036" max="2038" width="17.5703125" style="495" customWidth="1"/>
    <col min="2039" max="2039" width="13.7109375" style="495" customWidth="1"/>
    <col min="2040" max="2266" width="11.42578125" style="495"/>
    <col min="2267" max="2267" width="5.5703125" style="495" customWidth="1"/>
    <col min="2268" max="2268" width="35.85546875" style="495" customWidth="1"/>
    <col min="2269" max="2269" width="16.85546875" style="495" customWidth="1"/>
    <col min="2270" max="2270" width="13.7109375" style="495" customWidth="1"/>
    <col min="2271" max="2271" width="17.140625" style="495" customWidth="1"/>
    <col min="2272" max="2273" width="17.85546875" style="495" customWidth="1"/>
    <col min="2274" max="2275" width="17.140625" style="495" customWidth="1"/>
    <col min="2276" max="2276" width="16.85546875" style="495" customWidth="1"/>
    <col min="2277" max="2277" width="20.5703125" style="495" customWidth="1"/>
    <col min="2278" max="2280" width="6.42578125" style="495" customWidth="1"/>
    <col min="2281" max="2281" width="15.85546875" style="495" customWidth="1"/>
    <col min="2282" max="2282" width="16" style="495" customWidth="1"/>
    <col min="2283" max="2283" width="15.7109375" style="495" customWidth="1"/>
    <col min="2284" max="2285" width="19.28515625" style="495" customWidth="1"/>
    <col min="2286" max="2286" width="18.140625" style="495" customWidth="1"/>
    <col min="2287" max="2287" width="16" style="495" customWidth="1"/>
    <col min="2288" max="2288" width="18" style="495" customWidth="1"/>
    <col min="2289" max="2289" width="17.85546875" style="495" customWidth="1"/>
    <col min="2290" max="2291" width="16.140625" style="495" customWidth="1"/>
    <col min="2292" max="2294" width="17.5703125" style="495" customWidth="1"/>
    <col min="2295" max="2295" width="13.7109375" style="495" customWidth="1"/>
    <col min="2296" max="2522" width="11.42578125" style="495"/>
    <col min="2523" max="2523" width="5.5703125" style="495" customWidth="1"/>
    <col min="2524" max="2524" width="35.85546875" style="495" customWidth="1"/>
    <col min="2525" max="2525" width="16.85546875" style="495" customWidth="1"/>
    <col min="2526" max="2526" width="13.7109375" style="495" customWidth="1"/>
    <col min="2527" max="2527" width="17.140625" style="495" customWidth="1"/>
    <col min="2528" max="2529" width="17.85546875" style="495" customWidth="1"/>
    <col min="2530" max="2531" width="17.140625" style="495" customWidth="1"/>
    <col min="2532" max="2532" width="16.85546875" style="495" customWidth="1"/>
    <col min="2533" max="2533" width="20.5703125" style="495" customWidth="1"/>
    <col min="2534" max="2536" width="6.42578125" style="495" customWidth="1"/>
    <col min="2537" max="2537" width="15.85546875" style="495" customWidth="1"/>
    <col min="2538" max="2538" width="16" style="495" customWidth="1"/>
    <col min="2539" max="2539" width="15.7109375" style="495" customWidth="1"/>
    <col min="2540" max="2541" width="19.28515625" style="495" customWidth="1"/>
    <col min="2542" max="2542" width="18.140625" style="495" customWidth="1"/>
    <col min="2543" max="2543" width="16" style="495" customWidth="1"/>
    <col min="2544" max="2544" width="18" style="495" customWidth="1"/>
    <col min="2545" max="2545" width="17.85546875" style="495" customWidth="1"/>
    <col min="2546" max="2547" width="16.140625" style="495" customWidth="1"/>
    <col min="2548" max="2550" width="17.5703125" style="495" customWidth="1"/>
    <col min="2551" max="2551" width="13.7109375" style="495" customWidth="1"/>
    <col min="2552" max="2778" width="11.42578125" style="495"/>
    <col min="2779" max="2779" width="5.5703125" style="495" customWidth="1"/>
    <col min="2780" max="2780" width="35.85546875" style="495" customWidth="1"/>
    <col min="2781" max="2781" width="16.85546875" style="495" customWidth="1"/>
    <col min="2782" max="2782" width="13.7109375" style="495" customWidth="1"/>
    <col min="2783" max="2783" width="17.140625" style="495" customWidth="1"/>
    <col min="2784" max="2785" width="17.85546875" style="495" customWidth="1"/>
    <col min="2786" max="2787" width="17.140625" style="495" customWidth="1"/>
    <col min="2788" max="2788" width="16.85546875" style="495" customWidth="1"/>
    <col min="2789" max="2789" width="20.5703125" style="495" customWidth="1"/>
    <col min="2790" max="2792" width="6.42578125" style="495" customWidth="1"/>
    <col min="2793" max="2793" width="15.85546875" style="495" customWidth="1"/>
    <col min="2794" max="2794" width="16" style="495" customWidth="1"/>
    <col min="2795" max="2795" width="15.7109375" style="495" customWidth="1"/>
    <col min="2796" max="2797" width="19.28515625" style="495" customWidth="1"/>
    <col min="2798" max="2798" width="18.140625" style="495" customWidth="1"/>
    <col min="2799" max="2799" width="16" style="495" customWidth="1"/>
    <col min="2800" max="2800" width="18" style="495" customWidth="1"/>
    <col min="2801" max="2801" width="17.85546875" style="495" customWidth="1"/>
    <col min="2802" max="2803" width="16.140625" style="495" customWidth="1"/>
    <col min="2804" max="2806" width="17.5703125" style="495" customWidth="1"/>
    <col min="2807" max="2807" width="13.7109375" style="495" customWidth="1"/>
    <col min="2808" max="3034" width="11.42578125" style="495"/>
    <col min="3035" max="3035" width="5.5703125" style="495" customWidth="1"/>
    <col min="3036" max="3036" width="35.85546875" style="495" customWidth="1"/>
    <col min="3037" max="3037" width="16.85546875" style="495" customWidth="1"/>
    <col min="3038" max="3038" width="13.7109375" style="495" customWidth="1"/>
    <col min="3039" max="3039" width="17.140625" style="495" customWidth="1"/>
    <col min="3040" max="3041" width="17.85546875" style="495" customWidth="1"/>
    <col min="3042" max="3043" width="17.140625" style="495" customWidth="1"/>
    <col min="3044" max="3044" width="16.85546875" style="495" customWidth="1"/>
    <col min="3045" max="3045" width="20.5703125" style="495" customWidth="1"/>
    <col min="3046" max="3048" width="6.42578125" style="495" customWidth="1"/>
    <col min="3049" max="3049" width="15.85546875" style="495" customWidth="1"/>
    <col min="3050" max="3050" width="16" style="495" customWidth="1"/>
    <col min="3051" max="3051" width="15.7109375" style="495" customWidth="1"/>
    <col min="3052" max="3053" width="19.28515625" style="495" customWidth="1"/>
    <col min="3054" max="3054" width="18.140625" style="495" customWidth="1"/>
    <col min="3055" max="3055" width="16" style="495" customWidth="1"/>
    <col min="3056" max="3056" width="18" style="495" customWidth="1"/>
    <col min="3057" max="3057" width="17.85546875" style="495" customWidth="1"/>
    <col min="3058" max="3059" width="16.140625" style="495" customWidth="1"/>
    <col min="3060" max="3062" width="17.5703125" style="495" customWidth="1"/>
    <col min="3063" max="3063" width="13.7109375" style="495" customWidth="1"/>
    <col min="3064" max="3290" width="11.42578125" style="495"/>
    <col min="3291" max="3291" width="5.5703125" style="495" customWidth="1"/>
    <col min="3292" max="3292" width="35.85546875" style="495" customWidth="1"/>
    <col min="3293" max="3293" width="16.85546875" style="495" customWidth="1"/>
    <col min="3294" max="3294" width="13.7109375" style="495" customWidth="1"/>
    <col min="3295" max="3295" width="17.140625" style="495" customWidth="1"/>
    <col min="3296" max="3297" width="17.85546875" style="495" customWidth="1"/>
    <col min="3298" max="3299" width="17.140625" style="495" customWidth="1"/>
    <col min="3300" max="3300" width="16.85546875" style="495" customWidth="1"/>
    <col min="3301" max="3301" width="20.5703125" style="495" customWidth="1"/>
    <col min="3302" max="3304" width="6.42578125" style="495" customWidth="1"/>
    <col min="3305" max="3305" width="15.85546875" style="495" customWidth="1"/>
    <col min="3306" max="3306" width="16" style="495" customWidth="1"/>
    <col min="3307" max="3307" width="15.7109375" style="495" customWidth="1"/>
    <col min="3308" max="3309" width="19.28515625" style="495" customWidth="1"/>
    <col min="3310" max="3310" width="18.140625" style="495" customWidth="1"/>
    <col min="3311" max="3311" width="16" style="495" customWidth="1"/>
    <col min="3312" max="3312" width="18" style="495" customWidth="1"/>
    <col min="3313" max="3313" width="17.85546875" style="495" customWidth="1"/>
    <col min="3314" max="3315" width="16.140625" style="495" customWidth="1"/>
    <col min="3316" max="3318" width="17.5703125" style="495" customWidth="1"/>
    <col min="3319" max="3319" width="13.7109375" style="495" customWidth="1"/>
    <col min="3320" max="3546" width="11.42578125" style="495"/>
    <col min="3547" max="3547" width="5.5703125" style="495" customWidth="1"/>
    <col min="3548" max="3548" width="35.85546875" style="495" customWidth="1"/>
    <col min="3549" max="3549" width="16.85546875" style="495" customWidth="1"/>
    <col min="3550" max="3550" width="13.7109375" style="495" customWidth="1"/>
    <col min="3551" max="3551" width="17.140625" style="495" customWidth="1"/>
    <col min="3552" max="3553" width="17.85546875" style="495" customWidth="1"/>
    <col min="3554" max="3555" width="17.140625" style="495" customWidth="1"/>
    <col min="3556" max="3556" width="16.85546875" style="495" customWidth="1"/>
    <col min="3557" max="3557" width="20.5703125" style="495" customWidth="1"/>
    <col min="3558" max="3560" width="6.42578125" style="495" customWidth="1"/>
    <col min="3561" max="3561" width="15.85546875" style="495" customWidth="1"/>
    <col min="3562" max="3562" width="16" style="495" customWidth="1"/>
    <col min="3563" max="3563" width="15.7109375" style="495" customWidth="1"/>
    <col min="3564" max="3565" width="19.28515625" style="495" customWidth="1"/>
    <col min="3566" max="3566" width="18.140625" style="495" customWidth="1"/>
    <col min="3567" max="3567" width="16" style="495" customWidth="1"/>
    <col min="3568" max="3568" width="18" style="495" customWidth="1"/>
    <col min="3569" max="3569" width="17.85546875" style="495" customWidth="1"/>
    <col min="3570" max="3571" width="16.140625" style="495" customWidth="1"/>
    <col min="3572" max="3574" width="17.5703125" style="495" customWidth="1"/>
    <col min="3575" max="3575" width="13.7109375" style="495" customWidth="1"/>
    <col min="3576" max="3802" width="11.42578125" style="495"/>
    <col min="3803" max="3803" width="5.5703125" style="495" customWidth="1"/>
    <col min="3804" max="3804" width="35.85546875" style="495" customWidth="1"/>
    <col min="3805" max="3805" width="16.85546875" style="495" customWidth="1"/>
    <col min="3806" max="3806" width="13.7109375" style="495" customWidth="1"/>
    <col min="3807" max="3807" width="17.140625" style="495" customWidth="1"/>
    <col min="3808" max="3809" width="17.85546875" style="495" customWidth="1"/>
    <col min="3810" max="3811" width="17.140625" style="495" customWidth="1"/>
    <col min="3812" max="3812" width="16.85546875" style="495" customWidth="1"/>
    <col min="3813" max="3813" width="20.5703125" style="495" customWidth="1"/>
    <col min="3814" max="3816" width="6.42578125" style="495" customWidth="1"/>
    <col min="3817" max="3817" width="15.85546875" style="495" customWidth="1"/>
    <col min="3818" max="3818" width="16" style="495" customWidth="1"/>
    <col min="3819" max="3819" width="15.7109375" style="495" customWidth="1"/>
    <col min="3820" max="3821" width="19.28515625" style="495" customWidth="1"/>
    <col min="3822" max="3822" width="18.140625" style="495" customWidth="1"/>
    <col min="3823" max="3823" width="16" style="495" customWidth="1"/>
    <col min="3824" max="3824" width="18" style="495" customWidth="1"/>
    <col min="3825" max="3825" width="17.85546875" style="495" customWidth="1"/>
    <col min="3826" max="3827" width="16.140625" style="495" customWidth="1"/>
    <col min="3828" max="3830" width="17.5703125" style="495" customWidth="1"/>
    <col min="3831" max="3831" width="13.7109375" style="495" customWidth="1"/>
    <col min="3832" max="4058" width="11.42578125" style="495"/>
    <col min="4059" max="4059" width="5.5703125" style="495" customWidth="1"/>
    <col min="4060" max="4060" width="35.85546875" style="495" customWidth="1"/>
    <col min="4061" max="4061" width="16.85546875" style="495" customWidth="1"/>
    <col min="4062" max="4062" width="13.7109375" style="495" customWidth="1"/>
    <col min="4063" max="4063" width="17.140625" style="495" customWidth="1"/>
    <col min="4064" max="4065" width="17.85546875" style="495" customWidth="1"/>
    <col min="4066" max="4067" width="17.140625" style="495" customWidth="1"/>
    <col min="4068" max="4068" width="16.85546875" style="495" customWidth="1"/>
    <col min="4069" max="4069" width="20.5703125" style="495" customWidth="1"/>
    <col min="4070" max="4072" width="6.42578125" style="495" customWidth="1"/>
    <col min="4073" max="4073" width="15.85546875" style="495" customWidth="1"/>
    <col min="4074" max="4074" width="16" style="495" customWidth="1"/>
    <col min="4075" max="4075" width="15.7109375" style="495" customWidth="1"/>
    <col min="4076" max="4077" width="19.28515625" style="495" customWidth="1"/>
    <col min="4078" max="4078" width="18.140625" style="495" customWidth="1"/>
    <col min="4079" max="4079" width="16" style="495" customWidth="1"/>
    <col min="4080" max="4080" width="18" style="495" customWidth="1"/>
    <col min="4081" max="4081" width="17.85546875" style="495" customWidth="1"/>
    <col min="4082" max="4083" width="16.140625" style="495" customWidth="1"/>
    <col min="4084" max="4086" width="17.5703125" style="495" customWidth="1"/>
    <col min="4087" max="4087" width="13.7109375" style="495" customWidth="1"/>
    <col min="4088" max="4314" width="11.42578125" style="495"/>
    <col min="4315" max="4315" width="5.5703125" style="495" customWidth="1"/>
    <col min="4316" max="4316" width="35.85546875" style="495" customWidth="1"/>
    <col min="4317" max="4317" width="16.85546875" style="495" customWidth="1"/>
    <col min="4318" max="4318" width="13.7109375" style="495" customWidth="1"/>
    <col min="4319" max="4319" width="17.140625" style="495" customWidth="1"/>
    <col min="4320" max="4321" width="17.85546875" style="495" customWidth="1"/>
    <col min="4322" max="4323" width="17.140625" style="495" customWidth="1"/>
    <col min="4324" max="4324" width="16.85546875" style="495" customWidth="1"/>
    <col min="4325" max="4325" width="20.5703125" style="495" customWidth="1"/>
    <col min="4326" max="4328" width="6.42578125" style="495" customWidth="1"/>
    <col min="4329" max="4329" width="15.85546875" style="495" customWidth="1"/>
    <col min="4330" max="4330" width="16" style="495" customWidth="1"/>
    <col min="4331" max="4331" width="15.7109375" style="495" customWidth="1"/>
    <col min="4332" max="4333" width="19.28515625" style="495" customWidth="1"/>
    <col min="4334" max="4334" width="18.140625" style="495" customWidth="1"/>
    <col min="4335" max="4335" width="16" style="495" customWidth="1"/>
    <col min="4336" max="4336" width="18" style="495" customWidth="1"/>
    <col min="4337" max="4337" width="17.85546875" style="495" customWidth="1"/>
    <col min="4338" max="4339" width="16.140625" style="495" customWidth="1"/>
    <col min="4340" max="4342" width="17.5703125" style="495" customWidth="1"/>
    <col min="4343" max="4343" width="13.7109375" style="495" customWidth="1"/>
    <col min="4344" max="4570" width="11.42578125" style="495"/>
    <col min="4571" max="4571" width="5.5703125" style="495" customWidth="1"/>
    <col min="4572" max="4572" width="35.85546875" style="495" customWidth="1"/>
    <col min="4573" max="4573" width="16.85546875" style="495" customWidth="1"/>
    <col min="4574" max="4574" width="13.7109375" style="495" customWidth="1"/>
    <col min="4575" max="4575" width="17.140625" style="495" customWidth="1"/>
    <col min="4576" max="4577" width="17.85546875" style="495" customWidth="1"/>
    <col min="4578" max="4579" width="17.140625" style="495" customWidth="1"/>
    <col min="4580" max="4580" width="16.85546875" style="495" customWidth="1"/>
    <col min="4581" max="4581" width="20.5703125" style="495" customWidth="1"/>
    <col min="4582" max="4584" width="6.42578125" style="495" customWidth="1"/>
    <col min="4585" max="4585" width="15.85546875" style="495" customWidth="1"/>
    <col min="4586" max="4586" width="16" style="495" customWidth="1"/>
    <col min="4587" max="4587" width="15.7109375" style="495" customWidth="1"/>
    <col min="4588" max="4589" width="19.28515625" style="495" customWidth="1"/>
    <col min="4590" max="4590" width="18.140625" style="495" customWidth="1"/>
    <col min="4591" max="4591" width="16" style="495" customWidth="1"/>
    <col min="4592" max="4592" width="18" style="495" customWidth="1"/>
    <col min="4593" max="4593" width="17.85546875" style="495" customWidth="1"/>
    <col min="4594" max="4595" width="16.140625" style="495" customWidth="1"/>
    <col min="4596" max="4598" width="17.5703125" style="495" customWidth="1"/>
    <col min="4599" max="4599" width="13.7109375" style="495" customWidth="1"/>
    <col min="4600" max="4826" width="11.42578125" style="495"/>
    <col min="4827" max="4827" width="5.5703125" style="495" customWidth="1"/>
    <col min="4828" max="4828" width="35.85546875" style="495" customWidth="1"/>
    <col min="4829" max="4829" width="16.85546875" style="495" customWidth="1"/>
    <col min="4830" max="4830" width="13.7109375" style="495" customWidth="1"/>
    <col min="4831" max="4831" width="17.140625" style="495" customWidth="1"/>
    <col min="4832" max="4833" width="17.85546875" style="495" customWidth="1"/>
    <col min="4834" max="4835" width="17.140625" style="495" customWidth="1"/>
    <col min="4836" max="4836" width="16.85546875" style="495" customWidth="1"/>
    <col min="4837" max="4837" width="20.5703125" style="495" customWidth="1"/>
    <col min="4838" max="4840" width="6.42578125" style="495" customWidth="1"/>
    <col min="4841" max="4841" width="15.85546875" style="495" customWidth="1"/>
    <col min="4842" max="4842" width="16" style="495" customWidth="1"/>
    <col min="4843" max="4843" width="15.7109375" style="495" customWidth="1"/>
    <col min="4844" max="4845" width="19.28515625" style="495" customWidth="1"/>
    <col min="4846" max="4846" width="18.140625" style="495" customWidth="1"/>
    <col min="4847" max="4847" width="16" style="495" customWidth="1"/>
    <col min="4848" max="4848" width="18" style="495" customWidth="1"/>
    <col min="4849" max="4849" width="17.85546875" style="495" customWidth="1"/>
    <col min="4850" max="4851" width="16.140625" style="495" customWidth="1"/>
    <col min="4852" max="4854" width="17.5703125" style="495" customWidth="1"/>
    <col min="4855" max="4855" width="13.7109375" style="495" customWidth="1"/>
    <col min="4856" max="5082" width="11.42578125" style="495"/>
    <col min="5083" max="5083" width="5.5703125" style="495" customWidth="1"/>
    <col min="5084" max="5084" width="35.85546875" style="495" customWidth="1"/>
    <col min="5085" max="5085" width="16.85546875" style="495" customWidth="1"/>
    <col min="5086" max="5086" width="13.7109375" style="495" customWidth="1"/>
    <col min="5087" max="5087" width="17.140625" style="495" customWidth="1"/>
    <col min="5088" max="5089" width="17.85546875" style="495" customWidth="1"/>
    <col min="5090" max="5091" width="17.140625" style="495" customWidth="1"/>
    <col min="5092" max="5092" width="16.85546875" style="495" customWidth="1"/>
    <col min="5093" max="5093" width="20.5703125" style="495" customWidth="1"/>
    <col min="5094" max="5096" width="6.42578125" style="495" customWidth="1"/>
    <col min="5097" max="5097" width="15.85546875" style="495" customWidth="1"/>
    <col min="5098" max="5098" width="16" style="495" customWidth="1"/>
    <col min="5099" max="5099" width="15.7109375" style="495" customWidth="1"/>
    <col min="5100" max="5101" width="19.28515625" style="495" customWidth="1"/>
    <col min="5102" max="5102" width="18.140625" style="495" customWidth="1"/>
    <col min="5103" max="5103" width="16" style="495" customWidth="1"/>
    <col min="5104" max="5104" width="18" style="495" customWidth="1"/>
    <col min="5105" max="5105" width="17.85546875" style="495" customWidth="1"/>
    <col min="5106" max="5107" width="16.140625" style="495" customWidth="1"/>
    <col min="5108" max="5110" width="17.5703125" style="495" customWidth="1"/>
    <col min="5111" max="5111" width="13.7109375" style="495" customWidth="1"/>
    <col min="5112" max="5338" width="11.42578125" style="495"/>
    <col min="5339" max="5339" width="5.5703125" style="495" customWidth="1"/>
    <col min="5340" max="5340" width="35.85546875" style="495" customWidth="1"/>
    <col min="5341" max="5341" width="16.85546875" style="495" customWidth="1"/>
    <col min="5342" max="5342" width="13.7109375" style="495" customWidth="1"/>
    <col min="5343" max="5343" width="17.140625" style="495" customWidth="1"/>
    <col min="5344" max="5345" width="17.85546875" style="495" customWidth="1"/>
    <col min="5346" max="5347" width="17.140625" style="495" customWidth="1"/>
    <col min="5348" max="5348" width="16.85546875" style="495" customWidth="1"/>
    <col min="5349" max="5349" width="20.5703125" style="495" customWidth="1"/>
    <col min="5350" max="5352" width="6.42578125" style="495" customWidth="1"/>
    <col min="5353" max="5353" width="15.85546875" style="495" customWidth="1"/>
    <col min="5354" max="5354" width="16" style="495" customWidth="1"/>
    <col min="5355" max="5355" width="15.7109375" style="495" customWidth="1"/>
    <col min="5356" max="5357" width="19.28515625" style="495" customWidth="1"/>
    <col min="5358" max="5358" width="18.140625" style="495" customWidth="1"/>
    <col min="5359" max="5359" width="16" style="495" customWidth="1"/>
    <col min="5360" max="5360" width="18" style="495" customWidth="1"/>
    <col min="5361" max="5361" width="17.85546875" style="495" customWidth="1"/>
    <col min="5362" max="5363" width="16.140625" style="495" customWidth="1"/>
    <col min="5364" max="5366" width="17.5703125" style="495" customWidth="1"/>
    <col min="5367" max="5367" width="13.7109375" style="495" customWidth="1"/>
    <col min="5368" max="5594" width="11.42578125" style="495"/>
    <col min="5595" max="5595" width="5.5703125" style="495" customWidth="1"/>
    <col min="5596" max="5596" width="35.85546875" style="495" customWidth="1"/>
    <col min="5597" max="5597" width="16.85546875" style="495" customWidth="1"/>
    <col min="5598" max="5598" width="13.7109375" style="495" customWidth="1"/>
    <col min="5599" max="5599" width="17.140625" style="495" customWidth="1"/>
    <col min="5600" max="5601" width="17.85546875" style="495" customWidth="1"/>
    <col min="5602" max="5603" width="17.140625" style="495" customWidth="1"/>
    <col min="5604" max="5604" width="16.85546875" style="495" customWidth="1"/>
    <col min="5605" max="5605" width="20.5703125" style="495" customWidth="1"/>
    <col min="5606" max="5608" width="6.42578125" style="495" customWidth="1"/>
    <col min="5609" max="5609" width="15.85546875" style="495" customWidth="1"/>
    <col min="5610" max="5610" width="16" style="495" customWidth="1"/>
    <col min="5611" max="5611" width="15.7109375" style="495" customWidth="1"/>
    <col min="5612" max="5613" width="19.28515625" style="495" customWidth="1"/>
    <col min="5614" max="5614" width="18.140625" style="495" customWidth="1"/>
    <col min="5615" max="5615" width="16" style="495" customWidth="1"/>
    <col min="5616" max="5616" width="18" style="495" customWidth="1"/>
    <col min="5617" max="5617" width="17.85546875" style="495" customWidth="1"/>
    <col min="5618" max="5619" width="16.140625" style="495" customWidth="1"/>
    <col min="5620" max="5622" width="17.5703125" style="495" customWidth="1"/>
    <col min="5623" max="5623" width="13.7109375" style="495" customWidth="1"/>
    <col min="5624" max="5850" width="11.42578125" style="495"/>
    <col min="5851" max="5851" width="5.5703125" style="495" customWidth="1"/>
    <col min="5852" max="5852" width="35.85546875" style="495" customWidth="1"/>
    <col min="5853" max="5853" width="16.85546875" style="495" customWidth="1"/>
    <col min="5854" max="5854" width="13.7109375" style="495" customWidth="1"/>
    <col min="5855" max="5855" width="17.140625" style="495" customWidth="1"/>
    <col min="5856" max="5857" width="17.85546875" style="495" customWidth="1"/>
    <col min="5858" max="5859" width="17.140625" style="495" customWidth="1"/>
    <col min="5860" max="5860" width="16.85546875" style="495" customWidth="1"/>
    <col min="5861" max="5861" width="20.5703125" style="495" customWidth="1"/>
    <col min="5862" max="5864" width="6.42578125" style="495" customWidth="1"/>
    <col min="5865" max="5865" width="15.85546875" style="495" customWidth="1"/>
    <col min="5866" max="5866" width="16" style="495" customWidth="1"/>
    <col min="5867" max="5867" width="15.7109375" style="495" customWidth="1"/>
    <col min="5868" max="5869" width="19.28515625" style="495" customWidth="1"/>
    <col min="5870" max="5870" width="18.140625" style="495" customWidth="1"/>
    <col min="5871" max="5871" width="16" style="495" customWidth="1"/>
    <col min="5872" max="5872" width="18" style="495" customWidth="1"/>
    <col min="5873" max="5873" width="17.85546875" style="495" customWidth="1"/>
    <col min="5874" max="5875" width="16.140625" style="495" customWidth="1"/>
    <col min="5876" max="5878" width="17.5703125" style="495" customWidth="1"/>
    <col min="5879" max="5879" width="13.7109375" style="495" customWidth="1"/>
    <col min="5880" max="6106" width="11.42578125" style="495"/>
    <col min="6107" max="6107" width="5.5703125" style="495" customWidth="1"/>
    <col min="6108" max="6108" width="35.85546875" style="495" customWidth="1"/>
    <col min="6109" max="6109" width="16.85546875" style="495" customWidth="1"/>
    <col min="6110" max="6110" width="13.7109375" style="495" customWidth="1"/>
    <col min="6111" max="6111" width="17.140625" style="495" customWidth="1"/>
    <col min="6112" max="6113" width="17.85546875" style="495" customWidth="1"/>
    <col min="6114" max="6115" width="17.140625" style="495" customWidth="1"/>
    <col min="6116" max="6116" width="16.85546875" style="495" customWidth="1"/>
    <col min="6117" max="6117" width="20.5703125" style="495" customWidth="1"/>
    <col min="6118" max="6120" width="6.42578125" style="495" customWidth="1"/>
    <col min="6121" max="6121" width="15.85546875" style="495" customWidth="1"/>
    <col min="6122" max="6122" width="16" style="495" customWidth="1"/>
    <col min="6123" max="6123" width="15.7109375" style="495" customWidth="1"/>
    <col min="6124" max="6125" width="19.28515625" style="495" customWidth="1"/>
    <col min="6126" max="6126" width="18.140625" style="495" customWidth="1"/>
    <col min="6127" max="6127" width="16" style="495" customWidth="1"/>
    <col min="6128" max="6128" width="18" style="495" customWidth="1"/>
    <col min="6129" max="6129" width="17.85546875" style="495" customWidth="1"/>
    <col min="6130" max="6131" width="16.140625" style="495" customWidth="1"/>
    <col min="6132" max="6134" width="17.5703125" style="495" customWidth="1"/>
    <col min="6135" max="6135" width="13.7109375" style="495" customWidth="1"/>
    <col min="6136" max="6362" width="11.42578125" style="495"/>
    <col min="6363" max="6363" width="5.5703125" style="495" customWidth="1"/>
    <col min="6364" max="6364" width="35.85546875" style="495" customWidth="1"/>
    <col min="6365" max="6365" width="16.85546875" style="495" customWidth="1"/>
    <col min="6366" max="6366" width="13.7109375" style="495" customWidth="1"/>
    <col min="6367" max="6367" width="17.140625" style="495" customWidth="1"/>
    <col min="6368" max="6369" width="17.85546875" style="495" customWidth="1"/>
    <col min="6370" max="6371" width="17.140625" style="495" customWidth="1"/>
    <col min="6372" max="6372" width="16.85546875" style="495" customWidth="1"/>
    <col min="6373" max="6373" width="20.5703125" style="495" customWidth="1"/>
    <col min="6374" max="6376" width="6.42578125" style="495" customWidth="1"/>
    <col min="6377" max="6377" width="15.85546875" style="495" customWidth="1"/>
    <col min="6378" max="6378" width="16" style="495" customWidth="1"/>
    <col min="6379" max="6379" width="15.7109375" style="495" customWidth="1"/>
    <col min="6380" max="6381" width="19.28515625" style="495" customWidth="1"/>
    <col min="6382" max="6382" width="18.140625" style="495" customWidth="1"/>
    <col min="6383" max="6383" width="16" style="495" customWidth="1"/>
    <col min="6384" max="6384" width="18" style="495" customWidth="1"/>
    <col min="6385" max="6385" width="17.85546875" style="495" customWidth="1"/>
    <col min="6386" max="6387" width="16.140625" style="495" customWidth="1"/>
    <col min="6388" max="6390" width="17.5703125" style="495" customWidth="1"/>
    <col min="6391" max="6391" width="13.7109375" style="495" customWidth="1"/>
    <col min="6392" max="6618" width="11.42578125" style="495"/>
    <col min="6619" max="6619" width="5.5703125" style="495" customWidth="1"/>
    <col min="6620" max="6620" width="35.85546875" style="495" customWidth="1"/>
    <col min="6621" max="6621" width="16.85546875" style="495" customWidth="1"/>
    <col min="6622" max="6622" width="13.7109375" style="495" customWidth="1"/>
    <col min="6623" max="6623" width="17.140625" style="495" customWidth="1"/>
    <col min="6624" max="6625" width="17.85546875" style="495" customWidth="1"/>
    <col min="6626" max="6627" width="17.140625" style="495" customWidth="1"/>
    <col min="6628" max="6628" width="16.85546875" style="495" customWidth="1"/>
    <col min="6629" max="6629" width="20.5703125" style="495" customWidth="1"/>
    <col min="6630" max="6632" width="6.42578125" style="495" customWidth="1"/>
    <col min="6633" max="6633" width="15.85546875" style="495" customWidth="1"/>
    <col min="6634" max="6634" width="16" style="495" customWidth="1"/>
    <col min="6635" max="6635" width="15.7109375" style="495" customWidth="1"/>
    <col min="6636" max="6637" width="19.28515625" style="495" customWidth="1"/>
    <col min="6638" max="6638" width="18.140625" style="495" customWidth="1"/>
    <col min="6639" max="6639" width="16" style="495" customWidth="1"/>
    <col min="6640" max="6640" width="18" style="495" customWidth="1"/>
    <col min="6641" max="6641" width="17.85546875" style="495" customWidth="1"/>
    <col min="6642" max="6643" width="16.140625" style="495" customWidth="1"/>
    <col min="6644" max="6646" width="17.5703125" style="495" customWidth="1"/>
    <col min="6647" max="6647" width="13.7109375" style="495" customWidth="1"/>
    <col min="6648" max="6874" width="11.42578125" style="495"/>
    <col min="6875" max="6875" width="5.5703125" style="495" customWidth="1"/>
    <col min="6876" max="6876" width="35.85546875" style="495" customWidth="1"/>
    <col min="6877" max="6877" width="16.85546875" style="495" customWidth="1"/>
    <col min="6878" max="6878" width="13.7109375" style="495" customWidth="1"/>
    <col min="6879" max="6879" width="17.140625" style="495" customWidth="1"/>
    <col min="6880" max="6881" width="17.85546875" style="495" customWidth="1"/>
    <col min="6882" max="6883" width="17.140625" style="495" customWidth="1"/>
    <col min="6884" max="6884" width="16.85546875" style="495" customWidth="1"/>
    <col min="6885" max="6885" width="20.5703125" style="495" customWidth="1"/>
    <col min="6886" max="6888" width="6.42578125" style="495" customWidth="1"/>
    <col min="6889" max="6889" width="15.85546875" style="495" customWidth="1"/>
    <col min="6890" max="6890" width="16" style="495" customWidth="1"/>
    <col min="6891" max="6891" width="15.7109375" style="495" customWidth="1"/>
    <col min="6892" max="6893" width="19.28515625" style="495" customWidth="1"/>
    <col min="6894" max="6894" width="18.140625" style="495" customWidth="1"/>
    <col min="6895" max="6895" width="16" style="495" customWidth="1"/>
    <col min="6896" max="6896" width="18" style="495" customWidth="1"/>
    <col min="6897" max="6897" width="17.85546875" style="495" customWidth="1"/>
    <col min="6898" max="6899" width="16.140625" style="495" customWidth="1"/>
    <col min="6900" max="6902" width="17.5703125" style="495" customWidth="1"/>
    <col min="6903" max="6903" width="13.7109375" style="495" customWidth="1"/>
    <col min="6904" max="7130" width="11.42578125" style="495"/>
    <col min="7131" max="7131" width="5.5703125" style="495" customWidth="1"/>
    <col min="7132" max="7132" width="35.85546875" style="495" customWidth="1"/>
    <col min="7133" max="7133" width="16.85546875" style="495" customWidth="1"/>
    <col min="7134" max="7134" width="13.7109375" style="495" customWidth="1"/>
    <col min="7135" max="7135" width="17.140625" style="495" customWidth="1"/>
    <col min="7136" max="7137" width="17.85546875" style="495" customWidth="1"/>
    <col min="7138" max="7139" width="17.140625" style="495" customWidth="1"/>
    <col min="7140" max="7140" width="16.85546875" style="495" customWidth="1"/>
    <col min="7141" max="7141" width="20.5703125" style="495" customWidth="1"/>
    <col min="7142" max="7144" width="6.42578125" style="495" customWidth="1"/>
    <col min="7145" max="7145" width="15.85546875" style="495" customWidth="1"/>
    <col min="7146" max="7146" width="16" style="495" customWidth="1"/>
    <col min="7147" max="7147" width="15.7109375" style="495" customWidth="1"/>
    <col min="7148" max="7149" width="19.28515625" style="495" customWidth="1"/>
    <col min="7150" max="7150" width="18.140625" style="495" customWidth="1"/>
    <col min="7151" max="7151" width="16" style="495" customWidth="1"/>
    <col min="7152" max="7152" width="18" style="495" customWidth="1"/>
    <col min="7153" max="7153" width="17.85546875" style="495" customWidth="1"/>
    <col min="7154" max="7155" width="16.140625" style="495" customWidth="1"/>
    <col min="7156" max="7158" width="17.5703125" style="495" customWidth="1"/>
    <col min="7159" max="7159" width="13.7109375" style="495" customWidth="1"/>
    <col min="7160" max="7386" width="11.42578125" style="495"/>
    <col min="7387" max="7387" width="5.5703125" style="495" customWidth="1"/>
    <col min="7388" max="7388" width="35.85546875" style="495" customWidth="1"/>
    <col min="7389" max="7389" width="16.85546875" style="495" customWidth="1"/>
    <col min="7390" max="7390" width="13.7109375" style="495" customWidth="1"/>
    <col min="7391" max="7391" width="17.140625" style="495" customWidth="1"/>
    <col min="7392" max="7393" width="17.85546875" style="495" customWidth="1"/>
    <col min="7394" max="7395" width="17.140625" style="495" customWidth="1"/>
    <col min="7396" max="7396" width="16.85546875" style="495" customWidth="1"/>
    <col min="7397" max="7397" width="20.5703125" style="495" customWidth="1"/>
    <col min="7398" max="7400" width="6.42578125" style="495" customWidth="1"/>
    <col min="7401" max="7401" width="15.85546875" style="495" customWidth="1"/>
    <col min="7402" max="7402" width="16" style="495" customWidth="1"/>
    <col min="7403" max="7403" width="15.7109375" style="495" customWidth="1"/>
    <col min="7404" max="7405" width="19.28515625" style="495" customWidth="1"/>
    <col min="7406" max="7406" width="18.140625" style="495" customWidth="1"/>
    <col min="7407" max="7407" width="16" style="495" customWidth="1"/>
    <col min="7408" max="7408" width="18" style="495" customWidth="1"/>
    <col min="7409" max="7409" width="17.85546875" style="495" customWidth="1"/>
    <col min="7410" max="7411" width="16.140625" style="495" customWidth="1"/>
    <col min="7412" max="7414" width="17.5703125" style="495" customWidth="1"/>
    <col min="7415" max="7415" width="13.7109375" style="495" customWidth="1"/>
    <col min="7416" max="7642" width="11.42578125" style="495"/>
    <col min="7643" max="7643" width="5.5703125" style="495" customWidth="1"/>
    <col min="7644" max="7644" width="35.85546875" style="495" customWidth="1"/>
    <col min="7645" max="7645" width="16.85546875" style="495" customWidth="1"/>
    <col min="7646" max="7646" width="13.7109375" style="495" customWidth="1"/>
    <col min="7647" max="7647" width="17.140625" style="495" customWidth="1"/>
    <col min="7648" max="7649" width="17.85546875" style="495" customWidth="1"/>
    <col min="7650" max="7651" width="17.140625" style="495" customWidth="1"/>
    <col min="7652" max="7652" width="16.85546875" style="495" customWidth="1"/>
    <col min="7653" max="7653" width="20.5703125" style="495" customWidth="1"/>
    <col min="7654" max="7656" width="6.42578125" style="495" customWidth="1"/>
    <col min="7657" max="7657" width="15.85546875" style="495" customWidth="1"/>
    <col min="7658" max="7658" width="16" style="495" customWidth="1"/>
    <col min="7659" max="7659" width="15.7109375" style="495" customWidth="1"/>
    <col min="7660" max="7661" width="19.28515625" style="495" customWidth="1"/>
    <col min="7662" max="7662" width="18.140625" style="495" customWidth="1"/>
    <col min="7663" max="7663" width="16" style="495" customWidth="1"/>
    <col min="7664" max="7664" width="18" style="495" customWidth="1"/>
    <col min="7665" max="7665" width="17.85546875" style="495" customWidth="1"/>
    <col min="7666" max="7667" width="16.140625" style="495" customWidth="1"/>
    <col min="7668" max="7670" width="17.5703125" style="495" customWidth="1"/>
    <col min="7671" max="7671" width="13.7109375" style="495" customWidth="1"/>
    <col min="7672" max="7898" width="11.42578125" style="495"/>
    <col min="7899" max="7899" width="5.5703125" style="495" customWidth="1"/>
    <col min="7900" max="7900" width="35.85546875" style="495" customWidth="1"/>
    <col min="7901" max="7901" width="16.85546875" style="495" customWidth="1"/>
    <col min="7902" max="7902" width="13.7109375" style="495" customWidth="1"/>
    <col min="7903" max="7903" width="17.140625" style="495" customWidth="1"/>
    <col min="7904" max="7905" width="17.85546875" style="495" customWidth="1"/>
    <col min="7906" max="7907" width="17.140625" style="495" customWidth="1"/>
    <col min="7908" max="7908" width="16.85546875" style="495" customWidth="1"/>
    <col min="7909" max="7909" width="20.5703125" style="495" customWidth="1"/>
    <col min="7910" max="7912" width="6.42578125" style="495" customWidth="1"/>
    <col min="7913" max="7913" width="15.85546875" style="495" customWidth="1"/>
    <col min="7914" max="7914" width="16" style="495" customWidth="1"/>
    <col min="7915" max="7915" width="15.7109375" style="495" customWidth="1"/>
    <col min="7916" max="7917" width="19.28515625" style="495" customWidth="1"/>
    <col min="7918" max="7918" width="18.140625" style="495" customWidth="1"/>
    <col min="7919" max="7919" width="16" style="495" customWidth="1"/>
    <col min="7920" max="7920" width="18" style="495" customWidth="1"/>
    <col min="7921" max="7921" width="17.85546875" style="495" customWidth="1"/>
    <col min="7922" max="7923" width="16.140625" style="495" customWidth="1"/>
    <col min="7924" max="7926" width="17.5703125" style="495" customWidth="1"/>
    <col min="7927" max="7927" width="13.7109375" style="495" customWidth="1"/>
    <col min="7928" max="8154" width="11.42578125" style="495"/>
    <col min="8155" max="8155" width="5.5703125" style="495" customWidth="1"/>
    <col min="8156" max="8156" width="35.85546875" style="495" customWidth="1"/>
    <col min="8157" max="8157" width="16.85546875" style="495" customWidth="1"/>
    <col min="8158" max="8158" width="13.7109375" style="495" customWidth="1"/>
    <col min="8159" max="8159" width="17.140625" style="495" customWidth="1"/>
    <col min="8160" max="8161" width="17.85546875" style="495" customWidth="1"/>
    <col min="8162" max="8163" width="17.140625" style="495" customWidth="1"/>
    <col min="8164" max="8164" width="16.85546875" style="495" customWidth="1"/>
    <col min="8165" max="8165" width="20.5703125" style="495" customWidth="1"/>
    <col min="8166" max="8168" width="6.42578125" style="495" customWidth="1"/>
    <col min="8169" max="8169" width="15.85546875" style="495" customWidth="1"/>
    <col min="8170" max="8170" width="16" style="495" customWidth="1"/>
    <col min="8171" max="8171" width="15.7109375" style="495" customWidth="1"/>
    <col min="8172" max="8173" width="19.28515625" style="495" customWidth="1"/>
    <col min="8174" max="8174" width="18.140625" style="495" customWidth="1"/>
    <col min="8175" max="8175" width="16" style="495" customWidth="1"/>
    <col min="8176" max="8176" width="18" style="495" customWidth="1"/>
    <col min="8177" max="8177" width="17.85546875" style="495" customWidth="1"/>
    <col min="8178" max="8179" width="16.140625" style="495" customWidth="1"/>
    <col min="8180" max="8182" width="17.5703125" style="495" customWidth="1"/>
    <col min="8183" max="8183" width="13.7109375" style="495" customWidth="1"/>
    <col min="8184" max="8410" width="11.42578125" style="495"/>
    <col min="8411" max="8411" width="5.5703125" style="495" customWidth="1"/>
    <col min="8412" max="8412" width="35.85546875" style="495" customWidth="1"/>
    <col min="8413" max="8413" width="16.85546875" style="495" customWidth="1"/>
    <col min="8414" max="8414" width="13.7109375" style="495" customWidth="1"/>
    <col min="8415" max="8415" width="17.140625" style="495" customWidth="1"/>
    <col min="8416" max="8417" width="17.85546875" style="495" customWidth="1"/>
    <col min="8418" max="8419" width="17.140625" style="495" customWidth="1"/>
    <col min="8420" max="8420" width="16.85546875" style="495" customWidth="1"/>
    <col min="8421" max="8421" width="20.5703125" style="495" customWidth="1"/>
    <col min="8422" max="8424" width="6.42578125" style="495" customWidth="1"/>
    <col min="8425" max="8425" width="15.85546875" style="495" customWidth="1"/>
    <col min="8426" max="8426" width="16" style="495" customWidth="1"/>
    <col min="8427" max="8427" width="15.7109375" style="495" customWidth="1"/>
    <col min="8428" max="8429" width="19.28515625" style="495" customWidth="1"/>
    <col min="8430" max="8430" width="18.140625" style="495" customWidth="1"/>
    <col min="8431" max="8431" width="16" style="495" customWidth="1"/>
    <col min="8432" max="8432" width="18" style="495" customWidth="1"/>
    <col min="8433" max="8433" width="17.85546875" style="495" customWidth="1"/>
    <col min="8434" max="8435" width="16.140625" style="495" customWidth="1"/>
    <col min="8436" max="8438" width="17.5703125" style="495" customWidth="1"/>
    <col min="8439" max="8439" width="13.7109375" style="495" customWidth="1"/>
    <col min="8440" max="8666" width="11.42578125" style="495"/>
    <col min="8667" max="8667" width="5.5703125" style="495" customWidth="1"/>
    <col min="8668" max="8668" width="35.85546875" style="495" customWidth="1"/>
    <col min="8669" max="8669" width="16.85546875" style="495" customWidth="1"/>
    <col min="8670" max="8670" width="13.7109375" style="495" customWidth="1"/>
    <col min="8671" max="8671" width="17.140625" style="495" customWidth="1"/>
    <col min="8672" max="8673" width="17.85546875" style="495" customWidth="1"/>
    <col min="8674" max="8675" width="17.140625" style="495" customWidth="1"/>
    <col min="8676" max="8676" width="16.85546875" style="495" customWidth="1"/>
    <col min="8677" max="8677" width="20.5703125" style="495" customWidth="1"/>
    <col min="8678" max="8680" width="6.42578125" style="495" customWidth="1"/>
    <col min="8681" max="8681" width="15.85546875" style="495" customWidth="1"/>
    <col min="8682" max="8682" width="16" style="495" customWidth="1"/>
    <col min="8683" max="8683" width="15.7109375" style="495" customWidth="1"/>
    <col min="8684" max="8685" width="19.28515625" style="495" customWidth="1"/>
    <col min="8686" max="8686" width="18.140625" style="495" customWidth="1"/>
    <col min="8687" max="8687" width="16" style="495" customWidth="1"/>
    <col min="8688" max="8688" width="18" style="495" customWidth="1"/>
    <col min="8689" max="8689" width="17.85546875" style="495" customWidth="1"/>
    <col min="8690" max="8691" width="16.140625" style="495" customWidth="1"/>
    <col min="8692" max="8694" width="17.5703125" style="495" customWidth="1"/>
    <col min="8695" max="8695" width="13.7109375" style="495" customWidth="1"/>
    <col min="8696" max="8922" width="11.42578125" style="495"/>
    <col min="8923" max="8923" width="5.5703125" style="495" customWidth="1"/>
    <col min="8924" max="8924" width="35.85546875" style="495" customWidth="1"/>
    <col min="8925" max="8925" width="16.85546875" style="495" customWidth="1"/>
    <col min="8926" max="8926" width="13.7109375" style="495" customWidth="1"/>
    <col min="8927" max="8927" width="17.140625" style="495" customWidth="1"/>
    <col min="8928" max="8929" width="17.85546875" style="495" customWidth="1"/>
    <col min="8930" max="8931" width="17.140625" style="495" customWidth="1"/>
    <col min="8932" max="8932" width="16.85546875" style="495" customWidth="1"/>
    <col min="8933" max="8933" width="20.5703125" style="495" customWidth="1"/>
    <col min="8934" max="8936" width="6.42578125" style="495" customWidth="1"/>
    <col min="8937" max="8937" width="15.85546875" style="495" customWidth="1"/>
    <col min="8938" max="8938" width="16" style="495" customWidth="1"/>
    <col min="8939" max="8939" width="15.7109375" style="495" customWidth="1"/>
    <col min="8940" max="8941" width="19.28515625" style="495" customWidth="1"/>
    <col min="8942" max="8942" width="18.140625" style="495" customWidth="1"/>
    <col min="8943" max="8943" width="16" style="495" customWidth="1"/>
    <col min="8944" max="8944" width="18" style="495" customWidth="1"/>
    <col min="8945" max="8945" width="17.85546875" style="495" customWidth="1"/>
    <col min="8946" max="8947" width="16.140625" style="495" customWidth="1"/>
    <col min="8948" max="8950" width="17.5703125" style="495" customWidth="1"/>
    <col min="8951" max="8951" width="13.7109375" style="495" customWidth="1"/>
    <col min="8952" max="9178" width="11.42578125" style="495"/>
    <col min="9179" max="9179" width="5.5703125" style="495" customWidth="1"/>
    <col min="9180" max="9180" width="35.85546875" style="495" customWidth="1"/>
    <col min="9181" max="9181" width="16.85546875" style="495" customWidth="1"/>
    <col min="9182" max="9182" width="13.7109375" style="495" customWidth="1"/>
    <col min="9183" max="9183" width="17.140625" style="495" customWidth="1"/>
    <col min="9184" max="9185" width="17.85546875" style="495" customWidth="1"/>
    <col min="9186" max="9187" width="17.140625" style="495" customWidth="1"/>
    <col min="9188" max="9188" width="16.85546875" style="495" customWidth="1"/>
    <col min="9189" max="9189" width="20.5703125" style="495" customWidth="1"/>
    <col min="9190" max="9192" width="6.42578125" style="495" customWidth="1"/>
    <col min="9193" max="9193" width="15.85546875" style="495" customWidth="1"/>
    <col min="9194" max="9194" width="16" style="495" customWidth="1"/>
    <col min="9195" max="9195" width="15.7109375" style="495" customWidth="1"/>
    <col min="9196" max="9197" width="19.28515625" style="495" customWidth="1"/>
    <col min="9198" max="9198" width="18.140625" style="495" customWidth="1"/>
    <col min="9199" max="9199" width="16" style="495" customWidth="1"/>
    <col min="9200" max="9200" width="18" style="495" customWidth="1"/>
    <col min="9201" max="9201" width="17.85546875" style="495" customWidth="1"/>
    <col min="9202" max="9203" width="16.140625" style="495" customWidth="1"/>
    <col min="9204" max="9206" width="17.5703125" style="495" customWidth="1"/>
    <col min="9207" max="9207" width="13.7109375" style="495" customWidth="1"/>
    <col min="9208" max="9434" width="11.42578125" style="495"/>
    <col min="9435" max="9435" width="5.5703125" style="495" customWidth="1"/>
    <col min="9436" max="9436" width="35.85546875" style="495" customWidth="1"/>
    <col min="9437" max="9437" width="16.85546875" style="495" customWidth="1"/>
    <col min="9438" max="9438" width="13.7109375" style="495" customWidth="1"/>
    <col min="9439" max="9439" width="17.140625" style="495" customWidth="1"/>
    <col min="9440" max="9441" width="17.85546875" style="495" customWidth="1"/>
    <col min="9442" max="9443" width="17.140625" style="495" customWidth="1"/>
    <col min="9444" max="9444" width="16.85546875" style="495" customWidth="1"/>
    <col min="9445" max="9445" width="20.5703125" style="495" customWidth="1"/>
    <col min="9446" max="9448" width="6.42578125" style="495" customWidth="1"/>
    <col min="9449" max="9449" width="15.85546875" style="495" customWidth="1"/>
    <col min="9450" max="9450" width="16" style="495" customWidth="1"/>
    <col min="9451" max="9451" width="15.7109375" style="495" customWidth="1"/>
    <col min="9452" max="9453" width="19.28515625" style="495" customWidth="1"/>
    <col min="9454" max="9454" width="18.140625" style="495" customWidth="1"/>
    <col min="9455" max="9455" width="16" style="495" customWidth="1"/>
    <col min="9456" max="9456" width="18" style="495" customWidth="1"/>
    <col min="9457" max="9457" width="17.85546875" style="495" customWidth="1"/>
    <col min="9458" max="9459" width="16.140625" style="495" customWidth="1"/>
    <col min="9460" max="9462" width="17.5703125" style="495" customWidth="1"/>
    <col min="9463" max="9463" width="13.7109375" style="495" customWidth="1"/>
    <col min="9464" max="9690" width="11.42578125" style="495"/>
    <col min="9691" max="9691" width="5.5703125" style="495" customWidth="1"/>
    <col min="9692" max="9692" width="35.85546875" style="495" customWidth="1"/>
    <col min="9693" max="9693" width="16.85546875" style="495" customWidth="1"/>
    <col min="9694" max="9694" width="13.7109375" style="495" customWidth="1"/>
    <col min="9695" max="9695" width="17.140625" style="495" customWidth="1"/>
    <col min="9696" max="9697" width="17.85546875" style="495" customWidth="1"/>
    <col min="9698" max="9699" width="17.140625" style="495" customWidth="1"/>
    <col min="9700" max="9700" width="16.85546875" style="495" customWidth="1"/>
    <col min="9701" max="9701" width="20.5703125" style="495" customWidth="1"/>
    <col min="9702" max="9704" width="6.42578125" style="495" customWidth="1"/>
    <col min="9705" max="9705" width="15.85546875" style="495" customWidth="1"/>
    <col min="9706" max="9706" width="16" style="495" customWidth="1"/>
    <col min="9707" max="9707" width="15.7109375" style="495" customWidth="1"/>
    <col min="9708" max="9709" width="19.28515625" style="495" customWidth="1"/>
    <col min="9710" max="9710" width="18.140625" style="495" customWidth="1"/>
    <col min="9711" max="9711" width="16" style="495" customWidth="1"/>
    <col min="9712" max="9712" width="18" style="495" customWidth="1"/>
    <col min="9713" max="9713" width="17.85546875" style="495" customWidth="1"/>
    <col min="9714" max="9715" width="16.140625" style="495" customWidth="1"/>
    <col min="9716" max="9718" width="17.5703125" style="495" customWidth="1"/>
    <col min="9719" max="9719" width="13.7109375" style="495" customWidth="1"/>
    <col min="9720" max="9946" width="11.42578125" style="495"/>
    <col min="9947" max="9947" width="5.5703125" style="495" customWidth="1"/>
    <col min="9948" max="9948" width="35.85546875" style="495" customWidth="1"/>
    <col min="9949" max="9949" width="16.85546875" style="495" customWidth="1"/>
    <col min="9950" max="9950" width="13.7109375" style="495" customWidth="1"/>
    <col min="9951" max="9951" width="17.140625" style="495" customWidth="1"/>
    <col min="9952" max="9953" width="17.85546875" style="495" customWidth="1"/>
    <col min="9954" max="9955" width="17.140625" style="495" customWidth="1"/>
    <col min="9956" max="9956" width="16.85546875" style="495" customWidth="1"/>
    <col min="9957" max="9957" width="20.5703125" style="495" customWidth="1"/>
    <col min="9958" max="9960" width="6.42578125" style="495" customWidth="1"/>
    <col min="9961" max="9961" width="15.85546875" style="495" customWidth="1"/>
    <col min="9962" max="9962" width="16" style="495" customWidth="1"/>
    <col min="9963" max="9963" width="15.7109375" style="495" customWidth="1"/>
    <col min="9964" max="9965" width="19.28515625" style="495" customWidth="1"/>
    <col min="9966" max="9966" width="18.140625" style="495" customWidth="1"/>
    <col min="9967" max="9967" width="16" style="495" customWidth="1"/>
    <col min="9968" max="9968" width="18" style="495" customWidth="1"/>
    <col min="9969" max="9969" width="17.85546875" style="495" customWidth="1"/>
    <col min="9970" max="9971" width="16.140625" style="495" customWidth="1"/>
    <col min="9972" max="9974" width="17.5703125" style="495" customWidth="1"/>
    <col min="9975" max="9975" width="13.7109375" style="495" customWidth="1"/>
    <col min="9976" max="10202" width="11.42578125" style="495"/>
    <col min="10203" max="10203" width="5.5703125" style="495" customWidth="1"/>
    <col min="10204" max="10204" width="35.85546875" style="495" customWidth="1"/>
    <col min="10205" max="10205" width="16.85546875" style="495" customWidth="1"/>
    <col min="10206" max="10206" width="13.7109375" style="495" customWidth="1"/>
    <col min="10207" max="10207" width="17.140625" style="495" customWidth="1"/>
    <col min="10208" max="10209" width="17.85546875" style="495" customWidth="1"/>
    <col min="10210" max="10211" width="17.140625" style="495" customWidth="1"/>
    <col min="10212" max="10212" width="16.85546875" style="495" customWidth="1"/>
    <col min="10213" max="10213" width="20.5703125" style="495" customWidth="1"/>
    <col min="10214" max="10216" width="6.42578125" style="495" customWidth="1"/>
    <col min="10217" max="10217" width="15.85546875" style="495" customWidth="1"/>
    <col min="10218" max="10218" width="16" style="495" customWidth="1"/>
    <col min="10219" max="10219" width="15.7109375" style="495" customWidth="1"/>
    <col min="10220" max="10221" width="19.28515625" style="495" customWidth="1"/>
    <col min="10222" max="10222" width="18.140625" style="495" customWidth="1"/>
    <col min="10223" max="10223" width="16" style="495" customWidth="1"/>
    <col min="10224" max="10224" width="18" style="495" customWidth="1"/>
    <col min="10225" max="10225" width="17.85546875" style="495" customWidth="1"/>
    <col min="10226" max="10227" width="16.140625" style="495" customWidth="1"/>
    <col min="10228" max="10230" width="17.5703125" style="495" customWidth="1"/>
    <col min="10231" max="10231" width="13.7109375" style="495" customWidth="1"/>
    <col min="10232" max="10458" width="11.42578125" style="495"/>
    <col min="10459" max="10459" width="5.5703125" style="495" customWidth="1"/>
    <col min="10460" max="10460" width="35.85546875" style="495" customWidth="1"/>
    <col min="10461" max="10461" width="16.85546875" style="495" customWidth="1"/>
    <col min="10462" max="10462" width="13.7109375" style="495" customWidth="1"/>
    <col min="10463" max="10463" width="17.140625" style="495" customWidth="1"/>
    <col min="10464" max="10465" width="17.85546875" style="495" customWidth="1"/>
    <col min="10466" max="10467" width="17.140625" style="495" customWidth="1"/>
    <col min="10468" max="10468" width="16.85546875" style="495" customWidth="1"/>
    <col min="10469" max="10469" width="20.5703125" style="495" customWidth="1"/>
    <col min="10470" max="10472" width="6.42578125" style="495" customWidth="1"/>
    <col min="10473" max="10473" width="15.85546875" style="495" customWidth="1"/>
    <col min="10474" max="10474" width="16" style="495" customWidth="1"/>
    <col min="10475" max="10475" width="15.7109375" style="495" customWidth="1"/>
    <col min="10476" max="10477" width="19.28515625" style="495" customWidth="1"/>
    <col min="10478" max="10478" width="18.140625" style="495" customWidth="1"/>
    <col min="10479" max="10479" width="16" style="495" customWidth="1"/>
    <col min="10480" max="10480" width="18" style="495" customWidth="1"/>
    <col min="10481" max="10481" width="17.85546875" style="495" customWidth="1"/>
    <col min="10482" max="10483" width="16.140625" style="495" customWidth="1"/>
    <col min="10484" max="10486" width="17.5703125" style="495" customWidth="1"/>
    <col min="10487" max="10487" width="13.7109375" style="495" customWidth="1"/>
    <col min="10488" max="10714" width="11.42578125" style="495"/>
    <col min="10715" max="10715" width="5.5703125" style="495" customWidth="1"/>
    <col min="10716" max="10716" width="35.85546875" style="495" customWidth="1"/>
    <col min="10717" max="10717" width="16.85546875" style="495" customWidth="1"/>
    <col min="10718" max="10718" width="13.7109375" style="495" customWidth="1"/>
    <col min="10719" max="10719" width="17.140625" style="495" customWidth="1"/>
    <col min="10720" max="10721" width="17.85546875" style="495" customWidth="1"/>
    <col min="10722" max="10723" width="17.140625" style="495" customWidth="1"/>
    <col min="10724" max="10724" width="16.85546875" style="495" customWidth="1"/>
    <col min="10725" max="10725" width="20.5703125" style="495" customWidth="1"/>
    <col min="10726" max="10728" width="6.42578125" style="495" customWidth="1"/>
    <col min="10729" max="10729" width="15.85546875" style="495" customWidth="1"/>
    <col min="10730" max="10730" width="16" style="495" customWidth="1"/>
    <col min="10731" max="10731" width="15.7109375" style="495" customWidth="1"/>
    <col min="10732" max="10733" width="19.28515625" style="495" customWidth="1"/>
    <col min="10734" max="10734" width="18.140625" style="495" customWidth="1"/>
    <col min="10735" max="10735" width="16" style="495" customWidth="1"/>
    <col min="10736" max="10736" width="18" style="495" customWidth="1"/>
    <col min="10737" max="10737" width="17.85546875" style="495" customWidth="1"/>
    <col min="10738" max="10739" width="16.140625" style="495" customWidth="1"/>
    <col min="10740" max="10742" width="17.5703125" style="495" customWidth="1"/>
    <col min="10743" max="10743" width="13.7109375" style="495" customWidth="1"/>
    <col min="10744" max="10970" width="11.42578125" style="495"/>
    <col min="10971" max="10971" width="5.5703125" style="495" customWidth="1"/>
    <col min="10972" max="10972" width="35.85546875" style="495" customWidth="1"/>
    <col min="10973" max="10973" width="16.85546875" style="495" customWidth="1"/>
    <col min="10974" max="10974" width="13.7109375" style="495" customWidth="1"/>
    <col min="10975" max="10975" width="17.140625" style="495" customWidth="1"/>
    <col min="10976" max="10977" width="17.85546875" style="495" customWidth="1"/>
    <col min="10978" max="10979" width="17.140625" style="495" customWidth="1"/>
    <col min="10980" max="10980" width="16.85546875" style="495" customWidth="1"/>
    <col min="10981" max="10981" width="20.5703125" style="495" customWidth="1"/>
    <col min="10982" max="10984" width="6.42578125" style="495" customWidth="1"/>
    <col min="10985" max="10985" width="15.85546875" style="495" customWidth="1"/>
    <col min="10986" max="10986" width="16" style="495" customWidth="1"/>
    <col min="10987" max="10987" width="15.7109375" style="495" customWidth="1"/>
    <col min="10988" max="10989" width="19.28515625" style="495" customWidth="1"/>
    <col min="10990" max="10990" width="18.140625" style="495" customWidth="1"/>
    <col min="10991" max="10991" width="16" style="495" customWidth="1"/>
    <col min="10992" max="10992" width="18" style="495" customWidth="1"/>
    <col min="10993" max="10993" width="17.85546875" style="495" customWidth="1"/>
    <col min="10994" max="10995" width="16.140625" style="495" customWidth="1"/>
    <col min="10996" max="10998" width="17.5703125" style="495" customWidth="1"/>
    <col min="10999" max="10999" width="13.7109375" style="495" customWidth="1"/>
    <col min="11000" max="11226" width="11.42578125" style="495"/>
    <col min="11227" max="11227" width="5.5703125" style="495" customWidth="1"/>
    <col min="11228" max="11228" width="35.85546875" style="495" customWidth="1"/>
    <col min="11229" max="11229" width="16.85546875" style="495" customWidth="1"/>
    <col min="11230" max="11230" width="13.7109375" style="495" customWidth="1"/>
    <col min="11231" max="11231" width="17.140625" style="495" customWidth="1"/>
    <col min="11232" max="11233" width="17.85546875" style="495" customWidth="1"/>
    <col min="11234" max="11235" width="17.140625" style="495" customWidth="1"/>
    <col min="11236" max="11236" width="16.85546875" style="495" customWidth="1"/>
    <col min="11237" max="11237" width="20.5703125" style="495" customWidth="1"/>
    <col min="11238" max="11240" width="6.42578125" style="495" customWidth="1"/>
    <col min="11241" max="11241" width="15.85546875" style="495" customWidth="1"/>
    <col min="11242" max="11242" width="16" style="495" customWidth="1"/>
    <col min="11243" max="11243" width="15.7109375" style="495" customWidth="1"/>
    <col min="11244" max="11245" width="19.28515625" style="495" customWidth="1"/>
    <col min="11246" max="11246" width="18.140625" style="495" customWidth="1"/>
    <col min="11247" max="11247" width="16" style="495" customWidth="1"/>
    <col min="11248" max="11248" width="18" style="495" customWidth="1"/>
    <col min="11249" max="11249" width="17.85546875" style="495" customWidth="1"/>
    <col min="11250" max="11251" width="16.140625" style="495" customWidth="1"/>
    <col min="11252" max="11254" width="17.5703125" style="495" customWidth="1"/>
    <col min="11255" max="11255" width="13.7109375" style="495" customWidth="1"/>
    <col min="11256" max="11482" width="11.42578125" style="495"/>
    <col min="11483" max="11483" width="5.5703125" style="495" customWidth="1"/>
    <col min="11484" max="11484" width="35.85546875" style="495" customWidth="1"/>
    <col min="11485" max="11485" width="16.85546875" style="495" customWidth="1"/>
    <col min="11486" max="11486" width="13.7109375" style="495" customWidth="1"/>
    <col min="11487" max="11487" width="17.140625" style="495" customWidth="1"/>
    <col min="11488" max="11489" width="17.85546875" style="495" customWidth="1"/>
    <col min="11490" max="11491" width="17.140625" style="495" customWidth="1"/>
    <col min="11492" max="11492" width="16.85546875" style="495" customWidth="1"/>
    <col min="11493" max="11493" width="20.5703125" style="495" customWidth="1"/>
    <col min="11494" max="11496" width="6.42578125" style="495" customWidth="1"/>
    <col min="11497" max="11497" width="15.85546875" style="495" customWidth="1"/>
    <col min="11498" max="11498" width="16" style="495" customWidth="1"/>
    <col min="11499" max="11499" width="15.7109375" style="495" customWidth="1"/>
    <col min="11500" max="11501" width="19.28515625" style="495" customWidth="1"/>
    <col min="11502" max="11502" width="18.140625" style="495" customWidth="1"/>
    <col min="11503" max="11503" width="16" style="495" customWidth="1"/>
    <col min="11504" max="11504" width="18" style="495" customWidth="1"/>
    <col min="11505" max="11505" width="17.85546875" style="495" customWidth="1"/>
    <col min="11506" max="11507" width="16.140625" style="495" customWidth="1"/>
    <col min="11508" max="11510" width="17.5703125" style="495" customWidth="1"/>
    <col min="11511" max="11511" width="13.7109375" style="495" customWidth="1"/>
    <col min="11512" max="11738" width="11.42578125" style="495"/>
    <col min="11739" max="11739" width="5.5703125" style="495" customWidth="1"/>
    <col min="11740" max="11740" width="35.85546875" style="495" customWidth="1"/>
    <col min="11741" max="11741" width="16.85546875" style="495" customWidth="1"/>
    <col min="11742" max="11742" width="13.7109375" style="495" customWidth="1"/>
    <col min="11743" max="11743" width="17.140625" style="495" customWidth="1"/>
    <col min="11744" max="11745" width="17.85546875" style="495" customWidth="1"/>
    <col min="11746" max="11747" width="17.140625" style="495" customWidth="1"/>
    <col min="11748" max="11748" width="16.85546875" style="495" customWidth="1"/>
    <col min="11749" max="11749" width="20.5703125" style="495" customWidth="1"/>
    <col min="11750" max="11752" width="6.42578125" style="495" customWidth="1"/>
    <col min="11753" max="11753" width="15.85546875" style="495" customWidth="1"/>
    <col min="11754" max="11754" width="16" style="495" customWidth="1"/>
    <col min="11755" max="11755" width="15.7109375" style="495" customWidth="1"/>
    <col min="11756" max="11757" width="19.28515625" style="495" customWidth="1"/>
    <col min="11758" max="11758" width="18.140625" style="495" customWidth="1"/>
    <col min="11759" max="11759" width="16" style="495" customWidth="1"/>
    <col min="11760" max="11760" width="18" style="495" customWidth="1"/>
    <col min="11761" max="11761" width="17.85546875" style="495" customWidth="1"/>
    <col min="11762" max="11763" width="16.140625" style="495" customWidth="1"/>
    <col min="11764" max="11766" width="17.5703125" style="495" customWidth="1"/>
    <col min="11767" max="11767" width="13.7109375" style="495" customWidth="1"/>
    <col min="11768" max="11994" width="11.42578125" style="495"/>
    <col min="11995" max="11995" width="5.5703125" style="495" customWidth="1"/>
    <col min="11996" max="11996" width="35.85546875" style="495" customWidth="1"/>
    <col min="11997" max="11997" width="16.85546875" style="495" customWidth="1"/>
    <col min="11998" max="11998" width="13.7109375" style="495" customWidth="1"/>
    <col min="11999" max="11999" width="17.140625" style="495" customWidth="1"/>
    <col min="12000" max="12001" width="17.85546875" style="495" customWidth="1"/>
    <col min="12002" max="12003" width="17.140625" style="495" customWidth="1"/>
    <col min="12004" max="12004" width="16.85546875" style="495" customWidth="1"/>
    <col min="12005" max="12005" width="20.5703125" style="495" customWidth="1"/>
    <col min="12006" max="12008" width="6.42578125" style="495" customWidth="1"/>
    <col min="12009" max="12009" width="15.85546875" style="495" customWidth="1"/>
    <col min="12010" max="12010" width="16" style="495" customWidth="1"/>
    <col min="12011" max="12011" width="15.7109375" style="495" customWidth="1"/>
    <col min="12012" max="12013" width="19.28515625" style="495" customWidth="1"/>
    <col min="12014" max="12014" width="18.140625" style="495" customWidth="1"/>
    <col min="12015" max="12015" width="16" style="495" customWidth="1"/>
    <col min="12016" max="12016" width="18" style="495" customWidth="1"/>
    <col min="12017" max="12017" width="17.85546875" style="495" customWidth="1"/>
    <col min="12018" max="12019" width="16.140625" style="495" customWidth="1"/>
    <col min="12020" max="12022" width="17.5703125" style="495" customWidth="1"/>
    <col min="12023" max="12023" width="13.7109375" style="495" customWidth="1"/>
    <col min="12024" max="12250" width="11.42578125" style="495"/>
    <col min="12251" max="12251" width="5.5703125" style="495" customWidth="1"/>
    <col min="12252" max="12252" width="35.85546875" style="495" customWidth="1"/>
    <col min="12253" max="12253" width="16.85546875" style="495" customWidth="1"/>
    <col min="12254" max="12254" width="13.7109375" style="495" customWidth="1"/>
    <col min="12255" max="12255" width="17.140625" style="495" customWidth="1"/>
    <col min="12256" max="12257" width="17.85546875" style="495" customWidth="1"/>
    <col min="12258" max="12259" width="17.140625" style="495" customWidth="1"/>
    <col min="12260" max="12260" width="16.85546875" style="495" customWidth="1"/>
    <col min="12261" max="12261" width="20.5703125" style="495" customWidth="1"/>
    <col min="12262" max="12264" width="6.42578125" style="495" customWidth="1"/>
    <col min="12265" max="12265" width="15.85546875" style="495" customWidth="1"/>
    <col min="12266" max="12266" width="16" style="495" customWidth="1"/>
    <col min="12267" max="12267" width="15.7109375" style="495" customWidth="1"/>
    <col min="12268" max="12269" width="19.28515625" style="495" customWidth="1"/>
    <col min="12270" max="12270" width="18.140625" style="495" customWidth="1"/>
    <col min="12271" max="12271" width="16" style="495" customWidth="1"/>
    <col min="12272" max="12272" width="18" style="495" customWidth="1"/>
    <col min="12273" max="12273" width="17.85546875" style="495" customWidth="1"/>
    <col min="12274" max="12275" width="16.140625" style="495" customWidth="1"/>
    <col min="12276" max="12278" width="17.5703125" style="495" customWidth="1"/>
    <col min="12279" max="12279" width="13.7109375" style="495" customWidth="1"/>
    <col min="12280" max="12506" width="11.42578125" style="495"/>
    <col min="12507" max="12507" width="5.5703125" style="495" customWidth="1"/>
    <col min="12508" max="12508" width="35.85546875" style="495" customWidth="1"/>
    <col min="12509" max="12509" width="16.85546875" style="495" customWidth="1"/>
    <col min="12510" max="12510" width="13.7109375" style="495" customWidth="1"/>
    <col min="12511" max="12511" width="17.140625" style="495" customWidth="1"/>
    <col min="12512" max="12513" width="17.85546875" style="495" customWidth="1"/>
    <col min="12514" max="12515" width="17.140625" style="495" customWidth="1"/>
    <col min="12516" max="12516" width="16.85546875" style="495" customWidth="1"/>
    <col min="12517" max="12517" width="20.5703125" style="495" customWidth="1"/>
    <col min="12518" max="12520" width="6.42578125" style="495" customWidth="1"/>
    <col min="12521" max="12521" width="15.85546875" style="495" customWidth="1"/>
    <col min="12522" max="12522" width="16" style="495" customWidth="1"/>
    <col min="12523" max="12523" width="15.7109375" style="495" customWidth="1"/>
    <col min="12524" max="12525" width="19.28515625" style="495" customWidth="1"/>
    <col min="12526" max="12526" width="18.140625" style="495" customWidth="1"/>
    <col min="12527" max="12527" width="16" style="495" customWidth="1"/>
    <col min="12528" max="12528" width="18" style="495" customWidth="1"/>
    <col min="12529" max="12529" width="17.85546875" style="495" customWidth="1"/>
    <col min="12530" max="12531" width="16.140625" style="495" customWidth="1"/>
    <col min="12532" max="12534" width="17.5703125" style="495" customWidth="1"/>
    <col min="12535" max="12535" width="13.7109375" style="495" customWidth="1"/>
    <col min="12536" max="12762" width="11.42578125" style="495"/>
    <col min="12763" max="12763" width="5.5703125" style="495" customWidth="1"/>
    <col min="12764" max="12764" width="35.85546875" style="495" customWidth="1"/>
    <col min="12765" max="12765" width="16.85546875" style="495" customWidth="1"/>
    <col min="12766" max="12766" width="13.7109375" style="495" customWidth="1"/>
    <col min="12767" max="12767" width="17.140625" style="495" customWidth="1"/>
    <col min="12768" max="12769" width="17.85546875" style="495" customWidth="1"/>
    <col min="12770" max="12771" width="17.140625" style="495" customWidth="1"/>
    <col min="12772" max="12772" width="16.85546875" style="495" customWidth="1"/>
    <col min="12773" max="12773" width="20.5703125" style="495" customWidth="1"/>
    <col min="12774" max="12776" width="6.42578125" style="495" customWidth="1"/>
    <col min="12777" max="12777" width="15.85546875" style="495" customWidth="1"/>
    <col min="12778" max="12778" width="16" style="495" customWidth="1"/>
    <col min="12779" max="12779" width="15.7109375" style="495" customWidth="1"/>
    <col min="12780" max="12781" width="19.28515625" style="495" customWidth="1"/>
    <col min="12782" max="12782" width="18.140625" style="495" customWidth="1"/>
    <col min="12783" max="12783" width="16" style="495" customWidth="1"/>
    <col min="12784" max="12784" width="18" style="495" customWidth="1"/>
    <col min="12785" max="12785" width="17.85546875" style="495" customWidth="1"/>
    <col min="12786" max="12787" width="16.140625" style="495" customWidth="1"/>
    <col min="12788" max="12790" width="17.5703125" style="495" customWidth="1"/>
    <col min="12791" max="12791" width="13.7109375" style="495" customWidth="1"/>
    <col min="12792" max="13018" width="11.42578125" style="495"/>
    <col min="13019" max="13019" width="5.5703125" style="495" customWidth="1"/>
    <col min="13020" max="13020" width="35.85546875" style="495" customWidth="1"/>
    <col min="13021" max="13021" width="16.85546875" style="495" customWidth="1"/>
    <col min="13022" max="13022" width="13.7109375" style="495" customWidth="1"/>
    <col min="13023" max="13023" width="17.140625" style="495" customWidth="1"/>
    <col min="13024" max="13025" width="17.85546875" style="495" customWidth="1"/>
    <col min="13026" max="13027" width="17.140625" style="495" customWidth="1"/>
    <col min="13028" max="13028" width="16.85546875" style="495" customWidth="1"/>
    <col min="13029" max="13029" width="20.5703125" style="495" customWidth="1"/>
    <col min="13030" max="13032" width="6.42578125" style="495" customWidth="1"/>
    <col min="13033" max="13033" width="15.85546875" style="495" customWidth="1"/>
    <col min="13034" max="13034" width="16" style="495" customWidth="1"/>
    <col min="13035" max="13035" width="15.7109375" style="495" customWidth="1"/>
    <col min="13036" max="13037" width="19.28515625" style="495" customWidth="1"/>
    <col min="13038" max="13038" width="18.140625" style="495" customWidth="1"/>
    <col min="13039" max="13039" width="16" style="495" customWidth="1"/>
    <col min="13040" max="13040" width="18" style="495" customWidth="1"/>
    <col min="13041" max="13041" width="17.85546875" style="495" customWidth="1"/>
    <col min="13042" max="13043" width="16.140625" style="495" customWidth="1"/>
    <col min="13044" max="13046" width="17.5703125" style="495" customWidth="1"/>
    <col min="13047" max="13047" width="13.7109375" style="495" customWidth="1"/>
    <col min="13048" max="13274" width="11.42578125" style="495"/>
    <col min="13275" max="13275" width="5.5703125" style="495" customWidth="1"/>
    <col min="13276" max="13276" width="35.85546875" style="495" customWidth="1"/>
    <col min="13277" max="13277" width="16.85546875" style="495" customWidth="1"/>
    <col min="13278" max="13278" width="13.7109375" style="495" customWidth="1"/>
    <col min="13279" max="13279" width="17.140625" style="495" customWidth="1"/>
    <col min="13280" max="13281" width="17.85546875" style="495" customWidth="1"/>
    <col min="13282" max="13283" width="17.140625" style="495" customWidth="1"/>
    <col min="13284" max="13284" width="16.85546875" style="495" customWidth="1"/>
    <col min="13285" max="13285" width="20.5703125" style="495" customWidth="1"/>
    <col min="13286" max="13288" width="6.42578125" style="495" customWidth="1"/>
    <col min="13289" max="13289" width="15.85546875" style="495" customWidth="1"/>
    <col min="13290" max="13290" width="16" style="495" customWidth="1"/>
    <col min="13291" max="13291" width="15.7109375" style="495" customWidth="1"/>
    <col min="13292" max="13293" width="19.28515625" style="495" customWidth="1"/>
    <col min="13294" max="13294" width="18.140625" style="495" customWidth="1"/>
    <col min="13295" max="13295" width="16" style="495" customWidth="1"/>
    <col min="13296" max="13296" width="18" style="495" customWidth="1"/>
    <col min="13297" max="13297" width="17.85546875" style="495" customWidth="1"/>
    <col min="13298" max="13299" width="16.140625" style="495" customWidth="1"/>
    <col min="13300" max="13302" width="17.5703125" style="495" customWidth="1"/>
    <col min="13303" max="13303" width="13.7109375" style="495" customWidth="1"/>
    <col min="13304" max="13530" width="11.42578125" style="495"/>
    <col min="13531" max="13531" width="5.5703125" style="495" customWidth="1"/>
    <col min="13532" max="13532" width="35.85546875" style="495" customWidth="1"/>
    <col min="13533" max="13533" width="16.85546875" style="495" customWidth="1"/>
    <col min="13534" max="13534" width="13.7109375" style="495" customWidth="1"/>
    <col min="13535" max="13535" width="17.140625" style="495" customWidth="1"/>
    <col min="13536" max="13537" width="17.85546875" style="495" customWidth="1"/>
    <col min="13538" max="13539" width="17.140625" style="495" customWidth="1"/>
    <col min="13540" max="13540" width="16.85546875" style="495" customWidth="1"/>
    <col min="13541" max="13541" width="20.5703125" style="495" customWidth="1"/>
    <col min="13542" max="13544" width="6.42578125" style="495" customWidth="1"/>
    <col min="13545" max="13545" width="15.85546875" style="495" customWidth="1"/>
    <col min="13546" max="13546" width="16" style="495" customWidth="1"/>
    <col min="13547" max="13547" width="15.7109375" style="495" customWidth="1"/>
    <col min="13548" max="13549" width="19.28515625" style="495" customWidth="1"/>
    <col min="13550" max="13550" width="18.140625" style="495" customWidth="1"/>
    <col min="13551" max="13551" width="16" style="495" customWidth="1"/>
    <col min="13552" max="13552" width="18" style="495" customWidth="1"/>
    <col min="13553" max="13553" width="17.85546875" style="495" customWidth="1"/>
    <col min="13554" max="13555" width="16.140625" style="495" customWidth="1"/>
    <col min="13556" max="13558" width="17.5703125" style="495" customWidth="1"/>
    <col min="13559" max="13559" width="13.7109375" style="495" customWidth="1"/>
    <col min="13560" max="13786" width="11.42578125" style="495"/>
    <col min="13787" max="13787" width="5.5703125" style="495" customWidth="1"/>
    <col min="13788" max="13788" width="35.85546875" style="495" customWidth="1"/>
    <col min="13789" max="13789" width="16.85546875" style="495" customWidth="1"/>
    <col min="13790" max="13790" width="13.7109375" style="495" customWidth="1"/>
    <col min="13791" max="13791" width="17.140625" style="495" customWidth="1"/>
    <col min="13792" max="13793" width="17.85546875" style="495" customWidth="1"/>
    <col min="13794" max="13795" width="17.140625" style="495" customWidth="1"/>
    <col min="13796" max="13796" width="16.85546875" style="495" customWidth="1"/>
    <col min="13797" max="13797" width="20.5703125" style="495" customWidth="1"/>
    <col min="13798" max="13800" width="6.42578125" style="495" customWidth="1"/>
    <col min="13801" max="13801" width="15.85546875" style="495" customWidth="1"/>
    <col min="13802" max="13802" width="16" style="495" customWidth="1"/>
    <col min="13803" max="13803" width="15.7109375" style="495" customWidth="1"/>
    <col min="13804" max="13805" width="19.28515625" style="495" customWidth="1"/>
    <col min="13806" max="13806" width="18.140625" style="495" customWidth="1"/>
    <col min="13807" max="13807" width="16" style="495" customWidth="1"/>
    <col min="13808" max="13808" width="18" style="495" customWidth="1"/>
    <col min="13809" max="13809" width="17.85546875" style="495" customWidth="1"/>
    <col min="13810" max="13811" width="16.140625" style="495" customWidth="1"/>
    <col min="13812" max="13814" width="17.5703125" style="495" customWidth="1"/>
    <col min="13815" max="13815" width="13.7109375" style="495" customWidth="1"/>
    <col min="13816" max="14042" width="11.42578125" style="495"/>
    <col min="14043" max="14043" width="5.5703125" style="495" customWidth="1"/>
    <col min="14044" max="14044" width="35.85546875" style="495" customWidth="1"/>
    <col min="14045" max="14045" width="16.85546875" style="495" customWidth="1"/>
    <col min="14046" max="14046" width="13.7109375" style="495" customWidth="1"/>
    <col min="14047" max="14047" width="17.140625" style="495" customWidth="1"/>
    <col min="14048" max="14049" width="17.85546875" style="495" customWidth="1"/>
    <col min="14050" max="14051" width="17.140625" style="495" customWidth="1"/>
    <col min="14052" max="14052" width="16.85546875" style="495" customWidth="1"/>
    <col min="14053" max="14053" width="20.5703125" style="495" customWidth="1"/>
    <col min="14054" max="14056" width="6.42578125" style="495" customWidth="1"/>
    <col min="14057" max="14057" width="15.85546875" style="495" customWidth="1"/>
    <col min="14058" max="14058" width="16" style="495" customWidth="1"/>
    <col min="14059" max="14059" width="15.7109375" style="495" customWidth="1"/>
    <col min="14060" max="14061" width="19.28515625" style="495" customWidth="1"/>
    <col min="14062" max="14062" width="18.140625" style="495" customWidth="1"/>
    <col min="14063" max="14063" width="16" style="495" customWidth="1"/>
    <col min="14064" max="14064" width="18" style="495" customWidth="1"/>
    <col min="14065" max="14065" width="17.85546875" style="495" customWidth="1"/>
    <col min="14066" max="14067" width="16.140625" style="495" customWidth="1"/>
    <col min="14068" max="14070" width="17.5703125" style="495" customWidth="1"/>
    <col min="14071" max="14071" width="13.7109375" style="495" customWidth="1"/>
    <col min="14072" max="14298" width="11.42578125" style="495"/>
    <col min="14299" max="14299" width="5.5703125" style="495" customWidth="1"/>
    <col min="14300" max="14300" width="35.85546875" style="495" customWidth="1"/>
    <col min="14301" max="14301" width="16.85546875" style="495" customWidth="1"/>
    <col min="14302" max="14302" width="13.7109375" style="495" customWidth="1"/>
    <col min="14303" max="14303" width="17.140625" style="495" customWidth="1"/>
    <col min="14304" max="14305" width="17.85546875" style="495" customWidth="1"/>
    <col min="14306" max="14307" width="17.140625" style="495" customWidth="1"/>
    <col min="14308" max="14308" width="16.85546875" style="495" customWidth="1"/>
    <col min="14309" max="14309" width="20.5703125" style="495" customWidth="1"/>
    <col min="14310" max="14312" width="6.42578125" style="495" customWidth="1"/>
    <col min="14313" max="14313" width="15.85546875" style="495" customWidth="1"/>
    <col min="14314" max="14314" width="16" style="495" customWidth="1"/>
    <col min="14315" max="14315" width="15.7109375" style="495" customWidth="1"/>
    <col min="14316" max="14317" width="19.28515625" style="495" customWidth="1"/>
    <col min="14318" max="14318" width="18.140625" style="495" customWidth="1"/>
    <col min="14319" max="14319" width="16" style="495" customWidth="1"/>
    <col min="14320" max="14320" width="18" style="495" customWidth="1"/>
    <col min="14321" max="14321" width="17.85546875" style="495" customWidth="1"/>
    <col min="14322" max="14323" width="16.140625" style="495" customWidth="1"/>
    <col min="14324" max="14326" width="17.5703125" style="495" customWidth="1"/>
    <col min="14327" max="14327" width="13.7109375" style="495" customWidth="1"/>
    <col min="14328" max="14554" width="11.42578125" style="495"/>
    <col min="14555" max="14555" width="5.5703125" style="495" customWidth="1"/>
    <col min="14556" max="14556" width="35.85546875" style="495" customWidth="1"/>
    <col min="14557" max="14557" width="16.85546875" style="495" customWidth="1"/>
    <col min="14558" max="14558" width="13.7109375" style="495" customWidth="1"/>
    <col min="14559" max="14559" width="17.140625" style="495" customWidth="1"/>
    <col min="14560" max="14561" width="17.85546875" style="495" customWidth="1"/>
    <col min="14562" max="14563" width="17.140625" style="495" customWidth="1"/>
    <col min="14564" max="14564" width="16.85546875" style="495" customWidth="1"/>
    <col min="14565" max="14565" width="20.5703125" style="495" customWidth="1"/>
    <col min="14566" max="14568" width="6.42578125" style="495" customWidth="1"/>
    <col min="14569" max="14569" width="15.85546875" style="495" customWidth="1"/>
    <col min="14570" max="14570" width="16" style="495" customWidth="1"/>
    <col min="14571" max="14571" width="15.7109375" style="495" customWidth="1"/>
    <col min="14572" max="14573" width="19.28515625" style="495" customWidth="1"/>
    <col min="14574" max="14574" width="18.140625" style="495" customWidth="1"/>
    <col min="14575" max="14575" width="16" style="495" customWidth="1"/>
    <col min="14576" max="14576" width="18" style="495" customWidth="1"/>
    <col min="14577" max="14577" width="17.85546875" style="495" customWidth="1"/>
    <col min="14578" max="14579" width="16.140625" style="495" customWidth="1"/>
    <col min="14580" max="14582" width="17.5703125" style="495" customWidth="1"/>
    <col min="14583" max="14583" width="13.7109375" style="495" customWidth="1"/>
    <col min="14584" max="14810" width="11.42578125" style="495"/>
    <col min="14811" max="14811" width="5.5703125" style="495" customWidth="1"/>
    <col min="14812" max="14812" width="35.85546875" style="495" customWidth="1"/>
    <col min="14813" max="14813" width="16.85546875" style="495" customWidth="1"/>
    <col min="14814" max="14814" width="13.7109375" style="495" customWidth="1"/>
    <col min="14815" max="14815" width="17.140625" style="495" customWidth="1"/>
    <col min="14816" max="14817" width="17.85546875" style="495" customWidth="1"/>
    <col min="14818" max="14819" width="17.140625" style="495" customWidth="1"/>
    <col min="14820" max="14820" width="16.85546875" style="495" customWidth="1"/>
    <col min="14821" max="14821" width="20.5703125" style="495" customWidth="1"/>
    <col min="14822" max="14824" width="6.42578125" style="495" customWidth="1"/>
    <col min="14825" max="14825" width="15.85546875" style="495" customWidth="1"/>
    <col min="14826" max="14826" width="16" style="495" customWidth="1"/>
    <col min="14827" max="14827" width="15.7109375" style="495" customWidth="1"/>
    <col min="14828" max="14829" width="19.28515625" style="495" customWidth="1"/>
    <col min="14830" max="14830" width="18.140625" style="495" customWidth="1"/>
    <col min="14831" max="14831" width="16" style="495" customWidth="1"/>
    <col min="14832" max="14832" width="18" style="495" customWidth="1"/>
    <col min="14833" max="14833" width="17.85546875" style="495" customWidth="1"/>
    <col min="14834" max="14835" width="16.140625" style="495" customWidth="1"/>
    <col min="14836" max="14838" width="17.5703125" style="495" customWidth="1"/>
    <col min="14839" max="14839" width="13.7109375" style="495" customWidth="1"/>
    <col min="14840" max="15066" width="11.42578125" style="495"/>
    <col min="15067" max="15067" width="5.5703125" style="495" customWidth="1"/>
    <col min="15068" max="15068" width="35.85546875" style="495" customWidth="1"/>
    <col min="15069" max="15069" width="16.85546875" style="495" customWidth="1"/>
    <col min="15070" max="15070" width="13.7109375" style="495" customWidth="1"/>
    <col min="15071" max="15071" width="17.140625" style="495" customWidth="1"/>
    <col min="15072" max="15073" width="17.85546875" style="495" customWidth="1"/>
    <col min="15074" max="15075" width="17.140625" style="495" customWidth="1"/>
    <col min="15076" max="15076" width="16.85546875" style="495" customWidth="1"/>
    <col min="15077" max="15077" width="20.5703125" style="495" customWidth="1"/>
    <col min="15078" max="15080" width="6.42578125" style="495" customWidth="1"/>
    <col min="15081" max="15081" width="15.85546875" style="495" customWidth="1"/>
    <col min="15082" max="15082" width="16" style="495" customWidth="1"/>
    <col min="15083" max="15083" width="15.7109375" style="495" customWidth="1"/>
    <col min="15084" max="15085" width="19.28515625" style="495" customWidth="1"/>
    <col min="15086" max="15086" width="18.140625" style="495" customWidth="1"/>
    <col min="15087" max="15087" width="16" style="495" customWidth="1"/>
    <col min="15088" max="15088" width="18" style="495" customWidth="1"/>
    <col min="15089" max="15089" width="17.85546875" style="495" customWidth="1"/>
    <col min="15090" max="15091" width="16.140625" style="495" customWidth="1"/>
    <col min="15092" max="15094" width="17.5703125" style="495" customWidth="1"/>
    <col min="15095" max="15095" width="13.7109375" style="495" customWidth="1"/>
    <col min="15096" max="15322" width="11.42578125" style="495"/>
    <col min="15323" max="15323" width="5.5703125" style="495" customWidth="1"/>
    <col min="15324" max="15324" width="35.85546875" style="495" customWidth="1"/>
    <col min="15325" max="15325" width="16.85546875" style="495" customWidth="1"/>
    <col min="15326" max="15326" width="13.7109375" style="495" customWidth="1"/>
    <col min="15327" max="15327" width="17.140625" style="495" customWidth="1"/>
    <col min="15328" max="15329" width="17.85546875" style="495" customWidth="1"/>
    <col min="15330" max="15331" width="17.140625" style="495" customWidth="1"/>
    <col min="15332" max="15332" width="16.85546875" style="495" customWidth="1"/>
    <col min="15333" max="15333" width="20.5703125" style="495" customWidth="1"/>
    <col min="15334" max="15336" width="6.42578125" style="495" customWidth="1"/>
    <col min="15337" max="15337" width="15.85546875" style="495" customWidth="1"/>
    <col min="15338" max="15338" width="16" style="495" customWidth="1"/>
    <col min="15339" max="15339" width="15.7109375" style="495" customWidth="1"/>
    <col min="15340" max="15341" width="19.28515625" style="495" customWidth="1"/>
    <col min="15342" max="15342" width="18.140625" style="495" customWidth="1"/>
    <col min="15343" max="15343" width="16" style="495" customWidth="1"/>
    <col min="15344" max="15344" width="18" style="495" customWidth="1"/>
    <col min="15345" max="15345" width="17.85546875" style="495" customWidth="1"/>
    <col min="15346" max="15347" width="16.140625" style="495" customWidth="1"/>
    <col min="15348" max="15350" width="17.5703125" style="495" customWidth="1"/>
    <col min="15351" max="15351" width="13.7109375" style="495" customWidth="1"/>
    <col min="15352" max="15578" width="11.42578125" style="495"/>
    <col min="15579" max="15579" width="5.5703125" style="495" customWidth="1"/>
    <col min="15580" max="15580" width="35.85546875" style="495" customWidth="1"/>
    <col min="15581" max="15581" width="16.85546875" style="495" customWidth="1"/>
    <col min="15582" max="15582" width="13.7109375" style="495" customWidth="1"/>
    <col min="15583" max="15583" width="17.140625" style="495" customWidth="1"/>
    <col min="15584" max="15585" width="17.85546875" style="495" customWidth="1"/>
    <col min="15586" max="15587" width="17.140625" style="495" customWidth="1"/>
    <col min="15588" max="15588" width="16.85546875" style="495" customWidth="1"/>
    <col min="15589" max="15589" width="20.5703125" style="495" customWidth="1"/>
    <col min="15590" max="15592" width="6.42578125" style="495" customWidth="1"/>
    <col min="15593" max="15593" width="15.85546875" style="495" customWidth="1"/>
    <col min="15594" max="15594" width="16" style="495" customWidth="1"/>
    <col min="15595" max="15595" width="15.7109375" style="495" customWidth="1"/>
    <col min="15596" max="15597" width="19.28515625" style="495" customWidth="1"/>
    <col min="15598" max="15598" width="18.140625" style="495" customWidth="1"/>
    <col min="15599" max="15599" width="16" style="495" customWidth="1"/>
    <col min="15600" max="15600" width="18" style="495" customWidth="1"/>
    <col min="15601" max="15601" width="17.85546875" style="495" customWidth="1"/>
    <col min="15602" max="15603" width="16.140625" style="495" customWidth="1"/>
    <col min="15604" max="15606" width="17.5703125" style="495" customWidth="1"/>
    <col min="15607" max="15607" width="13.7109375" style="495" customWidth="1"/>
    <col min="15608" max="15834" width="11.42578125" style="495"/>
    <col min="15835" max="15835" width="5.5703125" style="495" customWidth="1"/>
    <col min="15836" max="15836" width="35.85546875" style="495" customWidth="1"/>
    <col min="15837" max="15837" width="16.85546875" style="495" customWidth="1"/>
    <col min="15838" max="15838" width="13.7109375" style="495" customWidth="1"/>
    <col min="15839" max="15839" width="17.140625" style="495" customWidth="1"/>
    <col min="15840" max="15841" width="17.85546875" style="495" customWidth="1"/>
    <col min="15842" max="15843" width="17.140625" style="495" customWidth="1"/>
    <col min="15844" max="15844" width="16.85546875" style="495" customWidth="1"/>
    <col min="15845" max="15845" width="20.5703125" style="495" customWidth="1"/>
    <col min="15846" max="15848" width="6.42578125" style="495" customWidth="1"/>
    <col min="15849" max="15849" width="15.85546875" style="495" customWidth="1"/>
    <col min="15850" max="15850" width="16" style="495" customWidth="1"/>
    <col min="15851" max="15851" width="15.7109375" style="495" customWidth="1"/>
    <col min="15852" max="15853" width="19.28515625" style="495" customWidth="1"/>
    <col min="15854" max="15854" width="18.140625" style="495" customWidth="1"/>
    <col min="15855" max="15855" width="16" style="495" customWidth="1"/>
    <col min="15856" max="15856" width="18" style="495" customWidth="1"/>
    <col min="15857" max="15857" width="17.85546875" style="495" customWidth="1"/>
    <col min="15858" max="15859" width="16.140625" style="495" customWidth="1"/>
    <col min="15860" max="15862" width="17.5703125" style="495" customWidth="1"/>
    <col min="15863" max="15863" width="13.7109375" style="495" customWidth="1"/>
    <col min="15864" max="16090" width="11.42578125" style="495"/>
    <col min="16091" max="16091" width="5.5703125" style="495" customWidth="1"/>
    <col min="16092" max="16092" width="35.85546875" style="495" customWidth="1"/>
    <col min="16093" max="16093" width="16.85546875" style="495" customWidth="1"/>
    <col min="16094" max="16094" width="13.7109375" style="495" customWidth="1"/>
    <col min="16095" max="16095" width="17.140625" style="495" customWidth="1"/>
    <col min="16096" max="16097" width="17.85546875" style="495" customWidth="1"/>
    <col min="16098" max="16099" width="17.140625" style="495" customWidth="1"/>
    <col min="16100" max="16100" width="16.85546875" style="495" customWidth="1"/>
    <col min="16101" max="16101" width="20.5703125" style="495" customWidth="1"/>
    <col min="16102" max="16104" width="6.42578125" style="495" customWidth="1"/>
    <col min="16105" max="16105" width="15.85546875" style="495" customWidth="1"/>
    <col min="16106" max="16106" width="16" style="495" customWidth="1"/>
    <col min="16107" max="16107" width="15.7109375" style="495" customWidth="1"/>
    <col min="16108" max="16109" width="19.28515625" style="495" customWidth="1"/>
    <col min="16110" max="16110" width="18.140625" style="495" customWidth="1"/>
    <col min="16111" max="16111" width="16" style="495" customWidth="1"/>
    <col min="16112" max="16112" width="18" style="495" customWidth="1"/>
    <col min="16113" max="16113" width="17.85546875" style="495" customWidth="1"/>
    <col min="16114" max="16115" width="16.140625" style="495" customWidth="1"/>
    <col min="16116" max="16118" width="17.5703125" style="495" customWidth="1"/>
    <col min="16119" max="16119" width="13.7109375" style="495" customWidth="1"/>
    <col min="16120" max="16384" width="11.42578125" style="495"/>
  </cols>
  <sheetData>
    <row r="1" spans="1:25" ht="51.75" customHeight="1" x14ac:dyDescent="0.2">
      <c r="A1" s="1334" t="s">
        <v>447</v>
      </c>
      <c r="B1" s="1336" t="s">
        <v>2733</v>
      </c>
      <c r="C1" s="1330" t="s">
        <v>3418</v>
      </c>
      <c r="D1" s="492"/>
      <c r="E1" s="1328" t="s">
        <v>3430</v>
      </c>
      <c r="F1" s="1328" t="s">
        <v>3431</v>
      </c>
      <c r="G1" s="1330" t="s">
        <v>3418</v>
      </c>
      <c r="H1" s="493"/>
      <c r="I1" s="1328" t="s">
        <v>3430</v>
      </c>
      <c r="J1" s="1338" t="s">
        <v>3734</v>
      </c>
      <c r="K1" s="494"/>
      <c r="L1" s="1328" t="s">
        <v>3430</v>
      </c>
      <c r="M1" s="1340" t="s">
        <v>3735</v>
      </c>
      <c r="N1" s="1342" t="s">
        <v>3425</v>
      </c>
      <c r="O1" s="1342"/>
      <c r="P1" s="1342"/>
      <c r="Q1" s="1342"/>
      <c r="R1" s="1342"/>
      <c r="S1" s="1342"/>
      <c r="T1" s="1342"/>
      <c r="U1" s="1342"/>
      <c r="V1" s="1342"/>
      <c r="W1" s="1342"/>
      <c r="X1" s="1342"/>
      <c r="Y1" s="1342"/>
    </row>
    <row r="2" spans="1:25" ht="38.25" customHeight="1" thickBot="1" x14ac:dyDescent="0.25">
      <c r="A2" s="1335"/>
      <c r="B2" s="1337"/>
      <c r="C2" s="1331"/>
      <c r="D2" s="492"/>
      <c r="E2" s="1329"/>
      <c r="F2" s="1329"/>
      <c r="G2" s="1331"/>
      <c r="H2" s="496"/>
      <c r="I2" s="1329"/>
      <c r="J2" s="1339"/>
      <c r="K2" s="497"/>
      <c r="L2" s="1329"/>
      <c r="M2" s="1341"/>
      <c r="N2" s="498" t="s">
        <v>3672</v>
      </c>
      <c r="O2" s="498" t="s">
        <v>3742</v>
      </c>
      <c r="P2" s="498" t="s">
        <v>3661</v>
      </c>
      <c r="Q2" s="498" t="s">
        <v>3662</v>
      </c>
      <c r="R2" s="498" t="s">
        <v>3663</v>
      </c>
      <c r="S2" s="498" t="s">
        <v>3664</v>
      </c>
      <c r="T2" s="498" t="s">
        <v>3316</v>
      </c>
      <c r="U2" s="498" t="s">
        <v>3317</v>
      </c>
      <c r="V2" s="498" t="s">
        <v>3757</v>
      </c>
      <c r="W2" s="498" t="s">
        <v>3743</v>
      </c>
      <c r="X2" s="498" t="s">
        <v>3334</v>
      </c>
      <c r="Y2" s="498" t="s">
        <v>695</v>
      </c>
    </row>
    <row r="3" spans="1:25" ht="39" customHeight="1" thickBot="1" x14ac:dyDescent="0.25">
      <c r="A3" s="499"/>
      <c r="B3" s="500" t="s">
        <v>2734</v>
      </c>
      <c r="C3" s="501">
        <f t="shared" ref="C3:Y3" si="0">+C4</f>
        <v>245000000</v>
      </c>
      <c r="D3" s="492"/>
      <c r="E3" s="502">
        <f t="shared" si="0"/>
        <v>0</v>
      </c>
      <c r="F3" s="502">
        <f t="shared" si="0"/>
        <v>245000000</v>
      </c>
      <c r="G3" s="502">
        <f t="shared" si="0"/>
        <v>245000000</v>
      </c>
      <c r="H3" s="503"/>
      <c r="I3" s="502">
        <f t="shared" si="0"/>
        <v>0</v>
      </c>
      <c r="J3" s="502">
        <f t="shared" si="0"/>
        <v>245000000</v>
      </c>
      <c r="K3" s="503"/>
      <c r="L3" s="502">
        <f t="shared" si="0"/>
        <v>0</v>
      </c>
      <c r="M3" s="504">
        <f t="shared" si="0"/>
        <v>245000000</v>
      </c>
      <c r="N3" s="505">
        <f t="shared" si="0"/>
        <v>120000000</v>
      </c>
      <c r="O3" s="505">
        <f t="shared" si="0"/>
        <v>0</v>
      </c>
      <c r="P3" s="505">
        <f t="shared" si="0"/>
        <v>0</v>
      </c>
      <c r="Q3" s="505">
        <f t="shared" si="0"/>
        <v>0</v>
      </c>
      <c r="R3" s="505">
        <f t="shared" si="0"/>
        <v>0</v>
      </c>
      <c r="S3" s="505">
        <f t="shared" si="0"/>
        <v>0</v>
      </c>
      <c r="T3" s="505">
        <f t="shared" si="0"/>
        <v>0</v>
      </c>
      <c r="U3" s="505">
        <f t="shared" si="0"/>
        <v>125000000</v>
      </c>
      <c r="V3" s="505"/>
      <c r="W3" s="505">
        <f t="shared" si="0"/>
        <v>0</v>
      </c>
      <c r="X3" s="505"/>
      <c r="Y3" s="505">
        <f t="shared" si="0"/>
        <v>245000000</v>
      </c>
    </row>
    <row r="4" spans="1:25" ht="39" customHeight="1" thickBot="1" x14ac:dyDescent="0.25">
      <c r="A4" s="506"/>
      <c r="B4" s="507" t="s">
        <v>2735</v>
      </c>
      <c r="C4" s="508">
        <f>SUM(C5:C7)</f>
        <v>245000000</v>
      </c>
      <c r="D4" s="492"/>
      <c r="E4" s="509">
        <f>SUM(E5:E7)</f>
        <v>0</v>
      </c>
      <c r="F4" s="509">
        <f>SUM(F5:F7)</f>
        <v>245000000</v>
      </c>
      <c r="G4" s="509">
        <f>SUM(G5:G7)</f>
        <v>245000000</v>
      </c>
      <c r="H4" s="510"/>
      <c r="I4" s="509">
        <f>SUM(I5:I7)</f>
        <v>0</v>
      </c>
      <c r="J4" s="509">
        <f>SUM(J5:J7)</f>
        <v>245000000</v>
      </c>
      <c r="K4" s="510"/>
      <c r="L4" s="509">
        <f>SUM(L5:L7)</f>
        <v>0</v>
      </c>
      <c r="M4" s="511">
        <f>SUM(M5:M7)</f>
        <v>245000000</v>
      </c>
      <c r="N4" s="512">
        <f t="shared" ref="N4:Y4" si="1">SUM(N5:N7)</f>
        <v>120000000</v>
      </c>
      <c r="O4" s="512">
        <f t="shared" si="1"/>
        <v>0</v>
      </c>
      <c r="P4" s="512">
        <f t="shared" si="1"/>
        <v>0</v>
      </c>
      <c r="Q4" s="512">
        <f t="shared" si="1"/>
        <v>0</v>
      </c>
      <c r="R4" s="512">
        <f t="shared" si="1"/>
        <v>0</v>
      </c>
      <c r="S4" s="512">
        <f t="shared" si="1"/>
        <v>0</v>
      </c>
      <c r="T4" s="512">
        <f t="shared" si="1"/>
        <v>0</v>
      </c>
      <c r="U4" s="512">
        <f t="shared" si="1"/>
        <v>125000000</v>
      </c>
      <c r="V4" s="512"/>
      <c r="W4" s="512">
        <f t="shared" si="1"/>
        <v>0</v>
      </c>
      <c r="X4" s="512"/>
      <c r="Y4" s="512">
        <f t="shared" si="1"/>
        <v>245000000</v>
      </c>
    </row>
    <row r="5" spans="1:25" ht="39" customHeight="1" thickBot="1" x14ac:dyDescent="0.25">
      <c r="A5" s="506">
        <v>510</v>
      </c>
      <c r="B5" s="513" t="s">
        <v>2736</v>
      </c>
      <c r="C5" s="514">
        <f>SUM('[2]PLANINDICATIVO PD'!X3)</f>
        <v>5000000</v>
      </c>
      <c r="D5" s="492"/>
      <c r="E5" s="515"/>
      <c r="F5" s="515">
        <f>+C5+E5</f>
        <v>5000000</v>
      </c>
      <c r="G5" s="515">
        <f>+F5</f>
        <v>5000000</v>
      </c>
      <c r="H5" s="516"/>
      <c r="I5" s="515"/>
      <c r="J5" s="515">
        <f>+F5+I5</f>
        <v>5000000</v>
      </c>
      <c r="K5" s="516"/>
      <c r="L5" s="515"/>
      <c r="M5" s="517">
        <f>+J5+L5</f>
        <v>5000000</v>
      </c>
      <c r="N5" s="518">
        <f>+'PLANINDICATIVO PD'!AA3</f>
        <v>0</v>
      </c>
      <c r="O5" s="518">
        <f>+'PLANINDICATIVO PD'!AB3</f>
        <v>0</v>
      </c>
      <c r="P5" s="518">
        <f>+'PLANINDICATIVO PD'!AC3</f>
        <v>0</v>
      </c>
      <c r="Q5" s="518">
        <f>+'PLANINDICATIVO PD'!AD3</f>
        <v>0</v>
      </c>
      <c r="R5" s="518">
        <f>+'PLANINDICATIVO PD'!AE3</f>
        <v>0</v>
      </c>
      <c r="S5" s="518">
        <f>+'PLANINDICATIVO PD'!AF3</f>
        <v>0</v>
      </c>
      <c r="T5" s="518">
        <f>+'PLANINDICATIVO PD'!AG3</f>
        <v>0</v>
      </c>
      <c r="U5" s="518">
        <f>+'PLANINDICATIVO PD'!AH3</f>
        <v>5000000</v>
      </c>
      <c r="V5" s="518">
        <f>+'PLANINDICATIVO PD'!AI3</f>
        <v>0</v>
      </c>
      <c r="W5" s="518">
        <f>+'PLANINDICATIVO PD'!AJ3</f>
        <v>0</v>
      </c>
      <c r="X5" s="518">
        <f>+'PLANINDICATIVO PD'!AK3</f>
        <v>0</v>
      </c>
      <c r="Y5" s="519">
        <f>SUM(N5:W5)</f>
        <v>5000000</v>
      </c>
    </row>
    <row r="6" spans="1:25" ht="48" customHeight="1" thickBot="1" x14ac:dyDescent="0.25">
      <c r="A6" s="506">
        <v>510</v>
      </c>
      <c r="B6" s="513" t="s">
        <v>2737</v>
      </c>
      <c r="C6" s="514">
        <f>SUM('[2]PLANINDICATIVO PD'!X4)</f>
        <v>0</v>
      </c>
      <c r="D6" s="492"/>
      <c r="E6" s="515"/>
      <c r="F6" s="515">
        <f>+C6+E6</f>
        <v>0</v>
      </c>
      <c r="G6" s="515">
        <f>+F6</f>
        <v>0</v>
      </c>
      <c r="H6" s="516"/>
      <c r="I6" s="515"/>
      <c r="J6" s="515">
        <f>+F6+I6</f>
        <v>0</v>
      </c>
      <c r="K6" s="516"/>
      <c r="L6" s="515"/>
      <c r="M6" s="517">
        <f>+J6+L6</f>
        <v>0</v>
      </c>
      <c r="N6" s="518">
        <f>+'PLANINDICATIVO PD'!AA4</f>
        <v>0</v>
      </c>
      <c r="O6" s="518">
        <f>+'PLANINDICATIVO PD'!AB4</f>
        <v>0</v>
      </c>
      <c r="P6" s="518">
        <f>+'PLANINDICATIVO PD'!AC4</f>
        <v>0</v>
      </c>
      <c r="Q6" s="518">
        <f>+'PLANINDICATIVO PD'!AD4</f>
        <v>0</v>
      </c>
      <c r="R6" s="518">
        <f>+'PLANINDICATIVO PD'!AE4</f>
        <v>0</v>
      </c>
      <c r="S6" s="518">
        <f>+'PLANINDICATIVO PD'!AF4</f>
        <v>0</v>
      </c>
      <c r="T6" s="518">
        <f>+'PLANINDICATIVO PD'!AG4</f>
        <v>0</v>
      </c>
      <c r="U6" s="518">
        <f>+'PLANINDICATIVO PD'!AH4</f>
        <v>0</v>
      </c>
      <c r="V6" s="518">
        <f>+'PLANINDICATIVO PD'!AI4</f>
        <v>0</v>
      </c>
      <c r="W6" s="518">
        <f>+'PLANINDICATIVO PD'!AJ4</f>
        <v>0</v>
      </c>
      <c r="X6" s="518">
        <f>+'PLANINDICATIVO PD'!AK4</f>
        <v>0</v>
      </c>
      <c r="Y6" s="519">
        <f>SUM(N6:W6)</f>
        <v>0</v>
      </c>
    </row>
    <row r="7" spans="1:25" ht="39" customHeight="1" thickBot="1" x14ac:dyDescent="0.25">
      <c r="A7" s="506">
        <v>510</v>
      </c>
      <c r="B7" s="520" t="s">
        <v>2738</v>
      </c>
      <c r="C7" s="514">
        <f>SUM('[2]PLANINDICATIVO PD'!X5)</f>
        <v>240000000</v>
      </c>
      <c r="D7" s="492"/>
      <c r="E7" s="515"/>
      <c r="F7" s="515">
        <f>+C7+E7</f>
        <v>240000000</v>
      </c>
      <c r="G7" s="515">
        <f>+F7</f>
        <v>240000000</v>
      </c>
      <c r="H7" s="516"/>
      <c r="I7" s="515"/>
      <c r="J7" s="515">
        <f>+F7+I7</f>
        <v>240000000</v>
      </c>
      <c r="K7" s="516"/>
      <c r="L7" s="515"/>
      <c r="M7" s="517">
        <f>+J7+L7</f>
        <v>240000000</v>
      </c>
      <c r="N7" s="518">
        <f>+'PLANINDICATIVO PD'!AA5</f>
        <v>120000000</v>
      </c>
      <c r="O7" s="518">
        <f>+'PLANINDICATIVO PD'!AB5</f>
        <v>0</v>
      </c>
      <c r="P7" s="518">
        <f>+'PLANINDICATIVO PD'!AC5</f>
        <v>0</v>
      </c>
      <c r="Q7" s="518">
        <f>+'PLANINDICATIVO PD'!AD5</f>
        <v>0</v>
      </c>
      <c r="R7" s="518">
        <f>+'PLANINDICATIVO PD'!AE5</f>
        <v>0</v>
      </c>
      <c r="S7" s="518">
        <f>+'PLANINDICATIVO PD'!AF5</f>
        <v>0</v>
      </c>
      <c r="T7" s="518">
        <f>+'PLANINDICATIVO PD'!AG5</f>
        <v>0</v>
      </c>
      <c r="U7" s="518">
        <f>+'PLANINDICATIVO PD'!AH5</f>
        <v>120000000</v>
      </c>
      <c r="V7" s="518">
        <f>+'PLANINDICATIVO PD'!AI5</f>
        <v>0</v>
      </c>
      <c r="W7" s="518">
        <f>+'PLANINDICATIVO PD'!AJ5</f>
        <v>0</v>
      </c>
      <c r="X7" s="518">
        <f>+'PLANINDICATIVO PD'!AK5</f>
        <v>0</v>
      </c>
      <c r="Y7" s="519">
        <f>SUM(N7:W7)</f>
        <v>240000000</v>
      </c>
    </row>
    <row r="8" spans="1:25" ht="39" customHeight="1" thickBot="1" x14ac:dyDescent="0.25">
      <c r="A8" s="506"/>
      <c r="B8" s="500" t="s">
        <v>2739</v>
      </c>
      <c r="C8" s="501">
        <f t="shared" ref="C8:Y8" si="2">+C9</f>
        <v>420000000</v>
      </c>
      <c r="D8" s="492"/>
      <c r="E8" s="521">
        <f t="shared" si="2"/>
        <v>-11000000</v>
      </c>
      <c r="F8" s="521">
        <f t="shared" si="2"/>
        <v>409000000</v>
      </c>
      <c r="G8" s="521">
        <f t="shared" si="2"/>
        <v>409000000</v>
      </c>
      <c r="H8" s="522"/>
      <c r="I8" s="521">
        <f t="shared" si="2"/>
        <v>17000000</v>
      </c>
      <c r="J8" s="521">
        <f t="shared" si="2"/>
        <v>426000000</v>
      </c>
      <c r="K8" s="522"/>
      <c r="L8" s="521">
        <f t="shared" si="2"/>
        <v>13000000</v>
      </c>
      <c r="M8" s="523">
        <f t="shared" si="2"/>
        <v>439000000</v>
      </c>
      <c r="N8" s="505">
        <f t="shared" si="2"/>
        <v>215000000</v>
      </c>
      <c r="O8" s="505">
        <f t="shared" si="2"/>
        <v>0</v>
      </c>
      <c r="P8" s="505">
        <f t="shared" si="2"/>
        <v>0</v>
      </c>
      <c r="Q8" s="505">
        <f t="shared" si="2"/>
        <v>0</v>
      </c>
      <c r="R8" s="505">
        <f t="shared" si="2"/>
        <v>0</v>
      </c>
      <c r="S8" s="505">
        <f t="shared" si="2"/>
        <v>0</v>
      </c>
      <c r="T8" s="505">
        <f t="shared" si="2"/>
        <v>100000000</v>
      </c>
      <c r="U8" s="505">
        <f t="shared" si="2"/>
        <v>105000000</v>
      </c>
      <c r="V8" s="505"/>
      <c r="W8" s="505">
        <f t="shared" si="2"/>
        <v>0</v>
      </c>
      <c r="X8" s="505"/>
      <c r="Y8" s="505">
        <f t="shared" si="2"/>
        <v>420000000</v>
      </c>
    </row>
    <row r="9" spans="1:25" ht="39" customHeight="1" thickBot="1" x14ac:dyDescent="0.25">
      <c r="A9" s="506"/>
      <c r="B9" s="507" t="s">
        <v>2740</v>
      </c>
      <c r="C9" s="508">
        <f>SUM(C10:C11)</f>
        <v>420000000</v>
      </c>
      <c r="D9" s="492"/>
      <c r="E9" s="509">
        <f>SUM(E10:E11)</f>
        <v>-11000000</v>
      </c>
      <c r="F9" s="509">
        <f>SUM(F10:F11)</f>
        <v>409000000</v>
      </c>
      <c r="G9" s="509">
        <f>SUM(G10:G11)</f>
        <v>409000000</v>
      </c>
      <c r="H9" s="510"/>
      <c r="I9" s="509">
        <f>SUM(I10:I11)</f>
        <v>17000000</v>
      </c>
      <c r="J9" s="509">
        <f>SUM(J10:J11)</f>
        <v>426000000</v>
      </c>
      <c r="K9" s="510"/>
      <c r="L9" s="509">
        <f>SUM(L10:L11)</f>
        <v>13000000</v>
      </c>
      <c r="M9" s="511">
        <f>SUM(M10:M11)</f>
        <v>439000000</v>
      </c>
      <c r="N9" s="512">
        <f t="shared" ref="N9:Y9" si="3">SUM(N10:N11)</f>
        <v>215000000</v>
      </c>
      <c r="O9" s="512">
        <f t="shared" si="3"/>
        <v>0</v>
      </c>
      <c r="P9" s="512">
        <f t="shared" si="3"/>
        <v>0</v>
      </c>
      <c r="Q9" s="512">
        <f t="shared" si="3"/>
        <v>0</v>
      </c>
      <c r="R9" s="512">
        <f t="shared" si="3"/>
        <v>0</v>
      </c>
      <c r="S9" s="512">
        <f t="shared" si="3"/>
        <v>0</v>
      </c>
      <c r="T9" s="512">
        <f t="shared" si="3"/>
        <v>100000000</v>
      </c>
      <c r="U9" s="512">
        <f t="shared" si="3"/>
        <v>105000000</v>
      </c>
      <c r="V9" s="512"/>
      <c r="W9" s="512">
        <f t="shared" si="3"/>
        <v>0</v>
      </c>
      <c r="X9" s="512"/>
      <c r="Y9" s="512">
        <f t="shared" si="3"/>
        <v>420000000</v>
      </c>
    </row>
    <row r="10" spans="1:25" ht="29.25" customHeight="1" thickBot="1" x14ac:dyDescent="0.25">
      <c r="A10" s="506">
        <v>520</v>
      </c>
      <c r="B10" s="524" t="s">
        <v>2741</v>
      </c>
      <c r="C10" s="514">
        <f>SUM('[2]PLANINDICATIVO PD'!X8)</f>
        <v>50000000</v>
      </c>
      <c r="D10" s="492"/>
      <c r="E10" s="515"/>
      <c r="F10" s="515">
        <f>+C10+E10</f>
        <v>50000000</v>
      </c>
      <c r="G10" s="515">
        <f>+F10</f>
        <v>50000000</v>
      </c>
      <c r="H10" s="516"/>
      <c r="I10" s="515"/>
      <c r="J10" s="515">
        <f>+F10+I10</f>
        <v>50000000</v>
      </c>
      <c r="K10" s="516"/>
      <c r="L10" s="515"/>
      <c r="M10" s="517">
        <f>+J10+L10</f>
        <v>50000000</v>
      </c>
      <c r="N10" s="518">
        <f>+'PLANINDICATIVO PD'!AA8</f>
        <v>25000000</v>
      </c>
      <c r="O10" s="518">
        <f>+'PLANINDICATIVO PD'!AB8</f>
        <v>0</v>
      </c>
      <c r="P10" s="518">
        <f>+'PLANINDICATIVO PD'!AC8</f>
        <v>0</v>
      </c>
      <c r="Q10" s="518">
        <f>+'PLANINDICATIVO PD'!AD8</f>
        <v>0</v>
      </c>
      <c r="R10" s="518">
        <f>+'PLANINDICATIVO PD'!AE8</f>
        <v>0</v>
      </c>
      <c r="S10" s="518">
        <f>+'PLANINDICATIVO PD'!AF8</f>
        <v>0</v>
      </c>
      <c r="T10" s="518">
        <f>+'PLANINDICATIVO PD'!AG8</f>
        <v>0</v>
      </c>
      <c r="U10" s="518">
        <f>+'PLANINDICATIVO PD'!AH8</f>
        <v>25000000</v>
      </c>
      <c r="V10" s="518">
        <f>+'PLANINDICATIVO PD'!AI8</f>
        <v>0</v>
      </c>
      <c r="W10" s="518">
        <f>+'PLANINDICATIVO PD'!AJ8</f>
        <v>0</v>
      </c>
      <c r="X10" s="518">
        <f>+'PLANINDICATIVO PD'!AK8</f>
        <v>0</v>
      </c>
      <c r="Y10" s="519">
        <f>SUM(N10:W10)</f>
        <v>50000000</v>
      </c>
    </row>
    <row r="11" spans="1:25" ht="30" customHeight="1" thickBot="1" x14ac:dyDescent="0.25">
      <c r="A11" s="506">
        <v>520</v>
      </c>
      <c r="B11" s="524" t="s">
        <v>2742</v>
      </c>
      <c r="C11" s="514">
        <f>SUM('[2]PLANINDICATIVO PD'!X9:X12)</f>
        <v>370000000</v>
      </c>
      <c r="D11" s="492"/>
      <c r="E11" s="515">
        <v>-11000000</v>
      </c>
      <c r="F11" s="515">
        <f>+C11+E11</f>
        <v>359000000</v>
      </c>
      <c r="G11" s="515">
        <f>+F11</f>
        <v>359000000</v>
      </c>
      <c r="H11" s="516"/>
      <c r="I11" s="515">
        <f>3000000+14000000</f>
        <v>17000000</v>
      </c>
      <c r="J11" s="515">
        <f>+F11+I11</f>
        <v>376000000</v>
      </c>
      <c r="K11" s="516"/>
      <c r="L11" s="515">
        <v>13000000</v>
      </c>
      <c r="M11" s="517">
        <f>+J11+L11</f>
        <v>389000000</v>
      </c>
      <c r="N11" s="518">
        <f>SUM('PLANINDICATIVO PD'!AA9:AA12)</f>
        <v>190000000</v>
      </c>
      <c r="O11" s="518">
        <f>SUM('PLANINDICATIVO PD'!AB9:AB12)</f>
        <v>0</v>
      </c>
      <c r="P11" s="518">
        <f>SUM('PLANINDICATIVO PD'!AC9:AC12)</f>
        <v>0</v>
      </c>
      <c r="Q11" s="518">
        <f>SUM('PLANINDICATIVO PD'!AD9:AD12)</f>
        <v>0</v>
      </c>
      <c r="R11" s="518">
        <f>SUM('PLANINDICATIVO PD'!AE9:AE12)</f>
        <v>0</v>
      </c>
      <c r="S11" s="518">
        <f>SUM('PLANINDICATIVO PD'!AF9:AF12)</f>
        <v>0</v>
      </c>
      <c r="T11" s="518">
        <f>SUM('PLANINDICATIVO PD'!AG9:AG12)</f>
        <v>100000000</v>
      </c>
      <c r="U11" s="518">
        <f>SUM('PLANINDICATIVO PD'!AH9:AH12)</f>
        <v>80000000</v>
      </c>
      <c r="V11" s="518">
        <f>SUM('PLANINDICATIVO PD'!AI9:AI12)</f>
        <v>0</v>
      </c>
      <c r="W11" s="518">
        <f>SUM('PLANINDICATIVO PD'!AJ9:AJ12)</f>
        <v>0</v>
      </c>
      <c r="X11" s="518">
        <f>SUM('PLANINDICATIVO PD'!AK9:AK12)</f>
        <v>0</v>
      </c>
      <c r="Y11" s="519">
        <f>SUM(N11:W11)</f>
        <v>370000000</v>
      </c>
    </row>
    <row r="12" spans="1:25" ht="39" customHeight="1" thickBot="1" x14ac:dyDescent="0.25">
      <c r="A12" s="506"/>
      <c r="B12" s="500" t="s">
        <v>2743</v>
      </c>
      <c r="C12" s="501">
        <f>+C13+C17+C22+C30</f>
        <v>4463770754</v>
      </c>
      <c r="D12" s="492"/>
      <c r="E12" s="521">
        <f>+E13+E17+E22+E30</f>
        <v>11000000</v>
      </c>
      <c r="F12" s="521">
        <f>+F13+F17+F22+F30</f>
        <v>4474770754</v>
      </c>
      <c r="G12" s="521">
        <f>+G13+G17+G22+G30</f>
        <v>4474770754</v>
      </c>
      <c r="H12" s="522"/>
      <c r="I12" s="521">
        <f>+I13+I17+I22+I30</f>
        <v>-17000000</v>
      </c>
      <c r="J12" s="521">
        <f>+J13+J17+J22+J30</f>
        <v>4457770754</v>
      </c>
      <c r="K12" s="522"/>
      <c r="L12" s="521">
        <f>+L13+L17+L22+L30</f>
        <v>-36000000</v>
      </c>
      <c r="M12" s="523">
        <f>+M13+M17+M22+M30</f>
        <v>4421770754</v>
      </c>
      <c r="N12" s="501">
        <f t="shared" ref="N12:Y12" si="4">+N13+N17+N22+N30</f>
        <v>1915902120</v>
      </c>
      <c r="O12" s="501">
        <f t="shared" si="4"/>
        <v>500068634</v>
      </c>
      <c r="P12" s="501">
        <f t="shared" si="4"/>
        <v>0</v>
      </c>
      <c r="Q12" s="501">
        <f t="shared" si="4"/>
        <v>0</v>
      </c>
      <c r="R12" s="501">
        <f t="shared" si="4"/>
        <v>0</v>
      </c>
      <c r="S12" s="501">
        <f t="shared" si="4"/>
        <v>0</v>
      </c>
      <c r="T12" s="501">
        <f t="shared" si="4"/>
        <v>1416800000</v>
      </c>
      <c r="U12" s="501">
        <f t="shared" si="4"/>
        <v>631000000</v>
      </c>
      <c r="V12" s="501"/>
      <c r="W12" s="501">
        <f t="shared" si="4"/>
        <v>0</v>
      </c>
      <c r="X12" s="501"/>
      <c r="Y12" s="501">
        <f t="shared" si="4"/>
        <v>4463770754</v>
      </c>
    </row>
    <row r="13" spans="1:25" ht="39" customHeight="1" thickBot="1" x14ac:dyDescent="0.25">
      <c r="A13" s="499"/>
      <c r="B13" s="507" t="s">
        <v>2744</v>
      </c>
      <c r="C13" s="508">
        <f>SUM(C14:C16)</f>
        <v>415000000</v>
      </c>
      <c r="D13" s="492"/>
      <c r="E13" s="509">
        <f>SUM(E14:E16)</f>
        <v>11000000</v>
      </c>
      <c r="F13" s="509">
        <f>SUM(F14:F16)</f>
        <v>426000000</v>
      </c>
      <c r="G13" s="509">
        <f>SUM(G14:G16)</f>
        <v>426000000</v>
      </c>
      <c r="H13" s="510"/>
      <c r="I13" s="509">
        <f>SUM(I14:I16)</f>
        <v>0</v>
      </c>
      <c r="J13" s="509">
        <f>SUM(J14:J16)</f>
        <v>426000000</v>
      </c>
      <c r="K13" s="510"/>
      <c r="L13" s="509">
        <f>SUM(L14:L16)</f>
        <v>0</v>
      </c>
      <c r="M13" s="511">
        <f>SUM(M14:M16)</f>
        <v>426000000</v>
      </c>
      <c r="N13" s="508">
        <f t="shared" ref="N13:Y13" si="5">SUM(N14:N16)</f>
        <v>270000000</v>
      </c>
      <c r="O13" s="508">
        <f t="shared" si="5"/>
        <v>0</v>
      </c>
      <c r="P13" s="508">
        <f t="shared" si="5"/>
        <v>0</v>
      </c>
      <c r="Q13" s="508">
        <f t="shared" si="5"/>
        <v>0</v>
      </c>
      <c r="R13" s="508">
        <f t="shared" si="5"/>
        <v>0</v>
      </c>
      <c r="S13" s="508">
        <f t="shared" si="5"/>
        <v>0</v>
      </c>
      <c r="T13" s="508">
        <f t="shared" si="5"/>
        <v>0</v>
      </c>
      <c r="U13" s="508">
        <f t="shared" si="5"/>
        <v>145000000</v>
      </c>
      <c r="V13" s="508"/>
      <c r="W13" s="508">
        <f t="shared" si="5"/>
        <v>0</v>
      </c>
      <c r="X13" s="508"/>
      <c r="Y13" s="508">
        <f t="shared" si="5"/>
        <v>415000000</v>
      </c>
    </row>
    <row r="14" spans="1:25" ht="39" customHeight="1" thickBot="1" x14ac:dyDescent="0.25">
      <c r="A14" s="506">
        <v>510</v>
      </c>
      <c r="B14" s="525" t="s">
        <v>2745</v>
      </c>
      <c r="C14" s="514">
        <f>SUM('[2]PLANINDICATIVO PD'!X15:X16)</f>
        <v>345000000</v>
      </c>
      <c r="D14" s="492"/>
      <c r="E14" s="515">
        <v>11000000</v>
      </c>
      <c r="F14" s="515">
        <f>+C14+E14</f>
        <v>356000000</v>
      </c>
      <c r="G14" s="515">
        <f>+F14</f>
        <v>356000000</v>
      </c>
      <c r="H14" s="516"/>
      <c r="I14" s="515"/>
      <c r="J14" s="515">
        <f>+F14+I14</f>
        <v>356000000</v>
      </c>
      <c r="K14" s="516"/>
      <c r="L14" s="515"/>
      <c r="M14" s="517">
        <f>+J14+L14</f>
        <v>356000000</v>
      </c>
      <c r="N14" s="518">
        <f>SUM('PLANINDICATIVO PD'!AA15:AA16)</f>
        <v>230000000</v>
      </c>
      <c r="O14" s="518">
        <f>SUM('PLANINDICATIVO PD'!AB15:AB16)</f>
        <v>0</v>
      </c>
      <c r="P14" s="518">
        <f>SUM('PLANINDICATIVO PD'!AC15:AC16)</f>
        <v>0</v>
      </c>
      <c r="Q14" s="518">
        <f>SUM('PLANINDICATIVO PD'!AD15:AD16)</f>
        <v>0</v>
      </c>
      <c r="R14" s="518">
        <f>SUM('PLANINDICATIVO PD'!AE15:AE16)</f>
        <v>0</v>
      </c>
      <c r="S14" s="518">
        <f>SUM('PLANINDICATIVO PD'!AF15:AF16)</f>
        <v>0</v>
      </c>
      <c r="T14" s="518">
        <f>SUM('PLANINDICATIVO PD'!AG15:AG16)</f>
        <v>0</v>
      </c>
      <c r="U14" s="518">
        <f>SUM('PLANINDICATIVO PD'!AH15:AH16)</f>
        <v>115000000</v>
      </c>
      <c r="V14" s="518">
        <f>SUM('PLANINDICATIVO PD'!AI15:AI16)</f>
        <v>0</v>
      </c>
      <c r="W14" s="518">
        <f>SUM('PLANINDICATIVO PD'!AJ15:AJ16)</f>
        <v>0</v>
      </c>
      <c r="X14" s="518">
        <f>SUM('PLANINDICATIVO PD'!AK15:AK16)</f>
        <v>0</v>
      </c>
      <c r="Y14" s="519">
        <f t="shared" ref="Y14:Y32" si="6">SUM(N14:W14)</f>
        <v>345000000</v>
      </c>
    </row>
    <row r="15" spans="1:25" ht="33" customHeight="1" thickBot="1" x14ac:dyDescent="0.25">
      <c r="A15" s="506">
        <v>510</v>
      </c>
      <c r="B15" s="520" t="s">
        <v>2746</v>
      </c>
      <c r="C15" s="514">
        <f>SUM('[2]PLANINDICATIVO PD'!X17)</f>
        <v>30000000</v>
      </c>
      <c r="D15" s="492"/>
      <c r="E15" s="515"/>
      <c r="F15" s="515">
        <f>+C15+E15</f>
        <v>30000000</v>
      </c>
      <c r="G15" s="515">
        <f>+F15</f>
        <v>30000000</v>
      </c>
      <c r="H15" s="516"/>
      <c r="I15" s="515"/>
      <c r="J15" s="515">
        <f>+F15+I15</f>
        <v>30000000</v>
      </c>
      <c r="K15" s="516"/>
      <c r="L15" s="515"/>
      <c r="M15" s="517">
        <f>+J15+L15</f>
        <v>30000000</v>
      </c>
      <c r="N15" s="518">
        <f>SUM('PLANINDICATIVO PD'!AA17)</f>
        <v>20000000</v>
      </c>
      <c r="O15" s="518">
        <f>SUM('PLANINDICATIVO PD'!AB17)</f>
        <v>0</v>
      </c>
      <c r="P15" s="518">
        <f>SUM('PLANINDICATIVO PD'!AC17)</f>
        <v>0</v>
      </c>
      <c r="Q15" s="518">
        <f>SUM('PLANINDICATIVO PD'!AD17)</f>
        <v>0</v>
      </c>
      <c r="R15" s="518">
        <f>SUM('PLANINDICATIVO PD'!AE17)</f>
        <v>0</v>
      </c>
      <c r="S15" s="518">
        <f>SUM('PLANINDICATIVO PD'!AF17)</f>
        <v>0</v>
      </c>
      <c r="T15" s="518">
        <f>SUM('PLANINDICATIVO PD'!AG17)</f>
        <v>0</v>
      </c>
      <c r="U15" s="518">
        <f>SUM('PLANINDICATIVO PD'!AH17)</f>
        <v>10000000</v>
      </c>
      <c r="V15" s="518">
        <f>SUM('PLANINDICATIVO PD'!AI17)</f>
        <v>0</v>
      </c>
      <c r="W15" s="518">
        <f>SUM('PLANINDICATIVO PD'!AJ17)</f>
        <v>0</v>
      </c>
      <c r="X15" s="518">
        <f>SUM('PLANINDICATIVO PD'!AK17)</f>
        <v>0</v>
      </c>
      <c r="Y15" s="519">
        <f t="shared" si="6"/>
        <v>30000000</v>
      </c>
    </row>
    <row r="16" spans="1:25" ht="27.75" customHeight="1" thickBot="1" x14ac:dyDescent="0.25">
      <c r="A16" s="506">
        <v>510</v>
      </c>
      <c r="B16" s="524" t="s">
        <v>2747</v>
      </c>
      <c r="C16" s="514">
        <f>SUM('[2]PLANINDICATIVO PD'!X18)</f>
        <v>40000000</v>
      </c>
      <c r="D16" s="492"/>
      <c r="E16" s="515"/>
      <c r="F16" s="515">
        <f>+C16+E16</f>
        <v>40000000</v>
      </c>
      <c r="G16" s="515">
        <f>+F16</f>
        <v>40000000</v>
      </c>
      <c r="H16" s="516"/>
      <c r="I16" s="515"/>
      <c r="J16" s="515">
        <f>+F16+I16</f>
        <v>40000000</v>
      </c>
      <c r="K16" s="516"/>
      <c r="L16" s="515"/>
      <c r="M16" s="517">
        <f>+J16+L16</f>
        <v>40000000</v>
      </c>
      <c r="N16" s="518">
        <f>SUM('PLANINDICATIVO PD'!AA18)</f>
        <v>20000000</v>
      </c>
      <c r="O16" s="518">
        <f>SUM('PLANINDICATIVO PD'!AB18)</f>
        <v>0</v>
      </c>
      <c r="P16" s="518">
        <f>SUM('PLANINDICATIVO PD'!AC18)</f>
        <v>0</v>
      </c>
      <c r="Q16" s="518">
        <f>SUM('PLANINDICATIVO PD'!AD18)</f>
        <v>0</v>
      </c>
      <c r="R16" s="518">
        <f>SUM('PLANINDICATIVO PD'!AE18)</f>
        <v>0</v>
      </c>
      <c r="S16" s="518">
        <f>SUM('PLANINDICATIVO PD'!AF18)</f>
        <v>0</v>
      </c>
      <c r="T16" s="518">
        <f>SUM('PLANINDICATIVO PD'!AG18)</f>
        <v>0</v>
      </c>
      <c r="U16" s="518">
        <f>SUM('PLANINDICATIVO PD'!AH18)</f>
        <v>20000000</v>
      </c>
      <c r="V16" s="518">
        <f>SUM('PLANINDICATIVO PD'!AI18)</f>
        <v>0</v>
      </c>
      <c r="W16" s="518">
        <f>SUM('PLANINDICATIVO PD'!AJ18)</f>
        <v>0</v>
      </c>
      <c r="X16" s="518">
        <f>SUM('PLANINDICATIVO PD'!AK18)</f>
        <v>0</v>
      </c>
      <c r="Y16" s="519">
        <f t="shared" si="6"/>
        <v>40000000</v>
      </c>
    </row>
    <row r="17" spans="1:25" ht="28.5" customHeight="1" thickBot="1" x14ac:dyDescent="0.25">
      <c r="A17" s="506"/>
      <c r="B17" s="507" t="s">
        <v>2748</v>
      </c>
      <c r="C17" s="508">
        <f>SUM(C18:C21)</f>
        <v>595000000</v>
      </c>
      <c r="D17" s="492"/>
      <c r="E17" s="509">
        <f>SUM(E18:E21)</f>
        <v>0</v>
      </c>
      <c r="F17" s="509">
        <f>SUM(F18:F21)</f>
        <v>595000000</v>
      </c>
      <c r="G17" s="509">
        <f>SUM(G18:G21)</f>
        <v>595000000</v>
      </c>
      <c r="H17" s="510"/>
      <c r="I17" s="509">
        <f>SUM(I18:I21)</f>
        <v>0</v>
      </c>
      <c r="J17" s="509">
        <f>SUM(J18:J21)</f>
        <v>595000000</v>
      </c>
      <c r="K17" s="510"/>
      <c r="L17" s="509">
        <f>SUM(L18:L21)</f>
        <v>0</v>
      </c>
      <c r="M17" s="511">
        <f>SUM(M18:M21)</f>
        <v>595000000</v>
      </c>
      <c r="N17" s="508">
        <f t="shared" ref="N17:Y17" si="7">SUM(N18:N21)</f>
        <v>520000000</v>
      </c>
      <c r="O17" s="508">
        <f t="shared" si="7"/>
        <v>0</v>
      </c>
      <c r="P17" s="508">
        <f t="shared" si="7"/>
        <v>0</v>
      </c>
      <c r="Q17" s="508">
        <f t="shared" si="7"/>
        <v>0</v>
      </c>
      <c r="R17" s="508">
        <f t="shared" si="7"/>
        <v>0</v>
      </c>
      <c r="S17" s="508">
        <f t="shared" si="7"/>
        <v>0</v>
      </c>
      <c r="T17" s="508">
        <f t="shared" si="7"/>
        <v>0</v>
      </c>
      <c r="U17" s="508">
        <f t="shared" si="7"/>
        <v>75000000</v>
      </c>
      <c r="V17" s="508"/>
      <c r="W17" s="508">
        <f t="shared" si="7"/>
        <v>0</v>
      </c>
      <c r="X17" s="508"/>
      <c r="Y17" s="508">
        <f t="shared" si="7"/>
        <v>595000000</v>
      </c>
    </row>
    <row r="18" spans="1:25" ht="30" customHeight="1" thickBot="1" x14ac:dyDescent="0.25">
      <c r="A18" s="506">
        <v>510</v>
      </c>
      <c r="B18" s="526" t="s">
        <v>2749</v>
      </c>
      <c r="C18" s="514">
        <f>SUM('[2]PLANINDICATIVO PD'!X19)</f>
        <v>20000000</v>
      </c>
      <c r="D18" s="492"/>
      <c r="E18" s="515"/>
      <c r="F18" s="515">
        <f>+C18+E18</f>
        <v>20000000</v>
      </c>
      <c r="G18" s="515">
        <f>+F18</f>
        <v>20000000</v>
      </c>
      <c r="H18" s="516"/>
      <c r="I18" s="515"/>
      <c r="J18" s="515">
        <f>+F18+I18</f>
        <v>20000000</v>
      </c>
      <c r="K18" s="516"/>
      <c r="L18" s="515"/>
      <c r="M18" s="517">
        <f>+J18+L18</f>
        <v>20000000</v>
      </c>
      <c r="N18" s="518">
        <f>+'PLANINDICATIVO PD'!AA19</f>
        <v>0</v>
      </c>
      <c r="O18" s="518">
        <f>+'PLANINDICATIVO PD'!AB19</f>
        <v>0</v>
      </c>
      <c r="P18" s="518">
        <f>+'PLANINDICATIVO PD'!AC19</f>
        <v>0</v>
      </c>
      <c r="Q18" s="518">
        <f>+'PLANINDICATIVO PD'!AD19</f>
        <v>0</v>
      </c>
      <c r="R18" s="518">
        <f>+'PLANINDICATIVO PD'!AE19</f>
        <v>0</v>
      </c>
      <c r="S18" s="518">
        <f>+'PLANINDICATIVO PD'!AF19</f>
        <v>0</v>
      </c>
      <c r="T18" s="518">
        <f>+'PLANINDICATIVO PD'!AG19</f>
        <v>0</v>
      </c>
      <c r="U18" s="518">
        <f>+'PLANINDICATIVO PD'!AH19</f>
        <v>20000000</v>
      </c>
      <c r="V18" s="518">
        <f>+'PLANINDICATIVO PD'!AI19</f>
        <v>0</v>
      </c>
      <c r="W18" s="518">
        <f>+'PLANINDICATIVO PD'!AJ19</f>
        <v>0</v>
      </c>
      <c r="X18" s="518">
        <f>+'PLANINDICATIVO PD'!AK19</f>
        <v>0</v>
      </c>
      <c r="Y18" s="519">
        <f t="shared" si="6"/>
        <v>20000000</v>
      </c>
    </row>
    <row r="19" spans="1:25" ht="38.25" customHeight="1" thickBot="1" x14ac:dyDescent="0.25">
      <c r="A19" s="506">
        <v>510</v>
      </c>
      <c r="B19" s="520" t="s">
        <v>2750</v>
      </c>
      <c r="C19" s="514">
        <f>SUM('[2]PLANINDICATIVO PD'!X20:X22)</f>
        <v>85000000</v>
      </c>
      <c r="D19" s="492"/>
      <c r="E19" s="515"/>
      <c r="F19" s="515">
        <f>+C19+E19</f>
        <v>85000000</v>
      </c>
      <c r="G19" s="515">
        <f>+F19</f>
        <v>85000000</v>
      </c>
      <c r="H19" s="516"/>
      <c r="I19" s="515"/>
      <c r="J19" s="515">
        <f>+F19+I19</f>
        <v>85000000</v>
      </c>
      <c r="K19" s="516"/>
      <c r="L19" s="515"/>
      <c r="M19" s="517">
        <f>+J19+L19</f>
        <v>85000000</v>
      </c>
      <c r="N19" s="518">
        <f>SUM('PLANINDICATIVO PD'!AA20:AA22)</f>
        <v>40000000</v>
      </c>
      <c r="O19" s="518">
        <f>SUM('PLANINDICATIVO PD'!AB20:AB22)</f>
        <v>0</v>
      </c>
      <c r="P19" s="518">
        <f>SUM('PLANINDICATIVO PD'!AC20:AC22)</f>
        <v>0</v>
      </c>
      <c r="Q19" s="518">
        <f>SUM('PLANINDICATIVO PD'!AD20:AD22)</f>
        <v>0</v>
      </c>
      <c r="R19" s="518">
        <f>SUM('PLANINDICATIVO PD'!AE20:AE22)</f>
        <v>0</v>
      </c>
      <c r="S19" s="518">
        <f>SUM('PLANINDICATIVO PD'!AF20:AF22)</f>
        <v>0</v>
      </c>
      <c r="T19" s="518">
        <f>SUM('PLANINDICATIVO PD'!AG20:AG22)</f>
        <v>0</v>
      </c>
      <c r="U19" s="518">
        <f>SUM('PLANINDICATIVO PD'!AH20:AH22)</f>
        <v>45000000</v>
      </c>
      <c r="V19" s="518">
        <f>SUM('PLANINDICATIVO PD'!AI20:AI22)</f>
        <v>0</v>
      </c>
      <c r="W19" s="518">
        <f>SUM('PLANINDICATIVO PD'!AJ20:AJ22)</f>
        <v>0</v>
      </c>
      <c r="X19" s="518">
        <f>SUM('PLANINDICATIVO PD'!AK20:AK22)</f>
        <v>0</v>
      </c>
      <c r="Y19" s="519">
        <f t="shared" si="6"/>
        <v>85000000</v>
      </c>
    </row>
    <row r="20" spans="1:25" ht="39" customHeight="1" thickBot="1" x14ac:dyDescent="0.25">
      <c r="A20" s="506">
        <v>310</v>
      </c>
      <c r="B20" s="524" t="s">
        <v>2751</v>
      </c>
      <c r="C20" s="514">
        <f>SUM('[2]PLANINDICATIVO PD'!X23)</f>
        <v>10000000</v>
      </c>
      <c r="D20" s="492"/>
      <c r="E20" s="515"/>
      <c r="F20" s="515">
        <f>+C20+E20</f>
        <v>10000000</v>
      </c>
      <c r="G20" s="515">
        <f>+F20</f>
        <v>10000000</v>
      </c>
      <c r="H20" s="516"/>
      <c r="I20" s="515"/>
      <c r="J20" s="515">
        <f>+F20+I20</f>
        <v>10000000</v>
      </c>
      <c r="K20" s="516"/>
      <c r="L20" s="515"/>
      <c r="M20" s="517">
        <f>+J20+L20</f>
        <v>10000000</v>
      </c>
      <c r="N20" s="518">
        <f>+'PLANINDICATIVO PD'!AA23</f>
        <v>0</v>
      </c>
      <c r="O20" s="518">
        <f>+'PLANINDICATIVO PD'!AB23</f>
        <v>0</v>
      </c>
      <c r="P20" s="518">
        <f>+'PLANINDICATIVO PD'!AC23</f>
        <v>0</v>
      </c>
      <c r="Q20" s="518">
        <f>+'PLANINDICATIVO PD'!AD23</f>
        <v>0</v>
      </c>
      <c r="R20" s="518">
        <f>+'PLANINDICATIVO PD'!AE23</f>
        <v>0</v>
      </c>
      <c r="S20" s="518">
        <f>+'PLANINDICATIVO PD'!AF23</f>
        <v>0</v>
      </c>
      <c r="T20" s="518">
        <f>+'PLANINDICATIVO PD'!AG23</f>
        <v>0</v>
      </c>
      <c r="U20" s="518">
        <f>+'PLANINDICATIVO PD'!AH23</f>
        <v>10000000</v>
      </c>
      <c r="V20" s="518">
        <f>+'PLANINDICATIVO PD'!AI23</f>
        <v>0</v>
      </c>
      <c r="W20" s="518">
        <f>+'PLANINDICATIVO PD'!AJ23</f>
        <v>0</v>
      </c>
      <c r="X20" s="518">
        <f>+'PLANINDICATIVO PD'!AK23</f>
        <v>0</v>
      </c>
      <c r="Y20" s="519">
        <f t="shared" si="6"/>
        <v>10000000</v>
      </c>
    </row>
    <row r="21" spans="1:25" ht="27" customHeight="1" thickBot="1" x14ac:dyDescent="0.25">
      <c r="A21" s="506">
        <v>310</v>
      </c>
      <c r="B21" s="524" t="s">
        <v>2752</v>
      </c>
      <c r="C21" s="514">
        <f>SUM('[2]PLANINDICATIVO PD'!X24)</f>
        <v>480000000</v>
      </c>
      <c r="D21" s="492"/>
      <c r="E21" s="515"/>
      <c r="F21" s="515">
        <f>+C21+E21</f>
        <v>480000000</v>
      </c>
      <c r="G21" s="515">
        <f>+F21</f>
        <v>480000000</v>
      </c>
      <c r="H21" s="516"/>
      <c r="I21" s="515"/>
      <c r="J21" s="515">
        <f>+F21+I21</f>
        <v>480000000</v>
      </c>
      <c r="K21" s="516"/>
      <c r="L21" s="515"/>
      <c r="M21" s="517">
        <f>+J21+L21</f>
        <v>480000000</v>
      </c>
      <c r="N21" s="518">
        <f>+'PLANINDICATIVO PD'!AA24</f>
        <v>480000000</v>
      </c>
      <c r="O21" s="518">
        <f>+'PLANINDICATIVO PD'!AB24</f>
        <v>0</v>
      </c>
      <c r="P21" s="518">
        <f>+'PLANINDICATIVO PD'!AC24</f>
        <v>0</v>
      </c>
      <c r="Q21" s="518">
        <f>+'PLANINDICATIVO PD'!AD24</f>
        <v>0</v>
      </c>
      <c r="R21" s="518">
        <f>+'PLANINDICATIVO PD'!AE24</f>
        <v>0</v>
      </c>
      <c r="S21" s="518">
        <f>+'PLANINDICATIVO PD'!AF24</f>
        <v>0</v>
      </c>
      <c r="T21" s="518">
        <f>+'PLANINDICATIVO PD'!AG24</f>
        <v>0</v>
      </c>
      <c r="U21" s="518">
        <f>+'PLANINDICATIVO PD'!AH24</f>
        <v>0</v>
      </c>
      <c r="V21" s="518">
        <f>+'PLANINDICATIVO PD'!AI24</f>
        <v>0</v>
      </c>
      <c r="W21" s="518">
        <f>+'PLANINDICATIVO PD'!AJ24</f>
        <v>0</v>
      </c>
      <c r="X21" s="518">
        <f>+'PLANINDICATIVO PD'!AK24</f>
        <v>0</v>
      </c>
      <c r="Y21" s="519">
        <f t="shared" si="6"/>
        <v>480000000</v>
      </c>
    </row>
    <row r="22" spans="1:25" ht="39" customHeight="1" thickBot="1" x14ac:dyDescent="0.25">
      <c r="A22" s="506"/>
      <c r="B22" s="507" t="s">
        <v>2753</v>
      </c>
      <c r="C22" s="508">
        <f>SUM(C23:C29)</f>
        <v>3398770754</v>
      </c>
      <c r="D22" s="492"/>
      <c r="E22" s="509">
        <f>SUM(E23:E29)</f>
        <v>0</v>
      </c>
      <c r="F22" s="509">
        <f>SUM(F23:F29)</f>
        <v>3398770754</v>
      </c>
      <c r="G22" s="509">
        <f>SUM(G23:G29)</f>
        <v>3398770754</v>
      </c>
      <c r="H22" s="510"/>
      <c r="I22" s="509">
        <f>SUM(I23:I29)</f>
        <v>-17000000</v>
      </c>
      <c r="J22" s="509">
        <f>SUM(J23:J29)</f>
        <v>3381770754</v>
      </c>
      <c r="K22" s="510"/>
      <c r="L22" s="509">
        <f>SUM(L23:L29)</f>
        <v>-36000000</v>
      </c>
      <c r="M22" s="511">
        <f>SUM(M23:M29)</f>
        <v>3345770754</v>
      </c>
      <c r="N22" s="508">
        <f t="shared" ref="N22:Y22" si="8">SUM(N23:N29)</f>
        <v>1105902120</v>
      </c>
      <c r="O22" s="508">
        <f t="shared" si="8"/>
        <v>500068634</v>
      </c>
      <c r="P22" s="508">
        <f t="shared" si="8"/>
        <v>0</v>
      </c>
      <c r="Q22" s="508">
        <f t="shared" si="8"/>
        <v>0</v>
      </c>
      <c r="R22" s="508">
        <f t="shared" si="8"/>
        <v>0</v>
      </c>
      <c r="S22" s="508">
        <f t="shared" si="8"/>
        <v>0</v>
      </c>
      <c r="T22" s="508">
        <f t="shared" si="8"/>
        <v>1416800000</v>
      </c>
      <c r="U22" s="508">
        <f t="shared" si="8"/>
        <v>376000000</v>
      </c>
      <c r="V22" s="508"/>
      <c r="W22" s="508">
        <f t="shared" si="8"/>
        <v>0</v>
      </c>
      <c r="X22" s="508"/>
      <c r="Y22" s="508">
        <f t="shared" si="8"/>
        <v>3398770754</v>
      </c>
    </row>
    <row r="23" spans="1:25" ht="48" customHeight="1" thickBot="1" x14ac:dyDescent="0.25">
      <c r="A23" s="506">
        <v>310</v>
      </c>
      <c r="B23" s="526" t="s">
        <v>2754</v>
      </c>
      <c r="C23" s="514">
        <f>SUM('[2]PLANINDICATIVO PD'!X25)</f>
        <v>936970754</v>
      </c>
      <c r="D23" s="492"/>
      <c r="E23" s="515"/>
      <c r="F23" s="515">
        <f t="shared" ref="F23:F29" si="9">+C23+E23</f>
        <v>936970754</v>
      </c>
      <c r="G23" s="515">
        <f t="shared" ref="G23:G28" si="10">+F23</f>
        <v>936970754</v>
      </c>
      <c r="H23" s="516"/>
      <c r="I23" s="515">
        <f>-16000000+2000000-9000000-14000000</f>
        <v>-37000000</v>
      </c>
      <c r="J23" s="515">
        <f t="shared" ref="J23:J29" si="11">+F23+I23</f>
        <v>899970754</v>
      </c>
      <c r="K23" s="516"/>
      <c r="L23" s="515">
        <v>-36000000</v>
      </c>
      <c r="M23" s="517">
        <f t="shared" ref="M23:M29" si="12">+J23+L23</f>
        <v>863970754</v>
      </c>
      <c r="N23" s="518">
        <f>+'PLANINDICATIVO PD'!AA25</f>
        <v>936970754</v>
      </c>
      <c r="O23" s="518">
        <f>+'PLANINDICATIVO PD'!AB25</f>
        <v>0</v>
      </c>
      <c r="P23" s="518">
        <f>+'PLANINDICATIVO PD'!AC25</f>
        <v>0</v>
      </c>
      <c r="Q23" s="518">
        <f>+'PLANINDICATIVO PD'!AD25</f>
        <v>0</v>
      </c>
      <c r="R23" s="518">
        <f>+'PLANINDICATIVO PD'!AE25</f>
        <v>0</v>
      </c>
      <c r="S23" s="518">
        <f>+'PLANINDICATIVO PD'!AF25</f>
        <v>0</v>
      </c>
      <c r="T23" s="518">
        <f>+'PLANINDICATIVO PD'!AG25</f>
        <v>0</v>
      </c>
      <c r="U23" s="518">
        <f>+'PLANINDICATIVO PD'!AH25</f>
        <v>0</v>
      </c>
      <c r="V23" s="518">
        <f>+'PLANINDICATIVO PD'!AI25</f>
        <v>0</v>
      </c>
      <c r="W23" s="518">
        <f>+'PLANINDICATIVO PD'!AJ25</f>
        <v>0</v>
      </c>
      <c r="X23" s="518">
        <f>+'PLANINDICATIVO PD'!AK25</f>
        <v>0</v>
      </c>
      <c r="Y23" s="519">
        <f t="shared" si="6"/>
        <v>936970754</v>
      </c>
    </row>
    <row r="24" spans="1:25" ht="30" customHeight="1" thickBot="1" x14ac:dyDescent="0.25">
      <c r="A24" s="506">
        <v>410</v>
      </c>
      <c r="B24" s="526" t="s">
        <v>2755</v>
      </c>
      <c r="C24" s="514">
        <f>SUM('[2]PLANINDICATIVO PD'!X26:X28)</f>
        <v>350000000</v>
      </c>
      <c r="D24" s="492"/>
      <c r="E24" s="515"/>
      <c r="F24" s="515">
        <f t="shared" si="9"/>
        <v>350000000</v>
      </c>
      <c r="G24" s="515">
        <f t="shared" si="10"/>
        <v>350000000</v>
      </c>
      <c r="H24" s="516"/>
      <c r="I24" s="515"/>
      <c r="J24" s="515">
        <f t="shared" si="11"/>
        <v>350000000</v>
      </c>
      <c r="K24" s="516"/>
      <c r="L24" s="515"/>
      <c r="M24" s="517">
        <f t="shared" si="12"/>
        <v>350000000</v>
      </c>
      <c r="N24" s="518">
        <f>SUM('PLANINDICATIVO PD'!AA26:AA28)</f>
        <v>158931366</v>
      </c>
      <c r="O24" s="518">
        <f>SUM('PLANINDICATIVO PD'!AB26:AB28)</f>
        <v>68634</v>
      </c>
      <c r="P24" s="518">
        <f>SUM('PLANINDICATIVO PD'!AC26:AC28)</f>
        <v>0</v>
      </c>
      <c r="Q24" s="518">
        <f>SUM('PLANINDICATIVO PD'!AD26:AD28)</f>
        <v>0</v>
      </c>
      <c r="R24" s="518">
        <f>SUM('PLANINDICATIVO PD'!AE26:AE28)</f>
        <v>0</v>
      </c>
      <c r="S24" s="518">
        <f>SUM('PLANINDICATIVO PD'!AF26:AF28)</f>
        <v>0</v>
      </c>
      <c r="T24" s="518">
        <f>SUM('PLANINDICATIVO PD'!AG26:AG28)</f>
        <v>0</v>
      </c>
      <c r="U24" s="518">
        <f>SUM('PLANINDICATIVO PD'!AH26:AH28)</f>
        <v>191000000</v>
      </c>
      <c r="V24" s="518">
        <f>SUM('PLANINDICATIVO PD'!AI26:AI28)</f>
        <v>0</v>
      </c>
      <c r="W24" s="518">
        <f>SUM('PLANINDICATIVO PD'!AJ26:AJ28)</f>
        <v>0</v>
      </c>
      <c r="X24" s="518">
        <f>SUM('PLANINDICATIVO PD'!AK26:AK28)</f>
        <v>0</v>
      </c>
      <c r="Y24" s="519">
        <f t="shared" si="6"/>
        <v>350000000</v>
      </c>
    </row>
    <row r="25" spans="1:25" ht="30.75" customHeight="1" thickBot="1" x14ac:dyDescent="0.25">
      <c r="A25" s="506">
        <v>410</v>
      </c>
      <c r="B25" s="526" t="s">
        <v>2756</v>
      </c>
      <c r="C25" s="514">
        <f>SUM('[2]PLANINDICATIVO PD'!X29:X30)</f>
        <v>60000000</v>
      </c>
      <c r="D25" s="492"/>
      <c r="E25" s="515"/>
      <c r="F25" s="515">
        <f t="shared" si="9"/>
        <v>60000000</v>
      </c>
      <c r="G25" s="515">
        <f t="shared" si="10"/>
        <v>60000000</v>
      </c>
      <c r="H25" s="516"/>
      <c r="I25" s="515">
        <v>20000000</v>
      </c>
      <c r="J25" s="515">
        <f t="shared" si="11"/>
        <v>80000000</v>
      </c>
      <c r="K25" s="516"/>
      <c r="L25" s="515"/>
      <c r="M25" s="517">
        <f t="shared" si="12"/>
        <v>80000000</v>
      </c>
      <c r="N25" s="518">
        <f>SUM('PLANINDICATIVO PD'!AA29:AA30)</f>
        <v>10000000</v>
      </c>
      <c r="O25" s="518">
        <f>SUM('PLANINDICATIVO PD'!AB29:AB30)</f>
        <v>0</v>
      </c>
      <c r="P25" s="518">
        <f>SUM('PLANINDICATIVO PD'!AC29:AC30)</f>
        <v>0</v>
      </c>
      <c r="Q25" s="518">
        <f>SUM('PLANINDICATIVO PD'!AD29:AD30)</f>
        <v>0</v>
      </c>
      <c r="R25" s="518">
        <f>SUM('PLANINDICATIVO PD'!AE29:AE30)</f>
        <v>0</v>
      </c>
      <c r="S25" s="518">
        <f>SUM('PLANINDICATIVO PD'!AF29:AF30)</f>
        <v>0</v>
      </c>
      <c r="T25" s="518">
        <f>SUM('PLANINDICATIVO PD'!AG29:AG30)</f>
        <v>0</v>
      </c>
      <c r="U25" s="518">
        <f>SUM('PLANINDICATIVO PD'!AH29:AH30)</f>
        <v>50000000</v>
      </c>
      <c r="V25" s="518">
        <f>SUM('PLANINDICATIVO PD'!AI29:AI30)</f>
        <v>0</v>
      </c>
      <c r="W25" s="518">
        <f>SUM('PLANINDICATIVO PD'!AJ29:AJ30)</f>
        <v>0</v>
      </c>
      <c r="X25" s="518">
        <f>SUM('PLANINDICATIVO PD'!AK29:AK30)</f>
        <v>0</v>
      </c>
      <c r="Y25" s="519">
        <f t="shared" si="6"/>
        <v>60000000</v>
      </c>
    </row>
    <row r="26" spans="1:25" ht="27.75" customHeight="1" thickBot="1" x14ac:dyDescent="0.25">
      <c r="A26" s="506">
        <v>410</v>
      </c>
      <c r="B26" s="526" t="s">
        <v>2757</v>
      </c>
      <c r="C26" s="514">
        <f>SUM('[2]PLANINDICATIVO PD'!X31:X32)</f>
        <v>2016800000</v>
      </c>
      <c r="D26" s="492"/>
      <c r="E26" s="515"/>
      <c r="F26" s="515">
        <f t="shared" si="9"/>
        <v>2016800000</v>
      </c>
      <c r="G26" s="515">
        <f t="shared" si="10"/>
        <v>2016800000</v>
      </c>
      <c r="H26" s="516"/>
      <c r="I26" s="515"/>
      <c r="J26" s="515">
        <f t="shared" si="11"/>
        <v>2016800000</v>
      </c>
      <c r="K26" s="516"/>
      <c r="L26" s="515"/>
      <c r="M26" s="517">
        <f t="shared" si="12"/>
        <v>2016800000</v>
      </c>
      <c r="N26" s="518">
        <f>SUM('PLANINDICATIVO PD'!AA31:AA32)</f>
        <v>0</v>
      </c>
      <c r="O26" s="518">
        <f>SUM('PLANINDICATIVO PD'!AB31:AB32)</f>
        <v>500000000</v>
      </c>
      <c r="P26" s="518">
        <f>SUM('PLANINDICATIVO PD'!AC31:AC32)</f>
        <v>0</v>
      </c>
      <c r="Q26" s="518">
        <f>SUM('PLANINDICATIVO PD'!AD31:AD32)</f>
        <v>0</v>
      </c>
      <c r="R26" s="518">
        <f>SUM('PLANINDICATIVO PD'!AE31:AE32)</f>
        <v>0</v>
      </c>
      <c r="S26" s="518">
        <f>SUM('PLANINDICATIVO PD'!AF31:AF32)</f>
        <v>0</v>
      </c>
      <c r="T26" s="518">
        <f>SUM('PLANINDICATIVO PD'!AG31:AG32)</f>
        <v>1416800000</v>
      </c>
      <c r="U26" s="518">
        <f>SUM('PLANINDICATIVO PD'!AH31:AH32)</f>
        <v>100000000</v>
      </c>
      <c r="V26" s="518">
        <f>SUM('PLANINDICATIVO PD'!AI31:AI32)</f>
        <v>0</v>
      </c>
      <c r="W26" s="518">
        <f>SUM('PLANINDICATIVO PD'!AJ31:AJ32)</f>
        <v>0</v>
      </c>
      <c r="X26" s="518">
        <f>SUM('PLANINDICATIVO PD'!AK31:AK32)</f>
        <v>0</v>
      </c>
      <c r="Y26" s="519">
        <f t="shared" si="6"/>
        <v>2016800000</v>
      </c>
    </row>
    <row r="27" spans="1:25" ht="28.5" customHeight="1" thickBot="1" x14ac:dyDescent="0.25">
      <c r="A27" s="506">
        <v>410</v>
      </c>
      <c r="B27" s="526" t="s">
        <v>2758</v>
      </c>
      <c r="C27" s="514">
        <f>SUM('[2]PLANINDICATIVO PD'!X33)</f>
        <v>10000000</v>
      </c>
      <c r="D27" s="492"/>
      <c r="E27" s="515"/>
      <c r="F27" s="515">
        <f t="shared" si="9"/>
        <v>10000000</v>
      </c>
      <c r="G27" s="515">
        <f t="shared" si="10"/>
        <v>10000000</v>
      </c>
      <c r="H27" s="516"/>
      <c r="I27" s="515"/>
      <c r="J27" s="515">
        <f t="shared" si="11"/>
        <v>10000000</v>
      </c>
      <c r="K27" s="516"/>
      <c r="L27" s="515"/>
      <c r="M27" s="517">
        <f t="shared" si="12"/>
        <v>10000000</v>
      </c>
      <c r="N27" s="518">
        <f>+'PLANINDICATIVO PD'!AA33</f>
        <v>0</v>
      </c>
      <c r="O27" s="518">
        <f>+'PLANINDICATIVO PD'!AB33</f>
        <v>0</v>
      </c>
      <c r="P27" s="518">
        <f>+'PLANINDICATIVO PD'!AC33</f>
        <v>0</v>
      </c>
      <c r="Q27" s="518">
        <f>+'PLANINDICATIVO PD'!AD33</f>
        <v>0</v>
      </c>
      <c r="R27" s="518">
        <f>+'PLANINDICATIVO PD'!AE33</f>
        <v>0</v>
      </c>
      <c r="S27" s="518">
        <f>+'PLANINDICATIVO PD'!AF33</f>
        <v>0</v>
      </c>
      <c r="T27" s="518">
        <f>+'PLANINDICATIVO PD'!AG33</f>
        <v>0</v>
      </c>
      <c r="U27" s="518">
        <f>+'PLANINDICATIVO PD'!AH33</f>
        <v>10000000</v>
      </c>
      <c r="V27" s="518">
        <f>+'PLANINDICATIVO PD'!AI33</f>
        <v>0</v>
      </c>
      <c r="W27" s="518">
        <f>+'PLANINDICATIVO PD'!AJ33</f>
        <v>0</v>
      </c>
      <c r="X27" s="518">
        <f>+'PLANINDICATIVO PD'!AK33</f>
        <v>0</v>
      </c>
      <c r="Y27" s="519">
        <f t="shared" si="6"/>
        <v>10000000</v>
      </c>
    </row>
    <row r="28" spans="1:25" ht="27.75" customHeight="1" thickBot="1" x14ac:dyDescent="0.25">
      <c r="A28" s="506">
        <v>410</v>
      </c>
      <c r="B28" s="526" t="s">
        <v>2759</v>
      </c>
      <c r="C28" s="514">
        <f>SUM('[2]PLANINDICATIVO PD'!X34)</f>
        <v>10000000</v>
      </c>
      <c r="D28" s="492"/>
      <c r="E28" s="515"/>
      <c r="F28" s="515">
        <f t="shared" si="9"/>
        <v>10000000</v>
      </c>
      <c r="G28" s="515">
        <f t="shared" si="10"/>
        <v>10000000</v>
      </c>
      <c r="H28" s="516"/>
      <c r="I28" s="515"/>
      <c r="J28" s="515">
        <f t="shared" si="11"/>
        <v>10000000</v>
      </c>
      <c r="K28" s="516"/>
      <c r="L28" s="515"/>
      <c r="M28" s="517">
        <f t="shared" si="12"/>
        <v>10000000</v>
      </c>
      <c r="N28" s="518">
        <f>+'PLANINDICATIVO PD'!AA34</f>
        <v>0</v>
      </c>
      <c r="O28" s="518">
        <f>+'PLANINDICATIVO PD'!AB34</f>
        <v>0</v>
      </c>
      <c r="P28" s="518">
        <f>+'PLANINDICATIVO PD'!AC34</f>
        <v>0</v>
      </c>
      <c r="Q28" s="518">
        <f>+'PLANINDICATIVO PD'!AD34</f>
        <v>0</v>
      </c>
      <c r="R28" s="518">
        <f>+'PLANINDICATIVO PD'!AE34</f>
        <v>0</v>
      </c>
      <c r="S28" s="518">
        <f>+'PLANINDICATIVO PD'!AF34</f>
        <v>0</v>
      </c>
      <c r="T28" s="518">
        <f>+'PLANINDICATIVO PD'!AG34</f>
        <v>0</v>
      </c>
      <c r="U28" s="518">
        <f>+'PLANINDICATIVO PD'!AH34</f>
        <v>10000000</v>
      </c>
      <c r="V28" s="518">
        <f>+'PLANINDICATIVO PD'!AI34</f>
        <v>0</v>
      </c>
      <c r="W28" s="518">
        <f>+'PLANINDICATIVO PD'!AJ34</f>
        <v>0</v>
      </c>
      <c r="X28" s="518">
        <f>+'PLANINDICATIVO PD'!AK34</f>
        <v>0</v>
      </c>
      <c r="Y28" s="519">
        <f t="shared" si="6"/>
        <v>10000000</v>
      </c>
    </row>
    <row r="29" spans="1:25" ht="30" customHeight="1" thickBot="1" x14ac:dyDescent="0.25">
      <c r="A29" s="506">
        <v>410</v>
      </c>
      <c r="B29" s="527" t="s">
        <v>2760</v>
      </c>
      <c r="C29" s="514">
        <f>SUM('[2]PLANINDICATIVO PD'!X35)</f>
        <v>15000000</v>
      </c>
      <c r="D29" s="492"/>
      <c r="E29" s="515"/>
      <c r="F29" s="515">
        <f t="shared" si="9"/>
        <v>15000000</v>
      </c>
      <c r="G29" s="515">
        <f>+F29</f>
        <v>15000000</v>
      </c>
      <c r="H29" s="516"/>
      <c r="I29" s="515"/>
      <c r="J29" s="515">
        <f t="shared" si="11"/>
        <v>15000000</v>
      </c>
      <c r="K29" s="516"/>
      <c r="L29" s="515"/>
      <c r="M29" s="517">
        <f t="shared" si="12"/>
        <v>15000000</v>
      </c>
      <c r="N29" s="518">
        <f>+'PLANINDICATIVO PD'!AA35</f>
        <v>0</v>
      </c>
      <c r="O29" s="518">
        <f>+'PLANINDICATIVO PD'!AB35</f>
        <v>0</v>
      </c>
      <c r="P29" s="518">
        <f>+'PLANINDICATIVO PD'!AC35</f>
        <v>0</v>
      </c>
      <c r="Q29" s="518">
        <f>+'PLANINDICATIVO PD'!AD35</f>
        <v>0</v>
      </c>
      <c r="R29" s="518">
        <f>+'PLANINDICATIVO PD'!AE35</f>
        <v>0</v>
      </c>
      <c r="S29" s="518">
        <f>+'PLANINDICATIVO PD'!AF35</f>
        <v>0</v>
      </c>
      <c r="T29" s="518">
        <f>+'PLANINDICATIVO PD'!AG35</f>
        <v>0</v>
      </c>
      <c r="U29" s="518">
        <f>+'PLANINDICATIVO PD'!AH35</f>
        <v>15000000</v>
      </c>
      <c r="V29" s="518">
        <f>+'PLANINDICATIVO PD'!AI35</f>
        <v>0</v>
      </c>
      <c r="W29" s="518">
        <f>+'PLANINDICATIVO PD'!AJ35</f>
        <v>0</v>
      </c>
      <c r="X29" s="518">
        <f>+'PLANINDICATIVO PD'!AK35</f>
        <v>0</v>
      </c>
      <c r="Y29" s="519">
        <f t="shared" si="6"/>
        <v>15000000</v>
      </c>
    </row>
    <row r="30" spans="1:25" ht="39" customHeight="1" thickBot="1" x14ac:dyDescent="0.25">
      <c r="A30" s="506"/>
      <c r="B30" s="507" t="s">
        <v>2761</v>
      </c>
      <c r="C30" s="508">
        <f>SUM(C31:C32)</f>
        <v>55000000</v>
      </c>
      <c r="D30" s="492"/>
      <c r="E30" s="509">
        <f>SUM(E31:E32)</f>
        <v>0</v>
      </c>
      <c r="F30" s="509">
        <f>SUM(F31:F32)</f>
        <v>55000000</v>
      </c>
      <c r="G30" s="509">
        <f>SUM(G31:G32)</f>
        <v>55000000</v>
      </c>
      <c r="H30" s="510"/>
      <c r="I30" s="509">
        <f>SUM(I31:I32)</f>
        <v>0</v>
      </c>
      <c r="J30" s="509">
        <f>SUM(J31:J32)</f>
        <v>55000000</v>
      </c>
      <c r="K30" s="510"/>
      <c r="L30" s="509">
        <f>SUM(L31:L32)</f>
        <v>0</v>
      </c>
      <c r="M30" s="511">
        <f>SUM(M31:M32)</f>
        <v>55000000</v>
      </c>
      <c r="N30" s="508">
        <f t="shared" ref="N30:Y30" si="13">SUM(N31:N32)</f>
        <v>20000000</v>
      </c>
      <c r="O30" s="508">
        <f t="shared" si="13"/>
        <v>0</v>
      </c>
      <c r="P30" s="508">
        <f t="shared" si="13"/>
        <v>0</v>
      </c>
      <c r="Q30" s="508">
        <f t="shared" si="13"/>
        <v>0</v>
      </c>
      <c r="R30" s="508">
        <f t="shared" si="13"/>
        <v>0</v>
      </c>
      <c r="S30" s="508">
        <f t="shared" si="13"/>
        <v>0</v>
      </c>
      <c r="T30" s="508">
        <f t="shared" si="13"/>
        <v>0</v>
      </c>
      <c r="U30" s="508">
        <f t="shared" si="13"/>
        <v>35000000</v>
      </c>
      <c r="V30" s="508"/>
      <c r="W30" s="508">
        <f t="shared" si="13"/>
        <v>0</v>
      </c>
      <c r="X30" s="508"/>
      <c r="Y30" s="508">
        <f t="shared" si="13"/>
        <v>55000000</v>
      </c>
    </row>
    <row r="31" spans="1:25" ht="36" customHeight="1" thickBot="1" x14ac:dyDescent="0.25">
      <c r="A31" s="506">
        <v>510</v>
      </c>
      <c r="B31" s="526" t="s">
        <v>2762</v>
      </c>
      <c r="C31" s="514">
        <f>SUM('[2]PLANINDICATIVO PD'!X36)</f>
        <v>5000000</v>
      </c>
      <c r="D31" s="492"/>
      <c r="E31" s="515"/>
      <c r="F31" s="515">
        <f>+C31+E31</f>
        <v>5000000</v>
      </c>
      <c r="G31" s="515">
        <f>+F31</f>
        <v>5000000</v>
      </c>
      <c r="H31" s="516"/>
      <c r="I31" s="515"/>
      <c r="J31" s="515">
        <f>+F31+I31</f>
        <v>5000000</v>
      </c>
      <c r="K31" s="516"/>
      <c r="L31" s="515"/>
      <c r="M31" s="517">
        <f>+J31+L31</f>
        <v>5000000</v>
      </c>
      <c r="N31" s="518">
        <f>+'PLANINDICATIVO PD'!AA36</f>
        <v>0</v>
      </c>
      <c r="O31" s="518">
        <f>+'PLANINDICATIVO PD'!AB36</f>
        <v>0</v>
      </c>
      <c r="P31" s="518">
        <f>+'PLANINDICATIVO PD'!AC36</f>
        <v>0</v>
      </c>
      <c r="Q31" s="518">
        <f>+'PLANINDICATIVO PD'!AD36</f>
        <v>0</v>
      </c>
      <c r="R31" s="518">
        <f>+'PLANINDICATIVO PD'!AE36</f>
        <v>0</v>
      </c>
      <c r="S31" s="518">
        <f>+'PLANINDICATIVO PD'!AF36</f>
        <v>0</v>
      </c>
      <c r="T31" s="518">
        <f>+'PLANINDICATIVO PD'!AG36</f>
        <v>0</v>
      </c>
      <c r="U31" s="518">
        <f>+'PLANINDICATIVO PD'!AH36</f>
        <v>5000000</v>
      </c>
      <c r="V31" s="518">
        <f>+'PLANINDICATIVO PD'!AI36</f>
        <v>0</v>
      </c>
      <c r="W31" s="518">
        <f>+'PLANINDICATIVO PD'!AJ36</f>
        <v>0</v>
      </c>
      <c r="X31" s="518">
        <f>+'PLANINDICATIVO PD'!AK36</f>
        <v>0</v>
      </c>
      <c r="Y31" s="519">
        <f t="shared" si="6"/>
        <v>5000000</v>
      </c>
    </row>
    <row r="32" spans="1:25" ht="50.25" customHeight="1" thickBot="1" x14ac:dyDescent="0.25">
      <c r="A32" s="506">
        <v>510</v>
      </c>
      <c r="B32" s="525" t="s">
        <v>2763</v>
      </c>
      <c r="C32" s="514">
        <f>SUM('[2]PLANINDICATIVO PD'!X37)</f>
        <v>50000000</v>
      </c>
      <c r="D32" s="492"/>
      <c r="E32" s="515"/>
      <c r="F32" s="515">
        <f>+C32+E32</f>
        <v>50000000</v>
      </c>
      <c r="G32" s="515">
        <f>+F32</f>
        <v>50000000</v>
      </c>
      <c r="H32" s="516"/>
      <c r="I32" s="515"/>
      <c r="J32" s="515">
        <f>+F32+I32</f>
        <v>50000000</v>
      </c>
      <c r="K32" s="516"/>
      <c r="L32" s="515"/>
      <c r="M32" s="517">
        <f>+J32+L32</f>
        <v>50000000</v>
      </c>
      <c r="N32" s="518">
        <f>+'PLANINDICATIVO PD'!AA37</f>
        <v>20000000</v>
      </c>
      <c r="O32" s="518">
        <f>+'PLANINDICATIVO PD'!AB37</f>
        <v>0</v>
      </c>
      <c r="P32" s="518">
        <f>+'PLANINDICATIVO PD'!AC37</f>
        <v>0</v>
      </c>
      <c r="Q32" s="518">
        <f>+'PLANINDICATIVO PD'!AD37</f>
        <v>0</v>
      </c>
      <c r="R32" s="518">
        <f>+'PLANINDICATIVO PD'!AE37</f>
        <v>0</v>
      </c>
      <c r="S32" s="518">
        <f>+'PLANINDICATIVO PD'!AF37</f>
        <v>0</v>
      </c>
      <c r="T32" s="518">
        <f>+'PLANINDICATIVO PD'!AG37</f>
        <v>0</v>
      </c>
      <c r="U32" s="518">
        <f>+'PLANINDICATIVO PD'!AH37</f>
        <v>30000000</v>
      </c>
      <c r="V32" s="518">
        <f>+'PLANINDICATIVO PD'!AI37</f>
        <v>0</v>
      </c>
      <c r="W32" s="518">
        <f>+'PLANINDICATIVO PD'!AJ37</f>
        <v>0</v>
      </c>
      <c r="X32" s="518">
        <f>+'PLANINDICATIVO PD'!AK37</f>
        <v>0</v>
      </c>
      <c r="Y32" s="519">
        <f t="shared" si="6"/>
        <v>50000000</v>
      </c>
    </row>
    <row r="33" spans="1:25" ht="39" customHeight="1" thickBot="1" x14ac:dyDescent="0.25">
      <c r="A33" s="506"/>
      <c r="B33" s="500" t="s">
        <v>2764</v>
      </c>
      <c r="C33" s="501">
        <f>+C34+C37</f>
        <v>2357404300</v>
      </c>
      <c r="D33" s="492"/>
      <c r="E33" s="521">
        <f>+E34+E37</f>
        <v>0</v>
      </c>
      <c r="F33" s="521">
        <f>+F34+F37</f>
        <v>2357404300</v>
      </c>
      <c r="G33" s="521">
        <f>+G34+G37</f>
        <v>2357404300</v>
      </c>
      <c r="H33" s="522"/>
      <c r="I33" s="521">
        <f>+I34+I37</f>
        <v>0</v>
      </c>
      <c r="J33" s="521">
        <f>+J34+J37</f>
        <v>2357404300</v>
      </c>
      <c r="K33" s="522"/>
      <c r="L33" s="521">
        <f>+L34+L37</f>
        <v>0</v>
      </c>
      <c r="M33" s="523">
        <f>+M34+M37</f>
        <v>2357404300</v>
      </c>
      <c r="N33" s="501">
        <f t="shared" ref="N33:Y33" si="14">+N34+N37</f>
        <v>40000000</v>
      </c>
      <c r="O33" s="501">
        <f t="shared" si="14"/>
        <v>800133160</v>
      </c>
      <c r="P33" s="501">
        <f t="shared" si="14"/>
        <v>77000000</v>
      </c>
      <c r="Q33" s="501">
        <f t="shared" si="14"/>
        <v>73270400</v>
      </c>
      <c r="R33" s="501">
        <f t="shared" si="14"/>
        <v>20000000</v>
      </c>
      <c r="S33" s="501">
        <f t="shared" si="14"/>
        <v>47000740</v>
      </c>
      <c r="T33" s="501">
        <f t="shared" si="14"/>
        <v>1300000000</v>
      </c>
      <c r="U33" s="501">
        <f t="shared" si="14"/>
        <v>0</v>
      </c>
      <c r="V33" s="501"/>
      <c r="W33" s="501">
        <f t="shared" si="14"/>
        <v>0</v>
      </c>
      <c r="X33" s="501"/>
      <c r="Y33" s="501">
        <f t="shared" si="14"/>
        <v>2357404300</v>
      </c>
    </row>
    <row r="34" spans="1:25" ht="39" customHeight="1" thickBot="1" x14ac:dyDescent="0.25">
      <c r="A34" s="506"/>
      <c r="B34" s="507" t="s">
        <v>2765</v>
      </c>
      <c r="C34" s="508">
        <f>SUM(C35:C36)</f>
        <v>40000000</v>
      </c>
      <c r="D34" s="492"/>
      <c r="E34" s="509">
        <f>SUM(E35:E36)</f>
        <v>0</v>
      </c>
      <c r="F34" s="509">
        <f>SUM(F35:F36)</f>
        <v>40000000</v>
      </c>
      <c r="G34" s="509">
        <f>SUM(G35:G36)</f>
        <v>40000000</v>
      </c>
      <c r="H34" s="510"/>
      <c r="I34" s="509">
        <f>SUM(I35:I36)</f>
        <v>0</v>
      </c>
      <c r="J34" s="509">
        <f>SUM(J35:J36)</f>
        <v>40000000</v>
      </c>
      <c r="K34" s="510"/>
      <c r="L34" s="509">
        <f>SUM(L35:L36)</f>
        <v>0</v>
      </c>
      <c r="M34" s="511">
        <f>SUM(M35:M36)</f>
        <v>40000000</v>
      </c>
      <c r="N34" s="508">
        <f t="shared" ref="N34:Y34" si="15">SUM(N35:N36)</f>
        <v>40000000</v>
      </c>
      <c r="O34" s="508">
        <f t="shared" si="15"/>
        <v>0</v>
      </c>
      <c r="P34" s="508">
        <f t="shared" si="15"/>
        <v>0</v>
      </c>
      <c r="Q34" s="508">
        <f t="shared" si="15"/>
        <v>0</v>
      </c>
      <c r="R34" s="508">
        <f t="shared" si="15"/>
        <v>0</v>
      </c>
      <c r="S34" s="508">
        <f t="shared" si="15"/>
        <v>0</v>
      </c>
      <c r="T34" s="508">
        <f t="shared" si="15"/>
        <v>0</v>
      </c>
      <c r="U34" s="508">
        <f t="shared" si="15"/>
        <v>0</v>
      </c>
      <c r="V34" s="508"/>
      <c r="W34" s="508">
        <f t="shared" si="15"/>
        <v>0</v>
      </c>
      <c r="X34" s="508"/>
      <c r="Y34" s="508">
        <f t="shared" si="15"/>
        <v>40000000</v>
      </c>
    </row>
    <row r="35" spans="1:25" ht="29.25" customHeight="1" thickBot="1" x14ac:dyDescent="0.25">
      <c r="A35" s="506">
        <v>510</v>
      </c>
      <c r="B35" s="525" t="s">
        <v>2766</v>
      </c>
      <c r="C35" s="514">
        <f>SUM('[2]PLANINDICATIVO PD'!X40)</f>
        <v>40000000</v>
      </c>
      <c r="D35" s="492"/>
      <c r="E35" s="515"/>
      <c r="F35" s="515">
        <f>+C35+E35</f>
        <v>40000000</v>
      </c>
      <c r="G35" s="515">
        <f>+F35</f>
        <v>40000000</v>
      </c>
      <c r="H35" s="516"/>
      <c r="I35" s="515"/>
      <c r="J35" s="515">
        <f>+F35+I35</f>
        <v>40000000</v>
      </c>
      <c r="K35" s="516"/>
      <c r="L35" s="515"/>
      <c r="M35" s="517">
        <f>+J35+L35</f>
        <v>40000000</v>
      </c>
      <c r="N35" s="518">
        <f>SUM('PLANINDICATIVO PD'!AA40)</f>
        <v>40000000</v>
      </c>
      <c r="O35" s="518">
        <f>SUM('PLANINDICATIVO PD'!AB40)</f>
        <v>0</v>
      </c>
      <c r="P35" s="518">
        <f>SUM('PLANINDICATIVO PD'!AC40)</f>
        <v>0</v>
      </c>
      <c r="Q35" s="518">
        <f>SUM('PLANINDICATIVO PD'!AD40)</f>
        <v>0</v>
      </c>
      <c r="R35" s="518">
        <f>SUM('PLANINDICATIVO PD'!AE40)</f>
        <v>0</v>
      </c>
      <c r="S35" s="518">
        <f>SUM('PLANINDICATIVO PD'!AF40)</f>
        <v>0</v>
      </c>
      <c r="T35" s="518">
        <f>SUM('PLANINDICATIVO PD'!AG40)</f>
        <v>0</v>
      </c>
      <c r="U35" s="518">
        <f>SUM('PLANINDICATIVO PD'!AH40)</f>
        <v>0</v>
      </c>
      <c r="V35" s="518">
        <f>SUM('PLANINDICATIVO PD'!AI40)</f>
        <v>0</v>
      </c>
      <c r="W35" s="518">
        <f>SUM('PLANINDICATIVO PD'!AJ40)</f>
        <v>0</v>
      </c>
      <c r="X35" s="518">
        <f>SUM('PLANINDICATIVO PD'!AK40)</f>
        <v>0</v>
      </c>
      <c r="Y35" s="519">
        <f t="shared" ref="Y35:Y41" si="16">SUM(N35:W35)</f>
        <v>40000000</v>
      </c>
    </row>
    <row r="36" spans="1:25" ht="31.5" customHeight="1" thickBot="1" x14ac:dyDescent="0.25">
      <c r="A36" s="506">
        <v>510</v>
      </c>
      <c r="B36" s="524" t="s">
        <v>2767</v>
      </c>
      <c r="C36" s="514">
        <f>SUM('[2]PLANINDICATIVO PD'!X41)</f>
        <v>0</v>
      </c>
      <c r="D36" s="492"/>
      <c r="E36" s="515"/>
      <c r="F36" s="515">
        <f>+C36+E36</f>
        <v>0</v>
      </c>
      <c r="G36" s="515">
        <f>+F36</f>
        <v>0</v>
      </c>
      <c r="H36" s="516"/>
      <c r="I36" s="515"/>
      <c r="J36" s="515">
        <f>+F36+I36</f>
        <v>0</v>
      </c>
      <c r="K36" s="516"/>
      <c r="L36" s="515"/>
      <c r="M36" s="517">
        <f>+J36+L36</f>
        <v>0</v>
      </c>
      <c r="N36" s="518">
        <f>+'PLANINDICATIVO PD'!AA41</f>
        <v>0</v>
      </c>
      <c r="O36" s="518">
        <f>+'PLANINDICATIVO PD'!AB41</f>
        <v>0</v>
      </c>
      <c r="P36" s="518">
        <f>+'PLANINDICATIVO PD'!AC41</f>
        <v>0</v>
      </c>
      <c r="Q36" s="518">
        <f>+'PLANINDICATIVO PD'!AD41</f>
        <v>0</v>
      </c>
      <c r="R36" s="518">
        <f>+'PLANINDICATIVO PD'!AE41</f>
        <v>0</v>
      </c>
      <c r="S36" s="518">
        <f>+'PLANINDICATIVO PD'!AF41</f>
        <v>0</v>
      </c>
      <c r="T36" s="518">
        <f>+'PLANINDICATIVO PD'!AG41</f>
        <v>0</v>
      </c>
      <c r="U36" s="518">
        <f>+'PLANINDICATIVO PD'!AH41</f>
        <v>0</v>
      </c>
      <c r="V36" s="518">
        <f>+'PLANINDICATIVO PD'!AI41</f>
        <v>0</v>
      </c>
      <c r="W36" s="518">
        <f>+'PLANINDICATIVO PD'!AJ41</f>
        <v>0</v>
      </c>
      <c r="X36" s="518">
        <f>+'PLANINDICATIVO PD'!AK41</f>
        <v>0</v>
      </c>
      <c r="Y36" s="519">
        <f t="shared" si="16"/>
        <v>0</v>
      </c>
    </row>
    <row r="37" spans="1:25" ht="39" customHeight="1" thickBot="1" x14ac:dyDescent="0.25">
      <c r="A37" s="506"/>
      <c r="B37" s="507" t="s">
        <v>2768</v>
      </c>
      <c r="C37" s="508">
        <f>SUM(C38:C41)</f>
        <v>2317404300</v>
      </c>
      <c r="D37" s="492"/>
      <c r="E37" s="509">
        <f>SUM(E38:E41)</f>
        <v>0</v>
      </c>
      <c r="F37" s="509">
        <f>SUM(F38:F41)</f>
        <v>2317404300</v>
      </c>
      <c r="G37" s="509">
        <f>SUM(G38:G41)</f>
        <v>2317404300</v>
      </c>
      <c r="H37" s="510"/>
      <c r="I37" s="509">
        <f>SUM(I38:I41)</f>
        <v>0</v>
      </c>
      <c r="J37" s="509">
        <f>SUM(J38:J41)</f>
        <v>2317404300</v>
      </c>
      <c r="K37" s="510"/>
      <c r="L37" s="509">
        <f>SUM(L38:L41)</f>
        <v>0</v>
      </c>
      <c r="M37" s="511">
        <f>SUM(M38:M41)</f>
        <v>2317404300</v>
      </c>
      <c r="N37" s="508">
        <f t="shared" ref="N37:Y37" si="17">SUM(N38:N41)</f>
        <v>0</v>
      </c>
      <c r="O37" s="508">
        <f t="shared" si="17"/>
        <v>800133160</v>
      </c>
      <c r="P37" s="508">
        <f t="shared" si="17"/>
        <v>77000000</v>
      </c>
      <c r="Q37" s="508">
        <f t="shared" si="17"/>
        <v>73270400</v>
      </c>
      <c r="R37" s="508">
        <f t="shared" si="17"/>
        <v>20000000</v>
      </c>
      <c r="S37" s="508">
        <f t="shared" si="17"/>
        <v>47000740</v>
      </c>
      <c r="T37" s="508">
        <f t="shared" si="17"/>
        <v>1300000000</v>
      </c>
      <c r="U37" s="508">
        <f t="shared" si="17"/>
        <v>0</v>
      </c>
      <c r="V37" s="508"/>
      <c r="W37" s="508">
        <f t="shared" si="17"/>
        <v>0</v>
      </c>
      <c r="X37" s="508"/>
      <c r="Y37" s="508">
        <f t="shared" si="17"/>
        <v>2317404300</v>
      </c>
    </row>
    <row r="38" spans="1:25" ht="49.5" customHeight="1" thickBot="1" x14ac:dyDescent="0.25">
      <c r="A38" s="506">
        <v>111</v>
      </c>
      <c r="B38" s="526" t="s">
        <v>2769</v>
      </c>
      <c r="C38" s="514">
        <f>SUM('[2]PLANINDICATIVO PD'!X42)</f>
        <v>470133160</v>
      </c>
      <c r="D38" s="492"/>
      <c r="E38" s="515"/>
      <c r="F38" s="515">
        <f>+C38+E38</f>
        <v>470133160</v>
      </c>
      <c r="G38" s="515">
        <f>+F38</f>
        <v>470133160</v>
      </c>
      <c r="H38" s="516"/>
      <c r="I38" s="515"/>
      <c r="J38" s="515">
        <f>+F38+I38</f>
        <v>470133160</v>
      </c>
      <c r="K38" s="516"/>
      <c r="L38" s="515"/>
      <c r="M38" s="517">
        <f>+J38+L38</f>
        <v>470133160</v>
      </c>
      <c r="N38" s="518">
        <f>+'PLANINDICATIVO PD'!AA42</f>
        <v>0</v>
      </c>
      <c r="O38" s="518">
        <f>+'PLANINDICATIVO PD'!AB42</f>
        <v>400133160</v>
      </c>
      <c r="P38" s="518">
        <f>+'PLANINDICATIVO PD'!AC42</f>
        <v>0</v>
      </c>
      <c r="Q38" s="518">
        <f>+'PLANINDICATIVO PD'!AD42</f>
        <v>36500000</v>
      </c>
      <c r="R38" s="518">
        <f>+'PLANINDICATIVO PD'!AE42</f>
        <v>10000000</v>
      </c>
      <c r="S38" s="518">
        <f>+'PLANINDICATIVO PD'!AF42</f>
        <v>23500000</v>
      </c>
      <c r="T38" s="518">
        <f>+'PLANINDICATIVO PD'!AG42</f>
        <v>0</v>
      </c>
      <c r="U38" s="518">
        <f>+'PLANINDICATIVO PD'!AH42</f>
        <v>0</v>
      </c>
      <c r="V38" s="518">
        <f>+'PLANINDICATIVO PD'!AI42</f>
        <v>0</v>
      </c>
      <c r="W38" s="518">
        <f>+'PLANINDICATIVO PD'!AJ42</f>
        <v>0</v>
      </c>
      <c r="X38" s="518">
        <f>+'PLANINDICATIVO PD'!AK42</f>
        <v>0</v>
      </c>
      <c r="Y38" s="519">
        <f t="shared" si="16"/>
        <v>470133160</v>
      </c>
    </row>
    <row r="39" spans="1:25" ht="39" customHeight="1" thickBot="1" x14ac:dyDescent="0.25">
      <c r="A39" s="506">
        <v>211</v>
      </c>
      <c r="B39" s="526" t="s">
        <v>2770</v>
      </c>
      <c r="C39" s="514">
        <f>SUM('[2]PLANINDICATIVO PD'!X43)</f>
        <v>270271140</v>
      </c>
      <c r="D39" s="492"/>
      <c r="E39" s="515"/>
      <c r="F39" s="515">
        <f>+C39+E39</f>
        <v>270271140</v>
      </c>
      <c r="G39" s="515">
        <f>+F39</f>
        <v>270271140</v>
      </c>
      <c r="H39" s="516"/>
      <c r="I39" s="515"/>
      <c r="J39" s="515">
        <f>+F39+I39</f>
        <v>270271140</v>
      </c>
      <c r="K39" s="516"/>
      <c r="L39" s="515"/>
      <c r="M39" s="517">
        <f>+J39+L39</f>
        <v>270271140</v>
      </c>
      <c r="N39" s="518">
        <f>+'PLANINDICATIVO PD'!AA43</f>
        <v>0</v>
      </c>
      <c r="O39" s="518">
        <f>+'PLANINDICATIVO PD'!AB43</f>
        <v>200000000</v>
      </c>
      <c r="P39" s="518">
        <f>+'PLANINDICATIVO PD'!AC43</f>
        <v>0</v>
      </c>
      <c r="Q39" s="518">
        <f>+'PLANINDICATIVO PD'!AD43</f>
        <v>36770400</v>
      </c>
      <c r="R39" s="518">
        <f>+'PLANINDICATIVO PD'!AE43</f>
        <v>10000000</v>
      </c>
      <c r="S39" s="518">
        <f>+'PLANINDICATIVO PD'!AF43</f>
        <v>23500740</v>
      </c>
      <c r="T39" s="518">
        <f>+'PLANINDICATIVO PD'!AG43</f>
        <v>0</v>
      </c>
      <c r="U39" s="518">
        <f>+'PLANINDICATIVO PD'!AH43</f>
        <v>0</v>
      </c>
      <c r="V39" s="518">
        <f>+'PLANINDICATIVO PD'!AI43</f>
        <v>0</v>
      </c>
      <c r="W39" s="518">
        <f>+'PLANINDICATIVO PD'!AJ43</f>
        <v>0</v>
      </c>
      <c r="X39" s="518">
        <f>+'PLANINDICATIVO PD'!AK43</f>
        <v>0</v>
      </c>
      <c r="Y39" s="519">
        <f t="shared" si="16"/>
        <v>270271140</v>
      </c>
    </row>
    <row r="40" spans="1:25" ht="39" customHeight="1" thickBot="1" x14ac:dyDescent="0.25">
      <c r="A40" s="506">
        <v>211</v>
      </c>
      <c r="B40" s="526" t="s">
        <v>2771</v>
      </c>
      <c r="C40" s="514">
        <f>SUM('[2]PLANINDICATIVO PD'!X44)</f>
        <v>1577000000</v>
      </c>
      <c r="D40" s="492"/>
      <c r="E40" s="515"/>
      <c r="F40" s="515">
        <f>+C40+E40</f>
        <v>1577000000</v>
      </c>
      <c r="G40" s="515">
        <f>+F40</f>
        <v>1577000000</v>
      </c>
      <c r="H40" s="516"/>
      <c r="I40" s="515"/>
      <c r="J40" s="515">
        <f>+F40+I40</f>
        <v>1577000000</v>
      </c>
      <c r="K40" s="516"/>
      <c r="L40" s="515"/>
      <c r="M40" s="517">
        <f>+J40+L40</f>
        <v>1577000000</v>
      </c>
      <c r="N40" s="518">
        <f>+'PLANINDICATIVO PD'!AA44</f>
        <v>0</v>
      </c>
      <c r="O40" s="518">
        <f>+'PLANINDICATIVO PD'!AB44</f>
        <v>200000000</v>
      </c>
      <c r="P40" s="518">
        <f>+'PLANINDICATIVO PD'!AC44</f>
        <v>77000000</v>
      </c>
      <c r="Q40" s="518">
        <f>+'PLANINDICATIVO PD'!AD44</f>
        <v>0</v>
      </c>
      <c r="R40" s="518">
        <f>+'PLANINDICATIVO PD'!AE44</f>
        <v>0</v>
      </c>
      <c r="S40" s="518">
        <f>+'PLANINDICATIVO PD'!AF44</f>
        <v>0</v>
      </c>
      <c r="T40" s="518">
        <f>+'PLANINDICATIVO PD'!AG44</f>
        <v>1300000000</v>
      </c>
      <c r="U40" s="518">
        <f>+'PLANINDICATIVO PD'!AH44</f>
        <v>0</v>
      </c>
      <c r="V40" s="518">
        <f>+'PLANINDICATIVO PD'!AI44</f>
        <v>0</v>
      </c>
      <c r="W40" s="518">
        <f>+'PLANINDICATIVO PD'!AJ44</f>
        <v>0</v>
      </c>
      <c r="X40" s="518">
        <f>+'PLANINDICATIVO PD'!AK44</f>
        <v>0</v>
      </c>
      <c r="Y40" s="519">
        <f t="shared" si="16"/>
        <v>1577000000</v>
      </c>
    </row>
    <row r="41" spans="1:25" ht="24" customHeight="1" thickBot="1" x14ac:dyDescent="0.25">
      <c r="A41" s="506">
        <v>111</v>
      </c>
      <c r="B41" s="525" t="s">
        <v>2772</v>
      </c>
      <c r="C41" s="514">
        <f>SUM('[2]PLANINDICATIVO PD'!X45)</f>
        <v>0</v>
      </c>
      <c r="D41" s="492"/>
      <c r="E41" s="515"/>
      <c r="F41" s="515">
        <f>+C41+E41</f>
        <v>0</v>
      </c>
      <c r="G41" s="515">
        <f>+F41</f>
        <v>0</v>
      </c>
      <c r="H41" s="516"/>
      <c r="I41" s="515"/>
      <c r="J41" s="515">
        <f>+F41+I41</f>
        <v>0</v>
      </c>
      <c r="K41" s="516"/>
      <c r="L41" s="515"/>
      <c r="M41" s="517">
        <f>+J41+L41</f>
        <v>0</v>
      </c>
      <c r="N41" s="518">
        <f>+'PLANINDICATIVO PD'!AA45</f>
        <v>0</v>
      </c>
      <c r="O41" s="518">
        <f>+'PLANINDICATIVO PD'!AB45</f>
        <v>0</v>
      </c>
      <c r="P41" s="518">
        <f>+'PLANINDICATIVO PD'!AC45</f>
        <v>0</v>
      </c>
      <c r="Q41" s="518">
        <f>+'PLANINDICATIVO PD'!AD45</f>
        <v>0</v>
      </c>
      <c r="R41" s="518">
        <f>+'PLANINDICATIVO PD'!AE45</f>
        <v>0</v>
      </c>
      <c r="S41" s="518">
        <f>+'PLANINDICATIVO PD'!AF45</f>
        <v>0</v>
      </c>
      <c r="T41" s="518">
        <f>+'PLANINDICATIVO PD'!AG45</f>
        <v>0</v>
      </c>
      <c r="U41" s="518">
        <f>+'PLANINDICATIVO PD'!AH45</f>
        <v>0</v>
      </c>
      <c r="V41" s="518">
        <f>+'PLANINDICATIVO PD'!AI45</f>
        <v>0</v>
      </c>
      <c r="W41" s="518">
        <f>+'PLANINDICATIVO PD'!AJ45</f>
        <v>0</v>
      </c>
      <c r="X41" s="518">
        <f>+'PLANINDICATIVO PD'!AK45</f>
        <v>0</v>
      </c>
      <c r="Y41" s="519">
        <f t="shared" si="16"/>
        <v>0</v>
      </c>
    </row>
    <row r="42" spans="1:25" ht="39" customHeight="1" thickBot="1" x14ac:dyDescent="0.25">
      <c r="A42" s="506"/>
      <c r="B42" s="500" t="s">
        <v>2773</v>
      </c>
      <c r="C42" s="501">
        <f t="shared" ref="C42:Y42" si="18">+C43</f>
        <v>35000000</v>
      </c>
      <c r="D42" s="492"/>
      <c r="E42" s="521">
        <f t="shared" si="18"/>
        <v>0</v>
      </c>
      <c r="F42" s="521">
        <f t="shared" si="18"/>
        <v>35000000</v>
      </c>
      <c r="G42" s="521">
        <f t="shared" si="18"/>
        <v>35000000</v>
      </c>
      <c r="H42" s="522"/>
      <c r="I42" s="521">
        <f t="shared" si="18"/>
        <v>0</v>
      </c>
      <c r="J42" s="521">
        <f t="shared" si="18"/>
        <v>35000000</v>
      </c>
      <c r="K42" s="522"/>
      <c r="L42" s="521">
        <f t="shared" si="18"/>
        <v>0</v>
      </c>
      <c r="M42" s="523">
        <f t="shared" si="18"/>
        <v>35000000</v>
      </c>
      <c r="N42" s="501">
        <f t="shared" si="18"/>
        <v>35000000</v>
      </c>
      <c r="O42" s="501">
        <f t="shared" si="18"/>
        <v>0</v>
      </c>
      <c r="P42" s="501">
        <f t="shared" si="18"/>
        <v>0</v>
      </c>
      <c r="Q42" s="501">
        <f t="shared" si="18"/>
        <v>0</v>
      </c>
      <c r="R42" s="501">
        <f t="shared" si="18"/>
        <v>0</v>
      </c>
      <c r="S42" s="501">
        <f t="shared" si="18"/>
        <v>0</v>
      </c>
      <c r="T42" s="501">
        <f t="shared" si="18"/>
        <v>0</v>
      </c>
      <c r="U42" s="501">
        <f t="shared" si="18"/>
        <v>0</v>
      </c>
      <c r="V42" s="501"/>
      <c r="W42" s="501">
        <f t="shared" si="18"/>
        <v>0</v>
      </c>
      <c r="X42" s="501"/>
      <c r="Y42" s="501">
        <f t="shared" si="18"/>
        <v>35000000</v>
      </c>
    </row>
    <row r="43" spans="1:25" ht="39" customHeight="1" thickBot="1" x14ac:dyDescent="0.25">
      <c r="A43" s="506"/>
      <c r="B43" s="507" t="s">
        <v>2774</v>
      </c>
      <c r="C43" s="508">
        <f>SUM(C44:C46)</f>
        <v>35000000</v>
      </c>
      <c r="D43" s="492"/>
      <c r="E43" s="509">
        <f>SUM(E44:E46)</f>
        <v>0</v>
      </c>
      <c r="F43" s="509">
        <f>SUM(F44:F46)</f>
        <v>35000000</v>
      </c>
      <c r="G43" s="509">
        <f>SUM(G44:G46)</f>
        <v>35000000</v>
      </c>
      <c r="H43" s="510"/>
      <c r="I43" s="509">
        <f>SUM(I44:I46)</f>
        <v>0</v>
      </c>
      <c r="J43" s="509">
        <f>SUM(J44:J46)</f>
        <v>35000000</v>
      </c>
      <c r="K43" s="510"/>
      <c r="L43" s="509">
        <f>SUM(L44:L46)</f>
        <v>0</v>
      </c>
      <c r="M43" s="511">
        <f>SUM(M44:M46)</f>
        <v>35000000</v>
      </c>
      <c r="N43" s="508">
        <f t="shared" ref="N43:Y43" si="19">SUM(N44:N46)</f>
        <v>35000000</v>
      </c>
      <c r="O43" s="508">
        <f t="shared" si="19"/>
        <v>0</v>
      </c>
      <c r="P43" s="508">
        <f t="shared" si="19"/>
        <v>0</v>
      </c>
      <c r="Q43" s="508">
        <f t="shared" si="19"/>
        <v>0</v>
      </c>
      <c r="R43" s="508">
        <f t="shared" si="19"/>
        <v>0</v>
      </c>
      <c r="S43" s="508">
        <f t="shared" si="19"/>
        <v>0</v>
      </c>
      <c r="T43" s="508">
        <f t="shared" si="19"/>
        <v>0</v>
      </c>
      <c r="U43" s="508">
        <f t="shared" si="19"/>
        <v>0</v>
      </c>
      <c r="V43" s="508"/>
      <c r="W43" s="508">
        <f t="shared" si="19"/>
        <v>0</v>
      </c>
      <c r="X43" s="508"/>
      <c r="Y43" s="508">
        <f t="shared" si="19"/>
        <v>35000000</v>
      </c>
    </row>
    <row r="44" spans="1:25" ht="30" customHeight="1" thickBot="1" x14ac:dyDescent="0.25">
      <c r="A44" s="506">
        <v>510</v>
      </c>
      <c r="B44" s="526" t="s">
        <v>2775</v>
      </c>
      <c r="C44" s="514">
        <f>SUM('[2]PLANINDICATIVO PD'!X48)</f>
        <v>35000000</v>
      </c>
      <c r="D44" s="492"/>
      <c r="E44" s="515"/>
      <c r="F44" s="515">
        <f>+C44+E44</f>
        <v>35000000</v>
      </c>
      <c r="G44" s="515">
        <f>+F44</f>
        <v>35000000</v>
      </c>
      <c r="H44" s="516"/>
      <c r="I44" s="515"/>
      <c r="J44" s="515">
        <f>+F44+I44</f>
        <v>35000000</v>
      </c>
      <c r="K44" s="516"/>
      <c r="L44" s="515"/>
      <c r="M44" s="517">
        <f>+J44+L44</f>
        <v>35000000</v>
      </c>
      <c r="N44" s="518">
        <f>+'PLANINDICATIVO PD'!AA48</f>
        <v>35000000</v>
      </c>
      <c r="O44" s="518">
        <f>+'PLANINDICATIVO PD'!AB48</f>
        <v>0</v>
      </c>
      <c r="P44" s="518">
        <f>+'PLANINDICATIVO PD'!AC48</f>
        <v>0</v>
      </c>
      <c r="Q44" s="518">
        <f>+'PLANINDICATIVO PD'!AD48</f>
        <v>0</v>
      </c>
      <c r="R44" s="518">
        <f>+'PLANINDICATIVO PD'!AE48</f>
        <v>0</v>
      </c>
      <c r="S44" s="518">
        <f>+'PLANINDICATIVO PD'!AF48</f>
        <v>0</v>
      </c>
      <c r="T44" s="518">
        <f>+'PLANINDICATIVO PD'!AG48</f>
        <v>0</v>
      </c>
      <c r="U44" s="518">
        <f>+'PLANINDICATIVO PD'!AH48</f>
        <v>0</v>
      </c>
      <c r="V44" s="518">
        <f>+'PLANINDICATIVO PD'!AI48</f>
        <v>0</v>
      </c>
      <c r="W44" s="518">
        <f>+'PLANINDICATIVO PD'!AJ48</f>
        <v>0</v>
      </c>
      <c r="X44" s="518">
        <f>+'PLANINDICATIVO PD'!AK48</f>
        <v>0</v>
      </c>
      <c r="Y44" s="519">
        <f>SUM(N44:W44)</f>
        <v>35000000</v>
      </c>
    </row>
    <row r="45" spans="1:25" ht="29.25" customHeight="1" thickBot="1" x14ac:dyDescent="0.25">
      <c r="A45" s="506">
        <v>510</v>
      </c>
      <c r="B45" s="526" t="s">
        <v>2776</v>
      </c>
      <c r="C45" s="514">
        <f>SUM('[2]PLANINDICATIVO PD'!X49)</f>
        <v>0</v>
      </c>
      <c r="D45" s="492"/>
      <c r="E45" s="515"/>
      <c r="F45" s="515">
        <f>+C45+E45</f>
        <v>0</v>
      </c>
      <c r="G45" s="515">
        <f>+F45</f>
        <v>0</v>
      </c>
      <c r="H45" s="516"/>
      <c r="I45" s="515"/>
      <c r="J45" s="515">
        <f>+F45+I45</f>
        <v>0</v>
      </c>
      <c r="K45" s="516"/>
      <c r="L45" s="515"/>
      <c r="M45" s="517">
        <f>+J45+L45</f>
        <v>0</v>
      </c>
      <c r="N45" s="518">
        <f>+'PLANINDICATIVO PD'!AA49</f>
        <v>0</v>
      </c>
      <c r="O45" s="518">
        <f>+'PLANINDICATIVO PD'!AB49</f>
        <v>0</v>
      </c>
      <c r="P45" s="518">
        <f>+'PLANINDICATIVO PD'!AC49</f>
        <v>0</v>
      </c>
      <c r="Q45" s="518">
        <f>+'PLANINDICATIVO PD'!AD49</f>
        <v>0</v>
      </c>
      <c r="R45" s="518">
        <f>+'PLANINDICATIVO PD'!AE49</f>
        <v>0</v>
      </c>
      <c r="S45" s="518">
        <f>+'PLANINDICATIVO PD'!AF49</f>
        <v>0</v>
      </c>
      <c r="T45" s="518">
        <f>+'PLANINDICATIVO PD'!AG49</f>
        <v>0</v>
      </c>
      <c r="U45" s="518">
        <f>+'PLANINDICATIVO PD'!AH49</f>
        <v>0</v>
      </c>
      <c r="V45" s="518">
        <f>+'PLANINDICATIVO PD'!AI49</f>
        <v>0</v>
      </c>
      <c r="W45" s="518">
        <f>+'PLANINDICATIVO PD'!AJ49</f>
        <v>0</v>
      </c>
      <c r="X45" s="518">
        <f>+'PLANINDICATIVO PD'!AK49</f>
        <v>0</v>
      </c>
      <c r="Y45" s="519">
        <f>SUM(N45:W45)</f>
        <v>0</v>
      </c>
    </row>
    <row r="46" spans="1:25" ht="34.5" customHeight="1" thickBot="1" x14ac:dyDescent="0.25">
      <c r="A46" s="506">
        <v>510</v>
      </c>
      <c r="B46" s="526" t="s">
        <v>2777</v>
      </c>
      <c r="C46" s="514">
        <f>SUM('[2]PLANINDICATIVO PD'!X50)</f>
        <v>0</v>
      </c>
      <c r="D46" s="492"/>
      <c r="E46" s="515"/>
      <c r="F46" s="515">
        <f>+C46+E46</f>
        <v>0</v>
      </c>
      <c r="G46" s="515">
        <f>+F46</f>
        <v>0</v>
      </c>
      <c r="H46" s="516"/>
      <c r="I46" s="515"/>
      <c r="J46" s="515">
        <f>+F46+I46</f>
        <v>0</v>
      </c>
      <c r="K46" s="516"/>
      <c r="L46" s="515"/>
      <c r="M46" s="517">
        <f>+J46+L46</f>
        <v>0</v>
      </c>
      <c r="N46" s="518">
        <f>+'PLANINDICATIVO PD'!AA50</f>
        <v>0</v>
      </c>
      <c r="O46" s="518">
        <f>+'PLANINDICATIVO PD'!AB50</f>
        <v>0</v>
      </c>
      <c r="P46" s="518">
        <f>+'PLANINDICATIVO PD'!AC50</f>
        <v>0</v>
      </c>
      <c r="Q46" s="518">
        <f>+'PLANINDICATIVO PD'!AD50</f>
        <v>0</v>
      </c>
      <c r="R46" s="518">
        <f>+'PLANINDICATIVO PD'!AE50</f>
        <v>0</v>
      </c>
      <c r="S46" s="518">
        <f>+'PLANINDICATIVO PD'!AF50</f>
        <v>0</v>
      </c>
      <c r="T46" s="518">
        <f>+'PLANINDICATIVO PD'!AG50</f>
        <v>0</v>
      </c>
      <c r="U46" s="518">
        <f>+'PLANINDICATIVO PD'!AH50</f>
        <v>0</v>
      </c>
      <c r="V46" s="518">
        <f>+'PLANINDICATIVO PD'!AI50</f>
        <v>0</v>
      </c>
      <c r="W46" s="518">
        <f>+'PLANINDICATIVO PD'!AJ50</f>
        <v>0</v>
      </c>
      <c r="X46" s="518">
        <f>+'PLANINDICATIVO PD'!AK50</f>
        <v>0</v>
      </c>
      <c r="Y46" s="519">
        <f>SUM(N46:W46)</f>
        <v>0</v>
      </c>
    </row>
    <row r="47" spans="1:25" ht="29.25" customHeight="1" thickBot="1" x14ac:dyDescent="0.25">
      <c r="A47" s="506"/>
      <c r="B47" s="528" t="s">
        <v>2778</v>
      </c>
      <c r="C47" s="501">
        <f>+C48+C51</f>
        <v>1505000000</v>
      </c>
      <c r="D47" s="492"/>
      <c r="E47" s="521">
        <f>+E48+E51</f>
        <v>0</v>
      </c>
      <c r="F47" s="521">
        <f>+F48+F51</f>
        <v>1505000000</v>
      </c>
      <c r="G47" s="521">
        <f>+G48+G51</f>
        <v>1505000000</v>
      </c>
      <c r="H47" s="522"/>
      <c r="I47" s="521">
        <f>+I48+I51</f>
        <v>0</v>
      </c>
      <c r="J47" s="521">
        <f>+J48+J51</f>
        <v>1505000000</v>
      </c>
      <c r="K47" s="522"/>
      <c r="L47" s="521">
        <f>+L48+L51</f>
        <v>23000000</v>
      </c>
      <c r="M47" s="523">
        <f>+M48+M51</f>
        <v>1528000000</v>
      </c>
      <c r="N47" s="501">
        <f t="shared" ref="N47:Y47" si="20">+N48+N51</f>
        <v>150000000</v>
      </c>
      <c r="O47" s="501">
        <f t="shared" si="20"/>
        <v>0</v>
      </c>
      <c r="P47" s="501">
        <f t="shared" si="20"/>
        <v>0</v>
      </c>
      <c r="Q47" s="501">
        <f t="shared" si="20"/>
        <v>0</v>
      </c>
      <c r="R47" s="501">
        <f t="shared" si="20"/>
        <v>0</v>
      </c>
      <c r="S47" s="501">
        <f t="shared" si="20"/>
        <v>0</v>
      </c>
      <c r="T47" s="501">
        <f t="shared" si="20"/>
        <v>0</v>
      </c>
      <c r="U47" s="501">
        <f t="shared" si="20"/>
        <v>0</v>
      </c>
      <c r="V47" s="501"/>
      <c r="W47" s="501">
        <f t="shared" si="20"/>
        <v>1355000000</v>
      </c>
      <c r="X47" s="501"/>
      <c r="Y47" s="501">
        <f t="shared" si="20"/>
        <v>1505000000</v>
      </c>
    </row>
    <row r="48" spans="1:25" ht="29.25" customHeight="1" thickBot="1" x14ac:dyDescent="0.25">
      <c r="A48" s="506"/>
      <c r="B48" s="507" t="s">
        <v>2779</v>
      </c>
      <c r="C48" s="508">
        <f>SUM(C49:C50)</f>
        <v>150000000</v>
      </c>
      <c r="D48" s="492"/>
      <c r="E48" s="509">
        <f>SUM(E49:E50)</f>
        <v>0</v>
      </c>
      <c r="F48" s="509">
        <f>SUM(F49:F50)</f>
        <v>150000000</v>
      </c>
      <c r="G48" s="509">
        <f>SUM(G49:G50)</f>
        <v>150000000</v>
      </c>
      <c r="H48" s="510"/>
      <c r="I48" s="509">
        <f>SUM(I49:I50)</f>
        <v>0</v>
      </c>
      <c r="J48" s="509">
        <f>SUM(J49:J50)</f>
        <v>150000000</v>
      </c>
      <c r="K48" s="510"/>
      <c r="L48" s="509">
        <f>SUM(L49:L50)</f>
        <v>23000000</v>
      </c>
      <c r="M48" s="511">
        <f>SUM(M49:M50)</f>
        <v>173000000</v>
      </c>
      <c r="N48" s="508">
        <f t="shared" ref="N48:Y48" si="21">SUM(N49:N50)</f>
        <v>150000000</v>
      </c>
      <c r="O48" s="508">
        <f t="shared" si="21"/>
        <v>0</v>
      </c>
      <c r="P48" s="508">
        <f t="shared" si="21"/>
        <v>0</v>
      </c>
      <c r="Q48" s="508">
        <f t="shared" si="21"/>
        <v>0</v>
      </c>
      <c r="R48" s="508">
        <f t="shared" si="21"/>
        <v>0</v>
      </c>
      <c r="S48" s="508">
        <f t="shared" si="21"/>
        <v>0</v>
      </c>
      <c r="T48" s="508">
        <f t="shared" si="21"/>
        <v>0</v>
      </c>
      <c r="U48" s="508">
        <f t="shared" si="21"/>
        <v>0</v>
      </c>
      <c r="V48" s="508"/>
      <c r="W48" s="508">
        <f t="shared" si="21"/>
        <v>0</v>
      </c>
      <c r="X48" s="508"/>
      <c r="Y48" s="508">
        <f t="shared" si="21"/>
        <v>150000000</v>
      </c>
    </row>
    <row r="49" spans="1:25" ht="29.25" customHeight="1" thickBot="1" x14ac:dyDescent="0.25">
      <c r="A49" s="506">
        <v>310</v>
      </c>
      <c r="B49" s="526" t="s">
        <v>2780</v>
      </c>
      <c r="C49" s="514">
        <f>SUM('[2]PLANINDICATIVO PD'!X53)</f>
        <v>150000000</v>
      </c>
      <c r="D49" s="492"/>
      <c r="E49" s="515"/>
      <c r="F49" s="515">
        <f>+C49+E49</f>
        <v>150000000</v>
      </c>
      <c r="G49" s="515">
        <f>+F49</f>
        <v>150000000</v>
      </c>
      <c r="H49" s="516"/>
      <c r="I49" s="515"/>
      <c r="J49" s="515">
        <f>+F49+I49</f>
        <v>150000000</v>
      </c>
      <c r="K49" s="516"/>
      <c r="L49" s="515">
        <v>23000000</v>
      </c>
      <c r="M49" s="517">
        <f>+J49+L49</f>
        <v>173000000</v>
      </c>
      <c r="N49" s="518">
        <f>+'PLANINDICATIVO PD'!AA53</f>
        <v>150000000</v>
      </c>
      <c r="O49" s="518">
        <f>+'PLANINDICATIVO PD'!AB53</f>
        <v>0</v>
      </c>
      <c r="P49" s="518">
        <f>+'PLANINDICATIVO PD'!AC53</f>
        <v>0</v>
      </c>
      <c r="Q49" s="518">
        <f>+'PLANINDICATIVO PD'!AD53</f>
        <v>0</v>
      </c>
      <c r="R49" s="518">
        <f>+'PLANINDICATIVO PD'!AE53</f>
        <v>0</v>
      </c>
      <c r="S49" s="518">
        <f>+'PLANINDICATIVO PD'!AF53</f>
        <v>0</v>
      </c>
      <c r="T49" s="518">
        <f>+'PLANINDICATIVO PD'!AG53</f>
        <v>0</v>
      </c>
      <c r="U49" s="518">
        <f>+'PLANINDICATIVO PD'!AH53</f>
        <v>0</v>
      </c>
      <c r="V49" s="518">
        <f>+'PLANINDICATIVO PD'!AI53</f>
        <v>0</v>
      </c>
      <c r="W49" s="518">
        <f>+'PLANINDICATIVO PD'!AJ53</f>
        <v>0</v>
      </c>
      <c r="X49" s="518">
        <f>+'PLANINDICATIVO PD'!AK53</f>
        <v>0</v>
      </c>
      <c r="Y49" s="519">
        <f t="shared" ref="Y49:Y54" si="22">SUM(N49:W49)</f>
        <v>150000000</v>
      </c>
    </row>
    <row r="50" spans="1:25" ht="29.25" customHeight="1" thickBot="1" x14ac:dyDescent="0.25">
      <c r="A50" s="506">
        <v>510</v>
      </c>
      <c r="B50" s="527" t="s">
        <v>2781</v>
      </c>
      <c r="C50" s="514">
        <f>SUM('[2]PLANINDICATIVO PD'!X54)</f>
        <v>0</v>
      </c>
      <c r="D50" s="492"/>
      <c r="E50" s="515"/>
      <c r="F50" s="515">
        <f>+C50+E50</f>
        <v>0</v>
      </c>
      <c r="G50" s="515">
        <f>+F50</f>
        <v>0</v>
      </c>
      <c r="H50" s="516"/>
      <c r="I50" s="515"/>
      <c r="J50" s="515">
        <f>+F50+I50</f>
        <v>0</v>
      </c>
      <c r="K50" s="516"/>
      <c r="L50" s="515"/>
      <c r="M50" s="517">
        <f>+J50+L50</f>
        <v>0</v>
      </c>
      <c r="N50" s="518">
        <f>+'PLANINDICATIVO PD'!AA54</f>
        <v>0</v>
      </c>
      <c r="O50" s="518">
        <f>+'PLANINDICATIVO PD'!AB54</f>
        <v>0</v>
      </c>
      <c r="P50" s="518">
        <f>+'PLANINDICATIVO PD'!AC54</f>
        <v>0</v>
      </c>
      <c r="Q50" s="518">
        <f>+'PLANINDICATIVO PD'!AD54</f>
        <v>0</v>
      </c>
      <c r="R50" s="518">
        <f>+'PLANINDICATIVO PD'!AE54</f>
        <v>0</v>
      </c>
      <c r="S50" s="518">
        <f>+'PLANINDICATIVO PD'!AF54</f>
        <v>0</v>
      </c>
      <c r="T50" s="518">
        <f>+'PLANINDICATIVO PD'!AG54</f>
        <v>0</v>
      </c>
      <c r="U50" s="518">
        <f>+'PLANINDICATIVO PD'!AH54</f>
        <v>0</v>
      </c>
      <c r="V50" s="518">
        <f>+'PLANINDICATIVO PD'!AI54</f>
        <v>0</v>
      </c>
      <c r="W50" s="518">
        <f>+'PLANINDICATIVO PD'!AJ54</f>
        <v>0</v>
      </c>
      <c r="X50" s="518">
        <f>+'PLANINDICATIVO PD'!AK54</f>
        <v>0</v>
      </c>
      <c r="Y50" s="519">
        <f t="shared" si="22"/>
        <v>0</v>
      </c>
    </row>
    <row r="51" spans="1:25" ht="29.25" customHeight="1" thickBot="1" x14ac:dyDescent="0.25">
      <c r="A51" s="506"/>
      <c r="B51" s="507" t="s">
        <v>2782</v>
      </c>
      <c r="C51" s="508">
        <f>SUM(C52:C54)</f>
        <v>1355000000</v>
      </c>
      <c r="D51" s="492"/>
      <c r="E51" s="509">
        <f>SUM(E52:E54)</f>
        <v>0</v>
      </c>
      <c r="F51" s="509">
        <f>SUM(F52:F54)</f>
        <v>1355000000</v>
      </c>
      <c r="G51" s="509">
        <f>SUM(G52:G54)</f>
        <v>1355000000</v>
      </c>
      <c r="H51" s="510"/>
      <c r="I51" s="509">
        <f>SUM(I52:I54)</f>
        <v>0</v>
      </c>
      <c r="J51" s="509">
        <f>SUM(J52:J54)</f>
        <v>1355000000</v>
      </c>
      <c r="K51" s="510"/>
      <c r="L51" s="509">
        <f>SUM(L52:L54)</f>
        <v>0</v>
      </c>
      <c r="M51" s="511">
        <f>SUM(M52:M54)</f>
        <v>1355000000</v>
      </c>
      <c r="N51" s="508">
        <f t="shared" ref="N51:Y51" si="23">SUM(N52:N54)</f>
        <v>0</v>
      </c>
      <c r="O51" s="508">
        <f t="shared" si="23"/>
        <v>0</v>
      </c>
      <c r="P51" s="508">
        <f t="shared" si="23"/>
        <v>0</v>
      </c>
      <c r="Q51" s="508">
        <f t="shared" si="23"/>
        <v>0</v>
      </c>
      <c r="R51" s="508">
        <f t="shared" si="23"/>
        <v>0</v>
      </c>
      <c r="S51" s="508">
        <f t="shared" si="23"/>
        <v>0</v>
      </c>
      <c r="T51" s="508">
        <f t="shared" si="23"/>
        <v>0</v>
      </c>
      <c r="U51" s="508">
        <f t="shared" si="23"/>
        <v>0</v>
      </c>
      <c r="V51" s="508"/>
      <c r="W51" s="508">
        <f t="shared" si="23"/>
        <v>1355000000</v>
      </c>
      <c r="X51" s="508"/>
      <c r="Y51" s="508">
        <f t="shared" si="23"/>
        <v>1355000000</v>
      </c>
    </row>
    <row r="52" spans="1:25" ht="25.5" customHeight="1" thickBot="1" x14ac:dyDescent="0.25">
      <c r="A52" s="506">
        <v>301</v>
      </c>
      <c r="B52" s="526" t="s">
        <v>2783</v>
      </c>
      <c r="C52" s="514">
        <f>SUM('[2]PLANINDICATIVO PD'!X55:X60)</f>
        <v>804000000</v>
      </c>
      <c r="D52" s="492"/>
      <c r="E52" s="515"/>
      <c r="F52" s="515">
        <f>+C52+E52</f>
        <v>804000000</v>
      </c>
      <c r="G52" s="515">
        <f>+F52</f>
        <v>804000000</v>
      </c>
      <c r="H52" s="516"/>
      <c r="I52" s="515"/>
      <c r="J52" s="515">
        <f>+F52+I52</f>
        <v>804000000</v>
      </c>
      <c r="K52" s="516"/>
      <c r="L52" s="515"/>
      <c r="M52" s="517">
        <f>+J52+L52</f>
        <v>804000000</v>
      </c>
      <c r="N52" s="518">
        <f>SUM('PLANINDICATIVO PD'!AA55:AA60)</f>
        <v>0</v>
      </c>
      <c r="O52" s="518">
        <f>SUM('PLANINDICATIVO PD'!AB55:AB60)</f>
        <v>0</v>
      </c>
      <c r="P52" s="518">
        <f>SUM('PLANINDICATIVO PD'!AC55:AC60)</f>
        <v>0</v>
      </c>
      <c r="Q52" s="518">
        <f>SUM('PLANINDICATIVO PD'!AD55:AD60)</f>
        <v>0</v>
      </c>
      <c r="R52" s="518">
        <f>SUM('PLANINDICATIVO PD'!AE55:AE60)</f>
        <v>0</v>
      </c>
      <c r="S52" s="518">
        <f>SUM('PLANINDICATIVO PD'!AF55:AF60)</f>
        <v>0</v>
      </c>
      <c r="T52" s="518">
        <f>SUM('PLANINDICATIVO PD'!AG55:AG60)</f>
        <v>0</v>
      </c>
      <c r="U52" s="518">
        <f>SUM('PLANINDICATIVO PD'!AH55:AH60)</f>
        <v>0</v>
      </c>
      <c r="V52" s="518">
        <f>SUM('PLANINDICATIVO PD'!AI55:AI60)</f>
        <v>0</v>
      </c>
      <c r="W52" s="518">
        <f>SUM('PLANINDICATIVO PD'!AJ55:AJ60)</f>
        <v>804000000</v>
      </c>
      <c r="X52" s="518">
        <f>SUM('PLANINDICATIVO PD'!AK55:AK60)</f>
        <v>0</v>
      </c>
      <c r="Y52" s="519">
        <f t="shared" si="22"/>
        <v>804000000</v>
      </c>
    </row>
    <row r="53" spans="1:25" ht="36.75" customHeight="1" thickBot="1" x14ac:dyDescent="0.25">
      <c r="A53" s="506">
        <v>301</v>
      </c>
      <c r="B53" s="526" t="s">
        <v>2784</v>
      </c>
      <c r="C53" s="514">
        <f>SUM('[2]PLANINDICATIVO PD'!X61)</f>
        <v>70000000</v>
      </c>
      <c r="D53" s="492"/>
      <c r="E53" s="515"/>
      <c r="F53" s="515">
        <f>+C53+E53</f>
        <v>70000000</v>
      </c>
      <c r="G53" s="515">
        <f>+F53</f>
        <v>70000000</v>
      </c>
      <c r="H53" s="516"/>
      <c r="I53" s="515"/>
      <c r="J53" s="515">
        <f>+F53+I53</f>
        <v>70000000</v>
      </c>
      <c r="K53" s="516"/>
      <c r="L53" s="515"/>
      <c r="M53" s="517">
        <f>+J53+L53</f>
        <v>70000000</v>
      </c>
      <c r="N53" s="518">
        <f>SUM('PLANINDICATIVO PD'!AA61)</f>
        <v>0</v>
      </c>
      <c r="O53" s="518">
        <f>SUM('PLANINDICATIVO PD'!AB61)</f>
        <v>0</v>
      </c>
      <c r="P53" s="518">
        <f>SUM('PLANINDICATIVO PD'!AC61)</f>
        <v>0</v>
      </c>
      <c r="Q53" s="518">
        <f>SUM('PLANINDICATIVO PD'!AD61)</f>
        <v>0</v>
      </c>
      <c r="R53" s="518">
        <f>SUM('PLANINDICATIVO PD'!AE61)</f>
        <v>0</v>
      </c>
      <c r="S53" s="518">
        <f>SUM('PLANINDICATIVO PD'!AF61)</f>
        <v>0</v>
      </c>
      <c r="T53" s="518">
        <f>SUM('PLANINDICATIVO PD'!AG61)</f>
        <v>0</v>
      </c>
      <c r="U53" s="518">
        <f>SUM('PLANINDICATIVO PD'!AH61)</f>
        <v>0</v>
      </c>
      <c r="V53" s="518">
        <f>SUM('PLANINDICATIVO PD'!AI61)</f>
        <v>0</v>
      </c>
      <c r="W53" s="518">
        <f>SUM('PLANINDICATIVO PD'!AJ61)</f>
        <v>70000000</v>
      </c>
      <c r="X53" s="518">
        <f>SUM('PLANINDICATIVO PD'!AK61)</f>
        <v>0</v>
      </c>
      <c r="Y53" s="519">
        <f t="shared" si="22"/>
        <v>70000000</v>
      </c>
    </row>
    <row r="54" spans="1:25" ht="26.25" customHeight="1" thickBot="1" x14ac:dyDescent="0.25">
      <c r="A54" s="506">
        <v>301</v>
      </c>
      <c r="B54" s="526" t="s">
        <v>2785</v>
      </c>
      <c r="C54" s="514">
        <f>SUM('[2]PLANINDICATIVO PD'!X62:X63)</f>
        <v>481000000</v>
      </c>
      <c r="D54" s="492"/>
      <c r="E54" s="515"/>
      <c r="F54" s="515">
        <f>+C54+E54</f>
        <v>481000000</v>
      </c>
      <c r="G54" s="515">
        <f>+F54</f>
        <v>481000000</v>
      </c>
      <c r="H54" s="516"/>
      <c r="I54" s="515"/>
      <c r="J54" s="515">
        <f>+F54+I54</f>
        <v>481000000</v>
      </c>
      <c r="K54" s="516"/>
      <c r="L54" s="515"/>
      <c r="M54" s="517">
        <f>+J54+L54</f>
        <v>481000000</v>
      </c>
      <c r="N54" s="518">
        <f>SUM('PLANINDICATIVO PD'!AA62:AA63)</f>
        <v>0</v>
      </c>
      <c r="O54" s="518">
        <f>SUM('PLANINDICATIVO PD'!AB62:AB63)</f>
        <v>0</v>
      </c>
      <c r="P54" s="518">
        <f>SUM('PLANINDICATIVO PD'!AC62:AC63)</f>
        <v>0</v>
      </c>
      <c r="Q54" s="518">
        <f>SUM('PLANINDICATIVO PD'!AD62:AD63)</f>
        <v>0</v>
      </c>
      <c r="R54" s="518">
        <f>SUM('PLANINDICATIVO PD'!AE62:AE63)</f>
        <v>0</v>
      </c>
      <c r="S54" s="518">
        <f>SUM('PLANINDICATIVO PD'!AF62:AF63)</f>
        <v>0</v>
      </c>
      <c r="T54" s="518">
        <f>SUM('PLANINDICATIVO PD'!AG62:AG63)</f>
        <v>0</v>
      </c>
      <c r="U54" s="518">
        <f>SUM('PLANINDICATIVO PD'!AH62:AH63)</f>
        <v>0</v>
      </c>
      <c r="V54" s="518">
        <f>SUM('PLANINDICATIVO PD'!AI62:AI63)</f>
        <v>0</v>
      </c>
      <c r="W54" s="518">
        <f>SUM('PLANINDICATIVO PD'!AJ62:AJ63)</f>
        <v>481000000</v>
      </c>
      <c r="X54" s="518">
        <f>SUM('PLANINDICATIVO PD'!AK62:AK63)</f>
        <v>0</v>
      </c>
      <c r="Y54" s="519">
        <f t="shared" si="22"/>
        <v>481000000</v>
      </c>
    </row>
    <row r="55" spans="1:25" ht="30" customHeight="1" thickBot="1" x14ac:dyDescent="0.25">
      <c r="A55" s="506"/>
      <c r="B55" s="528" t="s">
        <v>2786</v>
      </c>
      <c r="C55" s="501">
        <f>+C56+C58</f>
        <v>145821516</v>
      </c>
      <c r="D55" s="492"/>
      <c r="E55" s="521">
        <f>+E56+E58</f>
        <v>0</v>
      </c>
      <c r="F55" s="521">
        <f>+F56+F58</f>
        <v>145821516</v>
      </c>
      <c r="G55" s="521">
        <f>+G56+G58</f>
        <v>145821516</v>
      </c>
      <c r="H55" s="522"/>
      <c r="I55" s="521">
        <f>+I56+I58</f>
        <v>0</v>
      </c>
      <c r="J55" s="521">
        <f>+J56+J58</f>
        <v>145821516</v>
      </c>
      <c r="K55" s="522"/>
      <c r="L55" s="521">
        <f>+L56+L58</f>
        <v>0</v>
      </c>
      <c r="M55" s="523">
        <f>+M56+M58</f>
        <v>145821516</v>
      </c>
      <c r="N55" s="501">
        <f t="shared" ref="N55:Y55" si="24">+N56+N58</f>
        <v>0</v>
      </c>
      <c r="O55" s="501">
        <f t="shared" si="24"/>
        <v>25000000</v>
      </c>
      <c r="P55" s="501">
        <f t="shared" si="24"/>
        <v>100821516</v>
      </c>
      <c r="Q55" s="501">
        <f t="shared" si="24"/>
        <v>0</v>
      </c>
      <c r="R55" s="501">
        <f t="shared" si="24"/>
        <v>0</v>
      </c>
      <c r="S55" s="501">
        <f t="shared" si="24"/>
        <v>0</v>
      </c>
      <c r="T55" s="501">
        <f t="shared" si="24"/>
        <v>0</v>
      </c>
      <c r="U55" s="501">
        <f t="shared" si="24"/>
        <v>20000000</v>
      </c>
      <c r="V55" s="501"/>
      <c r="W55" s="501">
        <f t="shared" si="24"/>
        <v>0</v>
      </c>
      <c r="X55" s="501"/>
      <c r="Y55" s="501">
        <f t="shared" si="24"/>
        <v>145821516</v>
      </c>
    </row>
    <row r="56" spans="1:25" ht="26.25" customHeight="1" thickBot="1" x14ac:dyDescent="0.25">
      <c r="A56" s="506"/>
      <c r="B56" s="507" t="s">
        <v>2787</v>
      </c>
      <c r="C56" s="508">
        <f t="shared" ref="C56:Y56" si="25">+C57</f>
        <v>0</v>
      </c>
      <c r="D56" s="492"/>
      <c r="E56" s="509">
        <f t="shared" si="25"/>
        <v>0</v>
      </c>
      <c r="F56" s="509">
        <f t="shared" si="25"/>
        <v>0</v>
      </c>
      <c r="G56" s="509">
        <f t="shared" si="25"/>
        <v>0</v>
      </c>
      <c r="H56" s="510"/>
      <c r="I56" s="509">
        <f t="shared" si="25"/>
        <v>0</v>
      </c>
      <c r="J56" s="509">
        <f t="shared" si="25"/>
        <v>0</v>
      </c>
      <c r="K56" s="510"/>
      <c r="L56" s="509">
        <f t="shared" si="25"/>
        <v>0</v>
      </c>
      <c r="M56" s="511">
        <f t="shared" si="25"/>
        <v>0</v>
      </c>
      <c r="N56" s="508">
        <f t="shared" si="25"/>
        <v>0</v>
      </c>
      <c r="O56" s="508">
        <f t="shared" si="25"/>
        <v>0</v>
      </c>
      <c r="P56" s="508">
        <f t="shared" si="25"/>
        <v>0</v>
      </c>
      <c r="Q56" s="508">
        <f t="shared" si="25"/>
        <v>0</v>
      </c>
      <c r="R56" s="508">
        <f t="shared" si="25"/>
        <v>0</v>
      </c>
      <c r="S56" s="508">
        <f t="shared" si="25"/>
        <v>0</v>
      </c>
      <c r="T56" s="508">
        <f t="shared" si="25"/>
        <v>0</v>
      </c>
      <c r="U56" s="508">
        <f t="shared" si="25"/>
        <v>0</v>
      </c>
      <c r="V56" s="508"/>
      <c r="W56" s="508">
        <f t="shared" si="25"/>
        <v>0</v>
      </c>
      <c r="X56" s="508"/>
      <c r="Y56" s="508">
        <f t="shared" si="25"/>
        <v>0</v>
      </c>
    </row>
    <row r="57" spans="1:25" ht="37.5" customHeight="1" thickBot="1" x14ac:dyDescent="0.25">
      <c r="A57" s="506">
        <v>510</v>
      </c>
      <c r="B57" s="527" t="s">
        <v>2788</v>
      </c>
      <c r="C57" s="514">
        <f>SUM('[2]PLANINDICATIVO PD'!X66:X67)</f>
        <v>0</v>
      </c>
      <c r="D57" s="492"/>
      <c r="E57" s="515"/>
      <c r="F57" s="515">
        <f>+C57+E57</f>
        <v>0</v>
      </c>
      <c r="G57" s="515">
        <f>+F57</f>
        <v>0</v>
      </c>
      <c r="H57" s="516"/>
      <c r="I57" s="515"/>
      <c r="J57" s="515">
        <f>+F57+I57</f>
        <v>0</v>
      </c>
      <c r="K57" s="516"/>
      <c r="L57" s="515"/>
      <c r="M57" s="517">
        <f>+J57+L57</f>
        <v>0</v>
      </c>
      <c r="N57" s="518">
        <f>SUM('PLANINDICATIVO PD'!AA66:AA67)</f>
        <v>0</v>
      </c>
      <c r="O57" s="518">
        <f>SUM('PLANINDICATIVO PD'!AB66:AB67)</f>
        <v>0</v>
      </c>
      <c r="P57" s="518">
        <f>SUM('PLANINDICATIVO PD'!AC66:AC67)</f>
        <v>0</v>
      </c>
      <c r="Q57" s="518">
        <f>SUM('PLANINDICATIVO PD'!AD66:AD67)</f>
        <v>0</v>
      </c>
      <c r="R57" s="518">
        <f>SUM('PLANINDICATIVO PD'!AE66:AE67)</f>
        <v>0</v>
      </c>
      <c r="S57" s="518">
        <f>SUM('PLANINDICATIVO PD'!AF66:AF67)</f>
        <v>0</v>
      </c>
      <c r="T57" s="518">
        <f>SUM('PLANINDICATIVO PD'!AG66:AG67)</f>
        <v>0</v>
      </c>
      <c r="U57" s="518">
        <f>SUM('PLANINDICATIVO PD'!AH66:AH67)</f>
        <v>0</v>
      </c>
      <c r="V57" s="518">
        <f>SUM('PLANINDICATIVO PD'!AI66:AI67)</f>
        <v>0</v>
      </c>
      <c r="W57" s="518">
        <f>SUM('PLANINDICATIVO PD'!AJ66:AJ67)</f>
        <v>0</v>
      </c>
      <c r="X57" s="518">
        <f>SUM('PLANINDICATIVO PD'!AK66:AK67)</f>
        <v>0</v>
      </c>
      <c r="Y57" s="519">
        <f>SUM(N57:W57)</f>
        <v>0</v>
      </c>
    </row>
    <row r="58" spans="1:25" ht="32.25" thickBot="1" x14ac:dyDescent="0.25">
      <c r="A58" s="506"/>
      <c r="B58" s="529" t="s">
        <v>2789</v>
      </c>
      <c r="C58" s="508">
        <f>SUM(C59:C64)</f>
        <v>145821516</v>
      </c>
      <c r="D58" s="492"/>
      <c r="E58" s="509">
        <f>SUM(E59:E64)</f>
        <v>0</v>
      </c>
      <c r="F58" s="509">
        <f>SUM(F59:F64)</f>
        <v>145821516</v>
      </c>
      <c r="G58" s="509">
        <f>SUM(G59:G64)</f>
        <v>145821516</v>
      </c>
      <c r="H58" s="510"/>
      <c r="I58" s="509">
        <f>SUM(I59:I64)</f>
        <v>0</v>
      </c>
      <c r="J58" s="509">
        <f>SUM(J59:J64)</f>
        <v>145821516</v>
      </c>
      <c r="K58" s="510"/>
      <c r="L58" s="509">
        <f>SUM(L59:L64)</f>
        <v>0</v>
      </c>
      <c r="M58" s="511">
        <f>SUM(M59:M64)</f>
        <v>145821516</v>
      </c>
      <c r="N58" s="508">
        <f t="shared" ref="N58:Y58" si="26">SUM(N59:N64)</f>
        <v>0</v>
      </c>
      <c r="O58" s="508">
        <f t="shared" si="26"/>
        <v>25000000</v>
      </c>
      <c r="P58" s="508">
        <f t="shared" si="26"/>
        <v>100821516</v>
      </c>
      <c r="Q58" s="508">
        <f t="shared" si="26"/>
        <v>0</v>
      </c>
      <c r="R58" s="508">
        <f t="shared" si="26"/>
        <v>0</v>
      </c>
      <c r="S58" s="508">
        <f t="shared" si="26"/>
        <v>0</v>
      </c>
      <c r="T58" s="508">
        <f t="shared" si="26"/>
        <v>0</v>
      </c>
      <c r="U58" s="508">
        <f t="shared" si="26"/>
        <v>20000000</v>
      </c>
      <c r="V58" s="508"/>
      <c r="W58" s="508">
        <f t="shared" si="26"/>
        <v>0</v>
      </c>
      <c r="X58" s="508"/>
      <c r="Y58" s="508">
        <f t="shared" si="26"/>
        <v>145821516</v>
      </c>
    </row>
    <row r="59" spans="1:25" ht="28.5" customHeight="1" thickBot="1" x14ac:dyDescent="0.25">
      <c r="A59" s="506">
        <v>111</v>
      </c>
      <c r="B59" s="526" t="s">
        <v>2790</v>
      </c>
      <c r="C59" s="514"/>
      <c r="D59" s="492"/>
      <c r="E59" s="515"/>
      <c r="F59" s="515">
        <f t="shared" ref="F59:F64" si="27">+C59+E59</f>
        <v>0</v>
      </c>
      <c r="G59" s="515">
        <f t="shared" ref="G59:G64" si="28">+F59</f>
        <v>0</v>
      </c>
      <c r="H59" s="516"/>
      <c r="I59" s="515"/>
      <c r="J59" s="515">
        <f t="shared" ref="J59:J64" si="29">+F59+I59</f>
        <v>0</v>
      </c>
      <c r="K59" s="516"/>
      <c r="L59" s="515"/>
      <c r="M59" s="517">
        <f t="shared" ref="M59:M64" si="30">+J59+L59</f>
        <v>0</v>
      </c>
      <c r="N59" s="518"/>
      <c r="O59" s="518"/>
      <c r="P59" s="518"/>
      <c r="Q59" s="518"/>
      <c r="R59" s="518"/>
      <c r="S59" s="518"/>
      <c r="T59" s="518"/>
      <c r="U59" s="518"/>
      <c r="V59" s="518"/>
      <c r="W59" s="518"/>
      <c r="X59" s="518"/>
      <c r="Y59" s="519">
        <f t="shared" ref="Y59:Y64" si="31">SUM(N59:W59)</f>
        <v>0</v>
      </c>
    </row>
    <row r="60" spans="1:25" ht="27" customHeight="1" thickBot="1" x14ac:dyDescent="0.25">
      <c r="A60" s="506">
        <v>211</v>
      </c>
      <c r="B60" s="526" t="s">
        <v>2791</v>
      </c>
      <c r="C60" s="514">
        <f>SUM('[2]PLANINDICATIVO PD'!X68)</f>
        <v>100821516</v>
      </c>
      <c r="D60" s="492"/>
      <c r="E60" s="515"/>
      <c r="F60" s="515">
        <f t="shared" si="27"/>
        <v>100821516</v>
      </c>
      <c r="G60" s="515">
        <f t="shared" si="28"/>
        <v>100821516</v>
      </c>
      <c r="H60" s="516"/>
      <c r="I60" s="515"/>
      <c r="J60" s="515">
        <f t="shared" si="29"/>
        <v>100821516</v>
      </c>
      <c r="K60" s="516"/>
      <c r="L60" s="515"/>
      <c r="M60" s="517">
        <f t="shared" si="30"/>
        <v>100821516</v>
      </c>
      <c r="N60" s="518">
        <f>+'PLANINDICATIVO PD'!AA68</f>
        <v>0</v>
      </c>
      <c r="O60" s="518">
        <f>+'PLANINDICATIVO PD'!AB68</f>
        <v>0</v>
      </c>
      <c r="P60" s="518">
        <f>+'PLANINDICATIVO PD'!AC68</f>
        <v>100821516</v>
      </c>
      <c r="Q60" s="518">
        <f>+'PLANINDICATIVO PD'!AD68</f>
        <v>0</v>
      </c>
      <c r="R60" s="518">
        <f>+'PLANINDICATIVO PD'!AE68</f>
        <v>0</v>
      </c>
      <c r="S60" s="518">
        <f>+'PLANINDICATIVO PD'!AF68</f>
        <v>0</v>
      </c>
      <c r="T60" s="518">
        <f>+'PLANINDICATIVO PD'!AG68</f>
        <v>0</v>
      </c>
      <c r="U60" s="518">
        <f>+'PLANINDICATIVO PD'!AH68</f>
        <v>0</v>
      </c>
      <c r="V60" s="518">
        <f>+'PLANINDICATIVO PD'!AI68</f>
        <v>0</v>
      </c>
      <c r="W60" s="518">
        <f>+'PLANINDICATIVO PD'!AJ68</f>
        <v>0</v>
      </c>
      <c r="X60" s="518">
        <f>+'PLANINDICATIVO PD'!AK68</f>
        <v>0</v>
      </c>
      <c r="Y60" s="519">
        <f t="shared" si="31"/>
        <v>100821516</v>
      </c>
    </row>
    <row r="61" spans="1:25" ht="35.25" customHeight="1" thickBot="1" x14ac:dyDescent="0.25">
      <c r="A61" s="506">
        <v>510</v>
      </c>
      <c r="B61" s="526" t="s">
        <v>2792</v>
      </c>
      <c r="C61" s="514">
        <f>SUM('[2]PLANINDICATIVO PD'!X69:X70)</f>
        <v>0</v>
      </c>
      <c r="D61" s="492"/>
      <c r="E61" s="515"/>
      <c r="F61" s="515">
        <f t="shared" si="27"/>
        <v>0</v>
      </c>
      <c r="G61" s="515">
        <f t="shared" si="28"/>
        <v>0</v>
      </c>
      <c r="H61" s="516"/>
      <c r="I61" s="515"/>
      <c r="J61" s="515">
        <f t="shared" si="29"/>
        <v>0</v>
      </c>
      <c r="K61" s="516"/>
      <c r="L61" s="515"/>
      <c r="M61" s="517">
        <f t="shared" si="30"/>
        <v>0</v>
      </c>
      <c r="N61" s="518">
        <f>+'PLANINDICATIVO PD'!AA70</f>
        <v>0</v>
      </c>
      <c r="O61" s="518">
        <f>+'PLANINDICATIVO PD'!AB70</f>
        <v>0</v>
      </c>
      <c r="P61" s="518">
        <f>+'PLANINDICATIVO PD'!AC70</f>
        <v>0</v>
      </c>
      <c r="Q61" s="518">
        <f>+'PLANINDICATIVO PD'!AD70</f>
        <v>0</v>
      </c>
      <c r="R61" s="518">
        <f>+'PLANINDICATIVO PD'!AE70</f>
        <v>0</v>
      </c>
      <c r="S61" s="518">
        <f>+'PLANINDICATIVO PD'!AF70</f>
        <v>0</v>
      </c>
      <c r="T61" s="518">
        <f>+'PLANINDICATIVO PD'!AG70</f>
        <v>0</v>
      </c>
      <c r="U61" s="518">
        <f>+'PLANINDICATIVO PD'!AH70</f>
        <v>0</v>
      </c>
      <c r="V61" s="518">
        <f>+'PLANINDICATIVO PD'!AI70</f>
        <v>0</v>
      </c>
      <c r="W61" s="518">
        <f>+'PLANINDICATIVO PD'!AJ70</f>
        <v>0</v>
      </c>
      <c r="X61" s="518">
        <f>+'PLANINDICATIVO PD'!AK70</f>
        <v>0</v>
      </c>
      <c r="Y61" s="519">
        <f t="shared" si="31"/>
        <v>0</v>
      </c>
    </row>
    <row r="62" spans="1:25" ht="28.5" customHeight="1" thickBot="1" x14ac:dyDescent="0.25">
      <c r="A62" s="506">
        <v>111</v>
      </c>
      <c r="B62" s="526" t="s">
        <v>2793</v>
      </c>
      <c r="C62" s="514">
        <v>0</v>
      </c>
      <c r="D62" s="492"/>
      <c r="E62" s="515"/>
      <c r="F62" s="515">
        <f t="shared" si="27"/>
        <v>0</v>
      </c>
      <c r="G62" s="515">
        <f t="shared" si="28"/>
        <v>0</v>
      </c>
      <c r="H62" s="516"/>
      <c r="I62" s="515"/>
      <c r="J62" s="515">
        <f t="shared" si="29"/>
        <v>0</v>
      </c>
      <c r="K62" s="516"/>
      <c r="L62" s="515"/>
      <c r="M62" s="517">
        <f t="shared" si="30"/>
        <v>0</v>
      </c>
      <c r="N62" s="530"/>
      <c r="O62" s="530"/>
      <c r="P62" s="530"/>
      <c r="Q62" s="530"/>
      <c r="R62" s="530"/>
      <c r="S62" s="530"/>
      <c r="T62" s="530"/>
      <c r="U62" s="530"/>
      <c r="V62" s="530"/>
      <c r="W62" s="530"/>
      <c r="X62" s="530"/>
      <c r="Y62" s="519">
        <f t="shared" si="31"/>
        <v>0</v>
      </c>
    </row>
    <row r="63" spans="1:25" ht="27" customHeight="1" thickBot="1" x14ac:dyDescent="0.25">
      <c r="A63" s="506">
        <v>211</v>
      </c>
      <c r="B63" s="526" t="s">
        <v>2794</v>
      </c>
      <c r="C63" s="514">
        <v>0</v>
      </c>
      <c r="D63" s="492"/>
      <c r="E63" s="515"/>
      <c r="F63" s="515">
        <f t="shared" si="27"/>
        <v>0</v>
      </c>
      <c r="G63" s="515">
        <f t="shared" si="28"/>
        <v>0</v>
      </c>
      <c r="H63" s="516"/>
      <c r="I63" s="515"/>
      <c r="J63" s="515">
        <f t="shared" si="29"/>
        <v>0</v>
      </c>
      <c r="K63" s="516"/>
      <c r="L63" s="515"/>
      <c r="M63" s="517">
        <f t="shared" si="30"/>
        <v>0</v>
      </c>
      <c r="N63" s="530"/>
      <c r="O63" s="530"/>
      <c r="P63" s="530"/>
      <c r="Q63" s="530"/>
      <c r="R63" s="530"/>
      <c r="S63" s="530"/>
      <c r="T63" s="530"/>
      <c r="U63" s="530"/>
      <c r="V63" s="530"/>
      <c r="W63" s="530"/>
      <c r="X63" s="530"/>
      <c r="Y63" s="519">
        <f t="shared" si="31"/>
        <v>0</v>
      </c>
    </row>
    <row r="64" spans="1:25" ht="48" customHeight="1" thickBot="1" x14ac:dyDescent="0.25">
      <c r="A64" s="506">
        <v>211</v>
      </c>
      <c r="B64" s="527" t="s">
        <v>2795</v>
      </c>
      <c r="C64" s="514">
        <f>SUM('[2]PLANINDICATIVO PD'!X71)</f>
        <v>45000000</v>
      </c>
      <c r="D64" s="492"/>
      <c r="E64" s="515"/>
      <c r="F64" s="515">
        <f t="shared" si="27"/>
        <v>45000000</v>
      </c>
      <c r="G64" s="515">
        <f t="shared" si="28"/>
        <v>45000000</v>
      </c>
      <c r="H64" s="516"/>
      <c r="I64" s="515"/>
      <c r="J64" s="515">
        <f t="shared" si="29"/>
        <v>45000000</v>
      </c>
      <c r="K64" s="516"/>
      <c r="L64" s="515"/>
      <c r="M64" s="517">
        <f t="shared" si="30"/>
        <v>45000000</v>
      </c>
      <c r="N64" s="518">
        <f>+'PLANINDICATIVO PD'!AA71</f>
        <v>0</v>
      </c>
      <c r="O64" s="518">
        <f>+'PLANINDICATIVO PD'!AB71</f>
        <v>25000000</v>
      </c>
      <c r="P64" s="518">
        <f>+'PLANINDICATIVO PD'!AC71</f>
        <v>0</v>
      </c>
      <c r="Q64" s="518">
        <f>+'PLANINDICATIVO PD'!AD71</f>
        <v>0</v>
      </c>
      <c r="R64" s="518">
        <f>+'PLANINDICATIVO PD'!AE71</f>
        <v>0</v>
      </c>
      <c r="S64" s="518">
        <f>+'PLANINDICATIVO PD'!AF71</f>
        <v>0</v>
      </c>
      <c r="T64" s="518">
        <f>+'PLANINDICATIVO PD'!AG71</f>
        <v>0</v>
      </c>
      <c r="U64" s="518">
        <f>+'PLANINDICATIVO PD'!AH71</f>
        <v>20000000</v>
      </c>
      <c r="V64" s="518">
        <f>+'PLANINDICATIVO PD'!AI71</f>
        <v>0</v>
      </c>
      <c r="W64" s="518">
        <f>+'PLANINDICATIVO PD'!AJ71</f>
        <v>0</v>
      </c>
      <c r="X64" s="518">
        <f>+'PLANINDICATIVO PD'!AK71</f>
        <v>0</v>
      </c>
      <c r="Y64" s="519">
        <f t="shared" si="31"/>
        <v>45000000</v>
      </c>
    </row>
    <row r="65" spans="2:25" ht="14.25" customHeight="1" thickBot="1" x14ac:dyDescent="0.25">
      <c r="B65" s="531" t="s">
        <v>2796</v>
      </c>
      <c r="C65" s="532">
        <f>+C55+C47+C42+C33+C12+C8+C3</f>
        <v>9171996570</v>
      </c>
      <c r="D65" s="492"/>
      <c r="E65" s="533">
        <f>+E55+E47+E42+E33+E12+E8+E3</f>
        <v>0</v>
      </c>
      <c r="F65" s="533">
        <f>+F55+F47+F42+F33+F12+F8+F3</f>
        <v>9171996570</v>
      </c>
      <c r="G65" s="533">
        <f>+G55+G47+G42+G33+G12+G8+G3</f>
        <v>9171996570</v>
      </c>
      <c r="H65" s="534"/>
      <c r="I65" s="533">
        <f>+I55+I47+I42+I33+I12+I8+I3</f>
        <v>0</v>
      </c>
      <c r="J65" s="533">
        <f>+J55+J47+J42+J33+J12+J8+J3</f>
        <v>9171996570</v>
      </c>
      <c r="K65" s="534"/>
      <c r="L65" s="533">
        <f>+L55+L47+L42+L33+L12+L8+L3</f>
        <v>0</v>
      </c>
      <c r="M65" s="535">
        <f>+M55+M47+M42+M33+M12+M8+M3</f>
        <v>9171996570</v>
      </c>
      <c r="N65" s="532">
        <f t="shared" ref="N65:Y65" si="32">+N55+N47+N42+N33+N12+N8+N3</f>
        <v>2475902120</v>
      </c>
      <c r="O65" s="532">
        <f t="shared" si="32"/>
        <v>1325201794</v>
      </c>
      <c r="P65" s="532">
        <f t="shared" si="32"/>
        <v>177821516</v>
      </c>
      <c r="Q65" s="532">
        <f t="shared" si="32"/>
        <v>73270400</v>
      </c>
      <c r="R65" s="532">
        <f t="shared" si="32"/>
        <v>20000000</v>
      </c>
      <c r="S65" s="532">
        <f t="shared" si="32"/>
        <v>47000740</v>
      </c>
      <c r="T65" s="532">
        <f t="shared" si="32"/>
        <v>2816800000</v>
      </c>
      <c r="U65" s="532">
        <f t="shared" si="32"/>
        <v>881000000</v>
      </c>
      <c r="V65" s="532"/>
      <c r="W65" s="532">
        <f t="shared" si="32"/>
        <v>1355000000</v>
      </c>
      <c r="X65" s="532"/>
      <c r="Y65" s="532">
        <f t="shared" si="32"/>
        <v>9171996570</v>
      </c>
    </row>
    <row r="66" spans="2:25" ht="14.25" customHeight="1" x14ac:dyDescent="0.2">
      <c r="B66" s="536"/>
      <c r="D66" s="492"/>
      <c r="H66" s="537"/>
    </row>
    <row r="67" spans="2:25" ht="24" customHeight="1" x14ac:dyDescent="0.2">
      <c r="B67" s="1332" t="s">
        <v>2797</v>
      </c>
      <c r="C67" s="1333"/>
      <c r="D67" s="492"/>
      <c r="H67" s="537"/>
    </row>
    <row r="68" spans="2:25" x14ac:dyDescent="0.2">
      <c r="B68" s="538" t="s">
        <v>2799</v>
      </c>
      <c r="C68" s="539">
        <f>SUMIF($A$3:$A$65,"111",$C$3:$C$65)</f>
        <v>470133160</v>
      </c>
      <c r="D68" s="492"/>
      <c r="E68" s="539">
        <f>SUMIF($A$3:$A$65,"111",$E$3:$E$65)</f>
        <v>0</v>
      </c>
      <c r="F68" s="539">
        <f>SUMIF($A$3:$A$65,"111",$F$3:$F$65)</f>
        <v>470133160</v>
      </c>
      <c r="G68" s="539">
        <f>SUMIF($A$3:$A$65,"111",$G$3:$G$65)</f>
        <v>470133160</v>
      </c>
      <c r="H68" s="539"/>
      <c r="I68" s="539">
        <f>SUMIF($A$3:$A$65,"111",$I$3:$I$65)</f>
        <v>0</v>
      </c>
      <c r="J68" s="539">
        <f>SUMIF($A$3:$A$65,"111",$J$3:$J$65)</f>
        <v>470133160</v>
      </c>
      <c r="K68" s="539"/>
      <c r="L68" s="539">
        <f>SUMIF($A$3:$A$65,"111",$L$3:$L$65)</f>
        <v>0</v>
      </c>
      <c r="M68" s="539">
        <f>SUMIF($A$3:$A$65,"111",$M$3:$M$65)</f>
        <v>470133160</v>
      </c>
      <c r="N68" s="539">
        <f>SUMIF($A$3:$A$65,"111",N$3:N65)</f>
        <v>0</v>
      </c>
      <c r="O68" s="539">
        <f>SUMIF($A$3:$A$65,"111",O$3:O65)</f>
        <v>400133160</v>
      </c>
      <c r="P68" s="539">
        <f>SUMIF($A$3:$A$65,"111",P$3:P65)</f>
        <v>0</v>
      </c>
      <c r="Q68" s="539">
        <f>SUMIF($A$3:$A$65,"111",Q$3:Q65)</f>
        <v>36500000</v>
      </c>
      <c r="R68" s="539">
        <f>SUMIF($A$3:$A$65,"111",R$3:R65)</f>
        <v>10000000</v>
      </c>
      <c r="S68" s="539">
        <f>SUMIF($A$3:$A$65,"111",S$3:S65)</f>
        <v>23500000</v>
      </c>
      <c r="T68" s="539">
        <f>SUMIF($A$3:$A$65,"111",T$3:T65)</f>
        <v>0</v>
      </c>
      <c r="U68" s="539">
        <f>SUMIF($A$3:$A$65,"111",U$3:U65)</f>
        <v>0</v>
      </c>
      <c r="V68" s="539"/>
      <c r="W68" s="539">
        <f>SUMIF($A$3:$A$65,"111",W$3:W65)</f>
        <v>0</v>
      </c>
      <c r="X68" s="539"/>
      <c r="Y68" s="539">
        <f>SUMIF($A$3:$A$65,"111",Y$3:Y65)</f>
        <v>470133160</v>
      </c>
    </row>
    <row r="69" spans="2:25" x14ac:dyDescent="0.2">
      <c r="B69" s="538" t="s">
        <v>2800</v>
      </c>
      <c r="C69" s="539">
        <f>SUMIF($A$3:$A$65,"211",$C$3:$C$65)</f>
        <v>1993092656</v>
      </c>
      <c r="D69" s="492"/>
      <c r="E69" s="539">
        <f>SUMIF($A$3:$A$65,"211",$E$3:$E$65)</f>
        <v>0</v>
      </c>
      <c r="F69" s="539">
        <f>SUMIF($A$3:$A$65,"211",$F$3:$F$65)</f>
        <v>1993092656</v>
      </c>
      <c r="G69" s="539">
        <f>SUMIF($A$3:$A$65,"211",$G$3:$G$65)</f>
        <v>1993092656</v>
      </c>
      <c r="H69" s="539"/>
      <c r="I69" s="539">
        <f>SUMIF($A$3:$A$65,"211",$I$3:$I$65)</f>
        <v>0</v>
      </c>
      <c r="J69" s="539">
        <f>SUMIF($A$3:$A$65,"211",$J$3:$J$65)</f>
        <v>1993092656</v>
      </c>
      <c r="K69" s="539"/>
      <c r="L69" s="539">
        <f>SUMIF($A$3:$A$65,"211",$L$3:$L$65)</f>
        <v>0</v>
      </c>
      <c r="M69" s="539">
        <f>SUMIF($A$3:$A$65,"211",$M$3:$M$65)</f>
        <v>1993092656</v>
      </c>
      <c r="N69" s="539">
        <f>SUMIF($A$3:$A$65,"211",N$3:N$65)</f>
        <v>0</v>
      </c>
      <c r="O69" s="539">
        <f t="shared" ref="O69:Y69" si="33">SUMIF($A$3:$A$65,"211",O$3:O$65)</f>
        <v>425000000</v>
      </c>
      <c r="P69" s="539">
        <f t="shared" si="33"/>
        <v>177821516</v>
      </c>
      <c r="Q69" s="539">
        <f t="shared" si="33"/>
        <v>36770400</v>
      </c>
      <c r="R69" s="539">
        <f t="shared" si="33"/>
        <v>10000000</v>
      </c>
      <c r="S69" s="539">
        <f t="shared" si="33"/>
        <v>23500740</v>
      </c>
      <c r="T69" s="539">
        <f t="shared" si="33"/>
        <v>1300000000</v>
      </c>
      <c r="U69" s="539">
        <f t="shared" si="33"/>
        <v>20000000</v>
      </c>
      <c r="V69" s="539"/>
      <c r="W69" s="539">
        <f t="shared" si="33"/>
        <v>0</v>
      </c>
      <c r="X69" s="539"/>
      <c r="Y69" s="539">
        <f t="shared" si="33"/>
        <v>1993092656</v>
      </c>
    </row>
    <row r="70" spans="2:25" x14ac:dyDescent="0.2">
      <c r="B70" s="538" t="s">
        <v>2801</v>
      </c>
      <c r="C70" s="539">
        <f>SUMIF($A$3:$A$65,"310",$C$3:$C$65)</f>
        <v>1576970754</v>
      </c>
      <c r="D70" s="492"/>
      <c r="E70" s="539">
        <f>SUMIF($A$3:$A$65,"310",$E$3:$E$65)</f>
        <v>0</v>
      </c>
      <c r="F70" s="539">
        <f>SUMIF($A$3:$A$65,"310",$F$3:$F$65)</f>
        <v>1576970754</v>
      </c>
      <c r="G70" s="539">
        <f>SUMIF($A$3:$A$65,"310",$G$3:$G$65)</f>
        <v>1576970754</v>
      </c>
      <c r="H70" s="539"/>
      <c r="I70" s="539">
        <f>SUMIF($A$3:$A$65,"310",$I$3:$I$65)</f>
        <v>-37000000</v>
      </c>
      <c r="J70" s="539">
        <f>SUMIF($A$3:$A$65,"310",$J$3:$J$65)</f>
        <v>1539970754</v>
      </c>
      <c r="K70" s="539"/>
      <c r="L70" s="539">
        <f>SUMIF($A$3:$A$65,"310",$L$3:$L$65)</f>
        <v>-13000000</v>
      </c>
      <c r="M70" s="539">
        <f>SUMIF($A$3:$A$65,"310",$M$3:$M$65)</f>
        <v>1526970754</v>
      </c>
      <c r="N70" s="539">
        <f>SUMIF($A$3:$A$65,"310",N$3:N$65)</f>
        <v>1566970754</v>
      </c>
      <c r="O70" s="539">
        <f t="shared" ref="O70:Y70" si="34">SUMIF($A$3:$A$65,"310",O$3:O$65)</f>
        <v>0</v>
      </c>
      <c r="P70" s="539">
        <f t="shared" si="34"/>
        <v>0</v>
      </c>
      <c r="Q70" s="539">
        <f t="shared" si="34"/>
        <v>0</v>
      </c>
      <c r="R70" s="539">
        <f t="shared" si="34"/>
        <v>0</v>
      </c>
      <c r="S70" s="539">
        <f t="shared" si="34"/>
        <v>0</v>
      </c>
      <c r="T70" s="539">
        <f t="shared" si="34"/>
        <v>0</v>
      </c>
      <c r="U70" s="539">
        <f t="shared" si="34"/>
        <v>10000000</v>
      </c>
      <c r="V70" s="539"/>
      <c r="W70" s="539">
        <f t="shared" si="34"/>
        <v>0</v>
      </c>
      <c r="X70" s="539"/>
      <c r="Y70" s="539">
        <f t="shared" si="34"/>
        <v>1576970754</v>
      </c>
    </row>
    <row r="71" spans="2:25" x14ac:dyDescent="0.2">
      <c r="B71" s="538" t="s">
        <v>2802</v>
      </c>
      <c r="C71" s="539">
        <f>SUMIF($A$3:$A$65,"410",$C$3:$C$65)</f>
        <v>2461800000</v>
      </c>
      <c r="D71" s="492"/>
      <c r="E71" s="539">
        <f>SUMIF($A$3:$A$65,"410",$E$3:$E$65)</f>
        <v>0</v>
      </c>
      <c r="F71" s="539">
        <f>SUMIF($A$3:$A$65,"410",$F$3:$F$65)</f>
        <v>2461800000</v>
      </c>
      <c r="G71" s="539">
        <f>SUMIF($A$3:$A$65,"410",$G$3:$G$65)</f>
        <v>2461800000</v>
      </c>
      <c r="H71" s="539"/>
      <c r="I71" s="539">
        <f>SUMIF($A$3:$A$65,"410",$I$3:$I$65)</f>
        <v>20000000</v>
      </c>
      <c r="J71" s="539">
        <f>SUMIF($A$3:$A$65,"410",$J$3:$J$65)</f>
        <v>2481800000</v>
      </c>
      <c r="K71" s="539"/>
      <c r="L71" s="539">
        <f>SUMIF($A$3:$A$65,"410",$L$3:$L$65)</f>
        <v>0</v>
      </c>
      <c r="M71" s="539">
        <f>SUMIF($A$3:$A$65,"410",$M$3:$M$65)</f>
        <v>2481800000</v>
      </c>
      <c r="N71" s="539">
        <f>SUMIF($A$3:$A$65,"410",N$3:N$65)</f>
        <v>168931366</v>
      </c>
      <c r="O71" s="539">
        <f t="shared" ref="O71:Y71" si="35">SUMIF($A$3:$A$65,"410",O$3:O$65)</f>
        <v>500068634</v>
      </c>
      <c r="P71" s="539">
        <f t="shared" si="35"/>
        <v>0</v>
      </c>
      <c r="Q71" s="539">
        <f t="shared" si="35"/>
        <v>0</v>
      </c>
      <c r="R71" s="539">
        <f t="shared" si="35"/>
        <v>0</v>
      </c>
      <c r="S71" s="539">
        <f t="shared" si="35"/>
        <v>0</v>
      </c>
      <c r="T71" s="539">
        <f t="shared" si="35"/>
        <v>1416800000</v>
      </c>
      <c r="U71" s="539">
        <f t="shared" si="35"/>
        <v>376000000</v>
      </c>
      <c r="V71" s="539"/>
      <c r="W71" s="539">
        <f t="shared" si="35"/>
        <v>0</v>
      </c>
      <c r="X71" s="539"/>
      <c r="Y71" s="539">
        <f t="shared" si="35"/>
        <v>2461800000</v>
      </c>
    </row>
    <row r="72" spans="2:25" x14ac:dyDescent="0.2">
      <c r="B72" s="538" t="s">
        <v>2803</v>
      </c>
      <c r="C72" s="539">
        <f>SUMIF($A$3:$A$65,"510",$C$3:$C$65)</f>
        <v>895000000</v>
      </c>
      <c r="D72" s="492"/>
      <c r="E72" s="539">
        <f>SUMIF($A$3:$A$65,"510",$E$3:$E$65)</f>
        <v>11000000</v>
      </c>
      <c r="F72" s="539">
        <f>SUMIF($A$3:$A$65,"510",$F$3:$F$65)</f>
        <v>906000000</v>
      </c>
      <c r="G72" s="539">
        <f>SUMIF($A$3:$A$65,"510",$G$3:$G$65)</f>
        <v>906000000</v>
      </c>
      <c r="H72" s="539"/>
      <c r="I72" s="539">
        <f>SUMIF($A$3:$A$65,"510",$I$3:$I$65)</f>
        <v>0</v>
      </c>
      <c r="J72" s="539">
        <f>SUMIF($A$3:$A$65,"510",$J$3:$J$65)</f>
        <v>906000000</v>
      </c>
      <c r="K72" s="539"/>
      <c r="L72" s="539">
        <f>SUMIF($A$3:$A$65,"510",$L$3:$L$65)</f>
        <v>0</v>
      </c>
      <c r="M72" s="539">
        <f>SUMIF($A$3:$A$65,"510",$M$3:$M$65)</f>
        <v>906000000</v>
      </c>
      <c r="N72" s="539">
        <f>SUMIF($A$3:$A$65,"510",N$3:N$65)</f>
        <v>525000000</v>
      </c>
      <c r="O72" s="539">
        <f t="shared" ref="O72:Y72" si="36">SUMIF($A$3:$A$65,"510",O$3:O$65)</f>
        <v>0</v>
      </c>
      <c r="P72" s="539">
        <f t="shared" si="36"/>
        <v>0</v>
      </c>
      <c r="Q72" s="539">
        <f t="shared" si="36"/>
        <v>0</v>
      </c>
      <c r="R72" s="539">
        <f t="shared" si="36"/>
        <v>0</v>
      </c>
      <c r="S72" s="539">
        <f t="shared" si="36"/>
        <v>0</v>
      </c>
      <c r="T72" s="539">
        <f t="shared" si="36"/>
        <v>0</v>
      </c>
      <c r="U72" s="539">
        <f t="shared" si="36"/>
        <v>370000000</v>
      </c>
      <c r="V72" s="539"/>
      <c r="W72" s="539">
        <f t="shared" si="36"/>
        <v>0</v>
      </c>
      <c r="X72" s="539"/>
      <c r="Y72" s="539">
        <f t="shared" si="36"/>
        <v>895000000</v>
      </c>
    </row>
    <row r="73" spans="2:25" x14ac:dyDescent="0.2">
      <c r="B73" s="538" t="s">
        <v>2804</v>
      </c>
      <c r="C73" s="539">
        <f>SUMIF($A$3:$A$65,"520",$C$3:$C$65)</f>
        <v>420000000</v>
      </c>
      <c r="D73" s="492"/>
      <c r="E73" s="539">
        <f>SUMIF($A$3:$A$65,"520",$E$3:$E$65)</f>
        <v>-11000000</v>
      </c>
      <c r="F73" s="539">
        <f>SUMIF($A$3:$A$65,"520",$F$3:$F$65)</f>
        <v>409000000</v>
      </c>
      <c r="G73" s="539">
        <f>SUMIF($A$3:$A$65,"520",$G$3:$G$65)</f>
        <v>409000000</v>
      </c>
      <c r="H73" s="539"/>
      <c r="I73" s="539">
        <f>SUMIF($A$3:$A$65,"520",$I$3:$I$65)</f>
        <v>17000000</v>
      </c>
      <c r="J73" s="539">
        <f>SUMIF($A$3:$A$65,"520",$J$3:$J$65)</f>
        <v>426000000</v>
      </c>
      <c r="K73" s="539"/>
      <c r="L73" s="539">
        <f>SUMIF($A$3:$A$65,"520",$L$3:$L$65)</f>
        <v>13000000</v>
      </c>
      <c r="M73" s="539">
        <f>SUMIF($A$3:$A$65,"520",$M$3:$M$65)</f>
        <v>439000000</v>
      </c>
      <c r="N73" s="539">
        <f>SUMIF($A$3:$A$65,"520",N$3:N$65)</f>
        <v>215000000</v>
      </c>
      <c r="O73" s="539">
        <f t="shared" ref="O73:Y73" si="37">SUMIF($A$3:$A$65,"520",O$3:O$65)</f>
        <v>0</v>
      </c>
      <c r="P73" s="539">
        <f t="shared" si="37"/>
        <v>0</v>
      </c>
      <c r="Q73" s="539">
        <f t="shared" si="37"/>
        <v>0</v>
      </c>
      <c r="R73" s="539">
        <f t="shared" si="37"/>
        <v>0</v>
      </c>
      <c r="S73" s="539">
        <f t="shared" si="37"/>
        <v>0</v>
      </c>
      <c r="T73" s="539">
        <f t="shared" si="37"/>
        <v>100000000</v>
      </c>
      <c r="U73" s="539">
        <f t="shared" si="37"/>
        <v>105000000</v>
      </c>
      <c r="V73" s="539"/>
      <c r="W73" s="539">
        <f t="shared" si="37"/>
        <v>0</v>
      </c>
      <c r="X73" s="539"/>
      <c r="Y73" s="539">
        <f t="shared" si="37"/>
        <v>420000000</v>
      </c>
    </row>
    <row r="74" spans="2:25" ht="18" customHeight="1" x14ac:dyDescent="0.2">
      <c r="B74" s="540" t="s">
        <v>2805</v>
      </c>
      <c r="C74" s="541">
        <f>SUM(C68:C73)</f>
        <v>7816996570</v>
      </c>
      <c r="D74" s="492"/>
      <c r="E74" s="542">
        <f>SUM(E68:E73)</f>
        <v>0</v>
      </c>
      <c r="F74" s="542">
        <f>SUM(F68:F73)</f>
        <v>7816996570</v>
      </c>
      <c r="G74" s="542">
        <f>SUM(G68:G73)</f>
        <v>7816996570</v>
      </c>
      <c r="H74" s="539"/>
      <c r="I74" s="542">
        <f>SUM(I68:I73)</f>
        <v>0</v>
      </c>
      <c r="J74" s="542">
        <f>SUM(J68:J73)</f>
        <v>7816996570</v>
      </c>
      <c r="K74" s="539"/>
      <c r="L74" s="542">
        <f>SUM(L68:L73)</f>
        <v>0</v>
      </c>
      <c r="M74" s="542">
        <f>SUM(M68:M73)</f>
        <v>7816996570</v>
      </c>
      <c r="N74" s="541">
        <f>SUM(N68:N73)</f>
        <v>2475902120</v>
      </c>
      <c r="O74" s="541">
        <f t="shared" ref="O74:Y74" si="38">SUM(O68:O73)</f>
        <v>1325201794</v>
      </c>
      <c r="P74" s="541">
        <f t="shared" si="38"/>
        <v>177821516</v>
      </c>
      <c r="Q74" s="541">
        <f t="shared" si="38"/>
        <v>73270400</v>
      </c>
      <c r="R74" s="541">
        <f t="shared" si="38"/>
        <v>20000000</v>
      </c>
      <c r="S74" s="541">
        <f t="shared" si="38"/>
        <v>47000740</v>
      </c>
      <c r="T74" s="541">
        <f t="shared" si="38"/>
        <v>2816800000</v>
      </c>
      <c r="U74" s="541">
        <f t="shared" si="38"/>
        <v>881000000</v>
      </c>
      <c r="V74" s="541"/>
      <c r="W74" s="541">
        <f t="shared" si="38"/>
        <v>0</v>
      </c>
      <c r="X74" s="541"/>
      <c r="Y74" s="541">
        <f t="shared" si="38"/>
        <v>7816996570</v>
      </c>
    </row>
    <row r="75" spans="2:25" x14ac:dyDescent="0.2">
      <c r="B75" s="543" t="s">
        <v>2806</v>
      </c>
      <c r="C75" s="539">
        <f>SUMIF($A$3:$A$65,"301",$C$3:$C$65)</f>
        <v>1355000000</v>
      </c>
      <c r="D75" s="492"/>
      <c r="E75" s="539">
        <f>SUMIF($A$3:$A$65,"301",$E$3:$E$65)</f>
        <v>0</v>
      </c>
      <c r="F75" s="539">
        <f>SUMIF($A$3:$A$65,"301",$F$3:$F$65)</f>
        <v>1355000000</v>
      </c>
      <c r="G75" s="539">
        <f>SUMIF($A$3:$A$65,"301",$G$3:$G$65)</f>
        <v>1355000000</v>
      </c>
      <c r="H75" s="539"/>
      <c r="I75" s="539">
        <f>SUMIF($A$3:$A$65,"301",$I$3:$I$65)</f>
        <v>0</v>
      </c>
      <c r="J75" s="539">
        <f>SUMIF($A$3:$A$65,"301",$J$3:$J$65)</f>
        <v>1355000000</v>
      </c>
      <c r="K75" s="539"/>
      <c r="L75" s="539">
        <f>SUMIF($A$3:$A$65,"301",$L$3:$L$65)</f>
        <v>0</v>
      </c>
      <c r="M75" s="539">
        <f>SUMIF($A$3:$A$65,"301",$M$3:$M$65)</f>
        <v>1355000000</v>
      </c>
      <c r="N75" s="539">
        <f>SUMIF($A$3:$A$65,"301",N$3:N$65)</f>
        <v>0</v>
      </c>
      <c r="O75" s="539">
        <f t="shared" ref="O75:Y75" si="39">SUMIF($A$3:$A$65,"301",O$3:O$65)</f>
        <v>0</v>
      </c>
      <c r="P75" s="539">
        <f t="shared" si="39"/>
        <v>0</v>
      </c>
      <c r="Q75" s="539">
        <f t="shared" si="39"/>
        <v>0</v>
      </c>
      <c r="R75" s="539">
        <f t="shared" si="39"/>
        <v>0</v>
      </c>
      <c r="S75" s="539">
        <f t="shared" si="39"/>
        <v>0</v>
      </c>
      <c r="T75" s="539">
        <f t="shared" si="39"/>
        <v>0</v>
      </c>
      <c r="U75" s="539">
        <f t="shared" si="39"/>
        <v>0</v>
      </c>
      <c r="V75" s="539"/>
      <c r="W75" s="539">
        <f t="shared" si="39"/>
        <v>1355000000</v>
      </c>
      <c r="X75" s="539"/>
      <c r="Y75" s="539">
        <f t="shared" si="39"/>
        <v>1355000000</v>
      </c>
    </row>
    <row r="76" spans="2:25" x14ac:dyDescent="0.2">
      <c r="B76" s="540" t="s">
        <v>2807</v>
      </c>
      <c r="C76" s="541">
        <f>+C74+C75</f>
        <v>9171996570</v>
      </c>
      <c r="D76" s="492"/>
      <c r="E76" s="542">
        <f>+E74+E75</f>
        <v>0</v>
      </c>
      <c r="F76" s="542">
        <f>+F74+F75</f>
        <v>9171996570</v>
      </c>
      <c r="G76" s="542">
        <f>+G74+G75</f>
        <v>9171996570</v>
      </c>
      <c r="H76" s="539"/>
      <c r="I76" s="542">
        <f>+I74+I75</f>
        <v>0</v>
      </c>
      <c r="J76" s="542">
        <f>+J74+J75</f>
        <v>9171996570</v>
      </c>
      <c r="K76" s="539"/>
      <c r="L76" s="542">
        <f>+L74+L75</f>
        <v>0</v>
      </c>
      <c r="M76" s="542">
        <f>+M74+M75</f>
        <v>9171996570</v>
      </c>
      <c r="N76" s="541">
        <f>+N74+N75</f>
        <v>2475902120</v>
      </c>
      <c r="O76" s="541">
        <f t="shared" ref="O76:Y76" si="40">+O74+O75</f>
        <v>1325201794</v>
      </c>
      <c r="P76" s="541">
        <f t="shared" si="40"/>
        <v>177821516</v>
      </c>
      <c r="Q76" s="541">
        <f t="shared" si="40"/>
        <v>73270400</v>
      </c>
      <c r="R76" s="541">
        <f t="shared" si="40"/>
        <v>20000000</v>
      </c>
      <c r="S76" s="541">
        <f t="shared" si="40"/>
        <v>47000740</v>
      </c>
      <c r="T76" s="541">
        <f t="shared" si="40"/>
        <v>2816800000</v>
      </c>
      <c r="U76" s="541">
        <f t="shared" si="40"/>
        <v>881000000</v>
      </c>
      <c r="V76" s="541"/>
      <c r="W76" s="541">
        <f t="shared" si="40"/>
        <v>1355000000</v>
      </c>
      <c r="X76" s="541"/>
      <c r="Y76" s="541">
        <f t="shared" si="40"/>
        <v>9171996570</v>
      </c>
    </row>
    <row r="88" spans="2:2" x14ac:dyDescent="0.2">
      <c r="B88" s="544"/>
    </row>
  </sheetData>
  <mergeCells count="12">
    <mergeCell ref="I1:I2"/>
    <mergeCell ref="J1:J2"/>
    <mergeCell ref="L1:L2"/>
    <mergeCell ref="M1:M2"/>
    <mergeCell ref="N1:Y1"/>
    <mergeCell ref="F1:F2"/>
    <mergeCell ref="G1:G2"/>
    <mergeCell ref="B67:C67"/>
    <mergeCell ref="A1:A2"/>
    <mergeCell ref="B1:B2"/>
    <mergeCell ref="C1:C2"/>
    <mergeCell ref="E1:E2"/>
  </mergeCells>
  <pageMargins left="0.44" right="0.15748031496062992" top="0.78740157480314965" bottom="0.47244094488188981" header="0.55118110236220474" footer="0"/>
  <pageSetup scale="80" orientation="landscape" r:id="rId1"/>
  <headerFooter alignWithMargins="0">
    <oddHeader>&amp;C&amp;"-,Negrita"&amp;14PLAN OPERATIVO ANUAL DE INVERSIONES 2010</oddHeader>
    <oddFooter>&amp;L&amp;8UNIDAD DE PLANEAMIENTO ECONÓMICO Y ADMINISTRATIVO&amp;COFICINA DE PLANEACIÓN&amp;R&amp;D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S88"/>
  <sheetViews>
    <sheetView workbookViewId="0">
      <pane xSplit="6" ySplit="2" topLeftCell="O67" activePane="bottomRight" state="frozen"/>
      <selection pane="topRight" activeCell="G1" sqref="G1"/>
      <selection pane="bottomLeft" activeCell="A3" sqref="A3"/>
      <selection pane="bottomRight" activeCell="N71" sqref="N71"/>
    </sheetView>
  </sheetViews>
  <sheetFormatPr baseColWidth="10" defaultColWidth="11.42578125" defaultRowHeight="12.75" x14ac:dyDescent="0.2"/>
  <cols>
    <col min="1" max="1" width="5.5703125" style="495" customWidth="1"/>
    <col min="2" max="2" width="43.85546875" style="495" customWidth="1"/>
    <col min="3" max="3" width="17" style="495" customWidth="1"/>
    <col min="4" max="4" width="2.85546875" style="495" customWidth="1"/>
    <col min="5" max="5" width="17.140625" style="495" customWidth="1"/>
    <col min="6" max="6" width="17.28515625" style="495" customWidth="1"/>
    <col min="7" max="7" width="3.140625" style="495" customWidth="1"/>
    <col min="8" max="8" width="16.5703125" style="495" bestFit="1" customWidth="1"/>
    <col min="9" max="9" width="15.85546875" style="495" bestFit="1" customWidth="1"/>
    <col min="10" max="10" width="14.7109375" style="495" bestFit="1" customWidth="1"/>
    <col min="11" max="13" width="13.140625" style="495" customWidth="1"/>
    <col min="14" max="14" width="17.5703125" style="495" customWidth="1"/>
    <col min="15" max="15" width="14.7109375" style="495" bestFit="1" customWidth="1"/>
    <col min="16" max="16" width="14.7109375" style="495" customWidth="1"/>
    <col min="17" max="17" width="16.5703125" style="495" bestFit="1" customWidth="1"/>
    <col min="18" max="18" width="16.5703125" style="495" customWidth="1"/>
    <col min="19" max="19" width="16.5703125" style="495" bestFit="1" customWidth="1"/>
    <col min="20" max="212" width="11.42578125" style="495"/>
    <col min="213" max="213" width="5.5703125" style="495" customWidth="1"/>
    <col min="214" max="214" width="35.85546875" style="495" customWidth="1"/>
    <col min="215" max="215" width="16.85546875" style="495" customWidth="1"/>
    <col min="216" max="216" width="13.7109375" style="495" customWidth="1"/>
    <col min="217" max="217" width="17.140625" style="495" customWidth="1"/>
    <col min="218" max="219" width="17.85546875" style="495" customWidth="1"/>
    <col min="220" max="221" width="17.140625" style="495" customWidth="1"/>
    <col min="222" max="222" width="16.85546875" style="495" customWidth="1"/>
    <col min="223" max="223" width="20.5703125" style="495" customWidth="1"/>
    <col min="224" max="226" width="6.42578125" style="495" customWidth="1"/>
    <col min="227" max="227" width="15.85546875" style="495" customWidth="1"/>
    <col min="228" max="228" width="16" style="495" customWidth="1"/>
    <col min="229" max="229" width="15.7109375" style="495" customWidth="1"/>
    <col min="230" max="231" width="19.28515625" style="495" customWidth="1"/>
    <col min="232" max="232" width="18.140625" style="495" customWidth="1"/>
    <col min="233" max="233" width="16" style="495" customWidth="1"/>
    <col min="234" max="234" width="18" style="495" customWidth="1"/>
    <col min="235" max="235" width="17.85546875" style="495" customWidth="1"/>
    <col min="236" max="237" width="16.140625" style="495" customWidth="1"/>
    <col min="238" max="240" width="17.5703125" style="495" customWidth="1"/>
    <col min="241" max="241" width="13.7109375" style="495" customWidth="1"/>
    <col min="242" max="468" width="11.42578125" style="495"/>
    <col min="469" max="469" width="5.5703125" style="495" customWidth="1"/>
    <col min="470" max="470" width="35.85546875" style="495" customWidth="1"/>
    <col min="471" max="471" width="16.85546875" style="495" customWidth="1"/>
    <col min="472" max="472" width="13.7109375" style="495" customWidth="1"/>
    <col min="473" max="473" width="17.140625" style="495" customWidth="1"/>
    <col min="474" max="475" width="17.85546875" style="495" customWidth="1"/>
    <col min="476" max="477" width="17.140625" style="495" customWidth="1"/>
    <col min="478" max="478" width="16.85546875" style="495" customWidth="1"/>
    <col min="479" max="479" width="20.5703125" style="495" customWidth="1"/>
    <col min="480" max="482" width="6.42578125" style="495" customWidth="1"/>
    <col min="483" max="483" width="15.85546875" style="495" customWidth="1"/>
    <col min="484" max="484" width="16" style="495" customWidth="1"/>
    <col min="485" max="485" width="15.7109375" style="495" customWidth="1"/>
    <col min="486" max="487" width="19.28515625" style="495" customWidth="1"/>
    <col min="488" max="488" width="18.140625" style="495" customWidth="1"/>
    <col min="489" max="489" width="16" style="495" customWidth="1"/>
    <col min="490" max="490" width="18" style="495" customWidth="1"/>
    <col min="491" max="491" width="17.85546875" style="495" customWidth="1"/>
    <col min="492" max="493" width="16.140625" style="495" customWidth="1"/>
    <col min="494" max="496" width="17.5703125" style="495" customWidth="1"/>
    <col min="497" max="497" width="13.7109375" style="495" customWidth="1"/>
    <col min="498" max="724" width="11.42578125" style="495"/>
    <col min="725" max="725" width="5.5703125" style="495" customWidth="1"/>
    <col min="726" max="726" width="35.85546875" style="495" customWidth="1"/>
    <col min="727" max="727" width="16.85546875" style="495" customWidth="1"/>
    <col min="728" max="728" width="13.7109375" style="495" customWidth="1"/>
    <col min="729" max="729" width="17.140625" style="495" customWidth="1"/>
    <col min="730" max="731" width="17.85546875" style="495" customWidth="1"/>
    <col min="732" max="733" width="17.140625" style="495" customWidth="1"/>
    <col min="734" max="734" width="16.85546875" style="495" customWidth="1"/>
    <col min="735" max="735" width="20.5703125" style="495" customWidth="1"/>
    <col min="736" max="738" width="6.42578125" style="495" customWidth="1"/>
    <col min="739" max="739" width="15.85546875" style="495" customWidth="1"/>
    <col min="740" max="740" width="16" style="495" customWidth="1"/>
    <col min="741" max="741" width="15.7109375" style="495" customWidth="1"/>
    <col min="742" max="743" width="19.28515625" style="495" customWidth="1"/>
    <col min="744" max="744" width="18.140625" style="495" customWidth="1"/>
    <col min="745" max="745" width="16" style="495" customWidth="1"/>
    <col min="746" max="746" width="18" style="495" customWidth="1"/>
    <col min="747" max="747" width="17.85546875" style="495" customWidth="1"/>
    <col min="748" max="749" width="16.140625" style="495" customWidth="1"/>
    <col min="750" max="752" width="17.5703125" style="495" customWidth="1"/>
    <col min="753" max="753" width="13.7109375" style="495" customWidth="1"/>
    <col min="754" max="980" width="11.42578125" style="495"/>
    <col min="981" max="981" width="5.5703125" style="495" customWidth="1"/>
    <col min="982" max="982" width="35.85546875" style="495" customWidth="1"/>
    <col min="983" max="983" width="16.85546875" style="495" customWidth="1"/>
    <col min="984" max="984" width="13.7109375" style="495" customWidth="1"/>
    <col min="985" max="985" width="17.140625" style="495" customWidth="1"/>
    <col min="986" max="987" width="17.85546875" style="495" customWidth="1"/>
    <col min="988" max="989" width="17.140625" style="495" customWidth="1"/>
    <col min="990" max="990" width="16.85546875" style="495" customWidth="1"/>
    <col min="991" max="991" width="20.5703125" style="495" customWidth="1"/>
    <col min="992" max="994" width="6.42578125" style="495" customWidth="1"/>
    <col min="995" max="995" width="15.85546875" style="495" customWidth="1"/>
    <col min="996" max="996" width="16" style="495" customWidth="1"/>
    <col min="997" max="997" width="15.7109375" style="495" customWidth="1"/>
    <col min="998" max="999" width="19.28515625" style="495" customWidth="1"/>
    <col min="1000" max="1000" width="18.140625" style="495" customWidth="1"/>
    <col min="1001" max="1001" width="16" style="495" customWidth="1"/>
    <col min="1002" max="1002" width="18" style="495" customWidth="1"/>
    <col min="1003" max="1003" width="17.85546875" style="495" customWidth="1"/>
    <col min="1004" max="1005" width="16.140625" style="495" customWidth="1"/>
    <col min="1006" max="1008" width="17.5703125" style="495" customWidth="1"/>
    <col min="1009" max="1009" width="13.7109375" style="495" customWidth="1"/>
    <col min="1010" max="1236" width="11.42578125" style="495"/>
    <col min="1237" max="1237" width="5.5703125" style="495" customWidth="1"/>
    <col min="1238" max="1238" width="35.85546875" style="495" customWidth="1"/>
    <col min="1239" max="1239" width="16.85546875" style="495" customWidth="1"/>
    <col min="1240" max="1240" width="13.7109375" style="495" customWidth="1"/>
    <col min="1241" max="1241" width="17.140625" style="495" customWidth="1"/>
    <col min="1242" max="1243" width="17.85546875" style="495" customWidth="1"/>
    <col min="1244" max="1245" width="17.140625" style="495" customWidth="1"/>
    <col min="1246" max="1246" width="16.85546875" style="495" customWidth="1"/>
    <col min="1247" max="1247" width="20.5703125" style="495" customWidth="1"/>
    <col min="1248" max="1250" width="6.42578125" style="495" customWidth="1"/>
    <col min="1251" max="1251" width="15.85546875" style="495" customWidth="1"/>
    <col min="1252" max="1252" width="16" style="495" customWidth="1"/>
    <col min="1253" max="1253" width="15.7109375" style="495" customWidth="1"/>
    <col min="1254" max="1255" width="19.28515625" style="495" customWidth="1"/>
    <col min="1256" max="1256" width="18.140625" style="495" customWidth="1"/>
    <col min="1257" max="1257" width="16" style="495" customWidth="1"/>
    <col min="1258" max="1258" width="18" style="495" customWidth="1"/>
    <col min="1259" max="1259" width="17.85546875" style="495" customWidth="1"/>
    <col min="1260" max="1261" width="16.140625" style="495" customWidth="1"/>
    <col min="1262" max="1264" width="17.5703125" style="495" customWidth="1"/>
    <col min="1265" max="1265" width="13.7109375" style="495" customWidth="1"/>
    <col min="1266" max="1492" width="11.42578125" style="495"/>
    <col min="1493" max="1493" width="5.5703125" style="495" customWidth="1"/>
    <col min="1494" max="1494" width="35.85546875" style="495" customWidth="1"/>
    <col min="1495" max="1495" width="16.85546875" style="495" customWidth="1"/>
    <col min="1496" max="1496" width="13.7109375" style="495" customWidth="1"/>
    <col min="1497" max="1497" width="17.140625" style="495" customWidth="1"/>
    <col min="1498" max="1499" width="17.85546875" style="495" customWidth="1"/>
    <col min="1500" max="1501" width="17.140625" style="495" customWidth="1"/>
    <col min="1502" max="1502" width="16.85546875" style="495" customWidth="1"/>
    <col min="1503" max="1503" width="20.5703125" style="495" customWidth="1"/>
    <col min="1504" max="1506" width="6.42578125" style="495" customWidth="1"/>
    <col min="1507" max="1507" width="15.85546875" style="495" customWidth="1"/>
    <col min="1508" max="1508" width="16" style="495" customWidth="1"/>
    <col min="1509" max="1509" width="15.7109375" style="495" customWidth="1"/>
    <col min="1510" max="1511" width="19.28515625" style="495" customWidth="1"/>
    <col min="1512" max="1512" width="18.140625" style="495" customWidth="1"/>
    <col min="1513" max="1513" width="16" style="495" customWidth="1"/>
    <col min="1514" max="1514" width="18" style="495" customWidth="1"/>
    <col min="1515" max="1515" width="17.85546875" style="495" customWidth="1"/>
    <col min="1516" max="1517" width="16.140625" style="495" customWidth="1"/>
    <col min="1518" max="1520" width="17.5703125" style="495" customWidth="1"/>
    <col min="1521" max="1521" width="13.7109375" style="495" customWidth="1"/>
    <col min="1522" max="1748" width="11.42578125" style="495"/>
    <col min="1749" max="1749" width="5.5703125" style="495" customWidth="1"/>
    <col min="1750" max="1750" width="35.85546875" style="495" customWidth="1"/>
    <col min="1751" max="1751" width="16.85546875" style="495" customWidth="1"/>
    <col min="1752" max="1752" width="13.7109375" style="495" customWidth="1"/>
    <col min="1753" max="1753" width="17.140625" style="495" customWidth="1"/>
    <col min="1754" max="1755" width="17.85546875" style="495" customWidth="1"/>
    <col min="1756" max="1757" width="17.140625" style="495" customWidth="1"/>
    <col min="1758" max="1758" width="16.85546875" style="495" customWidth="1"/>
    <col min="1759" max="1759" width="20.5703125" style="495" customWidth="1"/>
    <col min="1760" max="1762" width="6.42578125" style="495" customWidth="1"/>
    <col min="1763" max="1763" width="15.85546875" style="495" customWidth="1"/>
    <col min="1764" max="1764" width="16" style="495" customWidth="1"/>
    <col min="1765" max="1765" width="15.7109375" style="495" customWidth="1"/>
    <col min="1766" max="1767" width="19.28515625" style="495" customWidth="1"/>
    <col min="1768" max="1768" width="18.140625" style="495" customWidth="1"/>
    <col min="1769" max="1769" width="16" style="495" customWidth="1"/>
    <col min="1770" max="1770" width="18" style="495" customWidth="1"/>
    <col min="1771" max="1771" width="17.85546875" style="495" customWidth="1"/>
    <col min="1772" max="1773" width="16.140625" style="495" customWidth="1"/>
    <col min="1774" max="1776" width="17.5703125" style="495" customWidth="1"/>
    <col min="1777" max="1777" width="13.7109375" style="495" customWidth="1"/>
    <col min="1778" max="2004" width="11.42578125" style="495"/>
    <col min="2005" max="2005" width="5.5703125" style="495" customWidth="1"/>
    <col min="2006" max="2006" width="35.85546875" style="495" customWidth="1"/>
    <col min="2007" max="2007" width="16.85546875" style="495" customWidth="1"/>
    <col min="2008" max="2008" width="13.7109375" style="495" customWidth="1"/>
    <col min="2009" max="2009" width="17.140625" style="495" customWidth="1"/>
    <col min="2010" max="2011" width="17.85546875" style="495" customWidth="1"/>
    <col min="2012" max="2013" width="17.140625" style="495" customWidth="1"/>
    <col min="2014" max="2014" width="16.85546875" style="495" customWidth="1"/>
    <col min="2015" max="2015" width="20.5703125" style="495" customWidth="1"/>
    <col min="2016" max="2018" width="6.42578125" style="495" customWidth="1"/>
    <col min="2019" max="2019" width="15.85546875" style="495" customWidth="1"/>
    <col min="2020" max="2020" width="16" style="495" customWidth="1"/>
    <col min="2021" max="2021" width="15.7109375" style="495" customWidth="1"/>
    <col min="2022" max="2023" width="19.28515625" style="495" customWidth="1"/>
    <col min="2024" max="2024" width="18.140625" style="495" customWidth="1"/>
    <col min="2025" max="2025" width="16" style="495" customWidth="1"/>
    <col min="2026" max="2026" width="18" style="495" customWidth="1"/>
    <col min="2027" max="2027" width="17.85546875" style="495" customWidth="1"/>
    <col min="2028" max="2029" width="16.140625" style="495" customWidth="1"/>
    <col min="2030" max="2032" width="17.5703125" style="495" customWidth="1"/>
    <col min="2033" max="2033" width="13.7109375" style="495" customWidth="1"/>
    <col min="2034" max="2260" width="11.42578125" style="495"/>
    <col min="2261" max="2261" width="5.5703125" style="495" customWidth="1"/>
    <col min="2262" max="2262" width="35.85546875" style="495" customWidth="1"/>
    <col min="2263" max="2263" width="16.85546875" style="495" customWidth="1"/>
    <col min="2264" max="2264" width="13.7109375" style="495" customWidth="1"/>
    <col min="2265" max="2265" width="17.140625" style="495" customWidth="1"/>
    <col min="2266" max="2267" width="17.85546875" style="495" customWidth="1"/>
    <col min="2268" max="2269" width="17.140625" style="495" customWidth="1"/>
    <col min="2270" max="2270" width="16.85546875" style="495" customWidth="1"/>
    <col min="2271" max="2271" width="20.5703125" style="495" customWidth="1"/>
    <col min="2272" max="2274" width="6.42578125" style="495" customWidth="1"/>
    <col min="2275" max="2275" width="15.85546875" style="495" customWidth="1"/>
    <col min="2276" max="2276" width="16" style="495" customWidth="1"/>
    <col min="2277" max="2277" width="15.7109375" style="495" customWidth="1"/>
    <col min="2278" max="2279" width="19.28515625" style="495" customWidth="1"/>
    <col min="2280" max="2280" width="18.140625" style="495" customWidth="1"/>
    <col min="2281" max="2281" width="16" style="495" customWidth="1"/>
    <col min="2282" max="2282" width="18" style="495" customWidth="1"/>
    <col min="2283" max="2283" width="17.85546875" style="495" customWidth="1"/>
    <col min="2284" max="2285" width="16.140625" style="495" customWidth="1"/>
    <col min="2286" max="2288" width="17.5703125" style="495" customWidth="1"/>
    <col min="2289" max="2289" width="13.7109375" style="495" customWidth="1"/>
    <col min="2290" max="2516" width="11.42578125" style="495"/>
    <col min="2517" max="2517" width="5.5703125" style="495" customWidth="1"/>
    <col min="2518" max="2518" width="35.85546875" style="495" customWidth="1"/>
    <col min="2519" max="2519" width="16.85546875" style="495" customWidth="1"/>
    <col min="2520" max="2520" width="13.7109375" style="495" customWidth="1"/>
    <col min="2521" max="2521" width="17.140625" style="495" customWidth="1"/>
    <col min="2522" max="2523" width="17.85546875" style="495" customWidth="1"/>
    <col min="2524" max="2525" width="17.140625" style="495" customWidth="1"/>
    <col min="2526" max="2526" width="16.85546875" style="495" customWidth="1"/>
    <col min="2527" max="2527" width="20.5703125" style="495" customWidth="1"/>
    <col min="2528" max="2530" width="6.42578125" style="495" customWidth="1"/>
    <col min="2531" max="2531" width="15.85546875" style="495" customWidth="1"/>
    <col min="2532" max="2532" width="16" style="495" customWidth="1"/>
    <col min="2533" max="2533" width="15.7109375" style="495" customWidth="1"/>
    <col min="2534" max="2535" width="19.28515625" style="495" customWidth="1"/>
    <col min="2536" max="2536" width="18.140625" style="495" customWidth="1"/>
    <col min="2537" max="2537" width="16" style="495" customWidth="1"/>
    <col min="2538" max="2538" width="18" style="495" customWidth="1"/>
    <col min="2539" max="2539" width="17.85546875" style="495" customWidth="1"/>
    <col min="2540" max="2541" width="16.140625" style="495" customWidth="1"/>
    <col min="2542" max="2544" width="17.5703125" style="495" customWidth="1"/>
    <col min="2545" max="2545" width="13.7109375" style="495" customWidth="1"/>
    <col min="2546" max="2772" width="11.42578125" style="495"/>
    <col min="2773" max="2773" width="5.5703125" style="495" customWidth="1"/>
    <col min="2774" max="2774" width="35.85546875" style="495" customWidth="1"/>
    <col min="2775" max="2775" width="16.85546875" style="495" customWidth="1"/>
    <col min="2776" max="2776" width="13.7109375" style="495" customWidth="1"/>
    <col min="2777" max="2777" width="17.140625" style="495" customWidth="1"/>
    <col min="2778" max="2779" width="17.85546875" style="495" customWidth="1"/>
    <col min="2780" max="2781" width="17.140625" style="495" customWidth="1"/>
    <col min="2782" max="2782" width="16.85546875" style="495" customWidth="1"/>
    <col min="2783" max="2783" width="20.5703125" style="495" customWidth="1"/>
    <col min="2784" max="2786" width="6.42578125" style="495" customWidth="1"/>
    <col min="2787" max="2787" width="15.85546875" style="495" customWidth="1"/>
    <col min="2788" max="2788" width="16" style="495" customWidth="1"/>
    <col min="2789" max="2789" width="15.7109375" style="495" customWidth="1"/>
    <col min="2790" max="2791" width="19.28515625" style="495" customWidth="1"/>
    <col min="2792" max="2792" width="18.140625" style="495" customWidth="1"/>
    <col min="2793" max="2793" width="16" style="495" customWidth="1"/>
    <col min="2794" max="2794" width="18" style="495" customWidth="1"/>
    <col min="2795" max="2795" width="17.85546875" style="495" customWidth="1"/>
    <col min="2796" max="2797" width="16.140625" style="495" customWidth="1"/>
    <col min="2798" max="2800" width="17.5703125" style="495" customWidth="1"/>
    <col min="2801" max="2801" width="13.7109375" style="495" customWidth="1"/>
    <col min="2802" max="3028" width="11.42578125" style="495"/>
    <col min="3029" max="3029" width="5.5703125" style="495" customWidth="1"/>
    <col min="3030" max="3030" width="35.85546875" style="495" customWidth="1"/>
    <col min="3031" max="3031" width="16.85546875" style="495" customWidth="1"/>
    <col min="3032" max="3032" width="13.7109375" style="495" customWidth="1"/>
    <col min="3033" max="3033" width="17.140625" style="495" customWidth="1"/>
    <col min="3034" max="3035" width="17.85546875" style="495" customWidth="1"/>
    <col min="3036" max="3037" width="17.140625" style="495" customWidth="1"/>
    <col min="3038" max="3038" width="16.85546875" style="495" customWidth="1"/>
    <col min="3039" max="3039" width="20.5703125" style="495" customWidth="1"/>
    <col min="3040" max="3042" width="6.42578125" style="495" customWidth="1"/>
    <col min="3043" max="3043" width="15.85546875" style="495" customWidth="1"/>
    <col min="3044" max="3044" width="16" style="495" customWidth="1"/>
    <col min="3045" max="3045" width="15.7109375" style="495" customWidth="1"/>
    <col min="3046" max="3047" width="19.28515625" style="495" customWidth="1"/>
    <col min="3048" max="3048" width="18.140625" style="495" customWidth="1"/>
    <col min="3049" max="3049" width="16" style="495" customWidth="1"/>
    <col min="3050" max="3050" width="18" style="495" customWidth="1"/>
    <col min="3051" max="3051" width="17.85546875" style="495" customWidth="1"/>
    <col min="3052" max="3053" width="16.140625" style="495" customWidth="1"/>
    <col min="3054" max="3056" width="17.5703125" style="495" customWidth="1"/>
    <col min="3057" max="3057" width="13.7109375" style="495" customWidth="1"/>
    <col min="3058" max="3284" width="11.42578125" style="495"/>
    <col min="3285" max="3285" width="5.5703125" style="495" customWidth="1"/>
    <col min="3286" max="3286" width="35.85546875" style="495" customWidth="1"/>
    <col min="3287" max="3287" width="16.85546875" style="495" customWidth="1"/>
    <col min="3288" max="3288" width="13.7109375" style="495" customWidth="1"/>
    <col min="3289" max="3289" width="17.140625" style="495" customWidth="1"/>
    <col min="3290" max="3291" width="17.85546875" style="495" customWidth="1"/>
    <col min="3292" max="3293" width="17.140625" style="495" customWidth="1"/>
    <col min="3294" max="3294" width="16.85546875" style="495" customWidth="1"/>
    <col min="3295" max="3295" width="20.5703125" style="495" customWidth="1"/>
    <col min="3296" max="3298" width="6.42578125" style="495" customWidth="1"/>
    <col min="3299" max="3299" width="15.85546875" style="495" customWidth="1"/>
    <col min="3300" max="3300" width="16" style="495" customWidth="1"/>
    <col min="3301" max="3301" width="15.7109375" style="495" customWidth="1"/>
    <col min="3302" max="3303" width="19.28515625" style="495" customWidth="1"/>
    <col min="3304" max="3304" width="18.140625" style="495" customWidth="1"/>
    <col min="3305" max="3305" width="16" style="495" customWidth="1"/>
    <col min="3306" max="3306" width="18" style="495" customWidth="1"/>
    <col min="3307" max="3307" width="17.85546875" style="495" customWidth="1"/>
    <col min="3308" max="3309" width="16.140625" style="495" customWidth="1"/>
    <col min="3310" max="3312" width="17.5703125" style="495" customWidth="1"/>
    <col min="3313" max="3313" width="13.7109375" style="495" customWidth="1"/>
    <col min="3314" max="3540" width="11.42578125" style="495"/>
    <col min="3541" max="3541" width="5.5703125" style="495" customWidth="1"/>
    <col min="3542" max="3542" width="35.85546875" style="495" customWidth="1"/>
    <col min="3543" max="3543" width="16.85546875" style="495" customWidth="1"/>
    <col min="3544" max="3544" width="13.7109375" style="495" customWidth="1"/>
    <col min="3545" max="3545" width="17.140625" style="495" customWidth="1"/>
    <col min="3546" max="3547" width="17.85546875" style="495" customWidth="1"/>
    <col min="3548" max="3549" width="17.140625" style="495" customWidth="1"/>
    <col min="3550" max="3550" width="16.85546875" style="495" customWidth="1"/>
    <col min="3551" max="3551" width="20.5703125" style="495" customWidth="1"/>
    <col min="3552" max="3554" width="6.42578125" style="495" customWidth="1"/>
    <col min="3555" max="3555" width="15.85546875" style="495" customWidth="1"/>
    <col min="3556" max="3556" width="16" style="495" customWidth="1"/>
    <col min="3557" max="3557" width="15.7109375" style="495" customWidth="1"/>
    <col min="3558" max="3559" width="19.28515625" style="495" customWidth="1"/>
    <col min="3560" max="3560" width="18.140625" style="495" customWidth="1"/>
    <col min="3561" max="3561" width="16" style="495" customWidth="1"/>
    <col min="3562" max="3562" width="18" style="495" customWidth="1"/>
    <col min="3563" max="3563" width="17.85546875" style="495" customWidth="1"/>
    <col min="3564" max="3565" width="16.140625" style="495" customWidth="1"/>
    <col min="3566" max="3568" width="17.5703125" style="495" customWidth="1"/>
    <col min="3569" max="3569" width="13.7109375" style="495" customWidth="1"/>
    <col min="3570" max="3796" width="11.42578125" style="495"/>
    <col min="3797" max="3797" width="5.5703125" style="495" customWidth="1"/>
    <col min="3798" max="3798" width="35.85546875" style="495" customWidth="1"/>
    <col min="3799" max="3799" width="16.85546875" style="495" customWidth="1"/>
    <col min="3800" max="3800" width="13.7109375" style="495" customWidth="1"/>
    <col min="3801" max="3801" width="17.140625" style="495" customWidth="1"/>
    <col min="3802" max="3803" width="17.85546875" style="495" customWidth="1"/>
    <col min="3804" max="3805" width="17.140625" style="495" customWidth="1"/>
    <col min="3806" max="3806" width="16.85546875" style="495" customWidth="1"/>
    <col min="3807" max="3807" width="20.5703125" style="495" customWidth="1"/>
    <col min="3808" max="3810" width="6.42578125" style="495" customWidth="1"/>
    <col min="3811" max="3811" width="15.85546875" style="495" customWidth="1"/>
    <col min="3812" max="3812" width="16" style="495" customWidth="1"/>
    <col min="3813" max="3813" width="15.7109375" style="495" customWidth="1"/>
    <col min="3814" max="3815" width="19.28515625" style="495" customWidth="1"/>
    <col min="3816" max="3816" width="18.140625" style="495" customWidth="1"/>
    <col min="3817" max="3817" width="16" style="495" customWidth="1"/>
    <col min="3818" max="3818" width="18" style="495" customWidth="1"/>
    <col min="3819" max="3819" width="17.85546875" style="495" customWidth="1"/>
    <col min="3820" max="3821" width="16.140625" style="495" customWidth="1"/>
    <col min="3822" max="3824" width="17.5703125" style="495" customWidth="1"/>
    <col min="3825" max="3825" width="13.7109375" style="495" customWidth="1"/>
    <col min="3826" max="4052" width="11.42578125" style="495"/>
    <col min="4053" max="4053" width="5.5703125" style="495" customWidth="1"/>
    <col min="4054" max="4054" width="35.85546875" style="495" customWidth="1"/>
    <col min="4055" max="4055" width="16.85546875" style="495" customWidth="1"/>
    <col min="4056" max="4056" width="13.7109375" style="495" customWidth="1"/>
    <col min="4057" max="4057" width="17.140625" style="495" customWidth="1"/>
    <col min="4058" max="4059" width="17.85546875" style="495" customWidth="1"/>
    <col min="4060" max="4061" width="17.140625" style="495" customWidth="1"/>
    <col min="4062" max="4062" width="16.85546875" style="495" customWidth="1"/>
    <col min="4063" max="4063" width="20.5703125" style="495" customWidth="1"/>
    <col min="4064" max="4066" width="6.42578125" style="495" customWidth="1"/>
    <col min="4067" max="4067" width="15.85546875" style="495" customWidth="1"/>
    <col min="4068" max="4068" width="16" style="495" customWidth="1"/>
    <col min="4069" max="4069" width="15.7109375" style="495" customWidth="1"/>
    <col min="4070" max="4071" width="19.28515625" style="495" customWidth="1"/>
    <col min="4072" max="4072" width="18.140625" style="495" customWidth="1"/>
    <col min="4073" max="4073" width="16" style="495" customWidth="1"/>
    <col min="4074" max="4074" width="18" style="495" customWidth="1"/>
    <col min="4075" max="4075" width="17.85546875" style="495" customWidth="1"/>
    <col min="4076" max="4077" width="16.140625" style="495" customWidth="1"/>
    <col min="4078" max="4080" width="17.5703125" style="495" customWidth="1"/>
    <col min="4081" max="4081" width="13.7109375" style="495" customWidth="1"/>
    <col min="4082" max="4308" width="11.42578125" style="495"/>
    <col min="4309" max="4309" width="5.5703125" style="495" customWidth="1"/>
    <col min="4310" max="4310" width="35.85546875" style="495" customWidth="1"/>
    <col min="4311" max="4311" width="16.85546875" style="495" customWidth="1"/>
    <col min="4312" max="4312" width="13.7109375" style="495" customWidth="1"/>
    <col min="4313" max="4313" width="17.140625" style="495" customWidth="1"/>
    <col min="4314" max="4315" width="17.85546875" style="495" customWidth="1"/>
    <col min="4316" max="4317" width="17.140625" style="495" customWidth="1"/>
    <col min="4318" max="4318" width="16.85546875" style="495" customWidth="1"/>
    <col min="4319" max="4319" width="20.5703125" style="495" customWidth="1"/>
    <col min="4320" max="4322" width="6.42578125" style="495" customWidth="1"/>
    <col min="4323" max="4323" width="15.85546875" style="495" customWidth="1"/>
    <col min="4324" max="4324" width="16" style="495" customWidth="1"/>
    <col min="4325" max="4325" width="15.7109375" style="495" customWidth="1"/>
    <col min="4326" max="4327" width="19.28515625" style="495" customWidth="1"/>
    <col min="4328" max="4328" width="18.140625" style="495" customWidth="1"/>
    <col min="4329" max="4329" width="16" style="495" customWidth="1"/>
    <col min="4330" max="4330" width="18" style="495" customWidth="1"/>
    <col min="4331" max="4331" width="17.85546875" style="495" customWidth="1"/>
    <col min="4332" max="4333" width="16.140625" style="495" customWidth="1"/>
    <col min="4334" max="4336" width="17.5703125" style="495" customWidth="1"/>
    <col min="4337" max="4337" width="13.7109375" style="495" customWidth="1"/>
    <col min="4338" max="4564" width="11.42578125" style="495"/>
    <col min="4565" max="4565" width="5.5703125" style="495" customWidth="1"/>
    <col min="4566" max="4566" width="35.85546875" style="495" customWidth="1"/>
    <col min="4567" max="4567" width="16.85546875" style="495" customWidth="1"/>
    <col min="4568" max="4568" width="13.7109375" style="495" customWidth="1"/>
    <col min="4569" max="4569" width="17.140625" style="495" customWidth="1"/>
    <col min="4570" max="4571" width="17.85546875" style="495" customWidth="1"/>
    <col min="4572" max="4573" width="17.140625" style="495" customWidth="1"/>
    <col min="4574" max="4574" width="16.85546875" style="495" customWidth="1"/>
    <col min="4575" max="4575" width="20.5703125" style="495" customWidth="1"/>
    <col min="4576" max="4578" width="6.42578125" style="495" customWidth="1"/>
    <col min="4579" max="4579" width="15.85546875" style="495" customWidth="1"/>
    <col min="4580" max="4580" width="16" style="495" customWidth="1"/>
    <col min="4581" max="4581" width="15.7109375" style="495" customWidth="1"/>
    <col min="4582" max="4583" width="19.28515625" style="495" customWidth="1"/>
    <col min="4584" max="4584" width="18.140625" style="495" customWidth="1"/>
    <col min="4585" max="4585" width="16" style="495" customWidth="1"/>
    <col min="4586" max="4586" width="18" style="495" customWidth="1"/>
    <col min="4587" max="4587" width="17.85546875" style="495" customWidth="1"/>
    <col min="4588" max="4589" width="16.140625" style="495" customWidth="1"/>
    <col min="4590" max="4592" width="17.5703125" style="495" customWidth="1"/>
    <col min="4593" max="4593" width="13.7109375" style="495" customWidth="1"/>
    <col min="4594" max="4820" width="11.42578125" style="495"/>
    <col min="4821" max="4821" width="5.5703125" style="495" customWidth="1"/>
    <col min="4822" max="4822" width="35.85546875" style="495" customWidth="1"/>
    <col min="4823" max="4823" width="16.85546875" style="495" customWidth="1"/>
    <col min="4824" max="4824" width="13.7109375" style="495" customWidth="1"/>
    <col min="4825" max="4825" width="17.140625" style="495" customWidth="1"/>
    <col min="4826" max="4827" width="17.85546875" style="495" customWidth="1"/>
    <col min="4828" max="4829" width="17.140625" style="495" customWidth="1"/>
    <col min="4830" max="4830" width="16.85546875" style="495" customWidth="1"/>
    <col min="4831" max="4831" width="20.5703125" style="495" customWidth="1"/>
    <col min="4832" max="4834" width="6.42578125" style="495" customWidth="1"/>
    <col min="4835" max="4835" width="15.85546875" style="495" customWidth="1"/>
    <col min="4836" max="4836" width="16" style="495" customWidth="1"/>
    <col min="4837" max="4837" width="15.7109375" style="495" customWidth="1"/>
    <col min="4838" max="4839" width="19.28515625" style="495" customWidth="1"/>
    <col min="4840" max="4840" width="18.140625" style="495" customWidth="1"/>
    <col min="4841" max="4841" width="16" style="495" customWidth="1"/>
    <col min="4842" max="4842" width="18" style="495" customWidth="1"/>
    <col min="4843" max="4843" width="17.85546875" style="495" customWidth="1"/>
    <col min="4844" max="4845" width="16.140625" style="495" customWidth="1"/>
    <col min="4846" max="4848" width="17.5703125" style="495" customWidth="1"/>
    <col min="4849" max="4849" width="13.7109375" style="495" customWidth="1"/>
    <col min="4850" max="5076" width="11.42578125" style="495"/>
    <col min="5077" max="5077" width="5.5703125" style="495" customWidth="1"/>
    <col min="5078" max="5078" width="35.85546875" style="495" customWidth="1"/>
    <col min="5079" max="5079" width="16.85546875" style="495" customWidth="1"/>
    <col min="5080" max="5080" width="13.7109375" style="495" customWidth="1"/>
    <col min="5081" max="5081" width="17.140625" style="495" customWidth="1"/>
    <col min="5082" max="5083" width="17.85546875" style="495" customWidth="1"/>
    <col min="5084" max="5085" width="17.140625" style="495" customWidth="1"/>
    <col min="5086" max="5086" width="16.85546875" style="495" customWidth="1"/>
    <col min="5087" max="5087" width="20.5703125" style="495" customWidth="1"/>
    <col min="5088" max="5090" width="6.42578125" style="495" customWidth="1"/>
    <col min="5091" max="5091" width="15.85546875" style="495" customWidth="1"/>
    <col min="5092" max="5092" width="16" style="495" customWidth="1"/>
    <col min="5093" max="5093" width="15.7109375" style="495" customWidth="1"/>
    <col min="5094" max="5095" width="19.28515625" style="495" customWidth="1"/>
    <col min="5096" max="5096" width="18.140625" style="495" customWidth="1"/>
    <col min="5097" max="5097" width="16" style="495" customWidth="1"/>
    <col min="5098" max="5098" width="18" style="495" customWidth="1"/>
    <col min="5099" max="5099" width="17.85546875" style="495" customWidth="1"/>
    <col min="5100" max="5101" width="16.140625" style="495" customWidth="1"/>
    <col min="5102" max="5104" width="17.5703125" style="495" customWidth="1"/>
    <col min="5105" max="5105" width="13.7109375" style="495" customWidth="1"/>
    <col min="5106" max="5332" width="11.42578125" style="495"/>
    <col min="5333" max="5333" width="5.5703125" style="495" customWidth="1"/>
    <col min="5334" max="5334" width="35.85546875" style="495" customWidth="1"/>
    <col min="5335" max="5335" width="16.85546875" style="495" customWidth="1"/>
    <col min="5336" max="5336" width="13.7109375" style="495" customWidth="1"/>
    <col min="5337" max="5337" width="17.140625" style="495" customWidth="1"/>
    <col min="5338" max="5339" width="17.85546875" style="495" customWidth="1"/>
    <col min="5340" max="5341" width="17.140625" style="495" customWidth="1"/>
    <col min="5342" max="5342" width="16.85546875" style="495" customWidth="1"/>
    <col min="5343" max="5343" width="20.5703125" style="495" customWidth="1"/>
    <col min="5344" max="5346" width="6.42578125" style="495" customWidth="1"/>
    <col min="5347" max="5347" width="15.85546875" style="495" customWidth="1"/>
    <col min="5348" max="5348" width="16" style="495" customWidth="1"/>
    <col min="5349" max="5349" width="15.7109375" style="495" customWidth="1"/>
    <col min="5350" max="5351" width="19.28515625" style="495" customWidth="1"/>
    <col min="5352" max="5352" width="18.140625" style="495" customWidth="1"/>
    <col min="5353" max="5353" width="16" style="495" customWidth="1"/>
    <col min="5354" max="5354" width="18" style="495" customWidth="1"/>
    <col min="5355" max="5355" width="17.85546875" style="495" customWidth="1"/>
    <col min="5356" max="5357" width="16.140625" style="495" customWidth="1"/>
    <col min="5358" max="5360" width="17.5703125" style="495" customWidth="1"/>
    <col min="5361" max="5361" width="13.7109375" style="495" customWidth="1"/>
    <col min="5362" max="5588" width="11.42578125" style="495"/>
    <col min="5589" max="5589" width="5.5703125" style="495" customWidth="1"/>
    <col min="5590" max="5590" width="35.85546875" style="495" customWidth="1"/>
    <col min="5591" max="5591" width="16.85546875" style="495" customWidth="1"/>
    <col min="5592" max="5592" width="13.7109375" style="495" customWidth="1"/>
    <col min="5593" max="5593" width="17.140625" style="495" customWidth="1"/>
    <col min="5594" max="5595" width="17.85546875" style="495" customWidth="1"/>
    <col min="5596" max="5597" width="17.140625" style="495" customWidth="1"/>
    <col min="5598" max="5598" width="16.85546875" style="495" customWidth="1"/>
    <col min="5599" max="5599" width="20.5703125" style="495" customWidth="1"/>
    <col min="5600" max="5602" width="6.42578125" style="495" customWidth="1"/>
    <col min="5603" max="5603" width="15.85546875" style="495" customWidth="1"/>
    <col min="5604" max="5604" width="16" style="495" customWidth="1"/>
    <col min="5605" max="5605" width="15.7109375" style="495" customWidth="1"/>
    <col min="5606" max="5607" width="19.28515625" style="495" customWidth="1"/>
    <col min="5608" max="5608" width="18.140625" style="495" customWidth="1"/>
    <col min="5609" max="5609" width="16" style="495" customWidth="1"/>
    <col min="5610" max="5610" width="18" style="495" customWidth="1"/>
    <col min="5611" max="5611" width="17.85546875" style="495" customWidth="1"/>
    <col min="5612" max="5613" width="16.140625" style="495" customWidth="1"/>
    <col min="5614" max="5616" width="17.5703125" style="495" customWidth="1"/>
    <col min="5617" max="5617" width="13.7109375" style="495" customWidth="1"/>
    <col min="5618" max="5844" width="11.42578125" style="495"/>
    <col min="5845" max="5845" width="5.5703125" style="495" customWidth="1"/>
    <col min="5846" max="5846" width="35.85546875" style="495" customWidth="1"/>
    <col min="5847" max="5847" width="16.85546875" style="495" customWidth="1"/>
    <col min="5848" max="5848" width="13.7109375" style="495" customWidth="1"/>
    <col min="5849" max="5849" width="17.140625" style="495" customWidth="1"/>
    <col min="5850" max="5851" width="17.85546875" style="495" customWidth="1"/>
    <col min="5852" max="5853" width="17.140625" style="495" customWidth="1"/>
    <col min="5854" max="5854" width="16.85546875" style="495" customWidth="1"/>
    <col min="5855" max="5855" width="20.5703125" style="495" customWidth="1"/>
    <col min="5856" max="5858" width="6.42578125" style="495" customWidth="1"/>
    <col min="5859" max="5859" width="15.85546875" style="495" customWidth="1"/>
    <col min="5860" max="5860" width="16" style="495" customWidth="1"/>
    <col min="5861" max="5861" width="15.7109375" style="495" customWidth="1"/>
    <col min="5862" max="5863" width="19.28515625" style="495" customWidth="1"/>
    <col min="5864" max="5864" width="18.140625" style="495" customWidth="1"/>
    <col min="5865" max="5865" width="16" style="495" customWidth="1"/>
    <col min="5866" max="5866" width="18" style="495" customWidth="1"/>
    <col min="5867" max="5867" width="17.85546875" style="495" customWidth="1"/>
    <col min="5868" max="5869" width="16.140625" style="495" customWidth="1"/>
    <col min="5870" max="5872" width="17.5703125" style="495" customWidth="1"/>
    <col min="5873" max="5873" width="13.7109375" style="495" customWidth="1"/>
    <col min="5874" max="6100" width="11.42578125" style="495"/>
    <col min="6101" max="6101" width="5.5703125" style="495" customWidth="1"/>
    <col min="6102" max="6102" width="35.85546875" style="495" customWidth="1"/>
    <col min="6103" max="6103" width="16.85546875" style="495" customWidth="1"/>
    <col min="6104" max="6104" width="13.7109375" style="495" customWidth="1"/>
    <col min="6105" max="6105" width="17.140625" style="495" customWidth="1"/>
    <col min="6106" max="6107" width="17.85546875" style="495" customWidth="1"/>
    <col min="6108" max="6109" width="17.140625" style="495" customWidth="1"/>
    <col min="6110" max="6110" width="16.85546875" style="495" customWidth="1"/>
    <col min="6111" max="6111" width="20.5703125" style="495" customWidth="1"/>
    <col min="6112" max="6114" width="6.42578125" style="495" customWidth="1"/>
    <col min="6115" max="6115" width="15.85546875" style="495" customWidth="1"/>
    <col min="6116" max="6116" width="16" style="495" customWidth="1"/>
    <col min="6117" max="6117" width="15.7109375" style="495" customWidth="1"/>
    <col min="6118" max="6119" width="19.28515625" style="495" customWidth="1"/>
    <col min="6120" max="6120" width="18.140625" style="495" customWidth="1"/>
    <col min="6121" max="6121" width="16" style="495" customWidth="1"/>
    <col min="6122" max="6122" width="18" style="495" customWidth="1"/>
    <col min="6123" max="6123" width="17.85546875" style="495" customWidth="1"/>
    <col min="6124" max="6125" width="16.140625" style="495" customWidth="1"/>
    <col min="6126" max="6128" width="17.5703125" style="495" customWidth="1"/>
    <col min="6129" max="6129" width="13.7109375" style="495" customWidth="1"/>
    <col min="6130" max="6356" width="11.42578125" style="495"/>
    <col min="6357" max="6357" width="5.5703125" style="495" customWidth="1"/>
    <col min="6358" max="6358" width="35.85546875" style="495" customWidth="1"/>
    <col min="6359" max="6359" width="16.85546875" style="495" customWidth="1"/>
    <col min="6360" max="6360" width="13.7109375" style="495" customWidth="1"/>
    <col min="6361" max="6361" width="17.140625" style="495" customWidth="1"/>
    <col min="6362" max="6363" width="17.85546875" style="495" customWidth="1"/>
    <col min="6364" max="6365" width="17.140625" style="495" customWidth="1"/>
    <col min="6366" max="6366" width="16.85546875" style="495" customWidth="1"/>
    <col min="6367" max="6367" width="20.5703125" style="495" customWidth="1"/>
    <col min="6368" max="6370" width="6.42578125" style="495" customWidth="1"/>
    <col min="6371" max="6371" width="15.85546875" style="495" customWidth="1"/>
    <col min="6372" max="6372" width="16" style="495" customWidth="1"/>
    <col min="6373" max="6373" width="15.7109375" style="495" customWidth="1"/>
    <col min="6374" max="6375" width="19.28515625" style="495" customWidth="1"/>
    <col min="6376" max="6376" width="18.140625" style="495" customWidth="1"/>
    <col min="6377" max="6377" width="16" style="495" customWidth="1"/>
    <col min="6378" max="6378" width="18" style="495" customWidth="1"/>
    <col min="6379" max="6379" width="17.85546875" style="495" customWidth="1"/>
    <col min="6380" max="6381" width="16.140625" style="495" customWidth="1"/>
    <col min="6382" max="6384" width="17.5703125" style="495" customWidth="1"/>
    <col min="6385" max="6385" width="13.7109375" style="495" customWidth="1"/>
    <col min="6386" max="6612" width="11.42578125" style="495"/>
    <col min="6613" max="6613" width="5.5703125" style="495" customWidth="1"/>
    <col min="6614" max="6614" width="35.85546875" style="495" customWidth="1"/>
    <col min="6615" max="6615" width="16.85546875" style="495" customWidth="1"/>
    <col min="6616" max="6616" width="13.7109375" style="495" customWidth="1"/>
    <col min="6617" max="6617" width="17.140625" style="495" customWidth="1"/>
    <col min="6618" max="6619" width="17.85546875" style="495" customWidth="1"/>
    <col min="6620" max="6621" width="17.140625" style="495" customWidth="1"/>
    <col min="6622" max="6622" width="16.85546875" style="495" customWidth="1"/>
    <col min="6623" max="6623" width="20.5703125" style="495" customWidth="1"/>
    <col min="6624" max="6626" width="6.42578125" style="495" customWidth="1"/>
    <col min="6627" max="6627" width="15.85546875" style="495" customWidth="1"/>
    <col min="6628" max="6628" width="16" style="495" customWidth="1"/>
    <col min="6629" max="6629" width="15.7109375" style="495" customWidth="1"/>
    <col min="6630" max="6631" width="19.28515625" style="495" customWidth="1"/>
    <col min="6632" max="6632" width="18.140625" style="495" customWidth="1"/>
    <col min="6633" max="6633" width="16" style="495" customWidth="1"/>
    <col min="6634" max="6634" width="18" style="495" customWidth="1"/>
    <col min="6635" max="6635" width="17.85546875" style="495" customWidth="1"/>
    <col min="6636" max="6637" width="16.140625" style="495" customWidth="1"/>
    <col min="6638" max="6640" width="17.5703125" style="495" customWidth="1"/>
    <col min="6641" max="6641" width="13.7109375" style="495" customWidth="1"/>
    <col min="6642" max="6868" width="11.42578125" style="495"/>
    <col min="6869" max="6869" width="5.5703125" style="495" customWidth="1"/>
    <col min="6870" max="6870" width="35.85546875" style="495" customWidth="1"/>
    <col min="6871" max="6871" width="16.85546875" style="495" customWidth="1"/>
    <col min="6872" max="6872" width="13.7109375" style="495" customWidth="1"/>
    <col min="6873" max="6873" width="17.140625" style="495" customWidth="1"/>
    <col min="6874" max="6875" width="17.85546875" style="495" customWidth="1"/>
    <col min="6876" max="6877" width="17.140625" style="495" customWidth="1"/>
    <col min="6878" max="6878" width="16.85546875" style="495" customWidth="1"/>
    <col min="6879" max="6879" width="20.5703125" style="495" customWidth="1"/>
    <col min="6880" max="6882" width="6.42578125" style="495" customWidth="1"/>
    <col min="6883" max="6883" width="15.85546875" style="495" customWidth="1"/>
    <col min="6884" max="6884" width="16" style="495" customWidth="1"/>
    <col min="6885" max="6885" width="15.7109375" style="495" customWidth="1"/>
    <col min="6886" max="6887" width="19.28515625" style="495" customWidth="1"/>
    <col min="6888" max="6888" width="18.140625" style="495" customWidth="1"/>
    <col min="6889" max="6889" width="16" style="495" customWidth="1"/>
    <col min="6890" max="6890" width="18" style="495" customWidth="1"/>
    <col min="6891" max="6891" width="17.85546875" style="495" customWidth="1"/>
    <col min="6892" max="6893" width="16.140625" style="495" customWidth="1"/>
    <col min="6894" max="6896" width="17.5703125" style="495" customWidth="1"/>
    <col min="6897" max="6897" width="13.7109375" style="495" customWidth="1"/>
    <col min="6898" max="7124" width="11.42578125" style="495"/>
    <col min="7125" max="7125" width="5.5703125" style="495" customWidth="1"/>
    <col min="7126" max="7126" width="35.85546875" style="495" customWidth="1"/>
    <col min="7127" max="7127" width="16.85546875" style="495" customWidth="1"/>
    <col min="7128" max="7128" width="13.7109375" style="495" customWidth="1"/>
    <col min="7129" max="7129" width="17.140625" style="495" customWidth="1"/>
    <col min="7130" max="7131" width="17.85546875" style="495" customWidth="1"/>
    <col min="7132" max="7133" width="17.140625" style="495" customWidth="1"/>
    <col min="7134" max="7134" width="16.85546875" style="495" customWidth="1"/>
    <col min="7135" max="7135" width="20.5703125" style="495" customWidth="1"/>
    <col min="7136" max="7138" width="6.42578125" style="495" customWidth="1"/>
    <col min="7139" max="7139" width="15.85546875" style="495" customWidth="1"/>
    <col min="7140" max="7140" width="16" style="495" customWidth="1"/>
    <col min="7141" max="7141" width="15.7109375" style="495" customWidth="1"/>
    <col min="7142" max="7143" width="19.28515625" style="495" customWidth="1"/>
    <col min="7144" max="7144" width="18.140625" style="495" customWidth="1"/>
    <col min="7145" max="7145" width="16" style="495" customWidth="1"/>
    <col min="7146" max="7146" width="18" style="495" customWidth="1"/>
    <col min="7147" max="7147" width="17.85546875" style="495" customWidth="1"/>
    <col min="7148" max="7149" width="16.140625" style="495" customWidth="1"/>
    <col min="7150" max="7152" width="17.5703125" style="495" customWidth="1"/>
    <col min="7153" max="7153" width="13.7109375" style="495" customWidth="1"/>
    <col min="7154" max="7380" width="11.42578125" style="495"/>
    <col min="7381" max="7381" width="5.5703125" style="495" customWidth="1"/>
    <col min="7382" max="7382" width="35.85546875" style="495" customWidth="1"/>
    <col min="7383" max="7383" width="16.85546875" style="495" customWidth="1"/>
    <col min="7384" max="7384" width="13.7109375" style="495" customWidth="1"/>
    <col min="7385" max="7385" width="17.140625" style="495" customWidth="1"/>
    <col min="7386" max="7387" width="17.85546875" style="495" customWidth="1"/>
    <col min="7388" max="7389" width="17.140625" style="495" customWidth="1"/>
    <col min="7390" max="7390" width="16.85546875" style="495" customWidth="1"/>
    <col min="7391" max="7391" width="20.5703125" style="495" customWidth="1"/>
    <col min="7392" max="7394" width="6.42578125" style="495" customWidth="1"/>
    <col min="7395" max="7395" width="15.85546875" style="495" customWidth="1"/>
    <col min="7396" max="7396" width="16" style="495" customWidth="1"/>
    <col min="7397" max="7397" width="15.7109375" style="495" customWidth="1"/>
    <col min="7398" max="7399" width="19.28515625" style="495" customWidth="1"/>
    <col min="7400" max="7400" width="18.140625" style="495" customWidth="1"/>
    <col min="7401" max="7401" width="16" style="495" customWidth="1"/>
    <col min="7402" max="7402" width="18" style="495" customWidth="1"/>
    <col min="7403" max="7403" width="17.85546875" style="495" customWidth="1"/>
    <col min="7404" max="7405" width="16.140625" style="495" customWidth="1"/>
    <col min="7406" max="7408" width="17.5703125" style="495" customWidth="1"/>
    <col min="7409" max="7409" width="13.7109375" style="495" customWidth="1"/>
    <col min="7410" max="7636" width="11.42578125" style="495"/>
    <col min="7637" max="7637" width="5.5703125" style="495" customWidth="1"/>
    <col min="7638" max="7638" width="35.85546875" style="495" customWidth="1"/>
    <col min="7639" max="7639" width="16.85546875" style="495" customWidth="1"/>
    <col min="7640" max="7640" width="13.7109375" style="495" customWidth="1"/>
    <col min="7641" max="7641" width="17.140625" style="495" customWidth="1"/>
    <col min="7642" max="7643" width="17.85546875" style="495" customWidth="1"/>
    <col min="7644" max="7645" width="17.140625" style="495" customWidth="1"/>
    <col min="7646" max="7646" width="16.85546875" style="495" customWidth="1"/>
    <col min="7647" max="7647" width="20.5703125" style="495" customWidth="1"/>
    <col min="7648" max="7650" width="6.42578125" style="495" customWidth="1"/>
    <col min="7651" max="7651" width="15.85546875" style="495" customWidth="1"/>
    <col min="7652" max="7652" width="16" style="495" customWidth="1"/>
    <col min="7653" max="7653" width="15.7109375" style="495" customWidth="1"/>
    <col min="7654" max="7655" width="19.28515625" style="495" customWidth="1"/>
    <col min="7656" max="7656" width="18.140625" style="495" customWidth="1"/>
    <col min="7657" max="7657" width="16" style="495" customWidth="1"/>
    <col min="7658" max="7658" width="18" style="495" customWidth="1"/>
    <col min="7659" max="7659" width="17.85546875" style="495" customWidth="1"/>
    <col min="7660" max="7661" width="16.140625" style="495" customWidth="1"/>
    <col min="7662" max="7664" width="17.5703125" style="495" customWidth="1"/>
    <col min="7665" max="7665" width="13.7109375" style="495" customWidth="1"/>
    <col min="7666" max="7892" width="11.42578125" style="495"/>
    <col min="7893" max="7893" width="5.5703125" style="495" customWidth="1"/>
    <col min="7894" max="7894" width="35.85546875" style="495" customWidth="1"/>
    <col min="7895" max="7895" width="16.85546875" style="495" customWidth="1"/>
    <col min="7896" max="7896" width="13.7109375" style="495" customWidth="1"/>
    <col min="7897" max="7897" width="17.140625" style="495" customWidth="1"/>
    <col min="7898" max="7899" width="17.85546875" style="495" customWidth="1"/>
    <col min="7900" max="7901" width="17.140625" style="495" customWidth="1"/>
    <col min="7902" max="7902" width="16.85546875" style="495" customWidth="1"/>
    <col min="7903" max="7903" width="20.5703125" style="495" customWidth="1"/>
    <col min="7904" max="7906" width="6.42578125" style="495" customWidth="1"/>
    <col min="7907" max="7907" width="15.85546875" style="495" customWidth="1"/>
    <col min="7908" max="7908" width="16" style="495" customWidth="1"/>
    <col min="7909" max="7909" width="15.7109375" style="495" customWidth="1"/>
    <col min="7910" max="7911" width="19.28515625" style="495" customWidth="1"/>
    <col min="7912" max="7912" width="18.140625" style="495" customWidth="1"/>
    <col min="7913" max="7913" width="16" style="495" customWidth="1"/>
    <col min="7914" max="7914" width="18" style="495" customWidth="1"/>
    <col min="7915" max="7915" width="17.85546875" style="495" customWidth="1"/>
    <col min="7916" max="7917" width="16.140625" style="495" customWidth="1"/>
    <col min="7918" max="7920" width="17.5703125" style="495" customWidth="1"/>
    <col min="7921" max="7921" width="13.7109375" style="495" customWidth="1"/>
    <col min="7922" max="8148" width="11.42578125" style="495"/>
    <col min="8149" max="8149" width="5.5703125" style="495" customWidth="1"/>
    <col min="8150" max="8150" width="35.85546875" style="495" customWidth="1"/>
    <col min="8151" max="8151" width="16.85546875" style="495" customWidth="1"/>
    <col min="8152" max="8152" width="13.7109375" style="495" customWidth="1"/>
    <col min="8153" max="8153" width="17.140625" style="495" customWidth="1"/>
    <col min="8154" max="8155" width="17.85546875" style="495" customWidth="1"/>
    <col min="8156" max="8157" width="17.140625" style="495" customWidth="1"/>
    <col min="8158" max="8158" width="16.85546875" style="495" customWidth="1"/>
    <col min="8159" max="8159" width="20.5703125" style="495" customWidth="1"/>
    <col min="8160" max="8162" width="6.42578125" style="495" customWidth="1"/>
    <col min="8163" max="8163" width="15.85546875" style="495" customWidth="1"/>
    <col min="8164" max="8164" width="16" style="495" customWidth="1"/>
    <col min="8165" max="8165" width="15.7109375" style="495" customWidth="1"/>
    <col min="8166" max="8167" width="19.28515625" style="495" customWidth="1"/>
    <col min="8168" max="8168" width="18.140625" style="495" customWidth="1"/>
    <col min="8169" max="8169" width="16" style="495" customWidth="1"/>
    <col min="8170" max="8170" width="18" style="495" customWidth="1"/>
    <col min="8171" max="8171" width="17.85546875" style="495" customWidth="1"/>
    <col min="8172" max="8173" width="16.140625" style="495" customWidth="1"/>
    <col min="8174" max="8176" width="17.5703125" style="495" customWidth="1"/>
    <col min="8177" max="8177" width="13.7109375" style="495" customWidth="1"/>
    <col min="8178" max="8404" width="11.42578125" style="495"/>
    <col min="8405" max="8405" width="5.5703125" style="495" customWidth="1"/>
    <col min="8406" max="8406" width="35.85546875" style="495" customWidth="1"/>
    <col min="8407" max="8407" width="16.85546875" style="495" customWidth="1"/>
    <col min="8408" max="8408" width="13.7109375" style="495" customWidth="1"/>
    <col min="8409" max="8409" width="17.140625" style="495" customWidth="1"/>
    <col min="8410" max="8411" width="17.85546875" style="495" customWidth="1"/>
    <col min="8412" max="8413" width="17.140625" style="495" customWidth="1"/>
    <col min="8414" max="8414" width="16.85546875" style="495" customWidth="1"/>
    <col min="8415" max="8415" width="20.5703125" style="495" customWidth="1"/>
    <col min="8416" max="8418" width="6.42578125" style="495" customWidth="1"/>
    <col min="8419" max="8419" width="15.85546875" style="495" customWidth="1"/>
    <col min="8420" max="8420" width="16" style="495" customWidth="1"/>
    <col min="8421" max="8421" width="15.7109375" style="495" customWidth="1"/>
    <col min="8422" max="8423" width="19.28515625" style="495" customWidth="1"/>
    <col min="8424" max="8424" width="18.140625" style="495" customWidth="1"/>
    <col min="8425" max="8425" width="16" style="495" customWidth="1"/>
    <col min="8426" max="8426" width="18" style="495" customWidth="1"/>
    <col min="8427" max="8427" width="17.85546875" style="495" customWidth="1"/>
    <col min="8428" max="8429" width="16.140625" style="495" customWidth="1"/>
    <col min="8430" max="8432" width="17.5703125" style="495" customWidth="1"/>
    <col min="8433" max="8433" width="13.7109375" style="495" customWidth="1"/>
    <col min="8434" max="8660" width="11.42578125" style="495"/>
    <col min="8661" max="8661" width="5.5703125" style="495" customWidth="1"/>
    <col min="8662" max="8662" width="35.85546875" style="495" customWidth="1"/>
    <col min="8663" max="8663" width="16.85546875" style="495" customWidth="1"/>
    <col min="8664" max="8664" width="13.7109375" style="495" customWidth="1"/>
    <col min="8665" max="8665" width="17.140625" style="495" customWidth="1"/>
    <col min="8666" max="8667" width="17.85546875" style="495" customWidth="1"/>
    <col min="8668" max="8669" width="17.140625" style="495" customWidth="1"/>
    <col min="8670" max="8670" width="16.85546875" style="495" customWidth="1"/>
    <col min="8671" max="8671" width="20.5703125" style="495" customWidth="1"/>
    <col min="8672" max="8674" width="6.42578125" style="495" customWidth="1"/>
    <col min="8675" max="8675" width="15.85546875" style="495" customWidth="1"/>
    <col min="8676" max="8676" width="16" style="495" customWidth="1"/>
    <col min="8677" max="8677" width="15.7109375" style="495" customWidth="1"/>
    <col min="8678" max="8679" width="19.28515625" style="495" customWidth="1"/>
    <col min="8680" max="8680" width="18.140625" style="495" customWidth="1"/>
    <col min="8681" max="8681" width="16" style="495" customWidth="1"/>
    <col min="8682" max="8682" width="18" style="495" customWidth="1"/>
    <col min="8683" max="8683" width="17.85546875" style="495" customWidth="1"/>
    <col min="8684" max="8685" width="16.140625" style="495" customWidth="1"/>
    <col min="8686" max="8688" width="17.5703125" style="495" customWidth="1"/>
    <col min="8689" max="8689" width="13.7109375" style="495" customWidth="1"/>
    <col min="8690" max="8916" width="11.42578125" style="495"/>
    <col min="8917" max="8917" width="5.5703125" style="495" customWidth="1"/>
    <col min="8918" max="8918" width="35.85546875" style="495" customWidth="1"/>
    <col min="8919" max="8919" width="16.85546875" style="495" customWidth="1"/>
    <col min="8920" max="8920" width="13.7109375" style="495" customWidth="1"/>
    <col min="8921" max="8921" width="17.140625" style="495" customWidth="1"/>
    <col min="8922" max="8923" width="17.85546875" style="495" customWidth="1"/>
    <col min="8924" max="8925" width="17.140625" style="495" customWidth="1"/>
    <col min="8926" max="8926" width="16.85546875" style="495" customWidth="1"/>
    <col min="8927" max="8927" width="20.5703125" style="495" customWidth="1"/>
    <col min="8928" max="8930" width="6.42578125" style="495" customWidth="1"/>
    <col min="8931" max="8931" width="15.85546875" style="495" customWidth="1"/>
    <col min="8932" max="8932" width="16" style="495" customWidth="1"/>
    <col min="8933" max="8933" width="15.7109375" style="495" customWidth="1"/>
    <col min="8934" max="8935" width="19.28515625" style="495" customWidth="1"/>
    <col min="8936" max="8936" width="18.140625" style="495" customWidth="1"/>
    <col min="8937" max="8937" width="16" style="495" customWidth="1"/>
    <col min="8938" max="8938" width="18" style="495" customWidth="1"/>
    <col min="8939" max="8939" width="17.85546875" style="495" customWidth="1"/>
    <col min="8940" max="8941" width="16.140625" style="495" customWidth="1"/>
    <col min="8942" max="8944" width="17.5703125" style="495" customWidth="1"/>
    <col min="8945" max="8945" width="13.7109375" style="495" customWidth="1"/>
    <col min="8946" max="9172" width="11.42578125" style="495"/>
    <col min="9173" max="9173" width="5.5703125" style="495" customWidth="1"/>
    <col min="9174" max="9174" width="35.85546875" style="495" customWidth="1"/>
    <col min="9175" max="9175" width="16.85546875" style="495" customWidth="1"/>
    <col min="9176" max="9176" width="13.7109375" style="495" customWidth="1"/>
    <col min="9177" max="9177" width="17.140625" style="495" customWidth="1"/>
    <col min="9178" max="9179" width="17.85546875" style="495" customWidth="1"/>
    <col min="9180" max="9181" width="17.140625" style="495" customWidth="1"/>
    <col min="9182" max="9182" width="16.85546875" style="495" customWidth="1"/>
    <col min="9183" max="9183" width="20.5703125" style="495" customWidth="1"/>
    <col min="9184" max="9186" width="6.42578125" style="495" customWidth="1"/>
    <col min="9187" max="9187" width="15.85546875" style="495" customWidth="1"/>
    <col min="9188" max="9188" width="16" style="495" customWidth="1"/>
    <col min="9189" max="9189" width="15.7109375" style="495" customWidth="1"/>
    <col min="9190" max="9191" width="19.28515625" style="495" customWidth="1"/>
    <col min="9192" max="9192" width="18.140625" style="495" customWidth="1"/>
    <col min="9193" max="9193" width="16" style="495" customWidth="1"/>
    <col min="9194" max="9194" width="18" style="495" customWidth="1"/>
    <col min="9195" max="9195" width="17.85546875" style="495" customWidth="1"/>
    <col min="9196" max="9197" width="16.140625" style="495" customWidth="1"/>
    <col min="9198" max="9200" width="17.5703125" style="495" customWidth="1"/>
    <col min="9201" max="9201" width="13.7109375" style="495" customWidth="1"/>
    <col min="9202" max="9428" width="11.42578125" style="495"/>
    <col min="9429" max="9429" width="5.5703125" style="495" customWidth="1"/>
    <col min="9430" max="9430" width="35.85546875" style="495" customWidth="1"/>
    <col min="9431" max="9431" width="16.85546875" style="495" customWidth="1"/>
    <col min="9432" max="9432" width="13.7109375" style="495" customWidth="1"/>
    <col min="9433" max="9433" width="17.140625" style="495" customWidth="1"/>
    <col min="9434" max="9435" width="17.85546875" style="495" customWidth="1"/>
    <col min="9436" max="9437" width="17.140625" style="495" customWidth="1"/>
    <col min="9438" max="9438" width="16.85546875" style="495" customWidth="1"/>
    <col min="9439" max="9439" width="20.5703125" style="495" customWidth="1"/>
    <col min="9440" max="9442" width="6.42578125" style="495" customWidth="1"/>
    <col min="9443" max="9443" width="15.85546875" style="495" customWidth="1"/>
    <col min="9444" max="9444" width="16" style="495" customWidth="1"/>
    <col min="9445" max="9445" width="15.7109375" style="495" customWidth="1"/>
    <col min="9446" max="9447" width="19.28515625" style="495" customWidth="1"/>
    <col min="9448" max="9448" width="18.140625" style="495" customWidth="1"/>
    <col min="9449" max="9449" width="16" style="495" customWidth="1"/>
    <col min="9450" max="9450" width="18" style="495" customWidth="1"/>
    <col min="9451" max="9451" width="17.85546875" style="495" customWidth="1"/>
    <col min="9452" max="9453" width="16.140625" style="495" customWidth="1"/>
    <col min="9454" max="9456" width="17.5703125" style="495" customWidth="1"/>
    <col min="9457" max="9457" width="13.7109375" style="495" customWidth="1"/>
    <col min="9458" max="9684" width="11.42578125" style="495"/>
    <col min="9685" max="9685" width="5.5703125" style="495" customWidth="1"/>
    <col min="9686" max="9686" width="35.85546875" style="495" customWidth="1"/>
    <col min="9687" max="9687" width="16.85546875" style="495" customWidth="1"/>
    <col min="9688" max="9688" width="13.7109375" style="495" customWidth="1"/>
    <col min="9689" max="9689" width="17.140625" style="495" customWidth="1"/>
    <col min="9690" max="9691" width="17.85546875" style="495" customWidth="1"/>
    <col min="9692" max="9693" width="17.140625" style="495" customWidth="1"/>
    <col min="9694" max="9694" width="16.85546875" style="495" customWidth="1"/>
    <col min="9695" max="9695" width="20.5703125" style="495" customWidth="1"/>
    <col min="9696" max="9698" width="6.42578125" style="495" customWidth="1"/>
    <col min="9699" max="9699" width="15.85546875" style="495" customWidth="1"/>
    <col min="9700" max="9700" width="16" style="495" customWidth="1"/>
    <col min="9701" max="9701" width="15.7109375" style="495" customWidth="1"/>
    <col min="9702" max="9703" width="19.28515625" style="495" customWidth="1"/>
    <col min="9704" max="9704" width="18.140625" style="495" customWidth="1"/>
    <col min="9705" max="9705" width="16" style="495" customWidth="1"/>
    <col min="9706" max="9706" width="18" style="495" customWidth="1"/>
    <col min="9707" max="9707" width="17.85546875" style="495" customWidth="1"/>
    <col min="9708" max="9709" width="16.140625" style="495" customWidth="1"/>
    <col min="9710" max="9712" width="17.5703125" style="495" customWidth="1"/>
    <col min="9713" max="9713" width="13.7109375" style="495" customWidth="1"/>
    <col min="9714" max="9940" width="11.42578125" style="495"/>
    <col min="9941" max="9941" width="5.5703125" style="495" customWidth="1"/>
    <col min="9942" max="9942" width="35.85546875" style="495" customWidth="1"/>
    <col min="9943" max="9943" width="16.85546875" style="495" customWidth="1"/>
    <col min="9944" max="9944" width="13.7109375" style="495" customWidth="1"/>
    <col min="9945" max="9945" width="17.140625" style="495" customWidth="1"/>
    <col min="9946" max="9947" width="17.85546875" style="495" customWidth="1"/>
    <col min="9948" max="9949" width="17.140625" style="495" customWidth="1"/>
    <col min="9950" max="9950" width="16.85546875" style="495" customWidth="1"/>
    <col min="9951" max="9951" width="20.5703125" style="495" customWidth="1"/>
    <col min="9952" max="9954" width="6.42578125" style="495" customWidth="1"/>
    <col min="9955" max="9955" width="15.85546875" style="495" customWidth="1"/>
    <col min="9956" max="9956" width="16" style="495" customWidth="1"/>
    <col min="9957" max="9957" width="15.7109375" style="495" customWidth="1"/>
    <col min="9958" max="9959" width="19.28515625" style="495" customWidth="1"/>
    <col min="9960" max="9960" width="18.140625" style="495" customWidth="1"/>
    <col min="9961" max="9961" width="16" style="495" customWidth="1"/>
    <col min="9962" max="9962" width="18" style="495" customWidth="1"/>
    <col min="9963" max="9963" width="17.85546875" style="495" customWidth="1"/>
    <col min="9964" max="9965" width="16.140625" style="495" customWidth="1"/>
    <col min="9966" max="9968" width="17.5703125" style="495" customWidth="1"/>
    <col min="9969" max="9969" width="13.7109375" style="495" customWidth="1"/>
    <col min="9970" max="10196" width="11.42578125" style="495"/>
    <col min="10197" max="10197" width="5.5703125" style="495" customWidth="1"/>
    <col min="10198" max="10198" width="35.85546875" style="495" customWidth="1"/>
    <col min="10199" max="10199" width="16.85546875" style="495" customWidth="1"/>
    <col min="10200" max="10200" width="13.7109375" style="495" customWidth="1"/>
    <col min="10201" max="10201" width="17.140625" style="495" customWidth="1"/>
    <col min="10202" max="10203" width="17.85546875" style="495" customWidth="1"/>
    <col min="10204" max="10205" width="17.140625" style="495" customWidth="1"/>
    <col min="10206" max="10206" width="16.85546875" style="495" customWidth="1"/>
    <col min="10207" max="10207" width="20.5703125" style="495" customWidth="1"/>
    <col min="10208" max="10210" width="6.42578125" style="495" customWidth="1"/>
    <col min="10211" max="10211" width="15.85546875" style="495" customWidth="1"/>
    <col min="10212" max="10212" width="16" style="495" customWidth="1"/>
    <col min="10213" max="10213" width="15.7109375" style="495" customWidth="1"/>
    <col min="10214" max="10215" width="19.28515625" style="495" customWidth="1"/>
    <col min="10216" max="10216" width="18.140625" style="495" customWidth="1"/>
    <col min="10217" max="10217" width="16" style="495" customWidth="1"/>
    <col min="10218" max="10218" width="18" style="495" customWidth="1"/>
    <col min="10219" max="10219" width="17.85546875" style="495" customWidth="1"/>
    <col min="10220" max="10221" width="16.140625" style="495" customWidth="1"/>
    <col min="10222" max="10224" width="17.5703125" style="495" customWidth="1"/>
    <col min="10225" max="10225" width="13.7109375" style="495" customWidth="1"/>
    <col min="10226" max="10452" width="11.42578125" style="495"/>
    <col min="10453" max="10453" width="5.5703125" style="495" customWidth="1"/>
    <col min="10454" max="10454" width="35.85546875" style="495" customWidth="1"/>
    <col min="10455" max="10455" width="16.85546875" style="495" customWidth="1"/>
    <col min="10456" max="10456" width="13.7109375" style="495" customWidth="1"/>
    <col min="10457" max="10457" width="17.140625" style="495" customWidth="1"/>
    <col min="10458" max="10459" width="17.85546875" style="495" customWidth="1"/>
    <col min="10460" max="10461" width="17.140625" style="495" customWidth="1"/>
    <col min="10462" max="10462" width="16.85546875" style="495" customWidth="1"/>
    <col min="10463" max="10463" width="20.5703125" style="495" customWidth="1"/>
    <col min="10464" max="10466" width="6.42578125" style="495" customWidth="1"/>
    <col min="10467" max="10467" width="15.85546875" style="495" customWidth="1"/>
    <col min="10468" max="10468" width="16" style="495" customWidth="1"/>
    <col min="10469" max="10469" width="15.7109375" style="495" customWidth="1"/>
    <col min="10470" max="10471" width="19.28515625" style="495" customWidth="1"/>
    <col min="10472" max="10472" width="18.140625" style="495" customWidth="1"/>
    <col min="10473" max="10473" width="16" style="495" customWidth="1"/>
    <col min="10474" max="10474" width="18" style="495" customWidth="1"/>
    <col min="10475" max="10475" width="17.85546875" style="495" customWidth="1"/>
    <col min="10476" max="10477" width="16.140625" style="495" customWidth="1"/>
    <col min="10478" max="10480" width="17.5703125" style="495" customWidth="1"/>
    <col min="10481" max="10481" width="13.7109375" style="495" customWidth="1"/>
    <col min="10482" max="10708" width="11.42578125" style="495"/>
    <col min="10709" max="10709" width="5.5703125" style="495" customWidth="1"/>
    <col min="10710" max="10710" width="35.85546875" style="495" customWidth="1"/>
    <col min="10711" max="10711" width="16.85546875" style="495" customWidth="1"/>
    <col min="10712" max="10712" width="13.7109375" style="495" customWidth="1"/>
    <col min="10713" max="10713" width="17.140625" style="495" customWidth="1"/>
    <col min="10714" max="10715" width="17.85546875" style="495" customWidth="1"/>
    <col min="10716" max="10717" width="17.140625" style="495" customWidth="1"/>
    <col min="10718" max="10718" width="16.85546875" style="495" customWidth="1"/>
    <col min="10719" max="10719" width="20.5703125" style="495" customWidth="1"/>
    <col min="10720" max="10722" width="6.42578125" style="495" customWidth="1"/>
    <col min="10723" max="10723" width="15.85546875" style="495" customWidth="1"/>
    <col min="10724" max="10724" width="16" style="495" customWidth="1"/>
    <col min="10725" max="10725" width="15.7109375" style="495" customWidth="1"/>
    <col min="10726" max="10727" width="19.28515625" style="495" customWidth="1"/>
    <col min="10728" max="10728" width="18.140625" style="495" customWidth="1"/>
    <col min="10729" max="10729" width="16" style="495" customWidth="1"/>
    <col min="10730" max="10730" width="18" style="495" customWidth="1"/>
    <col min="10731" max="10731" width="17.85546875" style="495" customWidth="1"/>
    <col min="10732" max="10733" width="16.140625" style="495" customWidth="1"/>
    <col min="10734" max="10736" width="17.5703125" style="495" customWidth="1"/>
    <col min="10737" max="10737" width="13.7109375" style="495" customWidth="1"/>
    <col min="10738" max="10964" width="11.42578125" style="495"/>
    <col min="10965" max="10965" width="5.5703125" style="495" customWidth="1"/>
    <col min="10966" max="10966" width="35.85546875" style="495" customWidth="1"/>
    <col min="10967" max="10967" width="16.85546875" style="495" customWidth="1"/>
    <col min="10968" max="10968" width="13.7109375" style="495" customWidth="1"/>
    <col min="10969" max="10969" width="17.140625" style="495" customWidth="1"/>
    <col min="10970" max="10971" width="17.85546875" style="495" customWidth="1"/>
    <col min="10972" max="10973" width="17.140625" style="495" customWidth="1"/>
    <col min="10974" max="10974" width="16.85546875" style="495" customWidth="1"/>
    <col min="10975" max="10975" width="20.5703125" style="495" customWidth="1"/>
    <col min="10976" max="10978" width="6.42578125" style="495" customWidth="1"/>
    <col min="10979" max="10979" width="15.85546875" style="495" customWidth="1"/>
    <col min="10980" max="10980" width="16" style="495" customWidth="1"/>
    <col min="10981" max="10981" width="15.7109375" style="495" customWidth="1"/>
    <col min="10982" max="10983" width="19.28515625" style="495" customWidth="1"/>
    <col min="10984" max="10984" width="18.140625" style="495" customWidth="1"/>
    <col min="10985" max="10985" width="16" style="495" customWidth="1"/>
    <col min="10986" max="10986" width="18" style="495" customWidth="1"/>
    <col min="10987" max="10987" width="17.85546875" style="495" customWidth="1"/>
    <col min="10988" max="10989" width="16.140625" style="495" customWidth="1"/>
    <col min="10990" max="10992" width="17.5703125" style="495" customWidth="1"/>
    <col min="10993" max="10993" width="13.7109375" style="495" customWidth="1"/>
    <col min="10994" max="11220" width="11.42578125" style="495"/>
    <col min="11221" max="11221" width="5.5703125" style="495" customWidth="1"/>
    <col min="11222" max="11222" width="35.85546875" style="495" customWidth="1"/>
    <col min="11223" max="11223" width="16.85546875" style="495" customWidth="1"/>
    <col min="11224" max="11224" width="13.7109375" style="495" customWidth="1"/>
    <col min="11225" max="11225" width="17.140625" style="495" customWidth="1"/>
    <col min="11226" max="11227" width="17.85546875" style="495" customWidth="1"/>
    <col min="11228" max="11229" width="17.140625" style="495" customWidth="1"/>
    <col min="11230" max="11230" width="16.85546875" style="495" customWidth="1"/>
    <col min="11231" max="11231" width="20.5703125" style="495" customWidth="1"/>
    <col min="11232" max="11234" width="6.42578125" style="495" customWidth="1"/>
    <col min="11235" max="11235" width="15.85546875" style="495" customWidth="1"/>
    <col min="11236" max="11236" width="16" style="495" customWidth="1"/>
    <col min="11237" max="11237" width="15.7109375" style="495" customWidth="1"/>
    <col min="11238" max="11239" width="19.28515625" style="495" customWidth="1"/>
    <col min="11240" max="11240" width="18.140625" style="495" customWidth="1"/>
    <col min="11241" max="11241" width="16" style="495" customWidth="1"/>
    <col min="11242" max="11242" width="18" style="495" customWidth="1"/>
    <col min="11243" max="11243" width="17.85546875" style="495" customWidth="1"/>
    <col min="11244" max="11245" width="16.140625" style="495" customWidth="1"/>
    <col min="11246" max="11248" width="17.5703125" style="495" customWidth="1"/>
    <col min="11249" max="11249" width="13.7109375" style="495" customWidth="1"/>
    <col min="11250" max="11476" width="11.42578125" style="495"/>
    <col min="11477" max="11477" width="5.5703125" style="495" customWidth="1"/>
    <col min="11478" max="11478" width="35.85546875" style="495" customWidth="1"/>
    <col min="11479" max="11479" width="16.85546875" style="495" customWidth="1"/>
    <col min="11480" max="11480" width="13.7109375" style="495" customWidth="1"/>
    <col min="11481" max="11481" width="17.140625" style="495" customWidth="1"/>
    <col min="11482" max="11483" width="17.85546875" style="495" customWidth="1"/>
    <col min="11484" max="11485" width="17.140625" style="495" customWidth="1"/>
    <col min="11486" max="11486" width="16.85546875" style="495" customWidth="1"/>
    <col min="11487" max="11487" width="20.5703125" style="495" customWidth="1"/>
    <col min="11488" max="11490" width="6.42578125" style="495" customWidth="1"/>
    <col min="11491" max="11491" width="15.85546875" style="495" customWidth="1"/>
    <col min="11492" max="11492" width="16" style="495" customWidth="1"/>
    <col min="11493" max="11493" width="15.7109375" style="495" customWidth="1"/>
    <col min="11494" max="11495" width="19.28515625" style="495" customWidth="1"/>
    <col min="11496" max="11496" width="18.140625" style="495" customWidth="1"/>
    <col min="11497" max="11497" width="16" style="495" customWidth="1"/>
    <col min="11498" max="11498" width="18" style="495" customWidth="1"/>
    <col min="11499" max="11499" width="17.85546875" style="495" customWidth="1"/>
    <col min="11500" max="11501" width="16.140625" style="495" customWidth="1"/>
    <col min="11502" max="11504" width="17.5703125" style="495" customWidth="1"/>
    <col min="11505" max="11505" width="13.7109375" style="495" customWidth="1"/>
    <col min="11506" max="11732" width="11.42578125" style="495"/>
    <col min="11733" max="11733" width="5.5703125" style="495" customWidth="1"/>
    <col min="11734" max="11734" width="35.85546875" style="495" customWidth="1"/>
    <col min="11735" max="11735" width="16.85546875" style="495" customWidth="1"/>
    <col min="11736" max="11736" width="13.7109375" style="495" customWidth="1"/>
    <col min="11737" max="11737" width="17.140625" style="495" customWidth="1"/>
    <col min="11738" max="11739" width="17.85546875" style="495" customWidth="1"/>
    <col min="11740" max="11741" width="17.140625" style="495" customWidth="1"/>
    <col min="11742" max="11742" width="16.85546875" style="495" customWidth="1"/>
    <col min="11743" max="11743" width="20.5703125" style="495" customWidth="1"/>
    <col min="11744" max="11746" width="6.42578125" style="495" customWidth="1"/>
    <col min="11747" max="11747" width="15.85546875" style="495" customWidth="1"/>
    <col min="11748" max="11748" width="16" style="495" customWidth="1"/>
    <col min="11749" max="11749" width="15.7109375" style="495" customWidth="1"/>
    <col min="11750" max="11751" width="19.28515625" style="495" customWidth="1"/>
    <col min="11752" max="11752" width="18.140625" style="495" customWidth="1"/>
    <col min="11753" max="11753" width="16" style="495" customWidth="1"/>
    <col min="11754" max="11754" width="18" style="495" customWidth="1"/>
    <col min="11755" max="11755" width="17.85546875" style="495" customWidth="1"/>
    <col min="11756" max="11757" width="16.140625" style="495" customWidth="1"/>
    <col min="11758" max="11760" width="17.5703125" style="495" customWidth="1"/>
    <col min="11761" max="11761" width="13.7109375" style="495" customWidth="1"/>
    <col min="11762" max="11988" width="11.42578125" style="495"/>
    <col min="11989" max="11989" width="5.5703125" style="495" customWidth="1"/>
    <col min="11990" max="11990" width="35.85546875" style="495" customWidth="1"/>
    <col min="11991" max="11991" width="16.85546875" style="495" customWidth="1"/>
    <col min="11992" max="11992" width="13.7109375" style="495" customWidth="1"/>
    <col min="11993" max="11993" width="17.140625" style="495" customWidth="1"/>
    <col min="11994" max="11995" width="17.85546875" style="495" customWidth="1"/>
    <col min="11996" max="11997" width="17.140625" style="495" customWidth="1"/>
    <col min="11998" max="11998" width="16.85546875" style="495" customWidth="1"/>
    <col min="11999" max="11999" width="20.5703125" style="495" customWidth="1"/>
    <col min="12000" max="12002" width="6.42578125" style="495" customWidth="1"/>
    <col min="12003" max="12003" width="15.85546875" style="495" customWidth="1"/>
    <col min="12004" max="12004" width="16" style="495" customWidth="1"/>
    <col min="12005" max="12005" width="15.7109375" style="495" customWidth="1"/>
    <col min="12006" max="12007" width="19.28515625" style="495" customWidth="1"/>
    <col min="12008" max="12008" width="18.140625" style="495" customWidth="1"/>
    <col min="12009" max="12009" width="16" style="495" customWidth="1"/>
    <col min="12010" max="12010" width="18" style="495" customWidth="1"/>
    <col min="12011" max="12011" width="17.85546875" style="495" customWidth="1"/>
    <col min="12012" max="12013" width="16.140625" style="495" customWidth="1"/>
    <col min="12014" max="12016" width="17.5703125" style="495" customWidth="1"/>
    <col min="12017" max="12017" width="13.7109375" style="495" customWidth="1"/>
    <col min="12018" max="12244" width="11.42578125" style="495"/>
    <col min="12245" max="12245" width="5.5703125" style="495" customWidth="1"/>
    <col min="12246" max="12246" width="35.85546875" style="495" customWidth="1"/>
    <col min="12247" max="12247" width="16.85546875" style="495" customWidth="1"/>
    <col min="12248" max="12248" width="13.7109375" style="495" customWidth="1"/>
    <col min="12249" max="12249" width="17.140625" style="495" customWidth="1"/>
    <col min="12250" max="12251" width="17.85546875" style="495" customWidth="1"/>
    <col min="12252" max="12253" width="17.140625" style="495" customWidth="1"/>
    <col min="12254" max="12254" width="16.85546875" style="495" customWidth="1"/>
    <col min="12255" max="12255" width="20.5703125" style="495" customWidth="1"/>
    <col min="12256" max="12258" width="6.42578125" style="495" customWidth="1"/>
    <col min="12259" max="12259" width="15.85546875" style="495" customWidth="1"/>
    <col min="12260" max="12260" width="16" style="495" customWidth="1"/>
    <col min="12261" max="12261" width="15.7109375" style="495" customWidth="1"/>
    <col min="12262" max="12263" width="19.28515625" style="495" customWidth="1"/>
    <col min="12264" max="12264" width="18.140625" style="495" customWidth="1"/>
    <col min="12265" max="12265" width="16" style="495" customWidth="1"/>
    <col min="12266" max="12266" width="18" style="495" customWidth="1"/>
    <col min="12267" max="12267" width="17.85546875" style="495" customWidth="1"/>
    <col min="12268" max="12269" width="16.140625" style="495" customWidth="1"/>
    <col min="12270" max="12272" width="17.5703125" style="495" customWidth="1"/>
    <col min="12273" max="12273" width="13.7109375" style="495" customWidth="1"/>
    <col min="12274" max="12500" width="11.42578125" style="495"/>
    <col min="12501" max="12501" width="5.5703125" style="495" customWidth="1"/>
    <col min="12502" max="12502" width="35.85546875" style="495" customWidth="1"/>
    <col min="12503" max="12503" width="16.85546875" style="495" customWidth="1"/>
    <col min="12504" max="12504" width="13.7109375" style="495" customWidth="1"/>
    <col min="12505" max="12505" width="17.140625" style="495" customWidth="1"/>
    <col min="12506" max="12507" width="17.85546875" style="495" customWidth="1"/>
    <col min="12508" max="12509" width="17.140625" style="495" customWidth="1"/>
    <col min="12510" max="12510" width="16.85546875" style="495" customWidth="1"/>
    <col min="12511" max="12511" width="20.5703125" style="495" customWidth="1"/>
    <col min="12512" max="12514" width="6.42578125" style="495" customWidth="1"/>
    <col min="12515" max="12515" width="15.85546875" style="495" customWidth="1"/>
    <col min="12516" max="12516" width="16" style="495" customWidth="1"/>
    <col min="12517" max="12517" width="15.7109375" style="495" customWidth="1"/>
    <col min="12518" max="12519" width="19.28515625" style="495" customWidth="1"/>
    <col min="12520" max="12520" width="18.140625" style="495" customWidth="1"/>
    <col min="12521" max="12521" width="16" style="495" customWidth="1"/>
    <col min="12522" max="12522" width="18" style="495" customWidth="1"/>
    <col min="12523" max="12523" width="17.85546875" style="495" customWidth="1"/>
    <col min="12524" max="12525" width="16.140625" style="495" customWidth="1"/>
    <col min="12526" max="12528" width="17.5703125" style="495" customWidth="1"/>
    <col min="12529" max="12529" width="13.7109375" style="495" customWidth="1"/>
    <col min="12530" max="12756" width="11.42578125" style="495"/>
    <col min="12757" max="12757" width="5.5703125" style="495" customWidth="1"/>
    <col min="12758" max="12758" width="35.85546875" style="495" customWidth="1"/>
    <col min="12759" max="12759" width="16.85546875" style="495" customWidth="1"/>
    <col min="12760" max="12760" width="13.7109375" style="495" customWidth="1"/>
    <col min="12761" max="12761" width="17.140625" style="495" customWidth="1"/>
    <col min="12762" max="12763" width="17.85546875" style="495" customWidth="1"/>
    <col min="12764" max="12765" width="17.140625" style="495" customWidth="1"/>
    <col min="12766" max="12766" width="16.85546875" style="495" customWidth="1"/>
    <col min="12767" max="12767" width="20.5703125" style="495" customWidth="1"/>
    <col min="12768" max="12770" width="6.42578125" style="495" customWidth="1"/>
    <col min="12771" max="12771" width="15.85546875" style="495" customWidth="1"/>
    <col min="12772" max="12772" width="16" style="495" customWidth="1"/>
    <col min="12773" max="12773" width="15.7109375" style="495" customWidth="1"/>
    <col min="12774" max="12775" width="19.28515625" style="495" customWidth="1"/>
    <col min="12776" max="12776" width="18.140625" style="495" customWidth="1"/>
    <col min="12777" max="12777" width="16" style="495" customWidth="1"/>
    <col min="12778" max="12778" width="18" style="495" customWidth="1"/>
    <col min="12779" max="12779" width="17.85546875" style="495" customWidth="1"/>
    <col min="12780" max="12781" width="16.140625" style="495" customWidth="1"/>
    <col min="12782" max="12784" width="17.5703125" style="495" customWidth="1"/>
    <col min="12785" max="12785" width="13.7109375" style="495" customWidth="1"/>
    <col min="12786" max="13012" width="11.42578125" style="495"/>
    <col min="13013" max="13013" width="5.5703125" style="495" customWidth="1"/>
    <col min="13014" max="13014" width="35.85546875" style="495" customWidth="1"/>
    <col min="13015" max="13015" width="16.85546875" style="495" customWidth="1"/>
    <col min="13016" max="13016" width="13.7109375" style="495" customWidth="1"/>
    <col min="13017" max="13017" width="17.140625" style="495" customWidth="1"/>
    <col min="13018" max="13019" width="17.85546875" style="495" customWidth="1"/>
    <col min="13020" max="13021" width="17.140625" style="495" customWidth="1"/>
    <col min="13022" max="13022" width="16.85546875" style="495" customWidth="1"/>
    <col min="13023" max="13023" width="20.5703125" style="495" customWidth="1"/>
    <col min="13024" max="13026" width="6.42578125" style="495" customWidth="1"/>
    <col min="13027" max="13027" width="15.85546875" style="495" customWidth="1"/>
    <col min="13028" max="13028" width="16" style="495" customWidth="1"/>
    <col min="13029" max="13029" width="15.7109375" style="495" customWidth="1"/>
    <col min="13030" max="13031" width="19.28515625" style="495" customWidth="1"/>
    <col min="13032" max="13032" width="18.140625" style="495" customWidth="1"/>
    <col min="13033" max="13033" width="16" style="495" customWidth="1"/>
    <col min="13034" max="13034" width="18" style="495" customWidth="1"/>
    <col min="13035" max="13035" width="17.85546875" style="495" customWidth="1"/>
    <col min="13036" max="13037" width="16.140625" style="495" customWidth="1"/>
    <col min="13038" max="13040" width="17.5703125" style="495" customWidth="1"/>
    <col min="13041" max="13041" width="13.7109375" style="495" customWidth="1"/>
    <col min="13042" max="13268" width="11.42578125" style="495"/>
    <col min="13269" max="13269" width="5.5703125" style="495" customWidth="1"/>
    <col min="13270" max="13270" width="35.85546875" style="495" customWidth="1"/>
    <col min="13271" max="13271" width="16.85546875" style="495" customWidth="1"/>
    <col min="13272" max="13272" width="13.7109375" style="495" customWidth="1"/>
    <col min="13273" max="13273" width="17.140625" style="495" customWidth="1"/>
    <col min="13274" max="13275" width="17.85546875" style="495" customWidth="1"/>
    <col min="13276" max="13277" width="17.140625" style="495" customWidth="1"/>
    <col min="13278" max="13278" width="16.85546875" style="495" customWidth="1"/>
    <col min="13279" max="13279" width="20.5703125" style="495" customWidth="1"/>
    <col min="13280" max="13282" width="6.42578125" style="495" customWidth="1"/>
    <col min="13283" max="13283" width="15.85546875" style="495" customWidth="1"/>
    <col min="13284" max="13284" width="16" style="495" customWidth="1"/>
    <col min="13285" max="13285" width="15.7109375" style="495" customWidth="1"/>
    <col min="13286" max="13287" width="19.28515625" style="495" customWidth="1"/>
    <col min="13288" max="13288" width="18.140625" style="495" customWidth="1"/>
    <col min="13289" max="13289" width="16" style="495" customWidth="1"/>
    <col min="13290" max="13290" width="18" style="495" customWidth="1"/>
    <col min="13291" max="13291" width="17.85546875" style="495" customWidth="1"/>
    <col min="13292" max="13293" width="16.140625" style="495" customWidth="1"/>
    <col min="13294" max="13296" width="17.5703125" style="495" customWidth="1"/>
    <col min="13297" max="13297" width="13.7109375" style="495" customWidth="1"/>
    <col min="13298" max="13524" width="11.42578125" style="495"/>
    <col min="13525" max="13525" width="5.5703125" style="495" customWidth="1"/>
    <col min="13526" max="13526" width="35.85546875" style="495" customWidth="1"/>
    <col min="13527" max="13527" width="16.85546875" style="495" customWidth="1"/>
    <col min="13528" max="13528" width="13.7109375" style="495" customWidth="1"/>
    <col min="13529" max="13529" width="17.140625" style="495" customWidth="1"/>
    <col min="13530" max="13531" width="17.85546875" style="495" customWidth="1"/>
    <col min="13532" max="13533" width="17.140625" style="495" customWidth="1"/>
    <col min="13534" max="13534" width="16.85546875" style="495" customWidth="1"/>
    <col min="13535" max="13535" width="20.5703125" style="495" customWidth="1"/>
    <col min="13536" max="13538" width="6.42578125" style="495" customWidth="1"/>
    <col min="13539" max="13539" width="15.85546875" style="495" customWidth="1"/>
    <col min="13540" max="13540" width="16" style="495" customWidth="1"/>
    <col min="13541" max="13541" width="15.7109375" style="495" customWidth="1"/>
    <col min="13542" max="13543" width="19.28515625" style="495" customWidth="1"/>
    <col min="13544" max="13544" width="18.140625" style="495" customWidth="1"/>
    <col min="13545" max="13545" width="16" style="495" customWidth="1"/>
    <col min="13546" max="13546" width="18" style="495" customWidth="1"/>
    <col min="13547" max="13547" width="17.85546875" style="495" customWidth="1"/>
    <col min="13548" max="13549" width="16.140625" style="495" customWidth="1"/>
    <col min="13550" max="13552" width="17.5703125" style="495" customWidth="1"/>
    <col min="13553" max="13553" width="13.7109375" style="495" customWidth="1"/>
    <col min="13554" max="13780" width="11.42578125" style="495"/>
    <col min="13781" max="13781" width="5.5703125" style="495" customWidth="1"/>
    <col min="13782" max="13782" width="35.85546875" style="495" customWidth="1"/>
    <col min="13783" max="13783" width="16.85546875" style="495" customWidth="1"/>
    <col min="13784" max="13784" width="13.7109375" style="495" customWidth="1"/>
    <col min="13785" max="13785" width="17.140625" style="495" customWidth="1"/>
    <col min="13786" max="13787" width="17.85546875" style="495" customWidth="1"/>
    <col min="13788" max="13789" width="17.140625" style="495" customWidth="1"/>
    <col min="13790" max="13790" width="16.85546875" style="495" customWidth="1"/>
    <col min="13791" max="13791" width="20.5703125" style="495" customWidth="1"/>
    <col min="13792" max="13794" width="6.42578125" style="495" customWidth="1"/>
    <col min="13795" max="13795" width="15.85546875" style="495" customWidth="1"/>
    <col min="13796" max="13796" width="16" style="495" customWidth="1"/>
    <col min="13797" max="13797" width="15.7109375" style="495" customWidth="1"/>
    <col min="13798" max="13799" width="19.28515625" style="495" customWidth="1"/>
    <col min="13800" max="13800" width="18.140625" style="495" customWidth="1"/>
    <col min="13801" max="13801" width="16" style="495" customWidth="1"/>
    <col min="13802" max="13802" width="18" style="495" customWidth="1"/>
    <col min="13803" max="13803" width="17.85546875" style="495" customWidth="1"/>
    <col min="13804" max="13805" width="16.140625" style="495" customWidth="1"/>
    <col min="13806" max="13808" width="17.5703125" style="495" customWidth="1"/>
    <col min="13809" max="13809" width="13.7109375" style="495" customWidth="1"/>
    <col min="13810" max="14036" width="11.42578125" style="495"/>
    <col min="14037" max="14037" width="5.5703125" style="495" customWidth="1"/>
    <col min="14038" max="14038" width="35.85546875" style="495" customWidth="1"/>
    <col min="14039" max="14039" width="16.85546875" style="495" customWidth="1"/>
    <col min="14040" max="14040" width="13.7109375" style="495" customWidth="1"/>
    <col min="14041" max="14041" width="17.140625" style="495" customWidth="1"/>
    <col min="14042" max="14043" width="17.85546875" style="495" customWidth="1"/>
    <col min="14044" max="14045" width="17.140625" style="495" customWidth="1"/>
    <col min="14046" max="14046" width="16.85546875" style="495" customWidth="1"/>
    <col min="14047" max="14047" width="20.5703125" style="495" customWidth="1"/>
    <col min="14048" max="14050" width="6.42578125" style="495" customWidth="1"/>
    <col min="14051" max="14051" width="15.85546875" style="495" customWidth="1"/>
    <col min="14052" max="14052" width="16" style="495" customWidth="1"/>
    <col min="14053" max="14053" width="15.7109375" style="495" customWidth="1"/>
    <col min="14054" max="14055" width="19.28515625" style="495" customWidth="1"/>
    <col min="14056" max="14056" width="18.140625" style="495" customWidth="1"/>
    <col min="14057" max="14057" width="16" style="495" customWidth="1"/>
    <col min="14058" max="14058" width="18" style="495" customWidth="1"/>
    <col min="14059" max="14059" width="17.85546875" style="495" customWidth="1"/>
    <col min="14060" max="14061" width="16.140625" style="495" customWidth="1"/>
    <col min="14062" max="14064" width="17.5703125" style="495" customWidth="1"/>
    <col min="14065" max="14065" width="13.7109375" style="495" customWidth="1"/>
    <col min="14066" max="14292" width="11.42578125" style="495"/>
    <col min="14293" max="14293" width="5.5703125" style="495" customWidth="1"/>
    <col min="14294" max="14294" width="35.85546875" style="495" customWidth="1"/>
    <col min="14295" max="14295" width="16.85546875" style="495" customWidth="1"/>
    <col min="14296" max="14296" width="13.7109375" style="495" customWidth="1"/>
    <col min="14297" max="14297" width="17.140625" style="495" customWidth="1"/>
    <col min="14298" max="14299" width="17.85546875" style="495" customWidth="1"/>
    <col min="14300" max="14301" width="17.140625" style="495" customWidth="1"/>
    <col min="14302" max="14302" width="16.85546875" style="495" customWidth="1"/>
    <col min="14303" max="14303" width="20.5703125" style="495" customWidth="1"/>
    <col min="14304" max="14306" width="6.42578125" style="495" customWidth="1"/>
    <col min="14307" max="14307" width="15.85546875" style="495" customWidth="1"/>
    <col min="14308" max="14308" width="16" style="495" customWidth="1"/>
    <col min="14309" max="14309" width="15.7109375" style="495" customWidth="1"/>
    <col min="14310" max="14311" width="19.28515625" style="495" customWidth="1"/>
    <col min="14312" max="14312" width="18.140625" style="495" customWidth="1"/>
    <col min="14313" max="14313" width="16" style="495" customWidth="1"/>
    <col min="14314" max="14314" width="18" style="495" customWidth="1"/>
    <col min="14315" max="14315" width="17.85546875" style="495" customWidth="1"/>
    <col min="14316" max="14317" width="16.140625" style="495" customWidth="1"/>
    <col min="14318" max="14320" width="17.5703125" style="495" customWidth="1"/>
    <col min="14321" max="14321" width="13.7109375" style="495" customWidth="1"/>
    <col min="14322" max="14548" width="11.42578125" style="495"/>
    <col min="14549" max="14549" width="5.5703125" style="495" customWidth="1"/>
    <col min="14550" max="14550" width="35.85546875" style="495" customWidth="1"/>
    <col min="14551" max="14551" width="16.85546875" style="495" customWidth="1"/>
    <col min="14552" max="14552" width="13.7109375" style="495" customWidth="1"/>
    <col min="14553" max="14553" width="17.140625" style="495" customWidth="1"/>
    <col min="14554" max="14555" width="17.85546875" style="495" customWidth="1"/>
    <col min="14556" max="14557" width="17.140625" style="495" customWidth="1"/>
    <col min="14558" max="14558" width="16.85546875" style="495" customWidth="1"/>
    <col min="14559" max="14559" width="20.5703125" style="495" customWidth="1"/>
    <col min="14560" max="14562" width="6.42578125" style="495" customWidth="1"/>
    <col min="14563" max="14563" width="15.85546875" style="495" customWidth="1"/>
    <col min="14564" max="14564" width="16" style="495" customWidth="1"/>
    <col min="14565" max="14565" width="15.7109375" style="495" customWidth="1"/>
    <col min="14566" max="14567" width="19.28515625" style="495" customWidth="1"/>
    <col min="14568" max="14568" width="18.140625" style="495" customWidth="1"/>
    <col min="14569" max="14569" width="16" style="495" customWidth="1"/>
    <col min="14570" max="14570" width="18" style="495" customWidth="1"/>
    <col min="14571" max="14571" width="17.85546875" style="495" customWidth="1"/>
    <col min="14572" max="14573" width="16.140625" style="495" customWidth="1"/>
    <col min="14574" max="14576" width="17.5703125" style="495" customWidth="1"/>
    <col min="14577" max="14577" width="13.7109375" style="495" customWidth="1"/>
    <col min="14578" max="14804" width="11.42578125" style="495"/>
    <col min="14805" max="14805" width="5.5703125" style="495" customWidth="1"/>
    <col min="14806" max="14806" width="35.85546875" style="495" customWidth="1"/>
    <col min="14807" max="14807" width="16.85546875" style="495" customWidth="1"/>
    <col min="14808" max="14808" width="13.7109375" style="495" customWidth="1"/>
    <col min="14809" max="14809" width="17.140625" style="495" customWidth="1"/>
    <col min="14810" max="14811" width="17.85546875" style="495" customWidth="1"/>
    <col min="14812" max="14813" width="17.140625" style="495" customWidth="1"/>
    <col min="14814" max="14814" width="16.85546875" style="495" customWidth="1"/>
    <col min="14815" max="14815" width="20.5703125" style="495" customWidth="1"/>
    <col min="14816" max="14818" width="6.42578125" style="495" customWidth="1"/>
    <col min="14819" max="14819" width="15.85546875" style="495" customWidth="1"/>
    <col min="14820" max="14820" width="16" style="495" customWidth="1"/>
    <col min="14821" max="14821" width="15.7109375" style="495" customWidth="1"/>
    <col min="14822" max="14823" width="19.28515625" style="495" customWidth="1"/>
    <col min="14824" max="14824" width="18.140625" style="495" customWidth="1"/>
    <col min="14825" max="14825" width="16" style="495" customWidth="1"/>
    <col min="14826" max="14826" width="18" style="495" customWidth="1"/>
    <col min="14827" max="14827" width="17.85546875" style="495" customWidth="1"/>
    <col min="14828" max="14829" width="16.140625" style="495" customWidth="1"/>
    <col min="14830" max="14832" width="17.5703125" style="495" customWidth="1"/>
    <col min="14833" max="14833" width="13.7109375" style="495" customWidth="1"/>
    <col min="14834" max="15060" width="11.42578125" style="495"/>
    <col min="15061" max="15061" width="5.5703125" style="495" customWidth="1"/>
    <col min="15062" max="15062" width="35.85546875" style="495" customWidth="1"/>
    <col min="15063" max="15063" width="16.85546875" style="495" customWidth="1"/>
    <col min="15064" max="15064" width="13.7109375" style="495" customWidth="1"/>
    <col min="15065" max="15065" width="17.140625" style="495" customWidth="1"/>
    <col min="15066" max="15067" width="17.85546875" style="495" customWidth="1"/>
    <col min="15068" max="15069" width="17.140625" style="495" customWidth="1"/>
    <col min="15070" max="15070" width="16.85546875" style="495" customWidth="1"/>
    <col min="15071" max="15071" width="20.5703125" style="495" customWidth="1"/>
    <col min="15072" max="15074" width="6.42578125" style="495" customWidth="1"/>
    <col min="15075" max="15075" width="15.85546875" style="495" customWidth="1"/>
    <col min="15076" max="15076" width="16" style="495" customWidth="1"/>
    <col min="15077" max="15077" width="15.7109375" style="495" customWidth="1"/>
    <col min="15078" max="15079" width="19.28515625" style="495" customWidth="1"/>
    <col min="15080" max="15080" width="18.140625" style="495" customWidth="1"/>
    <col min="15081" max="15081" width="16" style="495" customWidth="1"/>
    <col min="15082" max="15082" width="18" style="495" customWidth="1"/>
    <col min="15083" max="15083" width="17.85546875" style="495" customWidth="1"/>
    <col min="15084" max="15085" width="16.140625" style="495" customWidth="1"/>
    <col min="15086" max="15088" width="17.5703125" style="495" customWidth="1"/>
    <col min="15089" max="15089" width="13.7109375" style="495" customWidth="1"/>
    <col min="15090" max="15316" width="11.42578125" style="495"/>
    <col min="15317" max="15317" width="5.5703125" style="495" customWidth="1"/>
    <col min="15318" max="15318" width="35.85546875" style="495" customWidth="1"/>
    <col min="15319" max="15319" width="16.85546875" style="495" customWidth="1"/>
    <col min="15320" max="15320" width="13.7109375" style="495" customWidth="1"/>
    <col min="15321" max="15321" width="17.140625" style="495" customWidth="1"/>
    <col min="15322" max="15323" width="17.85546875" style="495" customWidth="1"/>
    <col min="15324" max="15325" width="17.140625" style="495" customWidth="1"/>
    <col min="15326" max="15326" width="16.85546875" style="495" customWidth="1"/>
    <col min="15327" max="15327" width="20.5703125" style="495" customWidth="1"/>
    <col min="15328" max="15330" width="6.42578125" style="495" customWidth="1"/>
    <col min="15331" max="15331" width="15.85546875" style="495" customWidth="1"/>
    <col min="15332" max="15332" width="16" style="495" customWidth="1"/>
    <col min="15333" max="15333" width="15.7109375" style="495" customWidth="1"/>
    <col min="15334" max="15335" width="19.28515625" style="495" customWidth="1"/>
    <col min="15336" max="15336" width="18.140625" style="495" customWidth="1"/>
    <col min="15337" max="15337" width="16" style="495" customWidth="1"/>
    <col min="15338" max="15338" width="18" style="495" customWidth="1"/>
    <col min="15339" max="15339" width="17.85546875" style="495" customWidth="1"/>
    <col min="15340" max="15341" width="16.140625" style="495" customWidth="1"/>
    <col min="15342" max="15344" width="17.5703125" style="495" customWidth="1"/>
    <col min="15345" max="15345" width="13.7109375" style="495" customWidth="1"/>
    <col min="15346" max="15572" width="11.42578125" style="495"/>
    <col min="15573" max="15573" width="5.5703125" style="495" customWidth="1"/>
    <col min="15574" max="15574" width="35.85546875" style="495" customWidth="1"/>
    <col min="15575" max="15575" width="16.85546875" style="495" customWidth="1"/>
    <col min="15576" max="15576" width="13.7109375" style="495" customWidth="1"/>
    <col min="15577" max="15577" width="17.140625" style="495" customWidth="1"/>
    <col min="15578" max="15579" width="17.85546875" style="495" customWidth="1"/>
    <col min="15580" max="15581" width="17.140625" style="495" customWidth="1"/>
    <col min="15582" max="15582" width="16.85546875" style="495" customWidth="1"/>
    <col min="15583" max="15583" width="20.5703125" style="495" customWidth="1"/>
    <col min="15584" max="15586" width="6.42578125" style="495" customWidth="1"/>
    <col min="15587" max="15587" width="15.85546875" style="495" customWidth="1"/>
    <col min="15588" max="15588" width="16" style="495" customWidth="1"/>
    <col min="15589" max="15589" width="15.7109375" style="495" customWidth="1"/>
    <col min="15590" max="15591" width="19.28515625" style="495" customWidth="1"/>
    <col min="15592" max="15592" width="18.140625" style="495" customWidth="1"/>
    <col min="15593" max="15593" width="16" style="495" customWidth="1"/>
    <col min="15594" max="15594" width="18" style="495" customWidth="1"/>
    <col min="15595" max="15595" width="17.85546875" style="495" customWidth="1"/>
    <col min="15596" max="15597" width="16.140625" style="495" customWidth="1"/>
    <col min="15598" max="15600" width="17.5703125" style="495" customWidth="1"/>
    <col min="15601" max="15601" width="13.7109375" style="495" customWidth="1"/>
    <col min="15602" max="15828" width="11.42578125" style="495"/>
    <col min="15829" max="15829" width="5.5703125" style="495" customWidth="1"/>
    <col min="15830" max="15830" width="35.85546875" style="495" customWidth="1"/>
    <col min="15831" max="15831" width="16.85546875" style="495" customWidth="1"/>
    <col min="15832" max="15832" width="13.7109375" style="495" customWidth="1"/>
    <col min="15833" max="15833" width="17.140625" style="495" customWidth="1"/>
    <col min="15834" max="15835" width="17.85546875" style="495" customWidth="1"/>
    <col min="15836" max="15837" width="17.140625" style="495" customWidth="1"/>
    <col min="15838" max="15838" width="16.85546875" style="495" customWidth="1"/>
    <col min="15839" max="15839" width="20.5703125" style="495" customWidth="1"/>
    <col min="15840" max="15842" width="6.42578125" style="495" customWidth="1"/>
    <col min="15843" max="15843" width="15.85546875" style="495" customWidth="1"/>
    <col min="15844" max="15844" width="16" style="495" customWidth="1"/>
    <col min="15845" max="15845" width="15.7109375" style="495" customWidth="1"/>
    <col min="15846" max="15847" width="19.28515625" style="495" customWidth="1"/>
    <col min="15848" max="15848" width="18.140625" style="495" customWidth="1"/>
    <col min="15849" max="15849" width="16" style="495" customWidth="1"/>
    <col min="15850" max="15850" width="18" style="495" customWidth="1"/>
    <col min="15851" max="15851" width="17.85546875" style="495" customWidth="1"/>
    <col min="15852" max="15853" width="16.140625" style="495" customWidth="1"/>
    <col min="15854" max="15856" width="17.5703125" style="495" customWidth="1"/>
    <col min="15857" max="15857" width="13.7109375" style="495" customWidth="1"/>
    <col min="15858" max="16084" width="11.42578125" style="495"/>
    <col min="16085" max="16085" width="5.5703125" style="495" customWidth="1"/>
    <col min="16086" max="16086" width="35.85546875" style="495" customWidth="1"/>
    <col min="16087" max="16087" width="16.85546875" style="495" customWidth="1"/>
    <col min="16088" max="16088" width="13.7109375" style="495" customWidth="1"/>
    <col min="16089" max="16089" width="17.140625" style="495" customWidth="1"/>
    <col min="16090" max="16091" width="17.85546875" style="495" customWidth="1"/>
    <col min="16092" max="16093" width="17.140625" style="495" customWidth="1"/>
    <col min="16094" max="16094" width="16.85546875" style="495" customWidth="1"/>
    <col min="16095" max="16095" width="20.5703125" style="495" customWidth="1"/>
    <col min="16096" max="16098" width="6.42578125" style="495" customWidth="1"/>
    <col min="16099" max="16099" width="15.85546875" style="495" customWidth="1"/>
    <col min="16100" max="16100" width="16" style="495" customWidth="1"/>
    <col min="16101" max="16101" width="15.7109375" style="495" customWidth="1"/>
    <col min="16102" max="16103" width="19.28515625" style="495" customWidth="1"/>
    <col min="16104" max="16104" width="18.140625" style="495" customWidth="1"/>
    <col min="16105" max="16105" width="16" style="495" customWidth="1"/>
    <col min="16106" max="16106" width="18" style="495" customWidth="1"/>
    <col min="16107" max="16107" width="17.85546875" style="495" customWidth="1"/>
    <col min="16108" max="16109" width="16.140625" style="495" customWidth="1"/>
    <col min="16110" max="16112" width="17.5703125" style="495" customWidth="1"/>
    <col min="16113" max="16113" width="13.7109375" style="495" customWidth="1"/>
    <col min="16114" max="16384" width="11.42578125" style="495"/>
  </cols>
  <sheetData>
    <row r="1" spans="1:19" ht="51.75" customHeight="1" x14ac:dyDescent="0.2">
      <c r="A1" s="1334" t="s">
        <v>447</v>
      </c>
      <c r="B1" s="1336" t="s">
        <v>2733</v>
      </c>
      <c r="C1" s="1330" t="s">
        <v>3418</v>
      </c>
      <c r="D1" s="492"/>
      <c r="E1" s="1328" t="s">
        <v>3430</v>
      </c>
      <c r="F1" s="1330" t="s">
        <v>3418</v>
      </c>
      <c r="G1" s="493"/>
      <c r="H1" s="1342" t="s">
        <v>3425</v>
      </c>
      <c r="I1" s="1342"/>
      <c r="J1" s="1342"/>
      <c r="K1" s="1342"/>
      <c r="L1" s="1342"/>
      <c r="M1" s="1342"/>
      <c r="N1" s="1342"/>
      <c r="O1" s="1342"/>
      <c r="P1" s="1342"/>
      <c r="Q1" s="1342"/>
      <c r="R1" s="1342"/>
      <c r="S1" s="1342"/>
    </row>
    <row r="2" spans="1:19" ht="38.25" customHeight="1" thickBot="1" x14ac:dyDescent="0.25">
      <c r="A2" s="1335"/>
      <c r="B2" s="1337"/>
      <c r="C2" s="1331"/>
      <c r="D2" s="492"/>
      <c r="E2" s="1329"/>
      <c r="F2" s="1331"/>
      <c r="G2" s="496"/>
      <c r="H2" s="498" t="s">
        <v>3672</v>
      </c>
      <c r="I2" s="498" t="s">
        <v>3742</v>
      </c>
      <c r="J2" s="498" t="s">
        <v>3661</v>
      </c>
      <c r="K2" s="498" t="s">
        <v>3662</v>
      </c>
      <c r="L2" s="498" t="s">
        <v>3663</v>
      </c>
      <c r="M2" s="498" t="s">
        <v>3664</v>
      </c>
      <c r="N2" s="498" t="s">
        <v>3316</v>
      </c>
      <c r="O2" s="498" t="s">
        <v>3317</v>
      </c>
      <c r="P2" s="498" t="s">
        <v>3757</v>
      </c>
      <c r="Q2" s="498" t="s">
        <v>3743</v>
      </c>
      <c r="R2" s="498" t="s">
        <v>3334</v>
      </c>
      <c r="S2" s="498" t="s">
        <v>695</v>
      </c>
    </row>
    <row r="3" spans="1:19" ht="39" customHeight="1" thickBot="1" x14ac:dyDescent="0.25">
      <c r="A3" s="499"/>
      <c r="B3" s="500" t="s">
        <v>2734</v>
      </c>
      <c r="C3" s="501">
        <f t="shared" ref="C3:S3" si="0">+C4</f>
        <v>245000000</v>
      </c>
      <c r="D3" s="492"/>
      <c r="E3" s="502">
        <f t="shared" si="0"/>
        <v>0</v>
      </c>
      <c r="F3" s="502">
        <f t="shared" si="0"/>
        <v>245000000</v>
      </c>
      <c r="G3" s="503"/>
      <c r="H3" s="505">
        <f t="shared" si="0"/>
        <v>120000000</v>
      </c>
      <c r="I3" s="505">
        <f t="shared" si="0"/>
        <v>0</v>
      </c>
      <c r="J3" s="505">
        <f t="shared" si="0"/>
        <v>0</v>
      </c>
      <c r="K3" s="505">
        <f t="shared" si="0"/>
        <v>0</v>
      </c>
      <c r="L3" s="505">
        <f t="shared" si="0"/>
        <v>0</v>
      </c>
      <c r="M3" s="505">
        <f t="shared" si="0"/>
        <v>0</v>
      </c>
      <c r="N3" s="505">
        <f t="shared" si="0"/>
        <v>0</v>
      </c>
      <c r="O3" s="505">
        <f t="shared" si="0"/>
        <v>125000000</v>
      </c>
      <c r="P3" s="505"/>
      <c r="Q3" s="505">
        <f t="shared" si="0"/>
        <v>0</v>
      </c>
      <c r="R3" s="505"/>
      <c r="S3" s="505">
        <f t="shared" si="0"/>
        <v>245000000</v>
      </c>
    </row>
    <row r="4" spans="1:19" ht="39" customHeight="1" thickBot="1" x14ac:dyDescent="0.25">
      <c r="A4" s="506"/>
      <c r="B4" s="507" t="s">
        <v>2735</v>
      </c>
      <c r="C4" s="508">
        <f>SUM(C5:C7)</f>
        <v>245000000</v>
      </c>
      <c r="D4" s="492"/>
      <c r="E4" s="509">
        <f>SUM(E5:E7)</f>
        <v>0</v>
      </c>
      <c r="F4" s="509">
        <f>SUM(F5:F7)</f>
        <v>245000000</v>
      </c>
      <c r="G4" s="510"/>
      <c r="H4" s="512">
        <f t="shared" ref="H4:S4" si="1">SUM(H5:H7)</f>
        <v>120000000</v>
      </c>
      <c r="I4" s="512">
        <f t="shared" si="1"/>
        <v>0</v>
      </c>
      <c r="J4" s="512">
        <f t="shared" si="1"/>
        <v>0</v>
      </c>
      <c r="K4" s="512">
        <f t="shared" si="1"/>
        <v>0</v>
      </c>
      <c r="L4" s="512">
        <f t="shared" si="1"/>
        <v>0</v>
      </c>
      <c r="M4" s="512">
        <f t="shared" si="1"/>
        <v>0</v>
      </c>
      <c r="N4" s="512">
        <f t="shared" si="1"/>
        <v>0</v>
      </c>
      <c r="O4" s="512">
        <f t="shared" si="1"/>
        <v>125000000</v>
      </c>
      <c r="P4" s="512"/>
      <c r="Q4" s="512">
        <f t="shared" si="1"/>
        <v>0</v>
      </c>
      <c r="R4" s="512"/>
      <c r="S4" s="512">
        <f t="shared" si="1"/>
        <v>245000000</v>
      </c>
    </row>
    <row r="5" spans="1:19" ht="39" customHeight="1" thickBot="1" x14ac:dyDescent="0.25">
      <c r="A5" s="506">
        <v>510</v>
      </c>
      <c r="B5" s="513" t="s">
        <v>2736</v>
      </c>
      <c r="C5" s="514">
        <f>+'POAI 2011 INIC'!C5</f>
        <v>5000000</v>
      </c>
      <c r="D5" s="492"/>
      <c r="E5" s="515"/>
      <c r="F5" s="515">
        <f>+C5+E5</f>
        <v>5000000</v>
      </c>
      <c r="G5" s="516"/>
      <c r="H5" s="518">
        <f>+'PLANINDICATIVO PD'!AA3</f>
        <v>0</v>
      </c>
      <c r="I5" s="518">
        <f>+'PLANINDICATIVO PD'!AB3</f>
        <v>0</v>
      </c>
      <c r="J5" s="518">
        <f>+'PLANINDICATIVO PD'!AC3</f>
        <v>0</v>
      </c>
      <c r="K5" s="518">
        <f>+'PLANINDICATIVO PD'!AD3</f>
        <v>0</v>
      </c>
      <c r="L5" s="518">
        <f>+'PLANINDICATIVO PD'!AE3</f>
        <v>0</v>
      </c>
      <c r="M5" s="518">
        <f>+'PLANINDICATIVO PD'!AF3</f>
        <v>0</v>
      </c>
      <c r="N5" s="518">
        <f>+'PLANINDICATIVO PD'!AG3</f>
        <v>0</v>
      </c>
      <c r="O5" s="518">
        <f>+'PLANINDICATIVO PD'!AH3</f>
        <v>5000000</v>
      </c>
      <c r="P5" s="518">
        <f>+'PLANINDICATIVO PD'!AI3</f>
        <v>0</v>
      </c>
      <c r="Q5" s="518">
        <f>+'PLANINDICATIVO PD'!AJ3</f>
        <v>0</v>
      </c>
      <c r="R5" s="518">
        <f>+'PLANINDICATIVO PD'!AK3</f>
        <v>0</v>
      </c>
      <c r="S5" s="519">
        <f>SUM(H5:Q5)</f>
        <v>5000000</v>
      </c>
    </row>
    <row r="6" spans="1:19" ht="48" customHeight="1" thickBot="1" x14ac:dyDescent="0.25">
      <c r="A6" s="506">
        <v>510</v>
      </c>
      <c r="B6" s="513" t="s">
        <v>2737</v>
      </c>
      <c r="C6" s="514">
        <f>+'POAI 2011 INIC'!C6</f>
        <v>0</v>
      </c>
      <c r="D6" s="492"/>
      <c r="E6" s="515"/>
      <c r="F6" s="515">
        <f>+C6+E6</f>
        <v>0</v>
      </c>
      <c r="G6" s="516"/>
      <c r="H6" s="518">
        <f>+'PLANINDICATIVO PD'!AA4</f>
        <v>0</v>
      </c>
      <c r="I6" s="518">
        <f>+'PLANINDICATIVO PD'!AB4</f>
        <v>0</v>
      </c>
      <c r="J6" s="518">
        <f>+'PLANINDICATIVO PD'!AC4</f>
        <v>0</v>
      </c>
      <c r="K6" s="518">
        <f>+'PLANINDICATIVO PD'!AD4</f>
        <v>0</v>
      </c>
      <c r="L6" s="518">
        <f>+'PLANINDICATIVO PD'!AE4</f>
        <v>0</v>
      </c>
      <c r="M6" s="518">
        <f>+'PLANINDICATIVO PD'!AF4</f>
        <v>0</v>
      </c>
      <c r="N6" s="518">
        <f>+'PLANINDICATIVO PD'!AG4</f>
        <v>0</v>
      </c>
      <c r="O6" s="518">
        <f>+'PLANINDICATIVO PD'!AH4</f>
        <v>0</v>
      </c>
      <c r="P6" s="518">
        <f>+'PLANINDICATIVO PD'!AI4</f>
        <v>0</v>
      </c>
      <c r="Q6" s="518">
        <f>+'PLANINDICATIVO PD'!AJ4</f>
        <v>0</v>
      </c>
      <c r="R6" s="518">
        <f>+'PLANINDICATIVO PD'!AK4</f>
        <v>0</v>
      </c>
      <c r="S6" s="519">
        <f>SUM(H6:Q6)</f>
        <v>0</v>
      </c>
    </row>
    <row r="7" spans="1:19" ht="39" customHeight="1" thickBot="1" x14ac:dyDescent="0.25">
      <c r="A7" s="506">
        <v>510</v>
      </c>
      <c r="B7" s="520" t="s">
        <v>2738</v>
      </c>
      <c r="C7" s="514">
        <f>+'POAI 2011 INIC'!C7</f>
        <v>240000000</v>
      </c>
      <c r="D7" s="492"/>
      <c r="E7" s="515"/>
      <c r="F7" s="515">
        <f>+C7+E7</f>
        <v>240000000</v>
      </c>
      <c r="G7" s="516"/>
      <c r="H7" s="518">
        <f>+'PLANINDICATIVO PD'!AA5</f>
        <v>120000000</v>
      </c>
      <c r="I7" s="518">
        <f>+'PLANINDICATIVO PD'!AB5</f>
        <v>0</v>
      </c>
      <c r="J7" s="518">
        <f>+'PLANINDICATIVO PD'!AC5</f>
        <v>0</v>
      </c>
      <c r="K7" s="518">
        <f>+'PLANINDICATIVO PD'!AD5</f>
        <v>0</v>
      </c>
      <c r="L7" s="518">
        <f>+'PLANINDICATIVO PD'!AE5</f>
        <v>0</v>
      </c>
      <c r="M7" s="518">
        <f>+'PLANINDICATIVO PD'!AF5</f>
        <v>0</v>
      </c>
      <c r="N7" s="518">
        <f>+'PLANINDICATIVO PD'!AG5</f>
        <v>0</v>
      </c>
      <c r="O7" s="518">
        <f>+'PLANINDICATIVO PD'!AH5</f>
        <v>120000000</v>
      </c>
      <c r="P7" s="518">
        <f>+'PLANINDICATIVO PD'!AI5</f>
        <v>0</v>
      </c>
      <c r="Q7" s="518">
        <f>+'PLANINDICATIVO PD'!AJ5</f>
        <v>0</v>
      </c>
      <c r="R7" s="518">
        <f>+'PLANINDICATIVO PD'!AK5</f>
        <v>0</v>
      </c>
      <c r="S7" s="519">
        <f>SUM(H7:Q7)</f>
        <v>240000000</v>
      </c>
    </row>
    <row r="8" spans="1:19" ht="39" customHeight="1" thickBot="1" x14ac:dyDescent="0.25">
      <c r="A8" s="506"/>
      <c r="B8" s="500" t="s">
        <v>2739</v>
      </c>
      <c r="C8" s="501">
        <f t="shared" ref="C8:S8" si="2">+C9</f>
        <v>420000000</v>
      </c>
      <c r="D8" s="492"/>
      <c r="E8" s="521">
        <f t="shared" si="2"/>
        <v>0</v>
      </c>
      <c r="F8" s="521">
        <f t="shared" si="2"/>
        <v>420000000</v>
      </c>
      <c r="G8" s="522"/>
      <c r="H8" s="505">
        <f t="shared" si="2"/>
        <v>215000000</v>
      </c>
      <c r="I8" s="505">
        <f t="shared" si="2"/>
        <v>0</v>
      </c>
      <c r="J8" s="505">
        <f t="shared" si="2"/>
        <v>0</v>
      </c>
      <c r="K8" s="505">
        <f t="shared" si="2"/>
        <v>0</v>
      </c>
      <c r="L8" s="505">
        <f t="shared" si="2"/>
        <v>0</v>
      </c>
      <c r="M8" s="505">
        <f t="shared" si="2"/>
        <v>0</v>
      </c>
      <c r="N8" s="505">
        <f t="shared" si="2"/>
        <v>100000000</v>
      </c>
      <c r="O8" s="505">
        <f t="shared" si="2"/>
        <v>105000000</v>
      </c>
      <c r="P8" s="505"/>
      <c r="Q8" s="505">
        <f t="shared" si="2"/>
        <v>0</v>
      </c>
      <c r="R8" s="505"/>
      <c r="S8" s="505">
        <f t="shared" si="2"/>
        <v>420000000</v>
      </c>
    </row>
    <row r="9" spans="1:19" ht="39" customHeight="1" thickBot="1" x14ac:dyDescent="0.25">
      <c r="A9" s="506"/>
      <c r="B9" s="507" t="s">
        <v>2740</v>
      </c>
      <c r="C9" s="508">
        <f>SUM(C10:C11)</f>
        <v>420000000</v>
      </c>
      <c r="D9" s="492"/>
      <c r="E9" s="509">
        <f>SUM(E10:E11)</f>
        <v>0</v>
      </c>
      <c r="F9" s="509">
        <f>SUM(F10:F11)</f>
        <v>420000000</v>
      </c>
      <c r="G9" s="510"/>
      <c r="H9" s="512">
        <f t="shared" ref="H9:S9" si="3">SUM(H10:H11)</f>
        <v>215000000</v>
      </c>
      <c r="I9" s="512">
        <f t="shared" si="3"/>
        <v>0</v>
      </c>
      <c r="J9" s="512">
        <f t="shared" si="3"/>
        <v>0</v>
      </c>
      <c r="K9" s="512">
        <f t="shared" si="3"/>
        <v>0</v>
      </c>
      <c r="L9" s="512">
        <f t="shared" si="3"/>
        <v>0</v>
      </c>
      <c r="M9" s="512">
        <f t="shared" si="3"/>
        <v>0</v>
      </c>
      <c r="N9" s="512">
        <f t="shared" si="3"/>
        <v>100000000</v>
      </c>
      <c r="O9" s="512">
        <f t="shared" si="3"/>
        <v>105000000</v>
      </c>
      <c r="P9" s="512"/>
      <c r="Q9" s="512">
        <f t="shared" si="3"/>
        <v>0</v>
      </c>
      <c r="R9" s="512"/>
      <c r="S9" s="512">
        <f t="shared" si="3"/>
        <v>420000000</v>
      </c>
    </row>
    <row r="10" spans="1:19" ht="29.25" customHeight="1" thickBot="1" x14ac:dyDescent="0.25">
      <c r="A10" s="506">
        <v>520</v>
      </c>
      <c r="B10" s="524" t="s">
        <v>2741</v>
      </c>
      <c r="C10" s="514">
        <f>+'POAI 2011 INIC'!C10</f>
        <v>50000000</v>
      </c>
      <c r="D10" s="492"/>
      <c r="E10" s="515"/>
      <c r="F10" s="515">
        <f>+C10+E10</f>
        <v>50000000</v>
      </c>
      <c r="G10" s="516"/>
      <c r="H10" s="518">
        <f>+'PLANINDICATIVO PD'!AA8</f>
        <v>25000000</v>
      </c>
      <c r="I10" s="518">
        <f>+'PLANINDICATIVO PD'!AB8</f>
        <v>0</v>
      </c>
      <c r="J10" s="518">
        <f>+'PLANINDICATIVO PD'!AC8</f>
        <v>0</v>
      </c>
      <c r="K10" s="518">
        <f>+'PLANINDICATIVO PD'!AD8</f>
        <v>0</v>
      </c>
      <c r="L10" s="518">
        <f>+'PLANINDICATIVO PD'!AE8</f>
        <v>0</v>
      </c>
      <c r="M10" s="518">
        <f>+'PLANINDICATIVO PD'!AF8</f>
        <v>0</v>
      </c>
      <c r="N10" s="518">
        <f>+'PLANINDICATIVO PD'!AG8</f>
        <v>0</v>
      </c>
      <c r="O10" s="518">
        <f>+'PLANINDICATIVO PD'!AH8</f>
        <v>25000000</v>
      </c>
      <c r="P10" s="518">
        <f>+'PLANINDICATIVO PD'!AI8</f>
        <v>0</v>
      </c>
      <c r="Q10" s="518">
        <f>+'PLANINDICATIVO PD'!AJ8</f>
        <v>0</v>
      </c>
      <c r="R10" s="518">
        <f>+'PLANINDICATIVO PD'!AK8</f>
        <v>0</v>
      </c>
      <c r="S10" s="519">
        <f>SUM(H10:Q10)</f>
        <v>50000000</v>
      </c>
    </row>
    <row r="11" spans="1:19" ht="30" customHeight="1" thickBot="1" x14ac:dyDescent="0.25">
      <c r="A11" s="506">
        <v>520</v>
      </c>
      <c r="B11" s="524" t="s">
        <v>2742</v>
      </c>
      <c r="C11" s="514">
        <f>+'POAI 2011 INIC'!C11</f>
        <v>370000000</v>
      </c>
      <c r="D11" s="492"/>
      <c r="E11" s="515"/>
      <c r="F11" s="515">
        <f>+C11+E11</f>
        <v>370000000</v>
      </c>
      <c r="G11" s="516"/>
      <c r="H11" s="518">
        <f>SUM('PLANINDICATIVO PD'!AA9:AA12)</f>
        <v>190000000</v>
      </c>
      <c r="I11" s="518">
        <f>SUM('PLANINDICATIVO PD'!AB9:AB12)</f>
        <v>0</v>
      </c>
      <c r="J11" s="518">
        <f>SUM('PLANINDICATIVO PD'!AC9:AC12)</f>
        <v>0</v>
      </c>
      <c r="K11" s="518">
        <f>SUM('PLANINDICATIVO PD'!AD9:AD12)</f>
        <v>0</v>
      </c>
      <c r="L11" s="518">
        <f>SUM('PLANINDICATIVO PD'!AE9:AE12)</f>
        <v>0</v>
      </c>
      <c r="M11" s="518">
        <f>SUM('PLANINDICATIVO PD'!AF9:AF12)</f>
        <v>0</v>
      </c>
      <c r="N11" s="518">
        <f>SUM('PLANINDICATIVO PD'!AG9:AG12)</f>
        <v>100000000</v>
      </c>
      <c r="O11" s="518">
        <f>SUM('PLANINDICATIVO PD'!AH9:AH12)</f>
        <v>80000000</v>
      </c>
      <c r="P11" s="518">
        <f>SUM('PLANINDICATIVO PD'!AI9:AI12)</f>
        <v>0</v>
      </c>
      <c r="Q11" s="518">
        <f>SUM('PLANINDICATIVO PD'!AJ9:AJ12)</f>
        <v>0</v>
      </c>
      <c r="R11" s="518">
        <f>SUM('PLANINDICATIVO PD'!AK9:AK12)</f>
        <v>0</v>
      </c>
      <c r="S11" s="519">
        <f>SUM(H11:Q11)</f>
        <v>370000000</v>
      </c>
    </row>
    <row r="12" spans="1:19" ht="39" customHeight="1" thickBot="1" x14ac:dyDescent="0.25">
      <c r="A12" s="506"/>
      <c r="B12" s="500" t="s">
        <v>2743</v>
      </c>
      <c r="C12" s="501">
        <f>+C13+C17+C22+C30</f>
        <v>4463770754</v>
      </c>
      <c r="D12" s="492"/>
      <c r="E12" s="521">
        <f>+E13+E17+E22+E30</f>
        <v>0</v>
      </c>
      <c r="F12" s="521">
        <f>+F13+F17+F22+F30</f>
        <v>4463770754</v>
      </c>
      <c r="G12" s="522"/>
      <c r="H12" s="501">
        <f t="shared" ref="H12:S12" si="4">+H13+H17+H22+H30</f>
        <v>1915902120</v>
      </c>
      <c r="I12" s="501">
        <f t="shared" si="4"/>
        <v>500068634</v>
      </c>
      <c r="J12" s="501">
        <f t="shared" si="4"/>
        <v>0</v>
      </c>
      <c r="K12" s="501">
        <f t="shared" si="4"/>
        <v>0</v>
      </c>
      <c r="L12" s="501">
        <f t="shared" si="4"/>
        <v>0</v>
      </c>
      <c r="M12" s="501">
        <f t="shared" si="4"/>
        <v>0</v>
      </c>
      <c r="N12" s="501">
        <f t="shared" si="4"/>
        <v>1416800000</v>
      </c>
      <c r="O12" s="501">
        <f t="shared" si="4"/>
        <v>631000000</v>
      </c>
      <c r="P12" s="501"/>
      <c r="Q12" s="501">
        <f t="shared" si="4"/>
        <v>0</v>
      </c>
      <c r="R12" s="501"/>
      <c r="S12" s="501">
        <f t="shared" si="4"/>
        <v>4463770754</v>
      </c>
    </row>
    <row r="13" spans="1:19" ht="39" customHeight="1" thickBot="1" x14ac:dyDescent="0.25">
      <c r="A13" s="499"/>
      <c r="B13" s="507" t="s">
        <v>2744</v>
      </c>
      <c r="C13" s="508">
        <f>SUM(C14:C16)</f>
        <v>415000000</v>
      </c>
      <c r="D13" s="492"/>
      <c r="E13" s="509">
        <f>SUM(E14:E16)</f>
        <v>0</v>
      </c>
      <c r="F13" s="509">
        <f>SUM(F14:F16)</f>
        <v>415000000</v>
      </c>
      <c r="G13" s="510"/>
      <c r="H13" s="508">
        <f t="shared" ref="H13:S13" si="5">SUM(H14:H16)</f>
        <v>270000000</v>
      </c>
      <c r="I13" s="508">
        <f t="shared" si="5"/>
        <v>0</v>
      </c>
      <c r="J13" s="508">
        <f t="shared" si="5"/>
        <v>0</v>
      </c>
      <c r="K13" s="508">
        <f t="shared" si="5"/>
        <v>0</v>
      </c>
      <c r="L13" s="508">
        <f t="shared" si="5"/>
        <v>0</v>
      </c>
      <c r="M13" s="508">
        <f t="shared" si="5"/>
        <v>0</v>
      </c>
      <c r="N13" s="508">
        <f t="shared" si="5"/>
        <v>0</v>
      </c>
      <c r="O13" s="508">
        <f t="shared" si="5"/>
        <v>145000000</v>
      </c>
      <c r="P13" s="508"/>
      <c r="Q13" s="508">
        <f t="shared" si="5"/>
        <v>0</v>
      </c>
      <c r="R13" s="508"/>
      <c r="S13" s="508">
        <f t="shared" si="5"/>
        <v>415000000</v>
      </c>
    </row>
    <row r="14" spans="1:19" ht="39" customHeight="1" thickBot="1" x14ac:dyDescent="0.25">
      <c r="A14" s="506">
        <v>510</v>
      </c>
      <c r="B14" s="525" t="s">
        <v>2745</v>
      </c>
      <c r="C14" s="514">
        <f>+'POAI 2011 INIC'!C14</f>
        <v>345000000</v>
      </c>
      <c r="D14" s="492"/>
      <c r="E14" s="515"/>
      <c r="F14" s="515">
        <f>+C14+E14</f>
        <v>345000000</v>
      </c>
      <c r="G14" s="516"/>
      <c r="H14" s="518">
        <f>SUM('PLANINDICATIVO PD'!AA15:AA16)</f>
        <v>230000000</v>
      </c>
      <c r="I14" s="518">
        <f>SUM('PLANINDICATIVO PD'!AB15:AB16)</f>
        <v>0</v>
      </c>
      <c r="J14" s="518">
        <f>SUM('PLANINDICATIVO PD'!AC15:AC16)</f>
        <v>0</v>
      </c>
      <c r="K14" s="518">
        <f>SUM('PLANINDICATIVO PD'!AD15:AD16)</f>
        <v>0</v>
      </c>
      <c r="L14" s="518">
        <f>SUM('PLANINDICATIVO PD'!AE15:AE16)</f>
        <v>0</v>
      </c>
      <c r="M14" s="518">
        <f>SUM('PLANINDICATIVO PD'!AF15:AF16)</f>
        <v>0</v>
      </c>
      <c r="N14" s="518">
        <f>SUM('PLANINDICATIVO PD'!AG15:AG16)</f>
        <v>0</v>
      </c>
      <c r="O14" s="518">
        <f>SUM('PLANINDICATIVO PD'!AH15:AH16)</f>
        <v>115000000</v>
      </c>
      <c r="P14" s="518">
        <f>SUM('PLANINDICATIVO PD'!AI15:AI16)</f>
        <v>0</v>
      </c>
      <c r="Q14" s="518">
        <f>SUM('PLANINDICATIVO PD'!AJ15:AJ16)</f>
        <v>0</v>
      </c>
      <c r="R14" s="518">
        <f>SUM('PLANINDICATIVO PD'!AK15:AK16)</f>
        <v>0</v>
      </c>
      <c r="S14" s="519">
        <f t="shared" ref="S14:S32" si="6">SUM(H14:Q14)</f>
        <v>345000000</v>
      </c>
    </row>
    <row r="15" spans="1:19" ht="33" customHeight="1" thickBot="1" x14ac:dyDescent="0.25">
      <c r="A15" s="506">
        <v>510</v>
      </c>
      <c r="B15" s="520" t="s">
        <v>2746</v>
      </c>
      <c r="C15" s="514">
        <f>+'POAI 2011 INIC'!C15</f>
        <v>30000000</v>
      </c>
      <c r="D15" s="492"/>
      <c r="E15" s="515"/>
      <c r="F15" s="515">
        <f>+C15+E15</f>
        <v>30000000</v>
      </c>
      <c r="G15" s="516"/>
      <c r="H15" s="518">
        <f>SUM('PLANINDICATIVO PD'!AA17)</f>
        <v>20000000</v>
      </c>
      <c r="I15" s="518">
        <f>SUM('PLANINDICATIVO PD'!AB17)</f>
        <v>0</v>
      </c>
      <c r="J15" s="518">
        <f>SUM('PLANINDICATIVO PD'!AC17)</f>
        <v>0</v>
      </c>
      <c r="K15" s="518">
        <f>SUM('PLANINDICATIVO PD'!AD17)</f>
        <v>0</v>
      </c>
      <c r="L15" s="518">
        <f>SUM('PLANINDICATIVO PD'!AE17)</f>
        <v>0</v>
      </c>
      <c r="M15" s="518">
        <f>SUM('PLANINDICATIVO PD'!AF17)</f>
        <v>0</v>
      </c>
      <c r="N15" s="518">
        <f>SUM('PLANINDICATIVO PD'!AG17)</f>
        <v>0</v>
      </c>
      <c r="O15" s="518">
        <f>SUM('PLANINDICATIVO PD'!AH17)</f>
        <v>10000000</v>
      </c>
      <c r="P15" s="518">
        <f>SUM('PLANINDICATIVO PD'!AI17)</f>
        <v>0</v>
      </c>
      <c r="Q15" s="518">
        <f>SUM('PLANINDICATIVO PD'!AJ17)</f>
        <v>0</v>
      </c>
      <c r="R15" s="518">
        <f>SUM('PLANINDICATIVO PD'!AK17)</f>
        <v>0</v>
      </c>
      <c r="S15" s="519">
        <f t="shared" si="6"/>
        <v>30000000</v>
      </c>
    </row>
    <row r="16" spans="1:19" ht="27.75" customHeight="1" thickBot="1" x14ac:dyDescent="0.25">
      <c r="A16" s="506">
        <v>510</v>
      </c>
      <c r="B16" s="524" t="s">
        <v>2747</v>
      </c>
      <c r="C16" s="514">
        <f>+'POAI 2011 INIC'!C16</f>
        <v>40000000</v>
      </c>
      <c r="D16" s="492"/>
      <c r="E16" s="515"/>
      <c r="F16" s="515">
        <f>+C16+E16</f>
        <v>40000000</v>
      </c>
      <c r="G16" s="516"/>
      <c r="H16" s="518">
        <f>SUM('PLANINDICATIVO PD'!AA18)</f>
        <v>20000000</v>
      </c>
      <c r="I16" s="518">
        <f>SUM('PLANINDICATIVO PD'!AB18)</f>
        <v>0</v>
      </c>
      <c r="J16" s="518">
        <f>SUM('PLANINDICATIVO PD'!AC18)</f>
        <v>0</v>
      </c>
      <c r="K16" s="518">
        <f>SUM('PLANINDICATIVO PD'!AD18)</f>
        <v>0</v>
      </c>
      <c r="L16" s="518">
        <f>SUM('PLANINDICATIVO PD'!AE18)</f>
        <v>0</v>
      </c>
      <c r="M16" s="518">
        <f>SUM('PLANINDICATIVO PD'!AF18)</f>
        <v>0</v>
      </c>
      <c r="N16" s="518">
        <f>SUM('PLANINDICATIVO PD'!AG18)</f>
        <v>0</v>
      </c>
      <c r="O16" s="518">
        <f>SUM('PLANINDICATIVO PD'!AH18)</f>
        <v>20000000</v>
      </c>
      <c r="P16" s="518">
        <f>SUM('PLANINDICATIVO PD'!AI18)</f>
        <v>0</v>
      </c>
      <c r="Q16" s="518">
        <f>SUM('PLANINDICATIVO PD'!AJ18)</f>
        <v>0</v>
      </c>
      <c r="R16" s="518">
        <f>SUM('PLANINDICATIVO PD'!AK18)</f>
        <v>0</v>
      </c>
      <c r="S16" s="519">
        <f t="shared" si="6"/>
        <v>40000000</v>
      </c>
    </row>
    <row r="17" spans="1:19" ht="28.5" customHeight="1" thickBot="1" x14ac:dyDescent="0.25">
      <c r="A17" s="506"/>
      <c r="B17" s="507" t="s">
        <v>2748</v>
      </c>
      <c r="C17" s="508">
        <f>SUM(C18:C21)</f>
        <v>595000000</v>
      </c>
      <c r="D17" s="492"/>
      <c r="E17" s="509">
        <f>SUM(E18:E21)</f>
        <v>0</v>
      </c>
      <c r="F17" s="509">
        <f>SUM(F18:F21)</f>
        <v>595000000</v>
      </c>
      <c r="G17" s="510"/>
      <c r="H17" s="508">
        <f t="shared" ref="H17:S17" si="7">SUM(H18:H21)</f>
        <v>520000000</v>
      </c>
      <c r="I17" s="508">
        <f t="shared" si="7"/>
        <v>0</v>
      </c>
      <c r="J17" s="508">
        <f t="shared" si="7"/>
        <v>0</v>
      </c>
      <c r="K17" s="508">
        <f t="shared" si="7"/>
        <v>0</v>
      </c>
      <c r="L17" s="508">
        <f t="shared" si="7"/>
        <v>0</v>
      </c>
      <c r="M17" s="508">
        <f t="shared" si="7"/>
        <v>0</v>
      </c>
      <c r="N17" s="508">
        <f t="shared" si="7"/>
        <v>0</v>
      </c>
      <c r="O17" s="508">
        <f t="shared" si="7"/>
        <v>75000000</v>
      </c>
      <c r="P17" s="508"/>
      <c r="Q17" s="508">
        <f t="shared" si="7"/>
        <v>0</v>
      </c>
      <c r="R17" s="508"/>
      <c r="S17" s="508">
        <f t="shared" si="7"/>
        <v>595000000</v>
      </c>
    </row>
    <row r="18" spans="1:19" ht="30" customHeight="1" thickBot="1" x14ac:dyDescent="0.25">
      <c r="A18" s="506">
        <v>510</v>
      </c>
      <c r="B18" s="526" t="s">
        <v>2749</v>
      </c>
      <c r="C18" s="514">
        <f>+'POAI 2011 INIC'!C18</f>
        <v>20000000</v>
      </c>
      <c r="D18" s="492"/>
      <c r="E18" s="515"/>
      <c r="F18" s="515">
        <f>+C18+E18</f>
        <v>20000000</v>
      </c>
      <c r="G18" s="516"/>
      <c r="H18" s="518">
        <f>+'PLANINDICATIVO PD'!AA19</f>
        <v>0</v>
      </c>
      <c r="I18" s="518">
        <f>+'PLANINDICATIVO PD'!AB19</f>
        <v>0</v>
      </c>
      <c r="J18" s="518">
        <f>+'PLANINDICATIVO PD'!AC19</f>
        <v>0</v>
      </c>
      <c r="K18" s="518">
        <f>+'PLANINDICATIVO PD'!AD19</f>
        <v>0</v>
      </c>
      <c r="L18" s="518">
        <f>+'PLANINDICATIVO PD'!AE19</f>
        <v>0</v>
      </c>
      <c r="M18" s="518">
        <f>+'PLANINDICATIVO PD'!AF19</f>
        <v>0</v>
      </c>
      <c r="N18" s="518">
        <f>+'PLANINDICATIVO PD'!AG19</f>
        <v>0</v>
      </c>
      <c r="O18" s="518">
        <f>+'PLANINDICATIVO PD'!AH19</f>
        <v>20000000</v>
      </c>
      <c r="P18" s="518">
        <f>+'PLANINDICATIVO PD'!AI19</f>
        <v>0</v>
      </c>
      <c r="Q18" s="518">
        <f>+'PLANINDICATIVO PD'!AJ19</f>
        <v>0</v>
      </c>
      <c r="R18" s="518">
        <f>+'PLANINDICATIVO PD'!AK19</f>
        <v>0</v>
      </c>
      <c r="S18" s="519">
        <f t="shared" si="6"/>
        <v>20000000</v>
      </c>
    </row>
    <row r="19" spans="1:19" ht="38.25" customHeight="1" thickBot="1" x14ac:dyDescent="0.25">
      <c r="A19" s="506">
        <v>510</v>
      </c>
      <c r="B19" s="520" t="s">
        <v>2750</v>
      </c>
      <c r="C19" s="514">
        <f>+'POAI 2011 INIC'!C19</f>
        <v>85000000</v>
      </c>
      <c r="D19" s="492"/>
      <c r="E19" s="515"/>
      <c r="F19" s="515">
        <f>+C19+E19</f>
        <v>85000000</v>
      </c>
      <c r="G19" s="516"/>
      <c r="H19" s="518">
        <f>SUM('PLANINDICATIVO PD'!AA20:AA22)</f>
        <v>40000000</v>
      </c>
      <c r="I19" s="518">
        <f>SUM('PLANINDICATIVO PD'!AB20:AB22)</f>
        <v>0</v>
      </c>
      <c r="J19" s="518">
        <f>SUM('PLANINDICATIVO PD'!AC20:AC22)</f>
        <v>0</v>
      </c>
      <c r="K19" s="518">
        <f>SUM('PLANINDICATIVO PD'!AD20:AD22)</f>
        <v>0</v>
      </c>
      <c r="L19" s="518">
        <f>SUM('PLANINDICATIVO PD'!AE20:AE22)</f>
        <v>0</v>
      </c>
      <c r="M19" s="518">
        <f>SUM('PLANINDICATIVO PD'!AF20:AF22)</f>
        <v>0</v>
      </c>
      <c r="N19" s="518">
        <f>SUM('PLANINDICATIVO PD'!AG20:AG22)</f>
        <v>0</v>
      </c>
      <c r="O19" s="518">
        <f>SUM('PLANINDICATIVO PD'!AH20:AH22)</f>
        <v>45000000</v>
      </c>
      <c r="P19" s="518">
        <f>SUM('PLANINDICATIVO PD'!AI20:AI22)</f>
        <v>0</v>
      </c>
      <c r="Q19" s="518">
        <f>SUM('PLANINDICATIVO PD'!AJ20:AJ22)</f>
        <v>0</v>
      </c>
      <c r="R19" s="518">
        <f>SUM('PLANINDICATIVO PD'!AK20:AK22)</f>
        <v>0</v>
      </c>
      <c r="S19" s="519">
        <f t="shared" si="6"/>
        <v>85000000</v>
      </c>
    </row>
    <row r="20" spans="1:19" ht="39" customHeight="1" thickBot="1" x14ac:dyDescent="0.25">
      <c r="A20" s="506">
        <v>310</v>
      </c>
      <c r="B20" s="524" t="s">
        <v>2751</v>
      </c>
      <c r="C20" s="514">
        <f>+'POAI 2011 INIC'!C20</f>
        <v>10000000</v>
      </c>
      <c r="D20" s="492"/>
      <c r="E20" s="515"/>
      <c r="F20" s="515">
        <f>+C20+E20</f>
        <v>10000000</v>
      </c>
      <c r="G20" s="516"/>
      <c r="H20" s="518">
        <f>+'PLANINDICATIVO PD'!AA23</f>
        <v>0</v>
      </c>
      <c r="I20" s="518">
        <f>+'PLANINDICATIVO PD'!AB23</f>
        <v>0</v>
      </c>
      <c r="J20" s="518">
        <f>+'PLANINDICATIVO PD'!AC23</f>
        <v>0</v>
      </c>
      <c r="K20" s="518">
        <f>+'PLANINDICATIVO PD'!AD23</f>
        <v>0</v>
      </c>
      <c r="L20" s="518">
        <f>+'PLANINDICATIVO PD'!AE23</f>
        <v>0</v>
      </c>
      <c r="M20" s="518">
        <f>+'PLANINDICATIVO PD'!AF23</f>
        <v>0</v>
      </c>
      <c r="N20" s="518">
        <f>+'PLANINDICATIVO PD'!AG23</f>
        <v>0</v>
      </c>
      <c r="O20" s="518">
        <f>+'PLANINDICATIVO PD'!AH23</f>
        <v>10000000</v>
      </c>
      <c r="P20" s="518">
        <f>+'PLANINDICATIVO PD'!AI23</f>
        <v>0</v>
      </c>
      <c r="Q20" s="518">
        <f>+'PLANINDICATIVO PD'!AJ23</f>
        <v>0</v>
      </c>
      <c r="R20" s="518">
        <f>+'PLANINDICATIVO PD'!AK23</f>
        <v>0</v>
      </c>
      <c r="S20" s="519">
        <f t="shared" si="6"/>
        <v>10000000</v>
      </c>
    </row>
    <row r="21" spans="1:19" ht="27" customHeight="1" thickBot="1" x14ac:dyDescent="0.25">
      <c r="A21" s="506">
        <v>310</v>
      </c>
      <c r="B21" s="524" t="s">
        <v>2752</v>
      </c>
      <c r="C21" s="514">
        <f>+'POAI 2011 INIC'!C21</f>
        <v>480000000</v>
      </c>
      <c r="D21" s="492"/>
      <c r="E21" s="515"/>
      <c r="F21" s="515">
        <f>+C21+E21</f>
        <v>480000000</v>
      </c>
      <c r="G21" s="516"/>
      <c r="H21" s="518">
        <f>+'PLANINDICATIVO PD'!AA24</f>
        <v>480000000</v>
      </c>
      <c r="I21" s="518">
        <f>+'PLANINDICATIVO PD'!AB24</f>
        <v>0</v>
      </c>
      <c r="J21" s="518">
        <f>+'PLANINDICATIVO PD'!AC24</f>
        <v>0</v>
      </c>
      <c r="K21" s="518">
        <f>+'PLANINDICATIVO PD'!AD24</f>
        <v>0</v>
      </c>
      <c r="L21" s="518">
        <f>+'PLANINDICATIVO PD'!AE24</f>
        <v>0</v>
      </c>
      <c r="M21" s="518">
        <f>+'PLANINDICATIVO PD'!AF24</f>
        <v>0</v>
      </c>
      <c r="N21" s="518">
        <f>+'PLANINDICATIVO PD'!AG24</f>
        <v>0</v>
      </c>
      <c r="O21" s="518">
        <f>+'PLANINDICATIVO PD'!AH24</f>
        <v>0</v>
      </c>
      <c r="P21" s="518">
        <f>+'PLANINDICATIVO PD'!AI24</f>
        <v>0</v>
      </c>
      <c r="Q21" s="518">
        <f>+'PLANINDICATIVO PD'!AJ24</f>
        <v>0</v>
      </c>
      <c r="R21" s="518">
        <f>+'PLANINDICATIVO PD'!AK24</f>
        <v>0</v>
      </c>
      <c r="S21" s="519">
        <f t="shared" si="6"/>
        <v>480000000</v>
      </c>
    </row>
    <row r="22" spans="1:19" ht="39" customHeight="1" thickBot="1" x14ac:dyDescent="0.25">
      <c r="A22" s="506"/>
      <c r="B22" s="507" t="s">
        <v>2753</v>
      </c>
      <c r="C22" s="508">
        <f>SUM(C23:C29)</f>
        <v>3398770754</v>
      </c>
      <c r="D22" s="492"/>
      <c r="E22" s="509">
        <f>SUM(E23:E29)</f>
        <v>0</v>
      </c>
      <c r="F22" s="509">
        <f>SUM(F23:F29)</f>
        <v>3398770754</v>
      </c>
      <c r="G22" s="510"/>
      <c r="H22" s="508">
        <f t="shared" ref="H22:S22" si="8">SUM(H23:H29)</f>
        <v>1105902120</v>
      </c>
      <c r="I22" s="508">
        <f t="shared" si="8"/>
        <v>500068634</v>
      </c>
      <c r="J22" s="508">
        <f t="shared" si="8"/>
        <v>0</v>
      </c>
      <c r="K22" s="508">
        <f t="shared" si="8"/>
        <v>0</v>
      </c>
      <c r="L22" s="508">
        <f t="shared" si="8"/>
        <v>0</v>
      </c>
      <c r="M22" s="508">
        <f t="shared" si="8"/>
        <v>0</v>
      </c>
      <c r="N22" s="508">
        <f t="shared" si="8"/>
        <v>1416800000</v>
      </c>
      <c r="O22" s="508">
        <f t="shared" si="8"/>
        <v>376000000</v>
      </c>
      <c r="P22" s="508"/>
      <c r="Q22" s="508">
        <f t="shared" si="8"/>
        <v>0</v>
      </c>
      <c r="R22" s="508"/>
      <c r="S22" s="508">
        <f t="shared" si="8"/>
        <v>3398770754</v>
      </c>
    </row>
    <row r="23" spans="1:19" ht="48" customHeight="1" thickBot="1" x14ac:dyDescent="0.25">
      <c r="A23" s="506">
        <v>310</v>
      </c>
      <c r="B23" s="526" t="s">
        <v>2754</v>
      </c>
      <c r="C23" s="514">
        <f>+'POAI 2011 INIC'!C23</f>
        <v>936970754</v>
      </c>
      <c r="D23" s="492"/>
      <c r="E23" s="515"/>
      <c r="F23" s="515">
        <f t="shared" ref="F23:F29" si="9">+C23+E23</f>
        <v>936970754</v>
      </c>
      <c r="G23" s="516"/>
      <c r="H23" s="518">
        <f>+'PLANINDICATIVO PD'!AA25</f>
        <v>936970754</v>
      </c>
      <c r="I23" s="518">
        <f>+'PLANINDICATIVO PD'!AB25</f>
        <v>0</v>
      </c>
      <c r="J23" s="518">
        <f>+'PLANINDICATIVO PD'!AC25</f>
        <v>0</v>
      </c>
      <c r="K23" s="518">
        <f>+'PLANINDICATIVO PD'!AD25</f>
        <v>0</v>
      </c>
      <c r="L23" s="518">
        <f>+'PLANINDICATIVO PD'!AE25</f>
        <v>0</v>
      </c>
      <c r="M23" s="518">
        <f>+'PLANINDICATIVO PD'!AF25</f>
        <v>0</v>
      </c>
      <c r="N23" s="518">
        <f>+'PLANINDICATIVO PD'!AG25</f>
        <v>0</v>
      </c>
      <c r="O23" s="518">
        <f>+'PLANINDICATIVO PD'!AH25</f>
        <v>0</v>
      </c>
      <c r="P23" s="518">
        <f>+'PLANINDICATIVO PD'!AI25</f>
        <v>0</v>
      </c>
      <c r="Q23" s="518">
        <f>+'PLANINDICATIVO PD'!AJ25</f>
        <v>0</v>
      </c>
      <c r="R23" s="518">
        <f>+'PLANINDICATIVO PD'!AK25</f>
        <v>0</v>
      </c>
      <c r="S23" s="519">
        <f t="shared" si="6"/>
        <v>936970754</v>
      </c>
    </row>
    <row r="24" spans="1:19" ht="30" customHeight="1" thickBot="1" x14ac:dyDescent="0.25">
      <c r="A24" s="506">
        <v>410</v>
      </c>
      <c r="B24" s="526" t="s">
        <v>2755</v>
      </c>
      <c r="C24" s="514">
        <f>+'POAI 2011 INIC'!C24</f>
        <v>350000000</v>
      </c>
      <c r="D24" s="492"/>
      <c r="E24" s="515"/>
      <c r="F24" s="515">
        <f t="shared" si="9"/>
        <v>350000000</v>
      </c>
      <c r="G24" s="516"/>
      <c r="H24" s="518">
        <f>SUM('PLANINDICATIVO PD'!AA26:AA28)</f>
        <v>158931366</v>
      </c>
      <c r="I24" s="518">
        <f>SUM('PLANINDICATIVO PD'!AB26:AB28)</f>
        <v>68634</v>
      </c>
      <c r="J24" s="518">
        <f>SUM('PLANINDICATIVO PD'!AC26:AC28)</f>
        <v>0</v>
      </c>
      <c r="K24" s="518">
        <f>SUM('PLANINDICATIVO PD'!AD26:AD28)</f>
        <v>0</v>
      </c>
      <c r="L24" s="518">
        <f>SUM('PLANINDICATIVO PD'!AE26:AE28)</f>
        <v>0</v>
      </c>
      <c r="M24" s="518">
        <f>SUM('PLANINDICATIVO PD'!AF26:AF28)</f>
        <v>0</v>
      </c>
      <c r="N24" s="518">
        <f>SUM('PLANINDICATIVO PD'!AG26:AG28)</f>
        <v>0</v>
      </c>
      <c r="O24" s="518">
        <f>SUM('PLANINDICATIVO PD'!AH26:AH28)</f>
        <v>191000000</v>
      </c>
      <c r="P24" s="518">
        <f>SUM('PLANINDICATIVO PD'!AI26:AI28)</f>
        <v>0</v>
      </c>
      <c r="Q24" s="518">
        <f>SUM('PLANINDICATIVO PD'!AJ26:AJ28)</f>
        <v>0</v>
      </c>
      <c r="R24" s="518">
        <f>SUM('PLANINDICATIVO PD'!AK26:AK28)</f>
        <v>0</v>
      </c>
      <c r="S24" s="519">
        <f t="shared" si="6"/>
        <v>350000000</v>
      </c>
    </row>
    <row r="25" spans="1:19" ht="30.75" customHeight="1" thickBot="1" x14ac:dyDescent="0.25">
      <c r="A25" s="506">
        <v>410</v>
      </c>
      <c r="B25" s="526" t="s">
        <v>2756</v>
      </c>
      <c r="C25" s="514">
        <f>+'POAI 2011 INIC'!C25</f>
        <v>60000000</v>
      </c>
      <c r="D25" s="492"/>
      <c r="E25" s="515"/>
      <c r="F25" s="515">
        <f t="shared" si="9"/>
        <v>60000000</v>
      </c>
      <c r="G25" s="516"/>
      <c r="H25" s="518">
        <f>SUM('PLANINDICATIVO PD'!AA29:AA30)</f>
        <v>10000000</v>
      </c>
      <c r="I25" s="518">
        <f>SUM('PLANINDICATIVO PD'!AB29:AB30)</f>
        <v>0</v>
      </c>
      <c r="J25" s="518">
        <f>SUM('PLANINDICATIVO PD'!AC29:AC30)</f>
        <v>0</v>
      </c>
      <c r="K25" s="518">
        <f>SUM('PLANINDICATIVO PD'!AD29:AD30)</f>
        <v>0</v>
      </c>
      <c r="L25" s="518">
        <f>SUM('PLANINDICATIVO PD'!AE29:AE30)</f>
        <v>0</v>
      </c>
      <c r="M25" s="518">
        <f>SUM('PLANINDICATIVO PD'!AF29:AF30)</f>
        <v>0</v>
      </c>
      <c r="N25" s="518">
        <f>SUM('PLANINDICATIVO PD'!AG29:AG30)</f>
        <v>0</v>
      </c>
      <c r="O25" s="518">
        <f>SUM('PLANINDICATIVO PD'!AH29:AH30)</f>
        <v>50000000</v>
      </c>
      <c r="P25" s="518">
        <f>SUM('PLANINDICATIVO PD'!AI29:AI30)</f>
        <v>0</v>
      </c>
      <c r="Q25" s="518">
        <f>SUM('PLANINDICATIVO PD'!AJ29:AJ30)</f>
        <v>0</v>
      </c>
      <c r="R25" s="518">
        <f>SUM('PLANINDICATIVO PD'!AK29:AK30)</f>
        <v>0</v>
      </c>
      <c r="S25" s="519">
        <f t="shared" si="6"/>
        <v>60000000</v>
      </c>
    </row>
    <row r="26" spans="1:19" ht="27.75" customHeight="1" thickBot="1" x14ac:dyDescent="0.25">
      <c r="A26" s="506">
        <v>410</v>
      </c>
      <c r="B26" s="526" t="s">
        <v>2757</v>
      </c>
      <c r="C26" s="514">
        <f>+'POAI 2011 INIC'!C26</f>
        <v>2016800000</v>
      </c>
      <c r="D26" s="492"/>
      <c r="E26" s="515"/>
      <c r="F26" s="515">
        <f t="shared" si="9"/>
        <v>2016800000</v>
      </c>
      <c r="G26" s="516"/>
      <c r="H26" s="518">
        <f>SUM('PLANINDICATIVO PD'!AA31:AA32)</f>
        <v>0</v>
      </c>
      <c r="I26" s="518">
        <f>SUM('PLANINDICATIVO PD'!AB31:AB32)</f>
        <v>500000000</v>
      </c>
      <c r="J26" s="518">
        <f>SUM('PLANINDICATIVO PD'!AC31:AC32)</f>
        <v>0</v>
      </c>
      <c r="K26" s="518">
        <f>SUM('PLANINDICATIVO PD'!AD31:AD32)</f>
        <v>0</v>
      </c>
      <c r="L26" s="518">
        <f>SUM('PLANINDICATIVO PD'!AE31:AE32)</f>
        <v>0</v>
      </c>
      <c r="M26" s="518">
        <f>SUM('PLANINDICATIVO PD'!AF31:AF32)</f>
        <v>0</v>
      </c>
      <c r="N26" s="518">
        <f>SUM('PLANINDICATIVO PD'!AG31:AG32)</f>
        <v>1416800000</v>
      </c>
      <c r="O26" s="518">
        <f>SUM('PLANINDICATIVO PD'!AH31:AH32)</f>
        <v>100000000</v>
      </c>
      <c r="P26" s="518">
        <f>SUM('PLANINDICATIVO PD'!AI31:AI32)</f>
        <v>0</v>
      </c>
      <c r="Q26" s="518">
        <f>SUM('PLANINDICATIVO PD'!AJ31:AJ32)</f>
        <v>0</v>
      </c>
      <c r="R26" s="518">
        <f>SUM('PLANINDICATIVO PD'!AK31:AK32)</f>
        <v>0</v>
      </c>
      <c r="S26" s="519">
        <f t="shared" si="6"/>
        <v>2016800000</v>
      </c>
    </row>
    <row r="27" spans="1:19" ht="28.5" customHeight="1" thickBot="1" x14ac:dyDescent="0.25">
      <c r="A27" s="506">
        <v>410</v>
      </c>
      <c r="B27" s="526" t="s">
        <v>2758</v>
      </c>
      <c r="C27" s="514">
        <f>+'POAI 2011 INIC'!C27</f>
        <v>10000000</v>
      </c>
      <c r="D27" s="492"/>
      <c r="E27" s="515"/>
      <c r="F27" s="515">
        <f t="shared" si="9"/>
        <v>10000000</v>
      </c>
      <c r="G27" s="516"/>
      <c r="H27" s="518">
        <f>+'PLANINDICATIVO PD'!AA33</f>
        <v>0</v>
      </c>
      <c r="I27" s="518">
        <f>+'PLANINDICATIVO PD'!AB33</f>
        <v>0</v>
      </c>
      <c r="J27" s="518">
        <f>+'PLANINDICATIVO PD'!AC33</f>
        <v>0</v>
      </c>
      <c r="K27" s="518">
        <f>+'PLANINDICATIVO PD'!AD33</f>
        <v>0</v>
      </c>
      <c r="L27" s="518">
        <f>+'PLANINDICATIVO PD'!AE33</f>
        <v>0</v>
      </c>
      <c r="M27" s="518">
        <f>+'PLANINDICATIVO PD'!AF33</f>
        <v>0</v>
      </c>
      <c r="N27" s="518">
        <f>+'PLANINDICATIVO PD'!AG33</f>
        <v>0</v>
      </c>
      <c r="O27" s="518">
        <f>+'PLANINDICATIVO PD'!AH33</f>
        <v>10000000</v>
      </c>
      <c r="P27" s="518">
        <f>+'PLANINDICATIVO PD'!AI33</f>
        <v>0</v>
      </c>
      <c r="Q27" s="518">
        <f>+'PLANINDICATIVO PD'!AJ33</f>
        <v>0</v>
      </c>
      <c r="R27" s="518">
        <f>+'PLANINDICATIVO PD'!AK33</f>
        <v>0</v>
      </c>
      <c r="S27" s="519">
        <f t="shared" si="6"/>
        <v>10000000</v>
      </c>
    </row>
    <row r="28" spans="1:19" ht="27.75" customHeight="1" thickBot="1" x14ac:dyDescent="0.25">
      <c r="A28" s="506">
        <v>410</v>
      </c>
      <c r="B28" s="526" t="s">
        <v>2759</v>
      </c>
      <c r="C28" s="514">
        <f>+'POAI 2011 INIC'!C28</f>
        <v>10000000</v>
      </c>
      <c r="D28" s="492"/>
      <c r="E28" s="515"/>
      <c r="F28" s="515">
        <f t="shared" si="9"/>
        <v>10000000</v>
      </c>
      <c r="G28" s="516"/>
      <c r="H28" s="518">
        <f>+'PLANINDICATIVO PD'!AA34</f>
        <v>0</v>
      </c>
      <c r="I28" s="518">
        <f>+'PLANINDICATIVO PD'!AB34</f>
        <v>0</v>
      </c>
      <c r="J28" s="518">
        <f>+'PLANINDICATIVO PD'!AC34</f>
        <v>0</v>
      </c>
      <c r="K28" s="518">
        <f>+'PLANINDICATIVO PD'!AD34</f>
        <v>0</v>
      </c>
      <c r="L28" s="518">
        <f>+'PLANINDICATIVO PD'!AE34</f>
        <v>0</v>
      </c>
      <c r="M28" s="518">
        <f>+'PLANINDICATIVO PD'!AF34</f>
        <v>0</v>
      </c>
      <c r="N28" s="518">
        <f>+'PLANINDICATIVO PD'!AG34</f>
        <v>0</v>
      </c>
      <c r="O28" s="518">
        <f>+'PLANINDICATIVO PD'!AH34</f>
        <v>10000000</v>
      </c>
      <c r="P28" s="518">
        <f>+'PLANINDICATIVO PD'!AI34</f>
        <v>0</v>
      </c>
      <c r="Q28" s="518">
        <f>+'PLANINDICATIVO PD'!AJ34</f>
        <v>0</v>
      </c>
      <c r="R28" s="518">
        <f>+'PLANINDICATIVO PD'!AK34</f>
        <v>0</v>
      </c>
      <c r="S28" s="519">
        <f t="shared" si="6"/>
        <v>10000000</v>
      </c>
    </row>
    <row r="29" spans="1:19" ht="30" customHeight="1" thickBot="1" x14ac:dyDescent="0.25">
      <c r="A29" s="506">
        <v>410</v>
      </c>
      <c r="B29" s="527" t="s">
        <v>2760</v>
      </c>
      <c r="C29" s="514">
        <f>+'POAI 2011 INIC'!C29</f>
        <v>15000000</v>
      </c>
      <c r="D29" s="492"/>
      <c r="E29" s="515"/>
      <c r="F29" s="515">
        <f t="shared" si="9"/>
        <v>15000000</v>
      </c>
      <c r="G29" s="516"/>
      <c r="H29" s="518">
        <f>+'PLANINDICATIVO PD'!AA35</f>
        <v>0</v>
      </c>
      <c r="I29" s="518">
        <f>+'PLANINDICATIVO PD'!AB35</f>
        <v>0</v>
      </c>
      <c r="J29" s="518">
        <f>+'PLANINDICATIVO PD'!AC35</f>
        <v>0</v>
      </c>
      <c r="K29" s="518">
        <f>+'PLANINDICATIVO PD'!AD35</f>
        <v>0</v>
      </c>
      <c r="L29" s="518">
        <f>+'PLANINDICATIVO PD'!AE35</f>
        <v>0</v>
      </c>
      <c r="M29" s="518">
        <f>+'PLANINDICATIVO PD'!AF35</f>
        <v>0</v>
      </c>
      <c r="N29" s="518">
        <f>+'PLANINDICATIVO PD'!AG35</f>
        <v>0</v>
      </c>
      <c r="O29" s="518">
        <f>+'PLANINDICATIVO PD'!AH35</f>
        <v>15000000</v>
      </c>
      <c r="P29" s="518">
        <f>+'PLANINDICATIVO PD'!AI35</f>
        <v>0</v>
      </c>
      <c r="Q29" s="518">
        <f>+'PLANINDICATIVO PD'!AJ35</f>
        <v>0</v>
      </c>
      <c r="R29" s="518">
        <f>+'PLANINDICATIVO PD'!AK35</f>
        <v>0</v>
      </c>
      <c r="S29" s="519">
        <f t="shared" si="6"/>
        <v>15000000</v>
      </c>
    </row>
    <row r="30" spans="1:19" ht="39" customHeight="1" thickBot="1" x14ac:dyDescent="0.25">
      <c r="A30" s="506"/>
      <c r="B30" s="507" t="s">
        <v>2761</v>
      </c>
      <c r="C30" s="508">
        <f>SUM(C31:C32)</f>
        <v>55000000</v>
      </c>
      <c r="D30" s="492"/>
      <c r="E30" s="509">
        <f>SUM(E31:E32)</f>
        <v>0</v>
      </c>
      <c r="F30" s="509">
        <f>SUM(F31:F32)</f>
        <v>55000000</v>
      </c>
      <c r="G30" s="510"/>
      <c r="H30" s="508">
        <f t="shared" ref="H30:S30" si="10">SUM(H31:H32)</f>
        <v>20000000</v>
      </c>
      <c r="I30" s="508">
        <f t="shared" si="10"/>
        <v>0</v>
      </c>
      <c r="J30" s="508">
        <f t="shared" si="10"/>
        <v>0</v>
      </c>
      <c r="K30" s="508">
        <f t="shared" si="10"/>
        <v>0</v>
      </c>
      <c r="L30" s="508">
        <f t="shared" si="10"/>
        <v>0</v>
      </c>
      <c r="M30" s="508">
        <f t="shared" si="10"/>
        <v>0</v>
      </c>
      <c r="N30" s="508">
        <f t="shared" si="10"/>
        <v>0</v>
      </c>
      <c r="O30" s="508">
        <f t="shared" si="10"/>
        <v>35000000</v>
      </c>
      <c r="P30" s="508"/>
      <c r="Q30" s="508">
        <f t="shared" si="10"/>
        <v>0</v>
      </c>
      <c r="R30" s="508"/>
      <c r="S30" s="508">
        <f t="shared" si="10"/>
        <v>55000000</v>
      </c>
    </row>
    <row r="31" spans="1:19" ht="36" customHeight="1" thickBot="1" x14ac:dyDescent="0.25">
      <c r="A31" s="506">
        <v>510</v>
      </c>
      <c r="B31" s="526" t="s">
        <v>2762</v>
      </c>
      <c r="C31" s="514">
        <f>+'POAI 2011 INIC'!C31</f>
        <v>5000000</v>
      </c>
      <c r="D31" s="492"/>
      <c r="E31" s="515"/>
      <c r="F31" s="515">
        <f>+C31+E31</f>
        <v>5000000</v>
      </c>
      <c r="G31" s="516"/>
      <c r="H31" s="518">
        <f>+'PLANINDICATIVO PD'!AA36</f>
        <v>0</v>
      </c>
      <c r="I31" s="518">
        <f>+'PLANINDICATIVO PD'!AB36</f>
        <v>0</v>
      </c>
      <c r="J31" s="518">
        <f>+'PLANINDICATIVO PD'!AC36</f>
        <v>0</v>
      </c>
      <c r="K31" s="518">
        <f>+'PLANINDICATIVO PD'!AD36</f>
        <v>0</v>
      </c>
      <c r="L31" s="518">
        <f>+'PLANINDICATIVO PD'!AE36</f>
        <v>0</v>
      </c>
      <c r="M31" s="518">
        <f>+'PLANINDICATIVO PD'!AF36</f>
        <v>0</v>
      </c>
      <c r="N31" s="518">
        <f>+'PLANINDICATIVO PD'!AG36</f>
        <v>0</v>
      </c>
      <c r="O31" s="518">
        <f>+'PLANINDICATIVO PD'!AH36</f>
        <v>5000000</v>
      </c>
      <c r="P31" s="518">
        <f>+'PLANINDICATIVO PD'!AI36</f>
        <v>0</v>
      </c>
      <c r="Q31" s="518">
        <f>+'PLANINDICATIVO PD'!AJ36</f>
        <v>0</v>
      </c>
      <c r="R31" s="518">
        <f>+'PLANINDICATIVO PD'!AK36</f>
        <v>0</v>
      </c>
      <c r="S31" s="519">
        <f t="shared" si="6"/>
        <v>5000000</v>
      </c>
    </row>
    <row r="32" spans="1:19" ht="50.25" customHeight="1" thickBot="1" x14ac:dyDescent="0.25">
      <c r="A32" s="506">
        <v>510</v>
      </c>
      <c r="B32" s="525" t="s">
        <v>2763</v>
      </c>
      <c r="C32" s="514">
        <f>+'POAI 2011 INIC'!C32</f>
        <v>50000000</v>
      </c>
      <c r="D32" s="492"/>
      <c r="E32" s="515"/>
      <c r="F32" s="515">
        <f>+C32+E32</f>
        <v>50000000</v>
      </c>
      <c r="G32" s="516"/>
      <c r="H32" s="518">
        <f>+'PLANINDICATIVO PD'!AA37</f>
        <v>20000000</v>
      </c>
      <c r="I32" s="518">
        <f>+'PLANINDICATIVO PD'!AB37</f>
        <v>0</v>
      </c>
      <c r="J32" s="518">
        <f>+'PLANINDICATIVO PD'!AC37</f>
        <v>0</v>
      </c>
      <c r="K32" s="518">
        <f>+'PLANINDICATIVO PD'!AD37</f>
        <v>0</v>
      </c>
      <c r="L32" s="518">
        <f>+'PLANINDICATIVO PD'!AE37</f>
        <v>0</v>
      </c>
      <c r="M32" s="518">
        <f>+'PLANINDICATIVO PD'!AF37</f>
        <v>0</v>
      </c>
      <c r="N32" s="518">
        <f>+'PLANINDICATIVO PD'!AG37</f>
        <v>0</v>
      </c>
      <c r="O32" s="518">
        <f>+'PLANINDICATIVO PD'!AH37</f>
        <v>30000000</v>
      </c>
      <c r="P32" s="518">
        <f>+'PLANINDICATIVO PD'!AI37</f>
        <v>0</v>
      </c>
      <c r="Q32" s="518">
        <f>+'PLANINDICATIVO PD'!AJ37</f>
        <v>0</v>
      </c>
      <c r="R32" s="518">
        <f>+'PLANINDICATIVO PD'!AK37</f>
        <v>0</v>
      </c>
      <c r="S32" s="519">
        <f t="shared" si="6"/>
        <v>50000000</v>
      </c>
    </row>
    <row r="33" spans="1:19" ht="39" customHeight="1" thickBot="1" x14ac:dyDescent="0.25">
      <c r="A33" s="506"/>
      <c r="B33" s="500" t="s">
        <v>2764</v>
      </c>
      <c r="C33" s="501">
        <f>+C34+C37</f>
        <v>2357404300</v>
      </c>
      <c r="D33" s="492"/>
      <c r="E33" s="521">
        <f>+E34+E37</f>
        <v>0</v>
      </c>
      <c r="F33" s="521">
        <f>+F34+F37</f>
        <v>2357404300</v>
      </c>
      <c r="G33" s="522"/>
      <c r="H33" s="501">
        <f t="shared" ref="H33:S33" si="11">+H34+H37</f>
        <v>40000000</v>
      </c>
      <c r="I33" s="501">
        <f t="shared" si="11"/>
        <v>800133160</v>
      </c>
      <c r="J33" s="501">
        <f t="shared" si="11"/>
        <v>77000000</v>
      </c>
      <c r="K33" s="501">
        <f t="shared" si="11"/>
        <v>73270400</v>
      </c>
      <c r="L33" s="501">
        <f t="shared" si="11"/>
        <v>20000000</v>
      </c>
      <c r="M33" s="501">
        <f t="shared" si="11"/>
        <v>47000740</v>
      </c>
      <c r="N33" s="501">
        <f t="shared" si="11"/>
        <v>1300000000</v>
      </c>
      <c r="O33" s="501">
        <f t="shared" si="11"/>
        <v>0</v>
      </c>
      <c r="P33" s="501"/>
      <c r="Q33" s="501">
        <f t="shared" si="11"/>
        <v>0</v>
      </c>
      <c r="R33" s="501"/>
      <c r="S33" s="501">
        <f t="shared" si="11"/>
        <v>2357404300</v>
      </c>
    </row>
    <row r="34" spans="1:19" ht="39" customHeight="1" thickBot="1" x14ac:dyDescent="0.25">
      <c r="A34" s="506"/>
      <c r="B34" s="507" t="s">
        <v>2765</v>
      </c>
      <c r="C34" s="508">
        <f>SUM(C35:C36)</f>
        <v>40000000</v>
      </c>
      <c r="D34" s="492"/>
      <c r="E34" s="509">
        <f>SUM(E35:E36)</f>
        <v>0</v>
      </c>
      <c r="F34" s="509">
        <f>SUM(F35:F36)</f>
        <v>40000000</v>
      </c>
      <c r="G34" s="510"/>
      <c r="H34" s="508">
        <f t="shared" ref="H34:S34" si="12">SUM(H35:H36)</f>
        <v>40000000</v>
      </c>
      <c r="I34" s="508">
        <f t="shared" si="12"/>
        <v>0</v>
      </c>
      <c r="J34" s="508">
        <f t="shared" si="12"/>
        <v>0</v>
      </c>
      <c r="K34" s="508">
        <f t="shared" si="12"/>
        <v>0</v>
      </c>
      <c r="L34" s="508">
        <f t="shared" si="12"/>
        <v>0</v>
      </c>
      <c r="M34" s="508">
        <f t="shared" si="12"/>
        <v>0</v>
      </c>
      <c r="N34" s="508">
        <f t="shared" si="12"/>
        <v>0</v>
      </c>
      <c r="O34" s="508">
        <f t="shared" si="12"/>
        <v>0</v>
      </c>
      <c r="P34" s="508"/>
      <c r="Q34" s="508">
        <f t="shared" si="12"/>
        <v>0</v>
      </c>
      <c r="R34" s="508"/>
      <c r="S34" s="508">
        <f t="shared" si="12"/>
        <v>40000000</v>
      </c>
    </row>
    <row r="35" spans="1:19" ht="29.25" customHeight="1" thickBot="1" x14ac:dyDescent="0.25">
      <c r="A35" s="506">
        <v>510</v>
      </c>
      <c r="B35" s="525" t="s">
        <v>2766</v>
      </c>
      <c r="C35" s="514">
        <f>+'POAI 2011 INIC'!C35</f>
        <v>40000000</v>
      </c>
      <c r="D35" s="492"/>
      <c r="E35" s="515"/>
      <c r="F35" s="515">
        <f>+C35+E35</f>
        <v>40000000</v>
      </c>
      <c r="G35" s="516"/>
      <c r="H35" s="518">
        <f>SUM('PLANINDICATIVO PD'!AA40)</f>
        <v>40000000</v>
      </c>
      <c r="I35" s="518">
        <f>SUM('PLANINDICATIVO PD'!AB40)</f>
        <v>0</v>
      </c>
      <c r="J35" s="518">
        <f>SUM('PLANINDICATIVO PD'!AC40)</f>
        <v>0</v>
      </c>
      <c r="K35" s="518">
        <f>SUM('PLANINDICATIVO PD'!AD40)</f>
        <v>0</v>
      </c>
      <c r="L35" s="518">
        <f>SUM('PLANINDICATIVO PD'!AE40)</f>
        <v>0</v>
      </c>
      <c r="M35" s="518">
        <f>SUM('PLANINDICATIVO PD'!AF40)</f>
        <v>0</v>
      </c>
      <c r="N35" s="518">
        <f>SUM('PLANINDICATIVO PD'!AG40)</f>
        <v>0</v>
      </c>
      <c r="O35" s="518">
        <f>SUM('PLANINDICATIVO PD'!AH40)</f>
        <v>0</v>
      </c>
      <c r="P35" s="518">
        <f>SUM('PLANINDICATIVO PD'!AI40)</f>
        <v>0</v>
      </c>
      <c r="Q35" s="518">
        <f>SUM('PLANINDICATIVO PD'!AJ40)</f>
        <v>0</v>
      </c>
      <c r="R35" s="518">
        <f>SUM('PLANINDICATIVO PD'!AK40)</f>
        <v>0</v>
      </c>
      <c r="S35" s="519">
        <f t="shared" ref="S35:S41" si="13">SUM(H35:Q35)</f>
        <v>40000000</v>
      </c>
    </row>
    <row r="36" spans="1:19" ht="31.5" customHeight="1" thickBot="1" x14ac:dyDescent="0.25">
      <c r="A36" s="506">
        <v>510</v>
      </c>
      <c r="B36" s="524" t="s">
        <v>2767</v>
      </c>
      <c r="C36" s="514">
        <f>+'POAI 2011 INIC'!C36</f>
        <v>0</v>
      </c>
      <c r="D36" s="492"/>
      <c r="E36" s="515"/>
      <c r="F36" s="515">
        <f>+C36+E36</f>
        <v>0</v>
      </c>
      <c r="G36" s="516"/>
      <c r="H36" s="518">
        <f>+'PLANINDICATIVO PD'!AA41</f>
        <v>0</v>
      </c>
      <c r="I36" s="518">
        <f>+'PLANINDICATIVO PD'!AB41</f>
        <v>0</v>
      </c>
      <c r="J36" s="518">
        <f>+'PLANINDICATIVO PD'!AC41</f>
        <v>0</v>
      </c>
      <c r="K36" s="518">
        <f>+'PLANINDICATIVO PD'!AD41</f>
        <v>0</v>
      </c>
      <c r="L36" s="518">
        <f>+'PLANINDICATIVO PD'!AE41</f>
        <v>0</v>
      </c>
      <c r="M36" s="518">
        <f>+'PLANINDICATIVO PD'!AF41</f>
        <v>0</v>
      </c>
      <c r="N36" s="518">
        <f>+'PLANINDICATIVO PD'!AG41</f>
        <v>0</v>
      </c>
      <c r="O36" s="518">
        <f>+'PLANINDICATIVO PD'!AH41</f>
        <v>0</v>
      </c>
      <c r="P36" s="518">
        <f>+'PLANINDICATIVO PD'!AI41</f>
        <v>0</v>
      </c>
      <c r="Q36" s="518">
        <f>+'PLANINDICATIVO PD'!AJ41</f>
        <v>0</v>
      </c>
      <c r="R36" s="518">
        <f>+'PLANINDICATIVO PD'!AK41</f>
        <v>0</v>
      </c>
      <c r="S36" s="519">
        <f t="shared" si="13"/>
        <v>0</v>
      </c>
    </row>
    <row r="37" spans="1:19" ht="39" customHeight="1" thickBot="1" x14ac:dyDescent="0.25">
      <c r="A37" s="506"/>
      <c r="B37" s="507" t="s">
        <v>2768</v>
      </c>
      <c r="C37" s="508">
        <f>SUM(C38:C41)</f>
        <v>2317404300</v>
      </c>
      <c r="D37" s="492"/>
      <c r="E37" s="509">
        <f>SUM(E38:E41)</f>
        <v>0</v>
      </c>
      <c r="F37" s="509">
        <f>SUM(F38:F41)</f>
        <v>2317404300</v>
      </c>
      <c r="G37" s="510"/>
      <c r="H37" s="508">
        <f t="shared" ref="H37:S37" si="14">SUM(H38:H41)</f>
        <v>0</v>
      </c>
      <c r="I37" s="508">
        <f t="shared" si="14"/>
        <v>800133160</v>
      </c>
      <c r="J37" s="508">
        <f t="shared" si="14"/>
        <v>77000000</v>
      </c>
      <c r="K37" s="508">
        <f t="shared" si="14"/>
        <v>73270400</v>
      </c>
      <c r="L37" s="508">
        <f t="shared" si="14"/>
        <v>20000000</v>
      </c>
      <c r="M37" s="508">
        <f t="shared" si="14"/>
        <v>47000740</v>
      </c>
      <c r="N37" s="508">
        <f t="shared" si="14"/>
        <v>1300000000</v>
      </c>
      <c r="O37" s="508">
        <f t="shared" si="14"/>
        <v>0</v>
      </c>
      <c r="P37" s="508"/>
      <c r="Q37" s="508">
        <f t="shared" si="14"/>
        <v>0</v>
      </c>
      <c r="R37" s="508"/>
      <c r="S37" s="508">
        <f t="shared" si="14"/>
        <v>2317404300</v>
      </c>
    </row>
    <row r="38" spans="1:19" ht="49.5" customHeight="1" thickBot="1" x14ac:dyDescent="0.25">
      <c r="A38" s="506">
        <v>111</v>
      </c>
      <c r="B38" s="526" t="s">
        <v>2769</v>
      </c>
      <c r="C38" s="514">
        <f>+'POAI 2011 INIC'!C38</f>
        <v>470133160</v>
      </c>
      <c r="D38" s="492"/>
      <c r="E38" s="515"/>
      <c r="F38" s="515">
        <f>+C38+E38</f>
        <v>470133160</v>
      </c>
      <c r="G38" s="516"/>
      <c r="H38" s="518">
        <f>+'PLANINDICATIVO PD'!AA42</f>
        <v>0</v>
      </c>
      <c r="I38" s="518">
        <f>+'PLANINDICATIVO PD'!AB42</f>
        <v>400133160</v>
      </c>
      <c r="J38" s="518">
        <f>+'PLANINDICATIVO PD'!AC42</f>
        <v>0</v>
      </c>
      <c r="K38" s="518">
        <f>+'PLANINDICATIVO PD'!AD42</f>
        <v>36500000</v>
      </c>
      <c r="L38" s="518">
        <f>+'PLANINDICATIVO PD'!AE42</f>
        <v>10000000</v>
      </c>
      <c r="M38" s="518">
        <f>+'PLANINDICATIVO PD'!AF42</f>
        <v>23500000</v>
      </c>
      <c r="N38" s="518">
        <f>+'PLANINDICATIVO PD'!AG42</f>
        <v>0</v>
      </c>
      <c r="O38" s="518">
        <f>+'PLANINDICATIVO PD'!AH42</f>
        <v>0</v>
      </c>
      <c r="P38" s="518">
        <f>+'PLANINDICATIVO PD'!AI42</f>
        <v>0</v>
      </c>
      <c r="Q38" s="518">
        <f>+'PLANINDICATIVO PD'!AJ42</f>
        <v>0</v>
      </c>
      <c r="R38" s="518">
        <f>+'PLANINDICATIVO PD'!AK42</f>
        <v>0</v>
      </c>
      <c r="S38" s="519">
        <f t="shared" si="13"/>
        <v>470133160</v>
      </c>
    </row>
    <row r="39" spans="1:19" ht="39" customHeight="1" thickBot="1" x14ac:dyDescent="0.25">
      <c r="A39" s="506">
        <v>211</v>
      </c>
      <c r="B39" s="526" t="s">
        <v>2770</v>
      </c>
      <c r="C39" s="514">
        <f>+'POAI 2011 INIC'!C39</f>
        <v>270271140</v>
      </c>
      <c r="D39" s="492"/>
      <c r="E39" s="515"/>
      <c r="F39" s="515">
        <f>+C39+E39</f>
        <v>270271140</v>
      </c>
      <c r="G39" s="516"/>
      <c r="H39" s="518">
        <f>+'PLANINDICATIVO PD'!AA43</f>
        <v>0</v>
      </c>
      <c r="I39" s="518">
        <f>+'PLANINDICATIVO PD'!AB43</f>
        <v>200000000</v>
      </c>
      <c r="J39" s="518">
        <f>+'PLANINDICATIVO PD'!AC43</f>
        <v>0</v>
      </c>
      <c r="K39" s="518">
        <f>+'PLANINDICATIVO PD'!AD43</f>
        <v>36770400</v>
      </c>
      <c r="L39" s="518">
        <f>+'PLANINDICATIVO PD'!AE43</f>
        <v>10000000</v>
      </c>
      <c r="M39" s="518">
        <f>+'PLANINDICATIVO PD'!AF43</f>
        <v>23500740</v>
      </c>
      <c r="N39" s="518">
        <f>+'PLANINDICATIVO PD'!AG43</f>
        <v>0</v>
      </c>
      <c r="O39" s="518">
        <f>+'PLANINDICATIVO PD'!AH43</f>
        <v>0</v>
      </c>
      <c r="P39" s="518">
        <f>+'PLANINDICATIVO PD'!AI43</f>
        <v>0</v>
      </c>
      <c r="Q39" s="518">
        <f>+'PLANINDICATIVO PD'!AJ43</f>
        <v>0</v>
      </c>
      <c r="R39" s="518">
        <f>+'PLANINDICATIVO PD'!AK43</f>
        <v>0</v>
      </c>
      <c r="S39" s="519">
        <f t="shared" si="13"/>
        <v>270271140</v>
      </c>
    </row>
    <row r="40" spans="1:19" ht="39" customHeight="1" thickBot="1" x14ac:dyDescent="0.25">
      <c r="A40" s="506">
        <v>211</v>
      </c>
      <c r="B40" s="526" t="s">
        <v>2771</v>
      </c>
      <c r="C40" s="514">
        <f>+'POAI 2011 INIC'!C40</f>
        <v>1577000000</v>
      </c>
      <c r="D40" s="492"/>
      <c r="E40" s="515"/>
      <c r="F40" s="515">
        <f>+C40+E40</f>
        <v>1577000000</v>
      </c>
      <c r="G40" s="516"/>
      <c r="H40" s="518">
        <f>+'PLANINDICATIVO PD'!AA44</f>
        <v>0</v>
      </c>
      <c r="I40" s="518">
        <f>+'PLANINDICATIVO PD'!AB44</f>
        <v>200000000</v>
      </c>
      <c r="J40" s="518">
        <f>+'PLANINDICATIVO PD'!AC44</f>
        <v>77000000</v>
      </c>
      <c r="K40" s="518">
        <f>+'PLANINDICATIVO PD'!AD44</f>
        <v>0</v>
      </c>
      <c r="L40" s="518">
        <f>+'PLANINDICATIVO PD'!AE44</f>
        <v>0</v>
      </c>
      <c r="M40" s="518">
        <f>+'PLANINDICATIVO PD'!AF44</f>
        <v>0</v>
      </c>
      <c r="N40" s="518">
        <f>+'PLANINDICATIVO PD'!AG44</f>
        <v>1300000000</v>
      </c>
      <c r="O40" s="518">
        <f>+'PLANINDICATIVO PD'!AH44</f>
        <v>0</v>
      </c>
      <c r="P40" s="518">
        <f>+'PLANINDICATIVO PD'!AI44</f>
        <v>0</v>
      </c>
      <c r="Q40" s="518">
        <f>+'PLANINDICATIVO PD'!AJ44</f>
        <v>0</v>
      </c>
      <c r="R40" s="518">
        <f>+'PLANINDICATIVO PD'!AK44</f>
        <v>0</v>
      </c>
      <c r="S40" s="519">
        <f t="shared" si="13"/>
        <v>1577000000</v>
      </c>
    </row>
    <row r="41" spans="1:19" ht="24" customHeight="1" thickBot="1" x14ac:dyDescent="0.25">
      <c r="A41" s="506">
        <v>111</v>
      </c>
      <c r="B41" s="525" t="s">
        <v>2772</v>
      </c>
      <c r="C41" s="514">
        <f>+'POAI 2011 INIC'!C41</f>
        <v>0</v>
      </c>
      <c r="D41" s="492"/>
      <c r="E41" s="515"/>
      <c r="F41" s="515">
        <f>+C41+E41</f>
        <v>0</v>
      </c>
      <c r="G41" s="516"/>
      <c r="H41" s="518">
        <f>+'PLANINDICATIVO PD'!AA45</f>
        <v>0</v>
      </c>
      <c r="I41" s="518">
        <f>+'PLANINDICATIVO PD'!AB45</f>
        <v>0</v>
      </c>
      <c r="J41" s="518">
        <f>+'PLANINDICATIVO PD'!AC45</f>
        <v>0</v>
      </c>
      <c r="K41" s="518">
        <f>+'PLANINDICATIVO PD'!AD45</f>
        <v>0</v>
      </c>
      <c r="L41" s="518">
        <f>+'PLANINDICATIVO PD'!AE45</f>
        <v>0</v>
      </c>
      <c r="M41" s="518">
        <f>+'PLANINDICATIVO PD'!AF45</f>
        <v>0</v>
      </c>
      <c r="N41" s="518">
        <f>+'PLANINDICATIVO PD'!AG45</f>
        <v>0</v>
      </c>
      <c r="O41" s="518">
        <f>+'PLANINDICATIVO PD'!AH45</f>
        <v>0</v>
      </c>
      <c r="P41" s="518">
        <f>+'PLANINDICATIVO PD'!AI45</f>
        <v>0</v>
      </c>
      <c r="Q41" s="518">
        <f>+'PLANINDICATIVO PD'!AJ45</f>
        <v>0</v>
      </c>
      <c r="R41" s="518">
        <f>+'PLANINDICATIVO PD'!AK45</f>
        <v>0</v>
      </c>
      <c r="S41" s="519">
        <f t="shared" si="13"/>
        <v>0</v>
      </c>
    </row>
    <row r="42" spans="1:19" ht="39" customHeight="1" thickBot="1" x14ac:dyDescent="0.25">
      <c r="A42" s="506"/>
      <c r="B42" s="500" t="s">
        <v>2773</v>
      </c>
      <c r="C42" s="501">
        <f t="shared" ref="C42:S42" si="15">+C43</f>
        <v>35000000</v>
      </c>
      <c r="D42" s="492"/>
      <c r="E42" s="521">
        <f t="shared" si="15"/>
        <v>0</v>
      </c>
      <c r="F42" s="521">
        <f t="shared" si="15"/>
        <v>35000000</v>
      </c>
      <c r="G42" s="522"/>
      <c r="H42" s="501">
        <f t="shared" si="15"/>
        <v>35000000</v>
      </c>
      <c r="I42" s="501">
        <f t="shared" si="15"/>
        <v>0</v>
      </c>
      <c r="J42" s="501">
        <f t="shared" si="15"/>
        <v>0</v>
      </c>
      <c r="K42" s="501">
        <f t="shared" si="15"/>
        <v>0</v>
      </c>
      <c r="L42" s="501">
        <f t="shared" si="15"/>
        <v>0</v>
      </c>
      <c r="M42" s="501">
        <f t="shared" si="15"/>
        <v>0</v>
      </c>
      <c r="N42" s="501">
        <f t="shared" si="15"/>
        <v>0</v>
      </c>
      <c r="O42" s="501">
        <f t="shared" si="15"/>
        <v>0</v>
      </c>
      <c r="P42" s="501"/>
      <c r="Q42" s="501">
        <f t="shared" si="15"/>
        <v>0</v>
      </c>
      <c r="R42" s="501"/>
      <c r="S42" s="501">
        <f t="shared" si="15"/>
        <v>35000000</v>
      </c>
    </row>
    <row r="43" spans="1:19" ht="39" customHeight="1" thickBot="1" x14ac:dyDescent="0.25">
      <c r="A43" s="506"/>
      <c r="B43" s="507" t="s">
        <v>2774</v>
      </c>
      <c r="C43" s="508">
        <f>SUM(C44:C46)</f>
        <v>35000000</v>
      </c>
      <c r="D43" s="492"/>
      <c r="E43" s="509">
        <f>SUM(E44:E46)</f>
        <v>0</v>
      </c>
      <c r="F43" s="509">
        <f>SUM(F44:F46)</f>
        <v>35000000</v>
      </c>
      <c r="G43" s="510"/>
      <c r="H43" s="508">
        <f t="shared" ref="H43:S43" si="16">SUM(H44:H46)</f>
        <v>35000000</v>
      </c>
      <c r="I43" s="508">
        <f t="shared" si="16"/>
        <v>0</v>
      </c>
      <c r="J43" s="508">
        <f t="shared" si="16"/>
        <v>0</v>
      </c>
      <c r="K43" s="508">
        <f t="shared" si="16"/>
        <v>0</v>
      </c>
      <c r="L43" s="508">
        <f t="shared" si="16"/>
        <v>0</v>
      </c>
      <c r="M43" s="508">
        <f t="shared" si="16"/>
        <v>0</v>
      </c>
      <c r="N43" s="508">
        <f t="shared" si="16"/>
        <v>0</v>
      </c>
      <c r="O43" s="508">
        <f t="shared" si="16"/>
        <v>0</v>
      </c>
      <c r="P43" s="508"/>
      <c r="Q43" s="508">
        <f t="shared" si="16"/>
        <v>0</v>
      </c>
      <c r="R43" s="508"/>
      <c r="S43" s="508">
        <f t="shared" si="16"/>
        <v>35000000</v>
      </c>
    </row>
    <row r="44" spans="1:19" ht="30" customHeight="1" thickBot="1" x14ac:dyDescent="0.25">
      <c r="A44" s="506">
        <v>510</v>
      </c>
      <c r="B44" s="526" t="s">
        <v>2775</v>
      </c>
      <c r="C44" s="514">
        <f>+'POAI 2011 INIC'!C44</f>
        <v>35000000</v>
      </c>
      <c r="D44" s="492"/>
      <c r="E44" s="515"/>
      <c r="F44" s="515">
        <f>+C44+E44</f>
        <v>35000000</v>
      </c>
      <c r="G44" s="516"/>
      <c r="H44" s="518">
        <f>+'PLANINDICATIVO PD'!AA48</f>
        <v>35000000</v>
      </c>
      <c r="I44" s="518">
        <f>+'PLANINDICATIVO PD'!AB48</f>
        <v>0</v>
      </c>
      <c r="J44" s="518">
        <f>+'PLANINDICATIVO PD'!AC48</f>
        <v>0</v>
      </c>
      <c r="K44" s="518">
        <f>+'PLANINDICATIVO PD'!AD48</f>
        <v>0</v>
      </c>
      <c r="L44" s="518">
        <f>+'PLANINDICATIVO PD'!AE48</f>
        <v>0</v>
      </c>
      <c r="M44" s="518">
        <f>+'PLANINDICATIVO PD'!AF48</f>
        <v>0</v>
      </c>
      <c r="N44" s="518">
        <f>+'PLANINDICATIVO PD'!AG48</f>
        <v>0</v>
      </c>
      <c r="O44" s="518">
        <f>+'PLANINDICATIVO PD'!AH48</f>
        <v>0</v>
      </c>
      <c r="P44" s="518">
        <f>+'PLANINDICATIVO PD'!AI48</f>
        <v>0</v>
      </c>
      <c r="Q44" s="518">
        <f>+'PLANINDICATIVO PD'!AJ48</f>
        <v>0</v>
      </c>
      <c r="R44" s="518">
        <f>+'PLANINDICATIVO PD'!AK48</f>
        <v>0</v>
      </c>
      <c r="S44" s="519">
        <f>SUM(H44:Q44)</f>
        <v>35000000</v>
      </c>
    </row>
    <row r="45" spans="1:19" ht="29.25" customHeight="1" thickBot="1" x14ac:dyDescent="0.25">
      <c r="A45" s="506">
        <v>510</v>
      </c>
      <c r="B45" s="526" t="s">
        <v>2776</v>
      </c>
      <c r="C45" s="514">
        <f>+'POAI 2011 INIC'!C45</f>
        <v>0</v>
      </c>
      <c r="D45" s="492"/>
      <c r="E45" s="515"/>
      <c r="F45" s="515">
        <f>+C45+E45</f>
        <v>0</v>
      </c>
      <c r="G45" s="516"/>
      <c r="H45" s="518">
        <f>+'PLANINDICATIVO PD'!AA49</f>
        <v>0</v>
      </c>
      <c r="I45" s="518">
        <f>+'PLANINDICATIVO PD'!AB49</f>
        <v>0</v>
      </c>
      <c r="J45" s="518">
        <f>+'PLANINDICATIVO PD'!AC49</f>
        <v>0</v>
      </c>
      <c r="K45" s="518">
        <f>+'PLANINDICATIVO PD'!AD49</f>
        <v>0</v>
      </c>
      <c r="L45" s="518">
        <f>+'PLANINDICATIVO PD'!AE49</f>
        <v>0</v>
      </c>
      <c r="M45" s="518">
        <f>+'PLANINDICATIVO PD'!AF49</f>
        <v>0</v>
      </c>
      <c r="N45" s="518">
        <f>+'PLANINDICATIVO PD'!AG49</f>
        <v>0</v>
      </c>
      <c r="O45" s="518">
        <f>+'PLANINDICATIVO PD'!AH49</f>
        <v>0</v>
      </c>
      <c r="P45" s="518">
        <f>+'PLANINDICATIVO PD'!AI49</f>
        <v>0</v>
      </c>
      <c r="Q45" s="518">
        <f>+'PLANINDICATIVO PD'!AJ49</f>
        <v>0</v>
      </c>
      <c r="R45" s="518">
        <f>+'PLANINDICATIVO PD'!AK49</f>
        <v>0</v>
      </c>
      <c r="S45" s="519">
        <f>SUM(H45:Q45)</f>
        <v>0</v>
      </c>
    </row>
    <row r="46" spans="1:19" ht="34.5" customHeight="1" thickBot="1" x14ac:dyDescent="0.25">
      <c r="A46" s="506">
        <v>510</v>
      </c>
      <c r="B46" s="526" t="s">
        <v>2777</v>
      </c>
      <c r="C46" s="514">
        <f>+'POAI 2011 INIC'!C46</f>
        <v>0</v>
      </c>
      <c r="D46" s="492"/>
      <c r="E46" s="515"/>
      <c r="F46" s="515">
        <f>+C46+E46</f>
        <v>0</v>
      </c>
      <c r="G46" s="516"/>
      <c r="H46" s="518">
        <f>+'PLANINDICATIVO PD'!AA50</f>
        <v>0</v>
      </c>
      <c r="I46" s="518">
        <f>+'PLANINDICATIVO PD'!AB50</f>
        <v>0</v>
      </c>
      <c r="J46" s="518">
        <f>+'PLANINDICATIVO PD'!AC50</f>
        <v>0</v>
      </c>
      <c r="K46" s="518">
        <f>+'PLANINDICATIVO PD'!AD50</f>
        <v>0</v>
      </c>
      <c r="L46" s="518">
        <f>+'PLANINDICATIVO PD'!AE50</f>
        <v>0</v>
      </c>
      <c r="M46" s="518">
        <f>+'PLANINDICATIVO PD'!AF50</f>
        <v>0</v>
      </c>
      <c r="N46" s="518">
        <f>+'PLANINDICATIVO PD'!AG50</f>
        <v>0</v>
      </c>
      <c r="O46" s="518">
        <f>+'PLANINDICATIVO PD'!AH50</f>
        <v>0</v>
      </c>
      <c r="P46" s="518">
        <f>+'PLANINDICATIVO PD'!AI50</f>
        <v>0</v>
      </c>
      <c r="Q46" s="518">
        <f>+'PLANINDICATIVO PD'!AJ50</f>
        <v>0</v>
      </c>
      <c r="R46" s="518">
        <f>+'PLANINDICATIVO PD'!AK50</f>
        <v>0</v>
      </c>
      <c r="S46" s="519">
        <f>SUM(H46:Q46)</f>
        <v>0</v>
      </c>
    </row>
    <row r="47" spans="1:19" ht="29.25" customHeight="1" thickBot="1" x14ac:dyDescent="0.25">
      <c r="A47" s="506"/>
      <c r="B47" s="528" t="s">
        <v>2778</v>
      </c>
      <c r="C47" s="501">
        <f>+C48+C51</f>
        <v>1505000000</v>
      </c>
      <c r="D47" s="492"/>
      <c r="E47" s="521">
        <f>+E48+E51</f>
        <v>0</v>
      </c>
      <c r="F47" s="521">
        <f>+F48+F51</f>
        <v>1505000000</v>
      </c>
      <c r="G47" s="522"/>
      <c r="H47" s="501">
        <f t="shared" ref="H47:S47" si="17">+H48+H51</f>
        <v>150000000</v>
      </c>
      <c r="I47" s="501">
        <f t="shared" si="17"/>
        <v>0</v>
      </c>
      <c r="J47" s="501">
        <f t="shared" si="17"/>
        <v>0</v>
      </c>
      <c r="K47" s="501">
        <f t="shared" si="17"/>
        <v>0</v>
      </c>
      <c r="L47" s="501">
        <f t="shared" si="17"/>
        <v>0</v>
      </c>
      <c r="M47" s="501">
        <f t="shared" si="17"/>
        <v>0</v>
      </c>
      <c r="N47" s="501">
        <f t="shared" si="17"/>
        <v>0</v>
      </c>
      <c r="O47" s="501">
        <f t="shared" si="17"/>
        <v>0</v>
      </c>
      <c r="P47" s="501"/>
      <c r="Q47" s="501">
        <f t="shared" si="17"/>
        <v>1355000000</v>
      </c>
      <c r="R47" s="501"/>
      <c r="S47" s="501">
        <f t="shared" si="17"/>
        <v>1505000000</v>
      </c>
    </row>
    <row r="48" spans="1:19" ht="29.25" customHeight="1" thickBot="1" x14ac:dyDescent="0.25">
      <c r="A48" s="506"/>
      <c r="B48" s="507" t="s">
        <v>2779</v>
      </c>
      <c r="C48" s="508">
        <f>SUM(C49:C50)</f>
        <v>150000000</v>
      </c>
      <c r="D48" s="492"/>
      <c r="E48" s="509">
        <f>SUM(E49:E50)</f>
        <v>0</v>
      </c>
      <c r="F48" s="509">
        <f>SUM(F49:F50)</f>
        <v>150000000</v>
      </c>
      <c r="G48" s="510"/>
      <c r="H48" s="508">
        <f t="shared" ref="H48:S48" si="18">SUM(H49:H50)</f>
        <v>150000000</v>
      </c>
      <c r="I48" s="508">
        <f t="shared" si="18"/>
        <v>0</v>
      </c>
      <c r="J48" s="508">
        <f t="shared" si="18"/>
        <v>0</v>
      </c>
      <c r="K48" s="508">
        <f t="shared" si="18"/>
        <v>0</v>
      </c>
      <c r="L48" s="508">
        <f t="shared" si="18"/>
        <v>0</v>
      </c>
      <c r="M48" s="508">
        <f t="shared" si="18"/>
        <v>0</v>
      </c>
      <c r="N48" s="508">
        <f t="shared" si="18"/>
        <v>0</v>
      </c>
      <c r="O48" s="508">
        <f t="shared" si="18"/>
        <v>0</v>
      </c>
      <c r="P48" s="508"/>
      <c r="Q48" s="508">
        <f t="shared" si="18"/>
        <v>0</v>
      </c>
      <c r="R48" s="508"/>
      <c r="S48" s="508">
        <f t="shared" si="18"/>
        <v>150000000</v>
      </c>
    </row>
    <row r="49" spans="1:19" ht="29.25" customHeight="1" thickBot="1" x14ac:dyDescent="0.25">
      <c r="A49" s="506">
        <v>310</v>
      </c>
      <c r="B49" s="526" t="s">
        <v>2780</v>
      </c>
      <c r="C49" s="514">
        <f>+'POAI 2011 INIC'!C49</f>
        <v>150000000</v>
      </c>
      <c r="D49" s="492"/>
      <c r="E49" s="515"/>
      <c r="F49" s="515">
        <f>+C49+E49</f>
        <v>150000000</v>
      </c>
      <c r="G49" s="516"/>
      <c r="H49" s="518">
        <f>+'PLANINDICATIVO PD'!AA53</f>
        <v>150000000</v>
      </c>
      <c r="I49" s="518">
        <f>+'PLANINDICATIVO PD'!AB53</f>
        <v>0</v>
      </c>
      <c r="J49" s="518">
        <f>+'PLANINDICATIVO PD'!AC53</f>
        <v>0</v>
      </c>
      <c r="K49" s="518">
        <f>+'PLANINDICATIVO PD'!AD53</f>
        <v>0</v>
      </c>
      <c r="L49" s="518">
        <f>+'PLANINDICATIVO PD'!AE53</f>
        <v>0</v>
      </c>
      <c r="M49" s="518">
        <f>+'PLANINDICATIVO PD'!AF53</f>
        <v>0</v>
      </c>
      <c r="N49" s="518">
        <f>+'PLANINDICATIVO PD'!AG53</f>
        <v>0</v>
      </c>
      <c r="O49" s="518">
        <f>+'PLANINDICATIVO PD'!AH53</f>
        <v>0</v>
      </c>
      <c r="P49" s="518">
        <f>+'PLANINDICATIVO PD'!AI53</f>
        <v>0</v>
      </c>
      <c r="Q49" s="518">
        <f>+'PLANINDICATIVO PD'!AJ53</f>
        <v>0</v>
      </c>
      <c r="R49" s="518">
        <f>+'PLANINDICATIVO PD'!AK53</f>
        <v>0</v>
      </c>
      <c r="S49" s="519">
        <f t="shared" ref="S49:S54" si="19">SUM(H49:Q49)</f>
        <v>150000000</v>
      </c>
    </row>
    <row r="50" spans="1:19" ht="29.25" customHeight="1" thickBot="1" x14ac:dyDescent="0.25">
      <c r="A50" s="506">
        <v>510</v>
      </c>
      <c r="B50" s="527" t="s">
        <v>2781</v>
      </c>
      <c r="C50" s="514">
        <f>+'POAI 2011 INIC'!C50</f>
        <v>0</v>
      </c>
      <c r="D50" s="492"/>
      <c r="E50" s="515"/>
      <c r="F50" s="515">
        <f>+C50+E50</f>
        <v>0</v>
      </c>
      <c r="G50" s="516"/>
      <c r="H50" s="518">
        <f>+'PLANINDICATIVO PD'!AA54</f>
        <v>0</v>
      </c>
      <c r="I50" s="518">
        <f>+'PLANINDICATIVO PD'!AB54</f>
        <v>0</v>
      </c>
      <c r="J50" s="518">
        <f>+'PLANINDICATIVO PD'!AC54</f>
        <v>0</v>
      </c>
      <c r="K50" s="518">
        <f>+'PLANINDICATIVO PD'!AD54</f>
        <v>0</v>
      </c>
      <c r="L50" s="518">
        <f>+'PLANINDICATIVO PD'!AE54</f>
        <v>0</v>
      </c>
      <c r="M50" s="518">
        <f>+'PLANINDICATIVO PD'!AF54</f>
        <v>0</v>
      </c>
      <c r="N50" s="518">
        <f>+'PLANINDICATIVO PD'!AG54</f>
        <v>0</v>
      </c>
      <c r="O50" s="518">
        <f>+'PLANINDICATIVO PD'!AH54</f>
        <v>0</v>
      </c>
      <c r="P50" s="518">
        <f>+'PLANINDICATIVO PD'!AI54</f>
        <v>0</v>
      </c>
      <c r="Q50" s="518">
        <f>+'PLANINDICATIVO PD'!AJ54</f>
        <v>0</v>
      </c>
      <c r="R50" s="518">
        <f>+'PLANINDICATIVO PD'!AK54</f>
        <v>0</v>
      </c>
      <c r="S50" s="519">
        <f t="shared" si="19"/>
        <v>0</v>
      </c>
    </row>
    <row r="51" spans="1:19" ht="29.25" customHeight="1" thickBot="1" x14ac:dyDescent="0.25">
      <c r="A51" s="506"/>
      <c r="B51" s="507" t="s">
        <v>2782</v>
      </c>
      <c r="C51" s="508">
        <f>SUM(C52:C54)</f>
        <v>1355000000</v>
      </c>
      <c r="D51" s="492"/>
      <c r="E51" s="509">
        <f>SUM(E52:E54)</f>
        <v>0</v>
      </c>
      <c r="F51" s="509">
        <f>SUM(F52:F54)</f>
        <v>1355000000</v>
      </c>
      <c r="G51" s="510"/>
      <c r="H51" s="508">
        <f t="shared" ref="H51:S51" si="20">SUM(H52:H54)</f>
        <v>0</v>
      </c>
      <c r="I51" s="508">
        <f t="shared" si="20"/>
        <v>0</v>
      </c>
      <c r="J51" s="508">
        <f t="shared" si="20"/>
        <v>0</v>
      </c>
      <c r="K51" s="508">
        <f t="shared" si="20"/>
        <v>0</v>
      </c>
      <c r="L51" s="508">
        <f t="shared" si="20"/>
        <v>0</v>
      </c>
      <c r="M51" s="508">
        <f t="shared" si="20"/>
        <v>0</v>
      </c>
      <c r="N51" s="508">
        <f t="shared" si="20"/>
        <v>0</v>
      </c>
      <c r="O51" s="508">
        <f t="shared" si="20"/>
        <v>0</v>
      </c>
      <c r="P51" s="508"/>
      <c r="Q51" s="508">
        <f t="shared" si="20"/>
        <v>1355000000</v>
      </c>
      <c r="R51" s="508"/>
      <c r="S51" s="508">
        <f t="shared" si="20"/>
        <v>1355000000</v>
      </c>
    </row>
    <row r="52" spans="1:19" ht="25.5" customHeight="1" thickBot="1" x14ac:dyDescent="0.25">
      <c r="A52" s="506">
        <v>301</v>
      </c>
      <c r="B52" s="526" t="s">
        <v>2783</v>
      </c>
      <c r="C52" s="514">
        <f>+'POAI 2011 INIC'!C52</f>
        <v>804000000</v>
      </c>
      <c r="D52" s="492"/>
      <c r="E52" s="515"/>
      <c r="F52" s="515">
        <f>+C52+E52</f>
        <v>804000000</v>
      </c>
      <c r="G52" s="516"/>
      <c r="H52" s="518">
        <f>SUM('PLANINDICATIVO PD'!AA55:AA60)</f>
        <v>0</v>
      </c>
      <c r="I52" s="518">
        <f>SUM('PLANINDICATIVO PD'!AB55:AB60)</f>
        <v>0</v>
      </c>
      <c r="J52" s="518">
        <f>SUM('PLANINDICATIVO PD'!AC55:AC60)</f>
        <v>0</v>
      </c>
      <c r="K52" s="518">
        <f>SUM('PLANINDICATIVO PD'!AD55:AD60)</f>
        <v>0</v>
      </c>
      <c r="L52" s="518">
        <f>SUM('PLANINDICATIVO PD'!AE55:AE60)</f>
        <v>0</v>
      </c>
      <c r="M52" s="518">
        <f>SUM('PLANINDICATIVO PD'!AF55:AF60)</f>
        <v>0</v>
      </c>
      <c r="N52" s="518">
        <f>SUM('PLANINDICATIVO PD'!AG55:AG60)</f>
        <v>0</v>
      </c>
      <c r="O52" s="518">
        <f>SUM('PLANINDICATIVO PD'!AH55:AH60)</f>
        <v>0</v>
      </c>
      <c r="P52" s="518">
        <f>SUM('PLANINDICATIVO PD'!AI55:AI60)</f>
        <v>0</v>
      </c>
      <c r="Q52" s="518">
        <f>SUM('PLANINDICATIVO PD'!AJ55:AJ60)</f>
        <v>804000000</v>
      </c>
      <c r="R52" s="518">
        <f>SUM('PLANINDICATIVO PD'!AK55:AK60)</f>
        <v>0</v>
      </c>
      <c r="S52" s="519">
        <f t="shared" si="19"/>
        <v>804000000</v>
      </c>
    </row>
    <row r="53" spans="1:19" ht="36.75" customHeight="1" thickBot="1" x14ac:dyDescent="0.25">
      <c r="A53" s="506">
        <v>301</v>
      </c>
      <c r="B53" s="526" t="s">
        <v>2784</v>
      </c>
      <c r="C53" s="514">
        <f>+'POAI 2011 INIC'!C53</f>
        <v>70000000</v>
      </c>
      <c r="D53" s="492"/>
      <c r="E53" s="515"/>
      <c r="F53" s="515">
        <f>+C53+E53</f>
        <v>70000000</v>
      </c>
      <c r="G53" s="516"/>
      <c r="H53" s="518">
        <f>SUM('PLANINDICATIVO PD'!AA61)</f>
        <v>0</v>
      </c>
      <c r="I53" s="518">
        <f>SUM('PLANINDICATIVO PD'!AB61)</f>
        <v>0</v>
      </c>
      <c r="J53" s="518">
        <f>SUM('PLANINDICATIVO PD'!AC61)</f>
        <v>0</v>
      </c>
      <c r="K53" s="518">
        <f>SUM('PLANINDICATIVO PD'!AD61)</f>
        <v>0</v>
      </c>
      <c r="L53" s="518">
        <f>SUM('PLANINDICATIVO PD'!AE61)</f>
        <v>0</v>
      </c>
      <c r="M53" s="518">
        <f>SUM('PLANINDICATIVO PD'!AF61)</f>
        <v>0</v>
      </c>
      <c r="N53" s="518">
        <f>SUM('PLANINDICATIVO PD'!AG61)</f>
        <v>0</v>
      </c>
      <c r="O53" s="518">
        <f>SUM('PLANINDICATIVO PD'!AH61)</f>
        <v>0</v>
      </c>
      <c r="P53" s="518">
        <f>SUM('PLANINDICATIVO PD'!AI61)</f>
        <v>0</v>
      </c>
      <c r="Q53" s="518">
        <f>SUM('PLANINDICATIVO PD'!AJ61)</f>
        <v>70000000</v>
      </c>
      <c r="R53" s="518">
        <f>SUM('PLANINDICATIVO PD'!AK61)</f>
        <v>0</v>
      </c>
      <c r="S53" s="519">
        <f t="shared" si="19"/>
        <v>70000000</v>
      </c>
    </row>
    <row r="54" spans="1:19" ht="26.25" customHeight="1" thickBot="1" x14ac:dyDescent="0.25">
      <c r="A54" s="506">
        <v>301</v>
      </c>
      <c r="B54" s="526" t="s">
        <v>2785</v>
      </c>
      <c r="C54" s="514">
        <f>+'POAI 2011 INIC'!C54</f>
        <v>481000000</v>
      </c>
      <c r="D54" s="492"/>
      <c r="E54" s="515"/>
      <c r="F54" s="515">
        <f>+C54+E54</f>
        <v>481000000</v>
      </c>
      <c r="G54" s="516"/>
      <c r="H54" s="518">
        <f>SUM('PLANINDICATIVO PD'!AA62:AA63)</f>
        <v>0</v>
      </c>
      <c r="I54" s="518">
        <f>SUM('PLANINDICATIVO PD'!AB62:AB63)</f>
        <v>0</v>
      </c>
      <c r="J54" s="518">
        <f>SUM('PLANINDICATIVO PD'!AC62:AC63)</f>
        <v>0</v>
      </c>
      <c r="K54" s="518">
        <f>SUM('PLANINDICATIVO PD'!AD62:AD63)</f>
        <v>0</v>
      </c>
      <c r="L54" s="518">
        <f>SUM('PLANINDICATIVO PD'!AE62:AE63)</f>
        <v>0</v>
      </c>
      <c r="M54" s="518">
        <f>SUM('PLANINDICATIVO PD'!AF62:AF63)</f>
        <v>0</v>
      </c>
      <c r="N54" s="518">
        <f>SUM('PLANINDICATIVO PD'!AG62:AG63)</f>
        <v>0</v>
      </c>
      <c r="O54" s="518">
        <f>SUM('PLANINDICATIVO PD'!AH62:AH63)</f>
        <v>0</v>
      </c>
      <c r="P54" s="518">
        <f>SUM('PLANINDICATIVO PD'!AI62:AI63)</f>
        <v>0</v>
      </c>
      <c r="Q54" s="518">
        <f>SUM('PLANINDICATIVO PD'!AJ62:AJ63)</f>
        <v>481000000</v>
      </c>
      <c r="R54" s="518">
        <f>SUM('PLANINDICATIVO PD'!AK62:AK63)</f>
        <v>0</v>
      </c>
      <c r="S54" s="519">
        <f t="shared" si="19"/>
        <v>481000000</v>
      </c>
    </row>
    <row r="55" spans="1:19" ht="30" customHeight="1" thickBot="1" x14ac:dyDescent="0.25">
      <c r="A55" s="506"/>
      <c r="B55" s="528" t="s">
        <v>2786</v>
      </c>
      <c r="C55" s="501">
        <f>+C56+C58</f>
        <v>145821516</v>
      </c>
      <c r="D55" s="492"/>
      <c r="E55" s="521">
        <f>+E56+E58</f>
        <v>0</v>
      </c>
      <c r="F55" s="521">
        <f>+F56+F58</f>
        <v>145821516</v>
      </c>
      <c r="G55" s="522"/>
      <c r="H55" s="501">
        <f t="shared" ref="H55:S55" si="21">+H56+H58</f>
        <v>0</v>
      </c>
      <c r="I55" s="501">
        <f t="shared" si="21"/>
        <v>25000000</v>
      </c>
      <c r="J55" s="501">
        <f t="shared" si="21"/>
        <v>100821516</v>
      </c>
      <c r="K55" s="501">
        <f t="shared" si="21"/>
        <v>0</v>
      </c>
      <c r="L55" s="501">
        <f t="shared" si="21"/>
        <v>0</v>
      </c>
      <c r="M55" s="501">
        <f t="shared" si="21"/>
        <v>0</v>
      </c>
      <c r="N55" s="501">
        <f t="shared" si="21"/>
        <v>0</v>
      </c>
      <c r="O55" s="501">
        <f t="shared" si="21"/>
        <v>20000000</v>
      </c>
      <c r="P55" s="501"/>
      <c r="Q55" s="501">
        <f t="shared" si="21"/>
        <v>0</v>
      </c>
      <c r="R55" s="501"/>
      <c r="S55" s="501">
        <f t="shared" si="21"/>
        <v>145821516</v>
      </c>
    </row>
    <row r="56" spans="1:19" ht="26.25" customHeight="1" thickBot="1" x14ac:dyDescent="0.25">
      <c r="A56" s="506"/>
      <c r="B56" s="507" t="s">
        <v>2787</v>
      </c>
      <c r="C56" s="508">
        <f t="shared" ref="C56:S56" si="22">+C57</f>
        <v>0</v>
      </c>
      <c r="D56" s="492"/>
      <c r="E56" s="509">
        <f t="shared" si="22"/>
        <v>0</v>
      </c>
      <c r="F56" s="509">
        <f t="shared" si="22"/>
        <v>0</v>
      </c>
      <c r="G56" s="510"/>
      <c r="H56" s="508">
        <f t="shared" si="22"/>
        <v>0</v>
      </c>
      <c r="I56" s="508">
        <f t="shared" si="22"/>
        <v>0</v>
      </c>
      <c r="J56" s="508">
        <f t="shared" si="22"/>
        <v>0</v>
      </c>
      <c r="K56" s="508">
        <f t="shared" si="22"/>
        <v>0</v>
      </c>
      <c r="L56" s="508">
        <f t="shared" si="22"/>
        <v>0</v>
      </c>
      <c r="M56" s="508">
        <f t="shared" si="22"/>
        <v>0</v>
      </c>
      <c r="N56" s="508">
        <f t="shared" si="22"/>
        <v>0</v>
      </c>
      <c r="O56" s="508">
        <f t="shared" si="22"/>
        <v>0</v>
      </c>
      <c r="P56" s="508"/>
      <c r="Q56" s="508">
        <f t="shared" si="22"/>
        <v>0</v>
      </c>
      <c r="R56" s="508"/>
      <c r="S56" s="508">
        <f t="shared" si="22"/>
        <v>0</v>
      </c>
    </row>
    <row r="57" spans="1:19" ht="37.5" customHeight="1" thickBot="1" x14ac:dyDescent="0.25">
      <c r="A57" s="506">
        <v>510</v>
      </c>
      <c r="B57" s="527" t="s">
        <v>2788</v>
      </c>
      <c r="C57" s="514">
        <f>+'POAI 2011 INIC'!C57</f>
        <v>0</v>
      </c>
      <c r="D57" s="492"/>
      <c r="E57" s="515"/>
      <c r="F57" s="515">
        <f>+C57+E57</f>
        <v>0</v>
      </c>
      <c r="G57" s="516"/>
      <c r="H57" s="518">
        <f>SUM('PLANINDICATIVO PD'!AA66:AA67)</f>
        <v>0</v>
      </c>
      <c r="I57" s="518">
        <f>SUM('PLANINDICATIVO PD'!AB66:AB67)</f>
        <v>0</v>
      </c>
      <c r="J57" s="518">
        <f>SUM('PLANINDICATIVO PD'!AC66:AC67)</f>
        <v>0</v>
      </c>
      <c r="K57" s="518">
        <f>SUM('PLANINDICATIVO PD'!AD66:AD67)</f>
        <v>0</v>
      </c>
      <c r="L57" s="518">
        <f>SUM('PLANINDICATIVO PD'!AE66:AE67)</f>
        <v>0</v>
      </c>
      <c r="M57" s="518">
        <f>SUM('PLANINDICATIVO PD'!AF66:AF67)</f>
        <v>0</v>
      </c>
      <c r="N57" s="518">
        <f>SUM('PLANINDICATIVO PD'!AG66:AG67)</f>
        <v>0</v>
      </c>
      <c r="O57" s="518">
        <f>SUM('PLANINDICATIVO PD'!AH66:AH67)</f>
        <v>0</v>
      </c>
      <c r="P57" s="518">
        <f>SUM('PLANINDICATIVO PD'!AI66:AI67)</f>
        <v>0</v>
      </c>
      <c r="Q57" s="518">
        <f>SUM('PLANINDICATIVO PD'!AJ66:AJ67)</f>
        <v>0</v>
      </c>
      <c r="R57" s="518">
        <f>SUM('PLANINDICATIVO PD'!AK66:AK67)</f>
        <v>0</v>
      </c>
      <c r="S57" s="519">
        <f>SUM(H57:Q57)</f>
        <v>0</v>
      </c>
    </row>
    <row r="58" spans="1:19" ht="32.25" thickBot="1" x14ac:dyDescent="0.25">
      <c r="A58" s="506"/>
      <c r="B58" s="529" t="s">
        <v>2789</v>
      </c>
      <c r="C58" s="508">
        <f>SUM(C59:C64)</f>
        <v>145821516</v>
      </c>
      <c r="D58" s="492"/>
      <c r="E58" s="509">
        <f>SUM(E59:E64)</f>
        <v>0</v>
      </c>
      <c r="F58" s="509">
        <f>SUM(F59:F64)</f>
        <v>145821516</v>
      </c>
      <c r="G58" s="510"/>
      <c r="H58" s="508">
        <f t="shared" ref="H58:S58" si="23">SUM(H59:H64)</f>
        <v>0</v>
      </c>
      <c r="I58" s="508">
        <f t="shared" si="23"/>
        <v>25000000</v>
      </c>
      <c r="J58" s="508">
        <f t="shared" si="23"/>
        <v>100821516</v>
      </c>
      <c r="K58" s="508">
        <f t="shared" si="23"/>
        <v>0</v>
      </c>
      <c r="L58" s="508">
        <f t="shared" si="23"/>
        <v>0</v>
      </c>
      <c r="M58" s="508">
        <f t="shared" si="23"/>
        <v>0</v>
      </c>
      <c r="N58" s="508">
        <f t="shared" si="23"/>
        <v>0</v>
      </c>
      <c r="O58" s="508">
        <f t="shared" si="23"/>
        <v>20000000</v>
      </c>
      <c r="P58" s="508"/>
      <c r="Q58" s="508">
        <f t="shared" si="23"/>
        <v>0</v>
      </c>
      <c r="R58" s="508"/>
      <c r="S58" s="508">
        <f t="shared" si="23"/>
        <v>145821516</v>
      </c>
    </row>
    <row r="59" spans="1:19" ht="28.5" customHeight="1" thickBot="1" x14ac:dyDescent="0.25">
      <c r="A59" s="506">
        <v>111</v>
      </c>
      <c r="B59" s="526" t="s">
        <v>2790</v>
      </c>
      <c r="C59" s="514">
        <f>+'POAI 2011 INIC'!C59</f>
        <v>0</v>
      </c>
      <c r="D59" s="492"/>
      <c r="E59" s="515"/>
      <c r="F59" s="515">
        <f t="shared" ref="F59:F64" si="24">+C59+E59</f>
        <v>0</v>
      </c>
      <c r="G59" s="516"/>
      <c r="H59" s="518"/>
      <c r="I59" s="518"/>
      <c r="J59" s="518"/>
      <c r="K59" s="518"/>
      <c r="L59" s="518"/>
      <c r="M59" s="518"/>
      <c r="N59" s="518"/>
      <c r="O59" s="518"/>
      <c r="P59" s="518"/>
      <c r="Q59" s="518"/>
      <c r="R59" s="518"/>
      <c r="S59" s="519">
        <f t="shared" ref="S59:S64" si="25">SUM(H59:Q59)</f>
        <v>0</v>
      </c>
    </row>
    <row r="60" spans="1:19" ht="27" customHeight="1" thickBot="1" x14ac:dyDescent="0.25">
      <c r="A60" s="506">
        <v>211</v>
      </c>
      <c r="B60" s="526" t="s">
        <v>2791</v>
      </c>
      <c r="C60" s="514">
        <f>+'POAI 2011 INIC'!C60</f>
        <v>100821516</v>
      </c>
      <c r="D60" s="492"/>
      <c r="E60" s="515"/>
      <c r="F60" s="515">
        <f t="shared" si="24"/>
        <v>100821516</v>
      </c>
      <c r="G60" s="516"/>
      <c r="H60" s="518">
        <f>+'PLANINDICATIVO PD'!AA68</f>
        <v>0</v>
      </c>
      <c r="I60" s="518">
        <f>+'PLANINDICATIVO PD'!AB68</f>
        <v>0</v>
      </c>
      <c r="J60" s="518">
        <f>+'PLANINDICATIVO PD'!AC68</f>
        <v>100821516</v>
      </c>
      <c r="K60" s="518">
        <f>+'PLANINDICATIVO PD'!AD68</f>
        <v>0</v>
      </c>
      <c r="L60" s="518">
        <f>+'PLANINDICATIVO PD'!AE68</f>
        <v>0</v>
      </c>
      <c r="M60" s="518">
        <f>+'PLANINDICATIVO PD'!AF68</f>
        <v>0</v>
      </c>
      <c r="N60" s="518">
        <f>+'PLANINDICATIVO PD'!AG68</f>
        <v>0</v>
      </c>
      <c r="O60" s="518">
        <f>+'PLANINDICATIVO PD'!AH68</f>
        <v>0</v>
      </c>
      <c r="P60" s="518">
        <f>+'PLANINDICATIVO PD'!AI68</f>
        <v>0</v>
      </c>
      <c r="Q60" s="518">
        <f>+'PLANINDICATIVO PD'!AJ68</f>
        <v>0</v>
      </c>
      <c r="R60" s="518">
        <f>+'PLANINDICATIVO PD'!AK68</f>
        <v>0</v>
      </c>
      <c r="S60" s="519">
        <f t="shared" si="25"/>
        <v>100821516</v>
      </c>
    </row>
    <row r="61" spans="1:19" ht="35.25" customHeight="1" thickBot="1" x14ac:dyDescent="0.25">
      <c r="A61" s="506">
        <v>510</v>
      </c>
      <c r="B61" s="526" t="s">
        <v>2792</v>
      </c>
      <c r="C61" s="514">
        <f>+'POAI 2011 INIC'!C61</f>
        <v>0</v>
      </c>
      <c r="D61" s="492"/>
      <c r="E61" s="515"/>
      <c r="F61" s="515">
        <f t="shared" si="24"/>
        <v>0</v>
      </c>
      <c r="G61" s="516"/>
      <c r="H61" s="518">
        <f>+'PLANINDICATIVO PD'!AA70</f>
        <v>0</v>
      </c>
      <c r="I61" s="518">
        <f>+'PLANINDICATIVO PD'!AB70</f>
        <v>0</v>
      </c>
      <c r="J61" s="518">
        <f>+'PLANINDICATIVO PD'!AC70</f>
        <v>0</v>
      </c>
      <c r="K61" s="518">
        <f>+'PLANINDICATIVO PD'!AD70</f>
        <v>0</v>
      </c>
      <c r="L61" s="518">
        <f>+'PLANINDICATIVO PD'!AE70</f>
        <v>0</v>
      </c>
      <c r="M61" s="518">
        <f>+'PLANINDICATIVO PD'!AF70</f>
        <v>0</v>
      </c>
      <c r="N61" s="518">
        <f>+'PLANINDICATIVO PD'!AG70</f>
        <v>0</v>
      </c>
      <c r="O61" s="518">
        <f>+'PLANINDICATIVO PD'!AH70</f>
        <v>0</v>
      </c>
      <c r="P61" s="518">
        <f>+'PLANINDICATIVO PD'!AI70</f>
        <v>0</v>
      </c>
      <c r="Q61" s="518">
        <f>+'PLANINDICATIVO PD'!AJ70</f>
        <v>0</v>
      </c>
      <c r="R61" s="518">
        <f>+'PLANINDICATIVO PD'!AK70</f>
        <v>0</v>
      </c>
      <c r="S61" s="519">
        <f t="shared" si="25"/>
        <v>0</v>
      </c>
    </row>
    <row r="62" spans="1:19" ht="28.5" customHeight="1" thickBot="1" x14ac:dyDescent="0.25">
      <c r="A62" s="506">
        <v>111</v>
      </c>
      <c r="B62" s="526" t="s">
        <v>2793</v>
      </c>
      <c r="C62" s="514">
        <f>+'POAI 2011 INIC'!C62</f>
        <v>0</v>
      </c>
      <c r="D62" s="492"/>
      <c r="E62" s="515"/>
      <c r="F62" s="515">
        <f t="shared" si="24"/>
        <v>0</v>
      </c>
      <c r="G62" s="516"/>
      <c r="H62" s="530"/>
      <c r="I62" s="530"/>
      <c r="J62" s="530"/>
      <c r="K62" s="530"/>
      <c r="L62" s="530"/>
      <c r="M62" s="530"/>
      <c r="N62" s="530"/>
      <c r="O62" s="530"/>
      <c r="P62" s="530"/>
      <c r="Q62" s="530"/>
      <c r="R62" s="530"/>
      <c r="S62" s="519">
        <f t="shared" si="25"/>
        <v>0</v>
      </c>
    </row>
    <row r="63" spans="1:19" ht="27" customHeight="1" thickBot="1" x14ac:dyDescent="0.25">
      <c r="A63" s="506">
        <v>211</v>
      </c>
      <c r="B63" s="526" t="s">
        <v>2794</v>
      </c>
      <c r="C63" s="514">
        <f>+'POAI 2011 INIC'!C63</f>
        <v>0</v>
      </c>
      <c r="D63" s="492"/>
      <c r="E63" s="515"/>
      <c r="F63" s="515">
        <f t="shared" si="24"/>
        <v>0</v>
      </c>
      <c r="G63" s="516"/>
      <c r="H63" s="530"/>
      <c r="I63" s="530"/>
      <c r="J63" s="530"/>
      <c r="K63" s="530"/>
      <c r="L63" s="530"/>
      <c r="M63" s="530"/>
      <c r="N63" s="530"/>
      <c r="O63" s="530"/>
      <c r="P63" s="530"/>
      <c r="Q63" s="530"/>
      <c r="R63" s="530"/>
      <c r="S63" s="519">
        <f t="shared" si="25"/>
        <v>0</v>
      </c>
    </row>
    <row r="64" spans="1:19" ht="48" customHeight="1" thickBot="1" x14ac:dyDescent="0.25">
      <c r="A64" s="506">
        <v>211</v>
      </c>
      <c r="B64" s="527" t="s">
        <v>2795</v>
      </c>
      <c r="C64" s="514">
        <f>+'POAI 2011 INIC'!C64</f>
        <v>45000000</v>
      </c>
      <c r="D64" s="492"/>
      <c r="E64" s="515"/>
      <c r="F64" s="515">
        <f t="shared" si="24"/>
        <v>45000000</v>
      </c>
      <c r="G64" s="516"/>
      <c r="H64" s="518">
        <f>+'PLANINDICATIVO PD'!AA71</f>
        <v>0</v>
      </c>
      <c r="I64" s="518">
        <f>+'PLANINDICATIVO PD'!AB71</f>
        <v>25000000</v>
      </c>
      <c r="J64" s="518">
        <f>+'PLANINDICATIVO PD'!AC71</f>
        <v>0</v>
      </c>
      <c r="K64" s="518">
        <f>+'PLANINDICATIVO PD'!AD71</f>
        <v>0</v>
      </c>
      <c r="L64" s="518">
        <f>+'PLANINDICATIVO PD'!AE71</f>
        <v>0</v>
      </c>
      <c r="M64" s="518">
        <f>+'PLANINDICATIVO PD'!AF71</f>
        <v>0</v>
      </c>
      <c r="N64" s="518">
        <f>+'PLANINDICATIVO PD'!AG71</f>
        <v>0</v>
      </c>
      <c r="O64" s="518">
        <f>+'PLANINDICATIVO PD'!AH71</f>
        <v>20000000</v>
      </c>
      <c r="P64" s="518">
        <f>+'PLANINDICATIVO PD'!AI71</f>
        <v>0</v>
      </c>
      <c r="Q64" s="518">
        <f>+'PLANINDICATIVO PD'!AJ71</f>
        <v>0</v>
      </c>
      <c r="R64" s="518">
        <f>+'PLANINDICATIVO PD'!AK71</f>
        <v>0</v>
      </c>
      <c r="S64" s="519">
        <f t="shared" si="25"/>
        <v>45000000</v>
      </c>
    </row>
    <row r="65" spans="2:19" ht="14.25" customHeight="1" thickBot="1" x14ac:dyDescent="0.25">
      <c r="B65" s="531" t="s">
        <v>2796</v>
      </c>
      <c r="C65" s="532">
        <f>+C55+C47+C42+C33+C12+C8+C3</f>
        <v>9171996570</v>
      </c>
      <c r="D65" s="492"/>
      <c r="E65" s="533">
        <f>+E55+E47+E42+E33+E12+E8+E3</f>
        <v>0</v>
      </c>
      <c r="F65" s="533">
        <f>+F55+F47+F42+F33+F12+F8+F3</f>
        <v>9171996570</v>
      </c>
      <c r="G65" s="534"/>
      <c r="H65" s="532">
        <f t="shared" ref="H65:S65" si="26">+H55+H47+H42+H33+H12+H8+H3</f>
        <v>2475902120</v>
      </c>
      <c r="I65" s="532">
        <f t="shared" si="26"/>
        <v>1325201794</v>
      </c>
      <c r="J65" s="532">
        <f t="shared" si="26"/>
        <v>177821516</v>
      </c>
      <c r="K65" s="532">
        <f t="shared" si="26"/>
        <v>73270400</v>
      </c>
      <c r="L65" s="532">
        <f t="shared" si="26"/>
        <v>20000000</v>
      </c>
      <c r="M65" s="532">
        <f t="shared" si="26"/>
        <v>47000740</v>
      </c>
      <c r="N65" s="532">
        <f t="shared" si="26"/>
        <v>2816800000</v>
      </c>
      <c r="O65" s="532">
        <f t="shared" si="26"/>
        <v>881000000</v>
      </c>
      <c r="P65" s="532"/>
      <c r="Q65" s="532">
        <f t="shared" si="26"/>
        <v>1355000000</v>
      </c>
      <c r="R65" s="532"/>
      <c r="S65" s="532">
        <f t="shared" si="26"/>
        <v>9171996570</v>
      </c>
    </row>
    <row r="66" spans="2:19" ht="14.25" customHeight="1" x14ac:dyDescent="0.2">
      <c r="B66" s="536"/>
      <c r="D66" s="492"/>
      <c r="G66" s="537"/>
    </row>
    <row r="67" spans="2:19" ht="24" customHeight="1" x14ac:dyDescent="0.2">
      <c r="B67" s="1332" t="s">
        <v>2797</v>
      </c>
      <c r="C67" s="1333"/>
      <c r="D67" s="492"/>
      <c r="G67" s="537"/>
    </row>
    <row r="68" spans="2:19" x14ac:dyDescent="0.2">
      <c r="B68" s="538" t="s">
        <v>2799</v>
      </c>
      <c r="C68" s="539">
        <f>SUMIF($A$3:$A$65,"111",$C$3:$C$65)</f>
        <v>470133160</v>
      </c>
      <c r="D68" s="492"/>
      <c r="E68" s="539">
        <f>SUMIF($A$3:$A$65,"111",$E$3:$E$65)</f>
        <v>0</v>
      </c>
      <c r="F68" s="539">
        <f>SUMIF($A$3:$A$65,"111",$F$3:$F$65)</f>
        <v>470133160</v>
      </c>
      <c r="G68" s="539"/>
      <c r="H68" s="539">
        <f>SUMIF($A$3:$A$65,"111",H$3:H65)</f>
        <v>0</v>
      </c>
      <c r="I68" s="539">
        <f>SUMIF($A$3:$A$65,"111",I$3:I65)</f>
        <v>400133160</v>
      </c>
      <c r="J68" s="539">
        <f>SUMIF($A$3:$A$65,"111",J$3:J65)</f>
        <v>0</v>
      </c>
      <c r="K68" s="539">
        <f>SUMIF($A$3:$A$65,"111",K$3:K65)</f>
        <v>36500000</v>
      </c>
      <c r="L68" s="539">
        <f>SUMIF($A$3:$A$65,"111",L$3:L65)</f>
        <v>10000000</v>
      </c>
      <c r="M68" s="539">
        <f>SUMIF($A$3:$A$65,"111",M$3:M65)</f>
        <v>23500000</v>
      </c>
      <c r="N68" s="539">
        <f>SUMIF($A$3:$A$65,"111",N$3:N65)</f>
        <v>0</v>
      </c>
      <c r="O68" s="539">
        <f>SUMIF($A$3:$A$65,"111",O$3:O65)</f>
        <v>0</v>
      </c>
      <c r="P68" s="539"/>
      <c r="Q68" s="539">
        <f>SUMIF($A$3:$A$65,"111",Q$3:Q65)</f>
        <v>0</v>
      </c>
      <c r="R68" s="539"/>
      <c r="S68" s="539">
        <f>SUMIF($A$3:$A$65,"111",S$3:S65)</f>
        <v>470133160</v>
      </c>
    </row>
    <row r="69" spans="2:19" x14ac:dyDescent="0.2">
      <c r="B69" s="538" t="s">
        <v>2800</v>
      </c>
      <c r="C69" s="539">
        <f>SUMIF($A$3:$A$65,"211",$C$3:$C$65)</f>
        <v>1993092656</v>
      </c>
      <c r="D69" s="492"/>
      <c r="E69" s="539">
        <f>SUMIF($A$3:$A$65,"211",$E$3:$E$65)</f>
        <v>0</v>
      </c>
      <c r="F69" s="539">
        <f>SUMIF($A$3:$A$65,"211",$F$3:$F$65)</f>
        <v>1993092656</v>
      </c>
      <c r="G69" s="539"/>
      <c r="H69" s="539">
        <f>SUMIF($A$3:$A$65,"211",H$3:H$65)</f>
        <v>0</v>
      </c>
      <c r="I69" s="539">
        <f t="shared" ref="I69:S69" si="27">SUMIF($A$3:$A$65,"211",I$3:I$65)</f>
        <v>425000000</v>
      </c>
      <c r="J69" s="539">
        <f t="shared" si="27"/>
        <v>177821516</v>
      </c>
      <c r="K69" s="539">
        <f t="shared" si="27"/>
        <v>36770400</v>
      </c>
      <c r="L69" s="539">
        <f t="shared" si="27"/>
        <v>10000000</v>
      </c>
      <c r="M69" s="539">
        <f t="shared" si="27"/>
        <v>23500740</v>
      </c>
      <c r="N69" s="539">
        <f t="shared" si="27"/>
        <v>1300000000</v>
      </c>
      <c r="O69" s="539">
        <f t="shared" si="27"/>
        <v>20000000</v>
      </c>
      <c r="P69" s="539"/>
      <c r="Q69" s="539">
        <f t="shared" si="27"/>
        <v>0</v>
      </c>
      <c r="R69" s="539"/>
      <c r="S69" s="539">
        <f t="shared" si="27"/>
        <v>1993092656</v>
      </c>
    </row>
    <row r="70" spans="2:19" x14ac:dyDescent="0.2">
      <c r="B70" s="538" t="s">
        <v>2801</v>
      </c>
      <c r="C70" s="539">
        <f>SUMIF($A$3:$A$65,"310",$C$3:$C$65)</f>
        <v>1576970754</v>
      </c>
      <c r="D70" s="492"/>
      <c r="E70" s="539">
        <f>SUMIF($A$3:$A$65,"310",$E$3:$E$65)</f>
        <v>0</v>
      </c>
      <c r="F70" s="539">
        <f>SUMIF($A$3:$A$65,"310",$F$3:$F$65)</f>
        <v>1576970754</v>
      </c>
      <c r="G70" s="539"/>
      <c r="H70" s="539">
        <f>SUMIF($A$3:$A$65,"310",H$3:H$65)</f>
        <v>1566970754</v>
      </c>
      <c r="I70" s="539">
        <f t="shared" ref="I70:S70" si="28">SUMIF($A$3:$A$65,"310",I$3:I$65)</f>
        <v>0</v>
      </c>
      <c r="J70" s="539">
        <f t="shared" si="28"/>
        <v>0</v>
      </c>
      <c r="K70" s="539">
        <f t="shared" si="28"/>
        <v>0</v>
      </c>
      <c r="L70" s="539">
        <f t="shared" si="28"/>
        <v>0</v>
      </c>
      <c r="M70" s="539">
        <f t="shared" si="28"/>
        <v>0</v>
      </c>
      <c r="N70" s="539">
        <f t="shared" si="28"/>
        <v>0</v>
      </c>
      <c r="O70" s="539">
        <f t="shared" si="28"/>
        <v>10000000</v>
      </c>
      <c r="P70" s="539"/>
      <c r="Q70" s="539">
        <f t="shared" si="28"/>
        <v>0</v>
      </c>
      <c r="R70" s="539"/>
      <c r="S70" s="539">
        <f t="shared" si="28"/>
        <v>1576970754</v>
      </c>
    </row>
    <row r="71" spans="2:19" x14ac:dyDescent="0.2">
      <c r="B71" s="538" t="s">
        <v>2802</v>
      </c>
      <c r="C71" s="539">
        <f>SUMIF($A$3:$A$65,"410",$C$3:$C$65)</f>
        <v>2461800000</v>
      </c>
      <c r="D71" s="492"/>
      <c r="E71" s="539">
        <f>SUMIF($A$3:$A$65,"410",$E$3:$E$65)</f>
        <v>0</v>
      </c>
      <c r="F71" s="539">
        <f>SUMIF($A$3:$A$65,"410",$F$3:$F$65)</f>
        <v>2461800000</v>
      </c>
      <c r="G71" s="539"/>
      <c r="H71" s="539">
        <f>SUMIF($A$3:$A$65,"410",H$3:H$65)</f>
        <v>168931366</v>
      </c>
      <c r="I71" s="539">
        <f t="shared" ref="I71:S71" si="29">SUMIF($A$3:$A$65,"410",I$3:I$65)</f>
        <v>500068634</v>
      </c>
      <c r="J71" s="539">
        <f t="shared" si="29"/>
        <v>0</v>
      </c>
      <c r="K71" s="539">
        <f t="shared" si="29"/>
        <v>0</v>
      </c>
      <c r="L71" s="539">
        <f t="shared" si="29"/>
        <v>0</v>
      </c>
      <c r="M71" s="539">
        <f t="shared" si="29"/>
        <v>0</v>
      </c>
      <c r="N71" s="539">
        <f t="shared" si="29"/>
        <v>1416800000</v>
      </c>
      <c r="O71" s="539">
        <f t="shared" si="29"/>
        <v>376000000</v>
      </c>
      <c r="P71" s="539"/>
      <c r="Q71" s="539">
        <f t="shared" si="29"/>
        <v>0</v>
      </c>
      <c r="R71" s="539"/>
      <c r="S71" s="539">
        <f t="shared" si="29"/>
        <v>2461800000</v>
      </c>
    </row>
    <row r="72" spans="2:19" x14ac:dyDescent="0.2">
      <c r="B72" s="538" t="s">
        <v>2803</v>
      </c>
      <c r="C72" s="539">
        <f>SUMIF($A$3:$A$65,"510",$C$3:$C$65)</f>
        <v>895000000</v>
      </c>
      <c r="D72" s="492"/>
      <c r="E72" s="539">
        <f>SUMIF($A$3:$A$65,"510",$E$3:$E$65)</f>
        <v>0</v>
      </c>
      <c r="F72" s="539">
        <f>SUMIF($A$3:$A$65,"510",$F$3:$F$65)</f>
        <v>895000000</v>
      </c>
      <c r="G72" s="539"/>
      <c r="H72" s="539">
        <f>SUMIF($A$3:$A$65,"510",H$3:H$65)</f>
        <v>525000000</v>
      </c>
      <c r="I72" s="539">
        <f t="shared" ref="I72:S72" si="30">SUMIF($A$3:$A$65,"510",I$3:I$65)</f>
        <v>0</v>
      </c>
      <c r="J72" s="539">
        <f t="shared" si="30"/>
        <v>0</v>
      </c>
      <c r="K72" s="539">
        <f t="shared" si="30"/>
        <v>0</v>
      </c>
      <c r="L72" s="539">
        <f t="shared" si="30"/>
        <v>0</v>
      </c>
      <c r="M72" s="539">
        <f t="shared" si="30"/>
        <v>0</v>
      </c>
      <c r="N72" s="539">
        <f t="shared" si="30"/>
        <v>0</v>
      </c>
      <c r="O72" s="539">
        <f t="shared" si="30"/>
        <v>370000000</v>
      </c>
      <c r="P72" s="539"/>
      <c r="Q72" s="539">
        <f t="shared" si="30"/>
        <v>0</v>
      </c>
      <c r="R72" s="539"/>
      <c r="S72" s="539">
        <f t="shared" si="30"/>
        <v>895000000</v>
      </c>
    </row>
    <row r="73" spans="2:19" x14ac:dyDescent="0.2">
      <c r="B73" s="538" t="s">
        <v>2804</v>
      </c>
      <c r="C73" s="539">
        <f>SUMIF($A$3:$A$65,"520",$C$3:$C$65)</f>
        <v>420000000</v>
      </c>
      <c r="D73" s="492"/>
      <c r="E73" s="539">
        <f>SUMIF($A$3:$A$65,"520",$E$3:$E$65)</f>
        <v>0</v>
      </c>
      <c r="F73" s="539">
        <f>SUMIF($A$3:$A$65,"520",$F$3:$F$65)</f>
        <v>420000000</v>
      </c>
      <c r="G73" s="539"/>
      <c r="H73" s="539">
        <f>SUMIF($A$3:$A$65,"520",H$3:H$65)</f>
        <v>215000000</v>
      </c>
      <c r="I73" s="539">
        <f t="shared" ref="I73:S73" si="31">SUMIF($A$3:$A$65,"520",I$3:I$65)</f>
        <v>0</v>
      </c>
      <c r="J73" s="539">
        <f t="shared" si="31"/>
        <v>0</v>
      </c>
      <c r="K73" s="539">
        <f t="shared" si="31"/>
        <v>0</v>
      </c>
      <c r="L73" s="539">
        <f t="shared" si="31"/>
        <v>0</v>
      </c>
      <c r="M73" s="539">
        <f t="shared" si="31"/>
        <v>0</v>
      </c>
      <c r="N73" s="539">
        <f t="shared" si="31"/>
        <v>100000000</v>
      </c>
      <c r="O73" s="539">
        <f t="shared" si="31"/>
        <v>105000000</v>
      </c>
      <c r="P73" s="539"/>
      <c r="Q73" s="539">
        <f t="shared" si="31"/>
        <v>0</v>
      </c>
      <c r="R73" s="539"/>
      <c r="S73" s="539">
        <f t="shared" si="31"/>
        <v>420000000</v>
      </c>
    </row>
    <row r="74" spans="2:19" ht="18" customHeight="1" x14ac:dyDescent="0.2">
      <c r="B74" s="540" t="s">
        <v>2805</v>
      </c>
      <c r="C74" s="541">
        <f>SUM(C68:C73)</f>
        <v>7816996570</v>
      </c>
      <c r="D74" s="492"/>
      <c r="E74" s="542">
        <f>SUM(E68:E73)</f>
        <v>0</v>
      </c>
      <c r="F74" s="542">
        <f>SUM(F68:F73)</f>
        <v>7816996570</v>
      </c>
      <c r="G74" s="539"/>
      <c r="H74" s="541">
        <f>SUM(H68:H73)</f>
        <v>2475902120</v>
      </c>
      <c r="I74" s="541">
        <f t="shared" ref="I74:S74" si="32">SUM(I68:I73)</f>
        <v>1325201794</v>
      </c>
      <c r="J74" s="541">
        <f t="shared" si="32"/>
        <v>177821516</v>
      </c>
      <c r="K74" s="541">
        <f t="shared" si="32"/>
        <v>73270400</v>
      </c>
      <c r="L74" s="541">
        <f t="shared" si="32"/>
        <v>20000000</v>
      </c>
      <c r="M74" s="541">
        <f t="shared" si="32"/>
        <v>47000740</v>
      </c>
      <c r="N74" s="541">
        <f t="shared" si="32"/>
        <v>2816800000</v>
      </c>
      <c r="O74" s="541">
        <f t="shared" si="32"/>
        <v>881000000</v>
      </c>
      <c r="P74" s="541"/>
      <c r="Q74" s="541">
        <f t="shared" si="32"/>
        <v>0</v>
      </c>
      <c r="R74" s="541"/>
      <c r="S74" s="541">
        <f t="shared" si="32"/>
        <v>7816996570</v>
      </c>
    </row>
    <row r="75" spans="2:19" x14ac:dyDescent="0.2">
      <c r="B75" s="543" t="s">
        <v>2806</v>
      </c>
      <c r="C75" s="539">
        <f>SUMIF($A$3:$A$65,"301",$C$3:$C$65)</f>
        <v>1355000000</v>
      </c>
      <c r="D75" s="492"/>
      <c r="E75" s="539">
        <f>SUMIF($A$3:$A$65,"301",$E$3:$E$65)</f>
        <v>0</v>
      </c>
      <c r="F75" s="539">
        <f>SUMIF($A$3:$A$65,"301",$F$3:$F$65)</f>
        <v>1355000000</v>
      </c>
      <c r="G75" s="539"/>
      <c r="H75" s="539">
        <f>SUMIF($A$3:$A$65,"301",H$3:H$65)</f>
        <v>0</v>
      </c>
      <c r="I75" s="539">
        <f t="shared" ref="I75:S75" si="33">SUMIF($A$3:$A$65,"301",I$3:I$65)</f>
        <v>0</v>
      </c>
      <c r="J75" s="539">
        <f t="shared" si="33"/>
        <v>0</v>
      </c>
      <c r="K75" s="539">
        <f t="shared" si="33"/>
        <v>0</v>
      </c>
      <c r="L75" s="539">
        <f t="shared" si="33"/>
        <v>0</v>
      </c>
      <c r="M75" s="539">
        <f t="shared" si="33"/>
        <v>0</v>
      </c>
      <c r="N75" s="539">
        <f t="shared" si="33"/>
        <v>0</v>
      </c>
      <c r="O75" s="539">
        <f t="shared" si="33"/>
        <v>0</v>
      </c>
      <c r="P75" s="539"/>
      <c r="Q75" s="539">
        <f t="shared" si="33"/>
        <v>1355000000</v>
      </c>
      <c r="R75" s="539"/>
      <c r="S75" s="539">
        <f t="shared" si="33"/>
        <v>1355000000</v>
      </c>
    </row>
    <row r="76" spans="2:19" x14ac:dyDescent="0.2">
      <c r="B76" s="540" t="s">
        <v>2807</v>
      </c>
      <c r="C76" s="541">
        <f>+C74+C75</f>
        <v>9171996570</v>
      </c>
      <c r="D76" s="492"/>
      <c r="E76" s="542">
        <f>+E74+E75</f>
        <v>0</v>
      </c>
      <c r="F76" s="542">
        <f>+F74+F75</f>
        <v>9171996570</v>
      </c>
      <c r="G76" s="539"/>
      <c r="H76" s="541">
        <f>+H74+H75</f>
        <v>2475902120</v>
      </c>
      <c r="I76" s="541">
        <f t="shared" ref="I76:S76" si="34">+I74+I75</f>
        <v>1325201794</v>
      </c>
      <c r="J76" s="541">
        <f t="shared" si="34"/>
        <v>177821516</v>
      </c>
      <c r="K76" s="541">
        <f t="shared" si="34"/>
        <v>73270400</v>
      </c>
      <c r="L76" s="541">
        <f t="shared" si="34"/>
        <v>20000000</v>
      </c>
      <c r="M76" s="541">
        <f t="shared" si="34"/>
        <v>47000740</v>
      </c>
      <c r="N76" s="541">
        <f t="shared" si="34"/>
        <v>2816800000</v>
      </c>
      <c r="O76" s="541">
        <f t="shared" si="34"/>
        <v>881000000</v>
      </c>
      <c r="P76" s="541"/>
      <c r="Q76" s="541">
        <f t="shared" si="34"/>
        <v>1355000000</v>
      </c>
      <c r="R76" s="541"/>
      <c r="S76" s="541">
        <f t="shared" si="34"/>
        <v>9171996570</v>
      </c>
    </row>
    <row r="88" spans="2:2" x14ac:dyDescent="0.2">
      <c r="B88" s="544"/>
    </row>
  </sheetData>
  <mergeCells count="7">
    <mergeCell ref="H1:S1"/>
    <mergeCell ref="F1:F2"/>
    <mergeCell ref="B67:C67"/>
    <mergeCell ref="A1:A2"/>
    <mergeCell ref="B1:B2"/>
    <mergeCell ref="C1:C2"/>
    <mergeCell ref="E1:E2"/>
  </mergeCells>
  <pageMargins left="0.44" right="0.15748031496062992" top="0.78740157480314965" bottom="0.47244094488188981" header="0.55118110236220474" footer="0"/>
  <pageSetup scale="80" orientation="landscape" r:id="rId1"/>
  <headerFooter alignWithMargins="0">
    <oddHeader>&amp;C&amp;"-,Negrita"&amp;14PLAN OPERATIVO ANUAL DE INVERSIONES 2010</oddHeader>
    <oddFooter>&amp;L&amp;8UNIDAD DE PLANEAMIENTO ECONÓMICO Y ADMINISTRATIVO&amp;COFICINA DE PLANEACIÓN&amp;R&amp;D</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dimension ref="A1:BM104"/>
  <sheetViews>
    <sheetView topLeftCell="L1" zoomScale="80" zoomScaleNormal="80" zoomScaleSheetLayoutView="80" workbookViewId="0">
      <pane xSplit="12" ySplit="2" topLeftCell="X72" activePane="bottomRight" state="frozen"/>
      <selection activeCell="L1" sqref="L1"/>
      <selection pane="topRight" activeCell="X1" sqref="X1"/>
      <selection pane="bottomLeft" activeCell="L3" sqref="L3"/>
      <selection pane="bottomRight" activeCell="X3" sqref="X3"/>
    </sheetView>
  </sheetViews>
  <sheetFormatPr baseColWidth="10" defaultColWidth="11.42578125" defaultRowHeight="12.75" x14ac:dyDescent="0.2"/>
  <cols>
    <col min="1" max="1" width="4" style="8" customWidth="1"/>
    <col min="2" max="2" width="6.85546875" style="8" customWidth="1"/>
    <col min="3" max="3" width="18" style="8" customWidth="1"/>
    <col min="4" max="4" width="12" style="8" customWidth="1"/>
    <col min="5" max="5" width="8.140625" style="8" customWidth="1"/>
    <col min="6" max="6" width="17.42578125" style="8" customWidth="1"/>
    <col min="7" max="7" width="16.7109375" style="8" customWidth="1"/>
    <col min="8" max="8" width="16.85546875" style="8" customWidth="1"/>
    <col min="9" max="9" width="18.85546875" style="8" customWidth="1"/>
    <col min="10" max="10" width="24.28515625" style="8" customWidth="1"/>
    <col min="11" max="11" width="15.28515625" style="8" customWidth="1"/>
    <col min="12" max="12" width="23.42578125" style="8" customWidth="1"/>
    <col min="13" max="13" width="8.42578125" style="8" customWidth="1"/>
    <col min="14" max="14" width="8.140625" style="8" customWidth="1"/>
    <col min="15" max="16" width="8.7109375" style="8" customWidth="1"/>
    <col min="17" max="18" width="7.28515625" style="8" customWidth="1"/>
    <col min="19" max="19" width="7.28515625" style="8" bestFit="1" customWidth="1"/>
    <col min="20" max="20" width="7.28515625" style="8" customWidth="1"/>
    <col min="21" max="21" width="11.5703125" style="8" hidden="1" customWidth="1"/>
    <col min="22" max="22" width="9.140625" style="393" customWidth="1"/>
    <col min="23" max="23" width="14" style="393" customWidth="1"/>
    <col min="24" max="24" width="17.28515625" style="573" customWidth="1"/>
    <col min="25" max="25" width="11.42578125" style="573"/>
    <col min="26" max="26" width="1.5703125" style="8" customWidth="1"/>
    <col min="27" max="27" width="15" style="8" customWidth="1"/>
    <col min="28" max="28" width="13.5703125" style="8" customWidth="1"/>
    <col min="29" max="29" width="12" style="8" customWidth="1"/>
    <col min="30" max="32" width="11.42578125" style="8" customWidth="1"/>
    <col min="33" max="33" width="15.140625" style="8" customWidth="1"/>
    <col min="34" max="35" width="12" style="8" customWidth="1"/>
    <col min="36" max="38" width="13.5703125" style="8" customWidth="1"/>
    <col min="39" max="39" width="5.7109375" style="8" customWidth="1"/>
    <col min="40" max="41" width="14.7109375" style="8" customWidth="1"/>
    <col min="42" max="42" width="15.42578125" style="8" customWidth="1"/>
    <col min="43" max="43" width="14.7109375" style="8" customWidth="1"/>
    <col min="44" max="44" width="13.42578125" style="8" customWidth="1"/>
    <col min="45" max="47" width="14.7109375" style="8" customWidth="1"/>
    <col min="48" max="49" width="13.5703125" style="8" customWidth="1"/>
    <col min="50" max="50" width="3.28515625" style="8" customWidth="1"/>
    <col min="51" max="51" width="13.28515625" style="8" customWidth="1"/>
    <col min="52" max="52" width="11.5703125" style="8" customWidth="1"/>
    <col min="53" max="53" width="14.140625" style="8" customWidth="1"/>
    <col min="54" max="54" width="12.28515625" style="8" customWidth="1"/>
    <col min="55" max="57" width="11.5703125" style="8" customWidth="1"/>
    <col min="58" max="58" width="14.140625" style="8" customWidth="1"/>
    <col min="59" max="59" width="11.42578125" style="8"/>
    <col min="60" max="60" width="12.5703125" style="8" customWidth="1"/>
    <col min="61" max="61" width="11.140625" style="8" customWidth="1"/>
    <col min="62" max="62" width="11.42578125" style="8"/>
    <col min="63" max="63" width="12.28515625" style="8" customWidth="1"/>
    <col min="64" max="64" width="14.28515625" style="8" customWidth="1"/>
    <col min="65" max="65" width="14.7109375" style="8" customWidth="1"/>
    <col min="66" max="264" width="11.42578125" style="8"/>
    <col min="265" max="265" width="5.28515625" style="8" customWidth="1"/>
    <col min="266" max="266" width="6.85546875" style="8" customWidth="1"/>
    <col min="267" max="267" width="18" style="8" customWidth="1"/>
    <col min="268" max="268" width="12" style="8" customWidth="1"/>
    <col min="269" max="269" width="11.28515625" style="8" customWidth="1"/>
    <col min="270" max="270" width="22.140625" style="8" customWidth="1"/>
    <col min="271" max="271" width="20.5703125" style="8" customWidth="1"/>
    <col min="272" max="272" width="20" style="8" customWidth="1"/>
    <col min="273" max="273" width="11.85546875" style="8" customWidth="1"/>
    <col min="274" max="274" width="11.42578125" style="8" customWidth="1"/>
    <col min="275" max="275" width="24.28515625" style="8" customWidth="1"/>
    <col min="276" max="276" width="15.28515625" style="8" customWidth="1"/>
    <col min="277" max="277" width="23.42578125" style="8" customWidth="1"/>
    <col min="278" max="278" width="8.42578125" style="8" customWidth="1"/>
    <col min="279" max="279" width="8.140625" style="8" customWidth="1"/>
    <col min="280" max="281" width="8.7109375" style="8" customWidth="1"/>
    <col min="282" max="285" width="7.28515625" style="8" bestFit="1" customWidth="1"/>
    <col min="286" max="286" width="0" style="8" hidden="1" customWidth="1"/>
    <col min="287" max="287" width="9.140625" style="8" bestFit="1" customWidth="1"/>
    <col min="288" max="520" width="11.42578125" style="8"/>
    <col min="521" max="521" width="5.28515625" style="8" customWidth="1"/>
    <col min="522" max="522" width="6.85546875" style="8" customWidth="1"/>
    <col min="523" max="523" width="18" style="8" customWidth="1"/>
    <col min="524" max="524" width="12" style="8" customWidth="1"/>
    <col min="525" max="525" width="11.28515625" style="8" customWidth="1"/>
    <col min="526" max="526" width="22.140625" style="8" customWidth="1"/>
    <col min="527" max="527" width="20.5703125" style="8" customWidth="1"/>
    <col min="528" max="528" width="20" style="8" customWidth="1"/>
    <col min="529" max="529" width="11.85546875" style="8" customWidth="1"/>
    <col min="530" max="530" width="11.42578125" style="8" customWidth="1"/>
    <col min="531" max="531" width="24.28515625" style="8" customWidth="1"/>
    <col min="532" max="532" width="15.28515625" style="8" customWidth="1"/>
    <col min="533" max="533" width="23.42578125" style="8" customWidth="1"/>
    <col min="534" max="534" width="8.42578125" style="8" customWidth="1"/>
    <col min="535" max="535" width="8.140625" style="8" customWidth="1"/>
    <col min="536" max="537" width="8.7109375" style="8" customWidth="1"/>
    <col min="538" max="541" width="7.28515625" style="8" bestFit="1" customWidth="1"/>
    <col min="542" max="542" width="0" style="8" hidden="1" customWidth="1"/>
    <col min="543" max="543" width="9.140625" style="8" bestFit="1" customWidth="1"/>
    <col min="544" max="776" width="11.42578125" style="8"/>
    <col min="777" max="777" width="5.28515625" style="8" customWidth="1"/>
    <col min="778" max="778" width="6.85546875" style="8" customWidth="1"/>
    <col min="779" max="779" width="18" style="8" customWidth="1"/>
    <col min="780" max="780" width="12" style="8" customWidth="1"/>
    <col min="781" max="781" width="11.28515625" style="8" customWidth="1"/>
    <col min="782" max="782" width="22.140625" style="8" customWidth="1"/>
    <col min="783" max="783" width="20.5703125" style="8" customWidth="1"/>
    <col min="784" max="784" width="20" style="8" customWidth="1"/>
    <col min="785" max="785" width="11.85546875" style="8" customWidth="1"/>
    <col min="786" max="786" width="11.42578125" style="8" customWidth="1"/>
    <col min="787" max="787" width="24.28515625" style="8" customWidth="1"/>
    <col min="788" max="788" width="15.28515625" style="8" customWidth="1"/>
    <col min="789" max="789" width="23.42578125" style="8" customWidth="1"/>
    <col min="790" max="790" width="8.42578125" style="8" customWidth="1"/>
    <col min="791" max="791" width="8.140625" style="8" customWidth="1"/>
    <col min="792" max="793" width="8.7109375" style="8" customWidth="1"/>
    <col min="794" max="797" width="7.28515625" style="8" bestFit="1" customWidth="1"/>
    <col min="798" max="798" width="0" style="8" hidden="1" customWidth="1"/>
    <col min="799" max="799" width="9.140625" style="8" bestFit="1" customWidth="1"/>
    <col min="800" max="1032" width="11.42578125" style="8"/>
    <col min="1033" max="1033" width="5.28515625" style="8" customWidth="1"/>
    <col min="1034" max="1034" width="6.85546875" style="8" customWidth="1"/>
    <col min="1035" max="1035" width="18" style="8" customWidth="1"/>
    <col min="1036" max="1036" width="12" style="8" customWidth="1"/>
    <col min="1037" max="1037" width="11.28515625" style="8" customWidth="1"/>
    <col min="1038" max="1038" width="22.140625" style="8" customWidth="1"/>
    <col min="1039" max="1039" width="20.5703125" style="8" customWidth="1"/>
    <col min="1040" max="1040" width="20" style="8" customWidth="1"/>
    <col min="1041" max="1041" width="11.85546875" style="8" customWidth="1"/>
    <col min="1042" max="1042" width="11.42578125" style="8" customWidth="1"/>
    <col min="1043" max="1043" width="24.28515625" style="8" customWidth="1"/>
    <col min="1044" max="1044" width="15.28515625" style="8" customWidth="1"/>
    <col min="1045" max="1045" width="23.42578125" style="8" customWidth="1"/>
    <col min="1046" max="1046" width="8.42578125" style="8" customWidth="1"/>
    <col min="1047" max="1047" width="8.140625" style="8" customWidth="1"/>
    <col min="1048" max="1049" width="8.7109375" style="8" customWidth="1"/>
    <col min="1050" max="1053" width="7.28515625" style="8" bestFit="1" customWidth="1"/>
    <col min="1054" max="1054" width="0" style="8" hidden="1" customWidth="1"/>
    <col min="1055" max="1055" width="9.140625" style="8" bestFit="1" customWidth="1"/>
    <col min="1056" max="1288" width="11.42578125" style="8"/>
    <col min="1289" max="1289" width="5.28515625" style="8" customWidth="1"/>
    <col min="1290" max="1290" width="6.85546875" style="8" customWidth="1"/>
    <col min="1291" max="1291" width="18" style="8" customWidth="1"/>
    <col min="1292" max="1292" width="12" style="8" customWidth="1"/>
    <col min="1293" max="1293" width="11.28515625" style="8" customWidth="1"/>
    <col min="1294" max="1294" width="22.140625" style="8" customWidth="1"/>
    <col min="1295" max="1295" width="20.5703125" style="8" customWidth="1"/>
    <col min="1296" max="1296" width="20" style="8" customWidth="1"/>
    <col min="1297" max="1297" width="11.85546875" style="8" customWidth="1"/>
    <col min="1298" max="1298" width="11.42578125" style="8" customWidth="1"/>
    <col min="1299" max="1299" width="24.28515625" style="8" customWidth="1"/>
    <col min="1300" max="1300" width="15.28515625" style="8" customWidth="1"/>
    <col min="1301" max="1301" width="23.42578125" style="8" customWidth="1"/>
    <col min="1302" max="1302" width="8.42578125" style="8" customWidth="1"/>
    <col min="1303" max="1303" width="8.140625" style="8" customWidth="1"/>
    <col min="1304" max="1305" width="8.7109375" style="8" customWidth="1"/>
    <col min="1306" max="1309" width="7.28515625" style="8" bestFit="1" customWidth="1"/>
    <col min="1310" max="1310" width="0" style="8" hidden="1" customWidth="1"/>
    <col min="1311" max="1311" width="9.140625" style="8" bestFit="1" customWidth="1"/>
    <col min="1312" max="1544" width="11.42578125" style="8"/>
    <col min="1545" max="1545" width="5.28515625" style="8" customWidth="1"/>
    <col min="1546" max="1546" width="6.85546875" style="8" customWidth="1"/>
    <col min="1547" max="1547" width="18" style="8" customWidth="1"/>
    <col min="1548" max="1548" width="12" style="8" customWidth="1"/>
    <col min="1549" max="1549" width="11.28515625" style="8" customWidth="1"/>
    <col min="1550" max="1550" width="22.140625" style="8" customWidth="1"/>
    <col min="1551" max="1551" width="20.5703125" style="8" customWidth="1"/>
    <col min="1552" max="1552" width="20" style="8" customWidth="1"/>
    <col min="1553" max="1553" width="11.85546875" style="8" customWidth="1"/>
    <col min="1554" max="1554" width="11.42578125" style="8" customWidth="1"/>
    <col min="1555" max="1555" width="24.28515625" style="8" customWidth="1"/>
    <col min="1556" max="1556" width="15.28515625" style="8" customWidth="1"/>
    <col min="1557" max="1557" width="23.42578125" style="8" customWidth="1"/>
    <col min="1558" max="1558" width="8.42578125" style="8" customWidth="1"/>
    <col min="1559" max="1559" width="8.140625" style="8" customWidth="1"/>
    <col min="1560" max="1561" width="8.7109375" style="8" customWidth="1"/>
    <col min="1562" max="1565" width="7.28515625" style="8" bestFit="1" customWidth="1"/>
    <col min="1566" max="1566" width="0" style="8" hidden="1" customWidth="1"/>
    <col min="1567" max="1567" width="9.140625" style="8" bestFit="1" customWidth="1"/>
    <col min="1568" max="1800" width="11.42578125" style="8"/>
    <col min="1801" max="1801" width="5.28515625" style="8" customWidth="1"/>
    <col min="1802" max="1802" width="6.85546875" style="8" customWidth="1"/>
    <col min="1803" max="1803" width="18" style="8" customWidth="1"/>
    <col min="1804" max="1804" width="12" style="8" customWidth="1"/>
    <col min="1805" max="1805" width="11.28515625" style="8" customWidth="1"/>
    <col min="1806" max="1806" width="22.140625" style="8" customWidth="1"/>
    <col min="1807" max="1807" width="20.5703125" style="8" customWidth="1"/>
    <col min="1808" max="1808" width="20" style="8" customWidth="1"/>
    <col min="1809" max="1809" width="11.85546875" style="8" customWidth="1"/>
    <col min="1810" max="1810" width="11.42578125" style="8" customWidth="1"/>
    <col min="1811" max="1811" width="24.28515625" style="8" customWidth="1"/>
    <col min="1812" max="1812" width="15.28515625" style="8" customWidth="1"/>
    <col min="1813" max="1813" width="23.42578125" style="8" customWidth="1"/>
    <col min="1814" max="1814" width="8.42578125" style="8" customWidth="1"/>
    <col min="1815" max="1815" width="8.140625" style="8" customWidth="1"/>
    <col min="1816" max="1817" width="8.7109375" style="8" customWidth="1"/>
    <col min="1818" max="1821" width="7.28515625" style="8" bestFit="1" customWidth="1"/>
    <col min="1822" max="1822" width="0" style="8" hidden="1" customWidth="1"/>
    <col min="1823" max="1823" width="9.140625" style="8" bestFit="1" customWidth="1"/>
    <col min="1824" max="2056" width="11.42578125" style="8"/>
    <col min="2057" max="2057" width="5.28515625" style="8" customWidth="1"/>
    <col min="2058" max="2058" width="6.85546875" style="8" customWidth="1"/>
    <col min="2059" max="2059" width="18" style="8" customWidth="1"/>
    <col min="2060" max="2060" width="12" style="8" customWidth="1"/>
    <col min="2061" max="2061" width="11.28515625" style="8" customWidth="1"/>
    <col min="2062" max="2062" width="22.140625" style="8" customWidth="1"/>
    <col min="2063" max="2063" width="20.5703125" style="8" customWidth="1"/>
    <col min="2064" max="2064" width="20" style="8" customWidth="1"/>
    <col min="2065" max="2065" width="11.85546875" style="8" customWidth="1"/>
    <col min="2066" max="2066" width="11.42578125" style="8" customWidth="1"/>
    <col min="2067" max="2067" width="24.28515625" style="8" customWidth="1"/>
    <col min="2068" max="2068" width="15.28515625" style="8" customWidth="1"/>
    <col min="2069" max="2069" width="23.42578125" style="8" customWidth="1"/>
    <col min="2070" max="2070" width="8.42578125" style="8" customWidth="1"/>
    <col min="2071" max="2071" width="8.140625" style="8" customWidth="1"/>
    <col min="2072" max="2073" width="8.7109375" style="8" customWidth="1"/>
    <col min="2074" max="2077" width="7.28515625" style="8" bestFit="1" customWidth="1"/>
    <col min="2078" max="2078" width="0" style="8" hidden="1" customWidth="1"/>
    <col min="2079" max="2079" width="9.140625" style="8" bestFit="1" customWidth="1"/>
    <col min="2080" max="2312" width="11.42578125" style="8"/>
    <col min="2313" max="2313" width="5.28515625" style="8" customWidth="1"/>
    <col min="2314" max="2314" width="6.85546875" style="8" customWidth="1"/>
    <col min="2315" max="2315" width="18" style="8" customWidth="1"/>
    <col min="2316" max="2316" width="12" style="8" customWidth="1"/>
    <col min="2317" max="2317" width="11.28515625" style="8" customWidth="1"/>
    <col min="2318" max="2318" width="22.140625" style="8" customWidth="1"/>
    <col min="2319" max="2319" width="20.5703125" style="8" customWidth="1"/>
    <col min="2320" max="2320" width="20" style="8" customWidth="1"/>
    <col min="2321" max="2321" width="11.85546875" style="8" customWidth="1"/>
    <col min="2322" max="2322" width="11.42578125" style="8" customWidth="1"/>
    <col min="2323" max="2323" width="24.28515625" style="8" customWidth="1"/>
    <col min="2324" max="2324" width="15.28515625" style="8" customWidth="1"/>
    <col min="2325" max="2325" width="23.42578125" style="8" customWidth="1"/>
    <col min="2326" max="2326" width="8.42578125" style="8" customWidth="1"/>
    <col min="2327" max="2327" width="8.140625" style="8" customWidth="1"/>
    <col min="2328" max="2329" width="8.7109375" style="8" customWidth="1"/>
    <col min="2330" max="2333" width="7.28515625" style="8" bestFit="1" customWidth="1"/>
    <col min="2334" max="2334" width="0" style="8" hidden="1" customWidth="1"/>
    <col min="2335" max="2335" width="9.140625" style="8" bestFit="1" customWidth="1"/>
    <col min="2336" max="2568" width="11.42578125" style="8"/>
    <col min="2569" max="2569" width="5.28515625" style="8" customWidth="1"/>
    <col min="2570" max="2570" width="6.85546875" style="8" customWidth="1"/>
    <col min="2571" max="2571" width="18" style="8" customWidth="1"/>
    <col min="2572" max="2572" width="12" style="8" customWidth="1"/>
    <col min="2573" max="2573" width="11.28515625" style="8" customWidth="1"/>
    <col min="2574" max="2574" width="22.140625" style="8" customWidth="1"/>
    <col min="2575" max="2575" width="20.5703125" style="8" customWidth="1"/>
    <col min="2576" max="2576" width="20" style="8" customWidth="1"/>
    <col min="2577" max="2577" width="11.85546875" style="8" customWidth="1"/>
    <col min="2578" max="2578" width="11.42578125" style="8" customWidth="1"/>
    <col min="2579" max="2579" width="24.28515625" style="8" customWidth="1"/>
    <col min="2580" max="2580" width="15.28515625" style="8" customWidth="1"/>
    <col min="2581" max="2581" width="23.42578125" style="8" customWidth="1"/>
    <col min="2582" max="2582" width="8.42578125" style="8" customWidth="1"/>
    <col min="2583" max="2583" width="8.140625" style="8" customWidth="1"/>
    <col min="2584" max="2585" width="8.7109375" style="8" customWidth="1"/>
    <col min="2586" max="2589" width="7.28515625" style="8" bestFit="1" customWidth="1"/>
    <col min="2590" max="2590" width="0" style="8" hidden="1" customWidth="1"/>
    <col min="2591" max="2591" width="9.140625" style="8" bestFit="1" customWidth="1"/>
    <col min="2592" max="2824" width="11.42578125" style="8"/>
    <col min="2825" max="2825" width="5.28515625" style="8" customWidth="1"/>
    <col min="2826" max="2826" width="6.85546875" style="8" customWidth="1"/>
    <col min="2827" max="2827" width="18" style="8" customWidth="1"/>
    <col min="2828" max="2828" width="12" style="8" customWidth="1"/>
    <col min="2829" max="2829" width="11.28515625" style="8" customWidth="1"/>
    <col min="2830" max="2830" width="22.140625" style="8" customWidth="1"/>
    <col min="2831" max="2831" width="20.5703125" style="8" customWidth="1"/>
    <col min="2832" max="2832" width="20" style="8" customWidth="1"/>
    <col min="2833" max="2833" width="11.85546875" style="8" customWidth="1"/>
    <col min="2834" max="2834" width="11.42578125" style="8" customWidth="1"/>
    <col min="2835" max="2835" width="24.28515625" style="8" customWidth="1"/>
    <col min="2836" max="2836" width="15.28515625" style="8" customWidth="1"/>
    <col min="2837" max="2837" width="23.42578125" style="8" customWidth="1"/>
    <col min="2838" max="2838" width="8.42578125" style="8" customWidth="1"/>
    <col min="2839" max="2839" width="8.140625" style="8" customWidth="1"/>
    <col min="2840" max="2841" width="8.7109375" style="8" customWidth="1"/>
    <col min="2842" max="2845" width="7.28515625" style="8" bestFit="1" customWidth="1"/>
    <col min="2846" max="2846" width="0" style="8" hidden="1" customWidth="1"/>
    <col min="2847" max="2847" width="9.140625" style="8" bestFit="1" customWidth="1"/>
    <col min="2848" max="3080" width="11.42578125" style="8"/>
    <col min="3081" max="3081" width="5.28515625" style="8" customWidth="1"/>
    <col min="3082" max="3082" width="6.85546875" style="8" customWidth="1"/>
    <col min="3083" max="3083" width="18" style="8" customWidth="1"/>
    <col min="3084" max="3084" width="12" style="8" customWidth="1"/>
    <col min="3085" max="3085" width="11.28515625" style="8" customWidth="1"/>
    <col min="3086" max="3086" width="22.140625" style="8" customWidth="1"/>
    <col min="3087" max="3087" width="20.5703125" style="8" customWidth="1"/>
    <col min="3088" max="3088" width="20" style="8" customWidth="1"/>
    <col min="3089" max="3089" width="11.85546875" style="8" customWidth="1"/>
    <col min="3090" max="3090" width="11.42578125" style="8" customWidth="1"/>
    <col min="3091" max="3091" width="24.28515625" style="8" customWidth="1"/>
    <col min="3092" max="3092" width="15.28515625" style="8" customWidth="1"/>
    <col min="3093" max="3093" width="23.42578125" style="8" customWidth="1"/>
    <col min="3094" max="3094" width="8.42578125" style="8" customWidth="1"/>
    <col min="3095" max="3095" width="8.140625" style="8" customWidth="1"/>
    <col min="3096" max="3097" width="8.7109375" style="8" customWidth="1"/>
    <col min="3098" max="3101" width="7.28515625" style="8" bestFit="1" customWidth="1"/>
    <col min="3102" max="3102" width="0" style="8" hidden="1" customWidth="1"/>
    <col min="3103" max="3103" width="9.140625" style="8" bestFit="1" customWidth="1"/>
    <col min="3104" max="3336" width="11.42578125" style="8"/>
    <col min="3337" max="3337" width="5.28515625" style="8" customWidth="1"/>
    <col min="3338" max="3338" width="6.85546875" style="8" customWidth="1"/>
    <col min="3339" max="3339" width="18" style="8" customWidth="1"/>
    <col min="3340" max="3340" width="12" style="8" customWidth="1"/>
    <col min="3341" max="3341" width="11.28515625" style="8" customWidth="1"/>
    <col min="3342" max="3342" width="22.140625" style="8" customWidth="1"/>
    <col min="3343" max="3343" width="20.5703125" style="8" customWidth="1"/>
    <col min="3344" max="3344" width="20" style="8" customWidth="1"/>
    <col min="3345" max="3345" width="11.85546875" style="8" customWidth="1"/>
    <col min="3346" max="3346" width="11.42578125" style="8" customWidth="1"/>
    <col min="3347" max="3347" width="24.28515625" style="8" customWidth="1"/>
    <col min="3348" max="3348" width="15.28515625" style="8" customWidth="1"/>
    <col min="3349" max="3349" width="23.42578125" style="8" customWidth="1"/>
    <col min="3350" max="3350" width="8.42578125" style="8" customWidth="1"/>
    <col min="3351" max="3351" width="8.140625" style="8" customWidth="1"/>
    <col min="3352" max="3353" width="8.7109375" style="8" customWidth="1"/>
    <col min="3354" max="3357" width="7.28515625" style="8" bestFit="1" customWidth="1"/>
    <col min="3358" max="3358" width="0" style="8" hidden="1" customWidth="1"/>
    <col min="3359" max="3359" width="9.140625" style="8" bestFit="1" customWidth="1"/>
    <col min="3360" max="3592" width="11.42578125" style="8"/>
    <col min="3593" max="3593" width="5.28515625" style="8" customWidth="1"/>
    <col min="3594" max="3594" width="6.85546875" style="8" customWidth="1"/>
    <col min="3595" max="3595" width="18" style="8" customWidth="1"/>
    <col min="3596" max="3596" width="12" style="8" customWidth="1"/>
    <col min="3597" max="3597" width="11.28515625" style="8" customWidth="1"/>
    <col min="3598" max="3598" width="22.140625" style="8" customWidth="1"/>
    <col min="3599" max="3599" width="20.5703125" style="8" customWidth="1"/>
    <col min="3600" max="3600" width="20" style="8" customWidth="1"/>
    <col min="3601" max="3601" width="11.85546875" style="8" customWidth="1"/>
    <col min="3602" max="3602" width="11.42578125" style="8" customWidth="1"/>
    <col min="3603" max="3603" width="24.28515625" style="8" customWidth="1"/>
    <col min="3604" max="3604" width="15.28515625" style="8" customWidth="1"/>
    <col min="3605" max="3605" width="23.42578125" style="8" customWidth="1"/>
    <col min="3606" max="3606" width="8.42578125" style="8" customWidth="1"/>
    <col min="3607" max="3607" width="8.140625" style="8" customWidth="1"/>
    <col min="3608" max="3609" width="8.7109375" style="8" customWidth="1"/>
    <col min="3610" max="3613" width="7.28515625" style="8" bestFit="1" customWidth="1"/>
    <col min="3614" max="3614" width="0" style="8" hidden="1" customWidth="1"/>
    <col min="3615" max="3615" width="9.140625" style="8" bestFit="1" customWidth="1"/>
    <col min="3616" max="3848" width="11.42578125" style="8"/>
    <col min="3849" max="3849" width="5.28515625" style="8" customWidth="1"/>
    <col min="3850" max="3850" width="6.85546875" style="8" customWidth="1"/>
    <col min="3851" max="3851" width="18" style="8" customWidth="1"/>
    <col min="3852" max="3852" width="12" style="8" customWidth="1"/>
    <col min="3853" max="3853" width="11.28515625" style="8" customWidth="1"/>
    <col min="3854" max="3854" width="22.140625" style="8" customWidth="1"/>
    <col min="3855" max="3855" width="20.5703125" style="8" customWidth="1"/>
    <col min="3856" max="3856" width="20" style="8" customWidth="1"/>
    <col min="3857" max="3857" width="11.85546875" style="8" customWidth="1"/>
    <col min="3858" max="3858" width="11.42578125" style="8" customWidth="1"/>
    <col min="3859" max="3859" width="24.28515625" style="8" customWidth="1"/>
    <col min="3860" max="3860" width="15.28515625" style="8" customWidth="1"/>
    <col min="3861" max="3861" width="23.42578125" style="8" customWidth="1"/>
    <col min="3862" max="3862" width="8.42578125" style="8" customWidth="1"/>
    <col min="3863" max="3863" width="8.140625" style="8" customWidth="1"/>
    <col min="3864" max="3865" width="8.7109375" style="8" customWidth="1"/>
    <col min="3866" max="3869" width="7.28515625" style="8" bestFit="1" customWidth="1"/>
    <col min="3870" max="3870" width="0" style="8" hidden="1" customWidth="1"/>
    <col min="3871" max="3871" width="9.140625" style="8" bestFit="1" customWidth="1"/>
    <col min="3872" max="4104" width="11.42578125" style="8"/>
    <col min="4105" max="4105" width="5.28515625" style="8" customWidth="1"/>
    <col min="4106" max="4106" width="6.85546875" style="8" customWidth="1"/>
    <col min="4107" max="4107" width="18" style="8" customWidth="1"/>
    <col min="4108" max="4108" width="12" style="8" customWidth="1"/>
    <col min="4109" max="4109" width="11.28515625" style="8" customWidth="1"/>
    <col min="4110" max="4110" width="22.140625" style="8" customWidth="1"/>
    <col min="4111" max="4111" width="20.5703125" style="8" customWidth="1"/>
    <col min="4112" max="4112" width="20" style="8" customWidth="1"/>
    <col min="4113" max="4113" width="11.85546875" style="8" customWidth="1"/>
    <col min="4114" max="4114" width="11.42578125" style="8" customWidth="1"/>
    <col min="4115" max="4115" width="24.28515625" style="8" customWidth="1"/>
    <col min="4116" max="4116" width="15.28515625" style="8" customWidth="1"/>
    <col min="4117" max="4117" width="23.42578125" style="8" customWidth="1"/>
    <col min="4118" max="4118" width="8.42578125" style="8" customWidth="1"/>
    <col min="4119" max="4119" width="8.140625" style="8" customWidth="1"/>
    <col min="4120" max="4121" width="8.7109375" style="8" customWidth="1"/>
    <col min="4122" max="4125" width="7.28515625" style="8" bestFit="1" customWidth="1"/>
    <col min="4126" max="4126" width="0" style="8" hidden="1" customWidth="1"/>
    <col min="4127" max="4127" width="9.140625" style="8" bestFit="1" customWidth="1"/>
    <col min="4128" max="4360" width="11.42578125" style="8"/>
    <col min="4361" max="4361" width="5.28515625" style="8" customWidth="1"/>
    <col min="4362" max="4362" width="6.85546875" style="8" customWidth="1"/>
    <col min="4363" max="4363" width="18" style="8" customWidth="1"/>
    <col min="4364" max="4364" width="12" style="8" customWidth="1"/>
    <col min="4365" max="4365" width="11.28515625" style="8" customWidth="1"/>
    <col min="4366" max="4366" width="22.140625" style="8" customWidth="1"/>
    <col min="4367" max="4367" width="20.5703125" style="8" customWidth="1"/>
    <col min="4368" max="4368" width="20" style="8" customWidth="1"/>
    <col min="4369" max="4369" width="11.85546875" style="8" customWidth="1"/>
    <col min="4370" max="4370" width="11.42578125" style="8" customWidth="1"/>
    <col min="4371" max="4371" width="24.28515625" style="8" customWidth="1"/>
    <col min="4372" max="4372" width="15.28515625" style="8" customWidth="1"/>
    <col min="4373" max="4373" width="23.42578125" style="8" customWidth="1"/>
    <col min="4374" max="4374" width="8.42578125" style="8" customWidth="1"/>
    <col min="4375" max="4375" width="8.140625" style="8" customWidth="1"/>
    <col min="4376" max="4377" width="8.7109375" style="8" customWidth="1"/>
    <col min="4378" max="4381" width="7.28515625" style="8" bestFit="1" customWidth="1"/>
    <col min="4382" max="4382" width="0" style="8" hidden="1" customWidth="1"/>
    <col min="4383" max="4383" width="9.140625" style="8" bestFit="1" customWidth="1"/>
    <col min="4384" max="4616" width="11.42578125" style="8"/>
    <col min="4617" max="4617" width="5.28515625" style="8" customWidth="1"/>
    <col min="4618" max="4618" width="6.85546875" style="8" customWidth="1"/>
    <col min="4619" max="4619" width="18" style="8" customWidth="1"/>
    <col min="4620" max="4620" width="12" style="8" customWidth="1"/>
    <col min="4621" max="4621" width="11.28515625" style="8" customWidth="1"/>
    <col min="4622" max="4622" width="22.140625" style="8" customWidth="1"/>
    <col min="4623" max="4623" width="20.5703125" style="8" customWidth="1"/>
    <col min="4624" max="4624" width="20" style="8" customWidth="1"/>
    <col min="4625" max="4625" width="11.85546875" style="8" customWidth="1"/>
    <col min="4626" max="4626" width="11.42578125" style="8" customWidth="1"/>
    <col min="4627" max="4627" width="24.28515625" style="8" customWidth="1"/>
    <col min="4628" max="4628" width="15.28515625" style="8" customWidth="1"/>
    <col min="4629" max="4629" width="23.42578125" style="8" customWidth="1"/>
    <col min="4630" max="4630" width="8.42578125" style="8" customWidth="1"/>
    <col min="4631" max="4631" width="8.140625" style="8" customWidth="1"/>
    <col min="4632" max="4633" width="8.7109375" style="8" customWidth="1"/>
    <col min="4634" max="4637" width="7.28515625" style="8" bestFit="1" customWidth="1"/>
    <col min="4638" max="4638" width="0" style="8" hidden="1" customWidth="1"/>
    <col min="4639" max="4639" width="9.140625" style="8" bestFit="1" customWidth="1"/>
    <col min="4640" max="4872" width="11.42578125" style="8"/>
    <col min="4873" max="4873" width="5.28515625" style="8" customWidth="1"/>
    <col min="4874" max="4874" width="6.85546875" style="8" customWidth="1"/>
    <col min="4875" max="4875" width="18" style="8" customWidth="1"/>
    <col min="4876" max="4876" width="12" style="8" customWidth="1"/>
    <col min="4877" max="4877" width="11.28515625" style="8" customWidth="1"/>
    <col min="4878" max="4878" width="22.140625" style="8" customWidth="1"/>
    <col min="4879" max="4879" width="20.5703125" style="8" customWidth="1"/>
    <col min="4880" max="4880" width="20" style="8" customWidth="1"/>
    <col min="4881" max="4881" width="11.85546875" style="8" customWidth="1"/>
    <col min="4882" max="4882" width="11.42578125" style="8" customWidth="1"/>
    <col min="4883" max="4883" width="24.28515625" style="8" customWidth="1"/>
    <col min="4884" max="4884" width="15.28515625" style="8" customWidth="1"/>
    <col min="4885" max="4885" width="23.42578125" style="8" customWidth="1"/>
    <col min="4886" max="4886" width="8.42578125" style="8" customWidth="1"/>
    <col min="4887" max="4887" width="8.140625" style="8" customWidth="1"/>
    <col min="4888" max="4889" width="8.7109375" style="8" customWidth="1"/>
    <col min="4890" max="4893" width="7.28515625" style="8" bestFit="1" customWidth="1"/>
    <col min="4894" max="4894" width="0" style="8" hidden="1" customWidth="1"/>
    <col min="4895" max="4895" width="9.140625" style="8" bestFit="1" customWidth="1"/>
    <col min="4896" max="5128" width="11.42578125" style="8"/>
    <col min="5129" max="5129" width="5.28515625" style="8" customWidth="1"/>
    <col min="5130" max="5130" width="6.85546875" style="8" customWidth="1"/>
    <col min="5131" max="5131" width="18" style="8" customWidth="1"/>
    <col min="5132" max="5132" width="12" style="8" customWidth="1"/>
    <col min="5133" max="5133" width="11.28515625" style="8" customWidth="1"/>
    <col min="5134" max="5134" width="22.140625" style="8" customWidth="1"/>
    <col min="5135" max="5135" width="20.5703125" style="8" customWidth="1"/>
    <col min="5136" max="5136" width="20" style="8" customWidth="1"/>
    <col min="5137" max="5137" width="11.85546875" style="8" customWidth="1"/>
    <col min="5138" max="5138" width="11.42578125" style="8" customWidth="1"/>
    <col min="5139" max="5139" width="24.28515625" style="8" customWidth="1"/>
    <col min="5140" max="5140" width="15.28515625" style="8" customWidth="1"/>
    <col min="5141" max="5141" width="23.42578125" style="8" customWidth="1"/>
    <col min="5142" max="5142" width="8.42578125" style="8" customWidth="1"/>
    <col min="5143" max="5143" width="8.140625" style="8" customWidth="1"/>
    <col min="5144" max="5145" width="8.7109375" style="8" customWidth="1"/>
    <col min="5146" max="5149" width="7.28515625" style="8" bestFit="1" customWidth="1"/>
    <col min="5150" max="5150" width="0" style="8" hidden="1" customWidth="1"/>
    <col min="5151" max="5151" width="9.140625" style="8" bestFit="1" customWidth="1"/>
    <col min="5152" max="5384" width="11.42578125" style="8"/>
    <col min="5385" max="5385" width="5.28515625" style="8" customWidth="1"/>
    <col min="5386" max="5386" width="6.85546875" style="8" customWidth="1"/>
    <col min="5387" max="5387" width="18" style="8" customWidth="1"/>
    <col min="5388" max="5388" width="12" style="8" customWidth="1"/>
    <col min="5389" max="5389" width="11.28515625" style="8" customWidth="1"/>
    <col min="5390" max="5390" width="22.140625" style="8" customWidth="1"/>
    <col min="5391" max="5391" width="20.5703125" style="8" customWidth="1"/>
    <col min="5392" max="5392" width="20" style="8" customWidth="1"/>
    <col min="5393" max="5393" width="11.85546875" style="8" customWidth="1"/>
    <col min="5394" max="5394" width="11.42578125" style="8" customWidth="1"/>
    <col min="5395" max="5395" width="24.28515625" style="8" customWidth="1"/>
    <col min="5396" max="5396" width="15.28515625" style="8" customWidth="1"/>
    <col min="5397" max="5397" width="23.42578125" style="8" customWidth="1"/>
    <col min="5398" max="5398" width="8.42578125" style="8" customWidth="1"/>
    <col min="5399" max="5399" width="8.140625" style="8" customWidth="1"/>
    <col min="5400" max="5401" width="8.7109375" style="8" customWidth="1"/>
    <col min="5402" max="5405" width="7.28515625" style="8" bestFit="1" customWidth="1"/>
    <col min="5406" max="5406" width="0" style="8" hidden="1" customWidth="1"/>
    <col min="5407" max="5407" width="9.140625" style="8" bestFit="1" customWidth="1"/>
    <col min="5408" max="5640" width="11.42578125" style="8"/>
    <col min="5641" max="5641" width="5.28515625" style="8" customWidth="1"/>
    <col min="5642" max="5642" width="6.85546875" style="8" customWidth="1"/>
    <col min="5643" max="5643" width="18" style="8" customWidth="1"/>
    <col min="5644" max="5644" width="12" style="8" customWidth="1"/>
    <col min="5645" max="5645" width="11.28515625" style="8" customWidth="1"/>
    <col min="5646" max="5646" width="22.140625" style="8" customWidth="1"/>
    <col min="5647" max="5647" width="20.5703125" style="8" customWidth="1"/>
    <col min="5648" max="5648" width="20" style="8" customWidth="1"/>
    <col min="5649" max="5649" width="11.85546875" style="8" customWidth="1"/>
    <col min="5650" max="5650" width="11.42578125" style="8" customWidth="1"/>
    <col min="5651" max="5651" width="24.28515625" style="8" customWidth="1"/>
    <col min="5652" max="5652" width="15.28515625" style="8" customWidth="1"/>
    <col min="5653" max="5653" width="23.42578125" style="8" customWidth="1"/>
    <col min="5654" max="5654" width="8.42578125" style="8" customWidth="1"/>
    <col min="5655" max="5655" width="8.140625" style="8" customWidth="1"/>
    <col min="5656" max="5657" width="8.7109375" style="8" customWidth="1"/>
    <col min="5658" max="5661" width="7.28515625" style="8" bestFit="1" customWidth="1"/>
    <col min="5662" max="5662" width="0" style="8" hidden="1" customWidth="1"/>
    <col min="5663" max="5663" width="9.140625" style="8" bestFit="1" customWidth="1"/>
    <col min="5664" max="5896" width="11.42578125" style="8"/>
    <col min="5897" max="5897" width="5.28515625" style="8" customWidth="1"/>
    <col min="5898" max="5898" width="6.85546875" style="8" customWidth="1"/>
    <col min="5899" max="5899" width="18" style="8" customWidth="1"/>
    <col min="5900" max="5900" width="12" style="8" customWidth="1"/>
    <col min="5901" max="5901" width="11.28515625" style="8" customWidth="1"/>
    <col min="5902" max="5902" width="22.140625" style="8" customWidth="1"/>
    <col min="5903" max="5903" width="20.5703125" style="8" customWidth="1"/>
    <col min="5904" max="5904" width="20" style="8" customWidth="1"/>
    <col min="5905" max="5905" width="11.85546875" style="8" customWidth="1"/>
    <col min="5906" max="5906" width="11.42578125" style="8" customWidth="1"/>
    <col min="5907" max="5907" width="24.28515625" style="8" customWidth="1"/>
    <col min="5908" max="5908" width="15.28515625" style="8" customWidth="1"/>
    <col min="5909" max="5909" width="23.42578125" style="8" customWidth="1"/>
    <col min="5910" max="5910" width="8.42578125" style="8" customWidth="1"/>
    <col min="5911" max="5911" width="8.140625" style="8" customWidth="1"/>
    <col min="5912" max="5913" width="8.7109375" style="8" customWidth="1"/>
    <col min="5914" max="5917" width="7.28515625" style="8" bestFit="1" customWidth="1"/>
    <col min="5918" max="5918" width="0" style="8" hidden="1" customWidth="1"/>
    <col min="5919" max="5919" width="9.140625" style="8" bestFit="1" customWidth="1"/>
    <col min="5920" max="6152" width="11.42578125" style="8"/>
    <col min="6153" max="6153" width="5.28515625" style="8" customWidth="1"/>
    <col min="6154" max="6154" width="6.85546875" style="8" customWidth="1"/>
    <col min="6155" max="6155" width="18" style="8" customWidth="1"/>
    <col min="6156" max="6156" width="12" style="8" customWidth="1"/>
    <col min="6157" max="6157" width="11.28515625" style="8" customWidth="1"/>
    <col min="6158" max="6158" width="22.140625" style="8" customWidth="1"/>
    <col min="6159" max="6159" width="20.5703125" style="8" customWidth="1"/>
    <col min="6160" max="6160" width="20" style="8" customWidth="1"/>
    <col min="6161" max="6161" width="11.85546875" style="8" customWidth="1"/>
    <col min="6162" max="6162" width="11.42578125" style="8" customWidth="1"/>
    <col min="6163" max="6163" width="24.28515625" style="8" customWidth="1"/>
    <col min="6164" max="6164" width="15.28515625" style="8" customWidth="1"/>
    <col min="6165" max="6165" width="23.42578125" style="8" customWidth="1"/>
    <col min="6166" max="6166" width="8.42578125" style="8" customWidth="1"/>
    <col min="6167" max="6167" width="8.140625" style="8" customWidth="1"/>
    <col min="6168" max="6169" width="8.7109375" style="8" customWidth="1"/>
    <col min="6170" max="6173" width="7.28515625" style="8" bestFit="1" customWidth="1"/>
    <col min="6174" max="6174" width="0" style="8" hidden="1" customWidth="1"/>
    <col min="6175" max="6175" width="9.140625" style="8" bestFit="1" customWidth="1"/>
    <col min="6176" max="6408" width="11.42578125" style="8"/>
    <col min="6409" max="6409" width="5.28515625" style="8" customWidth="1"/>
    <col min="6410" max="6410" width="6.85546875" style="8" customWidth="1"/>
    <col min="6411" max="6411" width="18" style="8" customWidth="1"/>
    <col min="6412" max="6412" width="12" style="8" customWidth="1"/>
    <col min="6413" max="6413" width="11.28515625" style="8" customWidth="1"/>
    <col min="6414" max="6414" width="22.140625" style="8" customWidth="1"/>
    <col min="6415" max="6415" width="20.5703125" style="8" customWidth="1"/>
    <col min="6416" max="6416" width="20" style="8" customWidth="1"/>
    <col min="6417" max="6417" width="11.85546875" style="8" customWidth="1"/>
    <col min="6418" max="6418" width="11.42578125" style="8" customWidth="1"/>
    <col min="6419" max="6419" width="24.28515625" style="8" customWidth="1"/>
    <col min="6420" max="6420" width="15.28515625" style="8" customWidth="1"/>
    <col min="6421" max="6421" width="23.42578125" style="8" customWidth="1"/>
    <col min="6422" max="6422" width="8.42578125" style="8" customWidth="1"/>
    <col min="6423" max="6423" width="8.140625" style="8" customWidth="1"/>
    <col min="6424" max="6425" width="8.7109375" style="8" customWidth="1"/>
    <col min="6426" max="6429" width="7.28515625" style="8" bestFit="1" customWidth="1"/>
    <col min="6430" max="6430" width="0" style="8" hidden="1" customWidth="1"/>
    <col min="6431" max="6431" width="9.140625" style="8" bestFit="1" customWidth="1"/>
    <col min="6432" max="6664" width="11.42578125" style="8"/>
    <col min="6665" max="6665" width="5.28515625" style="8" customWidth="1"/>
    <col min="6666" max="6666" width="6.85546875" style="8" customWidth="1"/>
    <col min="6667" max="6667" width="18" style="8" customWidth="1"/>
    <col min="6668" max="6668" width="12" style="8" customWidth="1"/>
    <col min="6669" max="6669" width="11.28515625" style="8" customWidth="1"/>
    <col min="6670" max="6670" width="22.140625" style="8" customWidth="1"/>
    <col min="6671" max="6671" width="20.5703125" style="8" customWidth="1"/>
    <col min="6672" max="6672" width="20" style="8" customWidth="1"/>
    <col min="6673" max="6673" width="11.85546875" style="8" customWidth="1"/>
    <col min="6674" max="6674" width="11.42578125" style="8" customWidth="1"/>
    <col min="6675" max="6675" width="24.28515625" style="8" customWidth="1"/>
    <col min="6676" max="6676" width="15.28515625" style="8" customWidth="1"/>
    <col min="6677" max="6677" width="23.42578125" style="8" customWidth="1"/>
    <col min="6678" max="6678" width="8.42578125" style="8" customWidth="1"/>
    <col min="6679" max="6679" width="8.140625" style="8" customWidth="1"/>
    <col min="6680" max="6681" width="8.7109375" style="8" customWidth="1"/>
    <col min="6682" max="6685" width="7.28515625" style="8" bestFit="1" customWidth="1"/>
    <col min="6686" max="6686" width="0" style="8" hidden="1" customWidth="1"/>
    <col min="6687" max="6687" width="9.140625" style="8" bestFit="1" customWidth="1"/>
    <col min="6688" max="6920" width="11.42578125" style="8"/>
    <col min="6921" max="6921" width="5.28515625" style="8" customWidth="1"/>
    <col min="6922" max="6922" width="6.85546875" style="8" customWidth="1"/>
    <col min="6923" max="6923" width="18" style="8" customWidth="1"/>
    <col min="6924" max="6924" width="12" style="8" customWidth="1"/>
    <col min="6925" max="6925" width="11.28515625" style="8" customWidth="1"/>
    <col min="6926" max="6926" width="22.140625" style="8" customWidth="1"/>
    <col min="6927" max="6927" width="20.5703125" style="8" customWidth="1"/>
    <col min="6928" max="6928" width="20" style="8" customWidth="1"/>
    <col min="6929" max="6929" width="11.85546875" style="8" customWidth="1"/>
    <col min="6930" max="6930" width="11.42578125" style="8" customWidth="1"/>
    <col min="6931" max="6931" width="24.28515625" style="8" customWidth="1"/>
    <col min="6932" max="6932" width="15.28515625" style="8" customWidth="1"/>
    <col min="6933" max="6933" width="23.42578125" style="8" customWidth="1"/>
    <col min="6934" max="6934" width="8.42578125" style="8" customWidth="1"/>
    <col min="6935" max="6935" width="8.140625" style="8" customWidth="1"/>
    <col min="6936" max="6937" width="8.7109375" style="8" customWidth="1"/>
    <col min="6938" max="6941" width="7.28515625" style="8" bestFit="1" customWidth="1"/>
    <col min="6942" max="6942" width="0" style="8" hidden="1" customWidth="1"/>
    <col min="6943" max="6943" width="9.140625" style="8" bestFit="1" customWidth="1"/>
    <col min="6944" max="7176" width="11.42578125" style="8"/>
    <col min="7177" max="7177" width="5.28515625" style="8" customWidth="1"/>
    <col min="7178" max="7178" width="6.85546875" style="8" customWidth="1"/>
    <col min="7179" max="7179" width="18" style="8" customWidth="1"/>
    <col min="7180" max="7180" width="12" style="8" customWidth="1"/>
    <col min="7181" max="7181" width="11.28515625" style="8" customWidth="1"/>
    <col min="7182" max="7182" width="22.140625" style="8" customWidth="1"/>
    <col min="7183" max="7183" width="20.5703125" style="8" customWidth="1"/>
    <col min="7184" max="7184" width="20" style="8" customWidth="1"/>
    <col min="7185" max="7185" width="11.85546875" style="8" customWidth="1"/>
    <col min="7186" max="7186" width="11.42578125" style="8" customWidth="1"/>
    <col min="7187" max="7187" width="24.28515625" style="8" customWidth="1"/>
    <col min="7188" max="7188" width="15.28515625" style="8" customWidth="1"/>
    <col min="7189" max="7189" width="23.42578125" style="8" customWidth="1"/>
    <col min="7190" max="7190" width="8.42578125" style="8" customWidth="1"/>
    <col min="7191" max="7191" width="8.140625" style="8" customWidth="1"/>
    <col min="7192" max="7193" width="8.7109375" style="8" customWidth="1"/>
    <col min="7194" max="7197" width="7.28515625" style="8" bestFit="1" customWidth="1"/>
    <col min="7198" max="7198" width="0" style="8" hidden="1" customWidth="1"/>
    <col min="7199" max="7199" width="9.140625" style="8" bestFit="1" customWidth="1"/>
    <col min="7200" max="7432" width="11.42578125" style="8"/>
    <col min="7433" max="7433" width="5.28515625" style="8" customWidth="1"/>
    <col min="7434" max="7434" width="6.85546875" style="8" customWidth="1"/>
    <col min="7435" max="7435" width="18" style="8" customWidth="1"/>
    <col min="7436" max="7436" width="12" style="8" customWidth="1"/>
    <col min="7437" max="7437" width="11.28515625" style="8" customWidth="1"/>
    <col min="7438" max="7438" width="22.140625" style="8" customWidth="1"/>
    <col min="7439" max="7439" width="20.5703125" style="8" customWidth="1"/>
    <col min="7440" max="7440" width="20" style="8" customWidth="1"/>
    <col min="7441" max="7441" width="11.85546875" style="8" customWidth="1"/>
    <col min="7442" max="7442" width="11.42578125" style="8" customWidth="1"/>
    <col min="7443" max="7443" width="24.28515625" style="8" customWidth="1"/>
    <col min="7444" max="7444" width="15.28515625" style="8" customWidth="1"/>
    <col min="7445" max="7445" width="23.42578125" style="8" customWidth="1"/>
    <col min="7446" max="7446" width="8.42578125" style="8" customWidth="1"/>
    <col min="7447" max="7447" width="8.140625" style="8" customWidth="1"/>
    <col min="7448" max="7449" width="8.7109375" style="8" customWidth="1"/>
    <col min="7450" max="7453" width="7.28515625" style="8" bestFit="1" customWidth="1"/>
    <col min="7454" max="7454" width="0" style="8" hidden="1" customWidth="1"/>
    <col min="7455" max="7455" width="9.140625" style="8" bestFit="1" customWidth="1"/>
    <col min="7456" max="7688" width="11.42578125" style="8"/>
    <col min="7689" max="7689" width="5.28515625" style="8" customWidth="1"/>
    <col min="7690" max="7690" width="6.85546875" style="8" customWidth="1"/>
    <col min="7691" max="7691" width="18" style="8" customWidth="1"/>
    <col min="7692" max="7692" width="12" style="8" customWidth="1"/>
    <col min="7693" max="7693" width="11.28515625" style="8" customWidth="1"/>
    <col min="7694" max="7694" width="22.140625" style="8" customWidth="1"/>
    <col min="7695" max="7695" width="20.5703125" style="8" customWidth="1"/>
    <col min="7696" max="7696" width="20" style="8" customWidth="1"/>
    <col min="7697" max="7697" width="11.85546875" style="8" customWidth="1"/>
    <col min="7698" max="7698" width="11.42578125" style="8" customWidth="1"/>
    <col min="7699" max="7699" width="24.28515625" style="8" customWidth="1"/>
    <col min="7700" max="7700" width="15.28515625" style="8" customWidth="1"/>
    <col min="7701" max="7701" width="23.42578125" style="8" customWidth="1"/>
    <col min="7702" max="7702" width="8.42578125" style="8" customWidth="1"/>
    <col min="7703" max="7703" width="8.140625" style="8" customWidth="1"/>
    <col min="7704" max="7705" width="8.7109375" style="8" customWidth="1"/>
    <col min="7706" max="7709" width="7.28515625" style="8" bestFit="1" customWidth="1"/>
    <col min="7710" max="7710" width="0" style="8" hidden="1" customWidth="1"/>
    <col min="7711" max="7711" width="9.140625" style="8" bestFit="1" customWidth="1"/>
    <col min="7712" max="7944" width="11.42578125" style="8"/>
    <col min="7945" max="7945" width="5.28515625" style="8" customWidth="1"/>
    <col min="7946" max="7946" width="6.85546875" style="8" customWidth="1"/>
    <col min="7947" max="7947" width="18" style="8" customWidth="1"/>
    <col min="7948" max="7948" width="12" style="8" customWidth="1"/>
    <col min="7949" max="7949" width="11.28515625" style="8" customWidth="1"/>
    <col min="7950" max="7950" width="22.140625" style="8" customWidth="1"/>
    <col min="7951" max="7951" width="20.5703125" style="8" customWidth="1"/>
    <col min="7952" max="7952" width="20" style="8" customWidth="1"/>
    <col min="7953" max="7953" width="11.85546875" style="8" customWidth="1"/>
    <col min="7954" max="7954" width="11.42578125" style="8" customWidth="1"/>
    <col min="7955" max="7955" width="24.28515625" style="8" customWidth="1"/>
    <col min="7956" max="7956" width="15.28515625" style="8" customWidth="1"/>
    <col min="7957" max="7957" width="23.42578125" style="8" customWidth="1"/>
    <col min="7958" max="7958" width="8.42578125" style="8" customWidth="1"/>
    <col min="7959" max="7959" width="8.140625" style="8" customWidth="1"/>
    <col min="7960" max="7961" width="8.7109375" style="8" customWidth="1"/>
    <col min="7962" max="7965" width="7.28515625" style="8" bestFit="1" customWidth="1"/>
    <col min="7966" max="7966" width="0" style="8" hidden="1" customWidth="1"/>
    <col min="7967" max="7967" width="9.140625" style="8" bestFit="1" customWidth="1"/>
    <col min="7968" max="8200" width="11.42578125" style="8"/>
    <col min="8201" max="8201" width="5.28515625" style="8" customWidth="1"/>
    <col min="8202" max="8202" width="6.85546875" style="8" customWidth="1"/>
    <col min="8203" max="8203" width="18" style="8" customWidth="1"/>
    <col min="8204" max="8204" width="12" style="8" customWidth="1"/>
    <col min="8205" max="8205" width="11.28515625" style="8" customWidth="1"/>
    <col min="8206" max="8206" width="22.140625" style="8" customWidth="1"/>
    <col min="8207" max="8207" width="20.5703125" style="8" customWidth="1"/>
    <col min="8208" max="8208" width="20" style="8" customWidth="1"/>
    <col min="8209" max="8209" width="11.85546875" style="8" customWidth="1"/>
    <col min="8210" max="8210" width="11.42578125" style="8" customWidth="1"/>
    <col min="8211" max="8211" width="24.28515625" style="8" customWidth="1"/>
    <col min="8212" max="8212" width="15.28515625" style="8" customWidth="1"/>
    <col min="8213" max="8213" width="23.42578125" style="8" customWidth="1"/>
    <col min="8214" max="8214" width="8.42578125" style="8" customWidth="1"/>
    <col min="8215" max="8215" width="8.140625" style="8" customWidth="1"/>
    <col min="8216" max="8217" width="8.7109375" style="8" customWidth="1"/>
    <col min="8218" max="8221" width="7.28515625" style="8" bestFit="1" customWidth="1"/>
    <col min="8222" max="8222" width="0" style="8" hidden="1" customWidth="1"/>
    <col min="8223" max="8223" width="9.140625" style="8" bestFit="1" customWidth="1"/>
    <col min="8224" max="8456" width="11.42578125" style="8"/>
    <col min="8457" max="8457" width="5.28515625" style="8" customWidth="1"/>
    <col min="8458" max="8458" width="6.85546875" style="8" customWidth="1"/>
    <col min="8459" max="8459" width="18" style="8" customWidth="1"/>
    <col min="8460" max="8460" width="12" style="8" customWidth="1"/>
    <col min="8461" max="8461" width="11.28515625" style="8" customWidth="1"/>
    <col min="8462" max="8462" width="22.140625" style="8" customWidth="1"/>
    <col min="8463" max="8463" width="20.5703125" style="8" customWidth="1"/>
    <col min="8464" max="8464" width="20" style="8" customWidth="1"/>
    <col min="8465" max="8465" width="11.85546875" style="8" customWidth="1"/>
    <col min="8466" max="8466" width="11.42578125" style="8" customWidth="1"/>
    <col min="8467" max="8467" width="24.28515625" style="8" customWidth="1"/>
    <col min="8468" max="8468" width="15.28515625" style="8" customWidth="1"/>
    <col min="8469" max="8469" width="23.42578125" style="8" customWidth="1"/>
    <col min="8470" max="8470" width="8.42578125" style="8" customWidth="1"/>
    <col min="8471" max="8471" width="8.140625" style="8" customWidth="1"/>
    <col min="8472" max="8473" width="8.7109375" style="8" customWidth="1"/>
    <col min="8474" max="8477" width="7.28515625" style="8" bestFit="1" customWidth="1"/>
    <col min="8478" max="8478" width="0" style="8" hidden="1" customWidth="1"/>
    <col min="8479" max="8479" width="9.140625" style="8" bestFit="1" customWidth="1"/>
    <col min="8480" max="8712" width="11.42578125" style="8"/>
    <col min="8713" max="8713" width="5.28515625" style="8" customWidth="1"/>
    <col min="8714" max="8714" width="6.85546875" style="8" customWidth="1"/>
    <col min="8715" max="8715" width="18" style="8" customWidth="1"/>
    <col min="8716" max="8716" width="12" style="8" customWidth="1"/>
    <col min="8717" max="8717" width="11.28515625" style="8" customWidth="1"/>
    <col min="8718" max="8718" width="22.140625" style="8" customWidth="1"/>
    <col min="8719" max="8719" width="20.5703125" style="8" customWidth="1"/>
    <col min="8720" max="8720" width="20" style="8" customWidth="1"/>
    <col min="8721" max="8721" width="11.85546875" style="8" customWidth="1"/>
    <col min="8722" max="8722" width="11.42578125" style="8" customWidth="1"/>
    <col min="8723" max="8723" width="24.28515625" style="8" customWidth="1"/>
    <col min="8724" max="8724" width="15.28515625" style="8" customWidth="1"/>
    <col min="8725" max="8725" width="23.42578125" style="8" customWidth="1"/>
    <col min="8726" max="8726" width="8.42578125" style="8" customWidth="1"/>
    <col min="8727" max="8727" width="8.140625" style="8" customWidth="1"/>
    <col min="8728" max="8729" width="8.7109375" style="8" customWidth="1"/>
    <col min="8730" max="8733" width="7.28515625" style="8" bestFit="1" customWidth="1"/>
    <col min="8734" max="8734" width="0" style="8" hidden="1" customWidth="1"/>
    <col min="8735" max="8735" width="9.140625" style="8" bestFit="1" customWidth="1"/>
    <col min="8736" max="8968" width="11.42578125" style="8"/>
    <col min="8969" max="8969" width="5.28515625" style="8" customWidth="1"/>
    <col min="8970" max="8970" width="6.85546875" style="8" customWidth="1"/>
    <col min="8971" max="8971" width="18" style="8" customWidth="1"/>
    <col min="8972" max="8972" width="12" style="8" customWidth="1"/>
    <col min="8973" max="8973" width="11.28515625" style="8" customWidth="1"/>
    <col min="8974" max="8974" width="22.140625" style="8" customWidth="1"/>
    <col min="8975" max="8975" width="20.5703125" style="8" customWidth="1"/>
    <col min="8976" max="8976" width="20" style="8" customWidth="1"/>
    <col min="8977" max="8977" width="11.85546875" style="8" customWidth="1"/>
    <col min="8978" max="8978" width="11.42578125" style="8" customWidth="1"/>
    <col min="8979" max="8979" width="24.28515625" style="8" customWidth="1"/>
    <col min="8980" max="8980" width="15.28515625" style="8" customWidth="1"/>
    <col min="8981" max="8981" width="23.42578125" style="8" customWidth="1"/>
    <col min="8982" max="8982" width="8.42578125" style="8" customWidth="1"/>
    <col min="8983" max="8983" width="8.140625" style="8" customWidth="1"/>
    <col min="8984" max="8985" width="8.7109375" style="8" customWidth="1"/>
    <col min="8986" max="8989" width="7.28515625" style="8" bestFit="1" customWidth="1"/>
    <col min="8990" max="8990" width="0" style="8" hidden="1" customWidth="1"/>
    <col min="8991" max="8991" width="9.140625" style="8" bestFit="1" customWidth="1"/>
    <col min="8992" max="9224" width="11.42578125" style="8"/>
    <col min="9225" max="9225" width="5.28515625" style="8" customWidth="1"/>
    <col min="9226" max="9226" width="6.85546875" style="8" customWidth="1"/>
    <col min="9227" max="9227" width="18" style="8" customWidth="1"/>
    <col min="9228" max="9228" width="12" style="8" customWidth="1"/>
    <col min="9229" max="9229" width="11.28515625" style="8" customWidth="1"/>
    <col min="9230" max="9230" width="22.140625" style="8" customWidth="1"/>
    <col min="9231" max="9231" width="20.5703125" style="8" customWidth="1"/>
    <col min="9232" max="9232" width="20" style="8" customWidth="1"/>
    <col min="9233" max="9233" width="11.85546875" style="8" customWidth="1"/>
    <col min="9234" max="9234" width="11.42578125" style="8" customWidth="1"/>
    <col min="9235" max="9235" width="24.28515625" style="8" customWidth="1"/>
    <col min="9236" max="9236" width="15.28515625" style="8" customWidth="1"/>
    <col min="9237" max="9237" width="23.42578125" style="8" customWidth="1"/>
    <col min="9238" max="9238" width="8.42578125" style="8" customWidth="1"/>
    <col min="9239" max="9239" width="8.140625" style="8" customWidth="1"/>
    <col min="9240" max="9241" width="8.7109375" style="8" customWidth="1"/>
    <col min="9242" max="9245" width="7.28515625" style="8" bestFit="1" customWidth="1"/>
    <col min="9246" max="9246" width="0" style="8" hidden="1" customWidth="1"/>
    <col min="9247" max="9247" width="9.140625" style="8" bestFit="1" customWidth="1"/>
    <col min="9248" max="9480" width="11.42578125" style="8"/>
    <col min="9481" max="9481" width="5.28515625" style="8" customWidth="1"/>
    <col min="9482" max="9482" width="6.85546875" style="8" customWidth="1"/>
    <col min="9483" max="9483" width="18" style="8" customWidth="1"/>
    <col min="9484" max="9484" width="12" style="8" customWidth="1"/>
    <col min="9485" max="9485" width="11.28515625" style="8" customWidth="1"/>
    <col min="9486" max="9486" width="22.140625" style="8" customWidth="1"/>
    <col min="9487" max="9487" width="20.5703125" style="8" customWidth="1"/>
    <col min="9488" max="9488" width="20" style="8" customWidth="1"/>
    <col min="9489" max="9489" width="11.85546875" style="8" customWidth="1"/>
    <col min="9490" max="9490" width="11.42578125" style="8" customWidth="1"/>
    <col min="9491" max="9491" width="24.28515625" style="8" customWidth="1"/>
    <col min="9492" max="9492" width="15.28515625" style="8" customWidth="1"/>
    <col min="9493" max="9493" width="23.42578125" style="8" customWidth="1"/>
    <col min="9494" max="9494" width="8.42578125" style="8" customWidth="1"/>
    <col min="9495" max="9495" width="8.140625" style="8" customWidth="1"/>
    <col min="9496" max="9497" width="8.7109375" style="8" customWidth="1"/>
    <col min="9498" max="9501" width="7.28515625" style="8" bestFit="1" customWidth="1"/>
    <col min="9502" max="9502" width="0" style="8" hidden="1" customWidth="1"/>
    <col min="9503" max="9503" width="9.140625" style="8" bestFit="1" customWidth="1"/>
    <col min="9504" max="9736" width="11.42578125" style="8"/>
    <col min="9737" max="9737" width="5.28515625" style="8" customWidth="1"/>
    <col min="9738" max="9738" width="6.85546875" style="8" customWidth="1"/>
    <col min="9739" max="9739" width="18" style="8" customWidth="1"/>
    <col min="9740" max="9740" width="12" style="8" customWidth="1"/>
    <col min="9741" max="9741" width="11.28515625" style="8" customWidth="1"/>
    <col min="9742" max="9742" width="22.140625" style="8" customWidth="1"/>
    <col min="9743" max="9743" width="20.5703125" style="8" customWidth="1"/>
    <col min="9744" max="9744" width="20" style="8" customWidth="1"/>
    <col min="9745" max="9745" width="11.85546875" style="8" customWidth="1"/>
    <col min="9746" max="9746" width="11.42578125" style="8" customWidth="1"/>
    <col min="9747" max="9747" width="24.28515625" style="8" customWidth="1"/>
    <col min="9748" max="9748" width="15.28515625" style="8" customWidth="1"/>
    <col min="9749" max="9749" width="23.42578125" style="8" customWidth="1"/>
    <col min="9750" max="9750" width="8.42578125" style="8" customWidth="1"/>
    <col min="9751" max="9751" width="8.140625" style="8" customWidth="1"/>
    <col min="9752" max="9753" width="8.7109375" style="8" customWidth="1"/>
    <col min="9754" max="9757" width="7.28515625" style="8" bestFit="1" customWidth="1"/>
    <col min="9758" max="9758" width="0" style="8" hidden="1" customWidth="1"/>
    <col min="9759" max="9759" width="9.140625" style="8" bestFit="1" customWidth="1"/>
    <col min="9760" max="9992" width="11.42578125" style="8"/>
    <col min="9993" max="9993" width="5.28515625" style="8" customWidth="1"/>
    <col min="9994" max="9994" width="6.85546875" style="8" customWidth="1"/>
    <col min="9995" max="9995" width="18" style="8" customWidth="1"/>
    <col min="9996" max="9996" width="12" style="8" customWidth="1"/>
    <col min="9997" max="9997" width="11.28515625" style="8" customWidth="1"/>
    <col min="9998" max="9998" width="22.140625" style="8" customWidth="1"/>
    <col min="9999" max="9999" width="20.5703125" style="8" customWidth="1"/>
    <col min="10000" max="10000" width="20" style="8" customWidth="1"/>
    <col min="10001" max="10001" width="11.85546875" style="8" customWidth="1"/>
    <col min="10002" max="10002" width="11.42578125" style="8" customWidth="1"/>
    <col min="10003" max="10003" width="24.28515625" style="8" customWidth="1"/>
    <col min="10004" max="10004" width="15.28515625" style="8" customWidth="1"/>
    <col min="10005" max="10005" width="23.42578125" style="8" customWidth="1"/>
    <col min="10006" max="10006" width="8.42578125" style="8" customWidth="1"/>
    <col min="10007" max="10007" width="8.140625" style="8" customWidth="1"/>
    <col min="10008" max="10009" width="8.7109375" style="8" customWidth="1"/>
    <col min="10010" max="10013" width="7.28515625" style="8" bestFit="1" customWidth="1"/>
    <col min="10014" max="10014" width="0" style="8" hidden="1" customWidth="1"/>
    <col min="10015" max="10015" width="9.140625" style="8" bestFit="1" customWidth="1"/>
    <col min="10016" max="10248" width="11.42578125" style="8"/>
    <col min="10249" max="10249" width="5.28515625" style="8" customWidth="1"/>
    <col min="10250" max="10250" width="6.85546875" style="8" customWidth="1"/>
    <col min="10251" max="10251" width="18" style="8" customWidth="1"/>
    <col min="10252" max="10252" width="12" style="8" customWidth="1"/>
    <col min="10253" max="10253" width="11.28515625" style="8" customWidth="1"/>
    <col min="10254" max="10254" width="22.140625" style="8" customWidth="1"/>
    <col min="10255" max="10255" width="20.5703125" style="8" customWidth="1"/>
    <col min="10256" max="10256" width="20" style="8" customWidth="1"/>
    <col min="10257" max="10257" width="11.85546875" style="8" customWidth="1"/>
    <col min="10258" max="10258" width="11.42578125" style="8" customWidth="1"/>
    <col min="10259" max="10259" width="24.28515625" style="8" customWidth="1"/>
    <col min="10260" max="10260" width="15.28515625" style="8" customWidth="1"/>
    <col min="10261" max="10261" width="23.42578125" style="8" customWidth="1"/>
    <col min="10262" max="10262" width="8.42578125" style="8" customWidth="1"/>
    <col min="10263" max="10263" width="8.140625" style="8" customWidth="1"/>
    <col min="10264" max="10265" width="8.7109375" style="8" customWidth="1"/>
    <col min="10266" max="10269" width="7.28515625" style="8" bestFit="1" customWidth="1"/>
    <col min="10270" max="10270" width="0" style="8" hidden="1" customWidth="1"/>
    <col min="10271" max="10271" width="9.140625" style="8" bestFit="1" customWidth="1"/>
    <col min="10272" max="10504" width="11.42578125" style="8"/>
    <col min="10505" max="10505" width="5.28515625" style="8" customWidth="1"/>
    <col min="10506" max="10506" width="6.85546875" style="8" customWidth="1"/>
    <col min="10507" max="10507" width="18" style="8" customWidth="1"/>
    <col min="10508" max="10508" width="12" style="8" customWidth="1"/>
    <col min="10509" max="10509" width="11.28515625" style="8" customWidth="1"/>
    <col min="10510" max="10510" width="22.140625" style="8" customWidth="1"/>
    <col min="10511" max="10511" width="20.5703125" style="8" customWidth="1"/>
    <col min="10512" max="10512" width="20" style="8" customWidth="1"/>
    <col min="10513" max="10513" width="11.85546875" style="8" customWidth="1"/>
    <col min="10514" max="10514" width="11.42578125" style="8" customWidth="1"/>
    <col min="10515" max="10515" width="24.28515625" style="8" customWidth="1"/>
    <col min="10516" max="10516" width="15.28515625" style="8" customWidth="1"/>
    <col min="10517" max="10517" width="23.42578125" style="8" customWidth="1"/>
    <col min="10518" max="10518" width="8.42578125" style="8" customWidth="1"/>
    <col min="10519" max="10519" width="8.140625" style="8" customWidth="1"/>
    <col min="10520" max="10521" width="8.7109375" style="8" customWidth="1"/>
    <col min="10522" max="10525" width="7.28515625" style="8" bestFit="1" customWidth="1"/>
    <col min="10526" max="10526" width="0" style="8" hidden="1" customWidth="1"/>
    <col min="10527" max="10527" width="9.140625" style="8" bestFit="1" customWidth="1"/>
    <col min="10528" max="10760" width="11.42578125" style="8"/>
    <col min="10761" max="10761" width="5.28515625" style="8" customWidth="1"/>
    <col min="10762" max="10762" width="6.85546875" style="8" customWidth="1"/>
    <col min="10763" max="10763" width="18" style="8" customWidth="1"/>
    <col min="10764" max="10764" width="12" style="8" customWidth="1"/>
    <col min="10765" max="10765" width="11.28515625" style="8" customWidth="1"/>
    <col min="10766" max="10766" width="22.140625" style="8" customWidth="1"/>
    <col min="10767" max="10767" width="20.5703125" style="8" customWidth="1"/>
    <col min="10768" max="10768" width="20" style="8" customWidth="1"/>
    <col min="10769" max="10769" width="11.85546875" style="8" customWidth="1"/>
    <col min="10770" max="10770" width="11.42578125" style="8" customWidth="1"/>
    <col min="10771" max="10771" width="24.28515625" style="8" customWidth="1"/>
    <col min="10772" max="10772" width="15.28515625" style="8" customWidth="1"/>
    <col min="10773" max="10773" width="23.42578125" style="8" customWidth="1"/>
    <col min="10774" max="10774" width="8.42578125" style="8" customWidth="1"/>
    <col min="10775" max="10775" width="8.140625" style="8" customWidth="1"/>
    <col min="10776" max="10777" width="8.7109375" style="8" customWidth="1"/>
    <col min="10778" max="10781" width="7.28515625" style="8" bestFit="1" customWidth="1"/>
    <col min="10782" max="10782" width="0" style="8" hidden="1" customWidth="1"/>
    <col min="10783" max="10783" width="9.140625" style="8" bestFit="1" customWidth="1"/>
    <col min="10784" max="11016" width="11.42578125" style="8"/>
    <col min="11017" max="11017" width="5.28515625" style="8" customWidth="1"/>
    <col min="11018" max="11018" width="6.85546875" style="8" customWidth="1"/>
    <col min="11019" max="11019" width="18" style="8" customWidth="1"/>
    <col min="11020" max="11020" width="12" style="8" customWidth="1"/>
    <col min="11021" max="11021" width="11.28515625" style="8" customWidth="1"/>
    <col min="11022" max="11022" width="22.140625" style="8" customWidth="1"/>
    <col min="11023" max="11023" width="20.5703125" style="8" customWidth="1"/>
    <col min="11024" max="11024" width="20" style="8" customWidth="1"/>
    <col min="11025" max="11025" width="11.85546875" style="8" customWidth="1"/>
    <col min="11026" max="11026" width="11.42578125" style="8" customWidth="1"/>
    <col min="11027" max="11027" width="24.28515625" style="8" customWidth="1"/>
    <col min="11028" max="11028" width="15.28515625" style="8" customWidth="1"/>
    <col min="11029" max="11029" width="23.42578125" style="8" customWidth="1"/>
    <col min="11030" max="11030" width="8.42578125" style="8" customWidth="1"/>
    <col min="11031" max="11031" width="8.140625" style="8" customWidth="1"/>
    <col min="11032" max="11033" width="8.7109375" style="8" customWidth="1"/>
    <col min="11034" max="11037" width="7.28515625" style="8" bestFit="1" customWidth="1"/>
    <col min="11038" max="11038" width="0" style="8" hidden="1" customWidth="1"/>
    <col min="11039" max="11039" width="9.140625" style="8" bestFit="1" customWidth="1"/>
    <col min="11040" max="11272" width="11.42578125" style="8"/>
    <col min="11273" max="11273" width="5.28515625" style="8" customWidth="1"/>
    <col min="11274" max="11274" width="6.85546875" style="8" customWidth="1"/>
    <col min="11275" max="11275" width="18" style="8" customWidth="1"/>
    <col min="11276" max="11276" width="12" style="8" customWidth="1"/>
    <col min="11277" max="11277" width="11.28515625" style="8" customWidth="1"/>
    <col min="11278" max="11278" width="22.140625" style="8" customWidth="1"/>
    <col min="11279" max="11279" width="20.5703125" style="8" customWidth="1"/>
    <col min="11280" max="11280" width="20" style="8" customWidth="1"/>
    <col min="11281" max="11281" width="11.85546875" style="8" customWidth="1"/>
    <col min="11282" max="11282" width="11.42578125" style="8" customWidth="1"/>
    <col min="11283" max="11283" width="24.28515625" style="8" customWidth="1"/>
    <col min="11284" max="11284" width="15.28515625" style="8" customWidth="1"/>
    <col min="11285" max="11285" width="23.42578125" style="8" customWidth="1"/>
    <col min="11286" max="11286" width="8.42578125" style="8" customWidth="1"/>
    <col min="11287" max="11287" width="8.140625" style="8" customWidth="1"/>
    <col min="11288" max="11289" width="8.7109375" style="8" customWidth="1"/>
    <col min="11290" max="11293" width="7.28515625" style="8" bestFit="1" customWidth="1"/>
    <col min="11294" max="11294" width="0" style="8" hidden="1" customWidth="1"/>
    <col min="11295" max="11295" width="9.140625" style="8" bestFit="1" customWidth="1"/>
    <col min="11296" max="11528" width="11.42578125" style="8"/>
    <col min="11529" max="11529" width="5.28515625" style="8" customWidth="1"/>
    <col min="11530" max="11530" width="6.85546875" style="8" customWidth="1"/>
    <col min="11531" max="11531" width="18" style="8" customWidth="1"/>
    <col min="11532" max="11532" width="12" style="8" customWidth="1"/>
    <col min="11533" max="11533" width="11.28515625" style="8" customWidth="1"/>
    <col min="11534" max="11534" width="22.140625" style="8" customWidth="1"/>
    <col min="11535" max="11535" width="20.5703125" style="8" customWidth="1"/>
    <col min="11536" max="11536" width="20" style="8" customWidth="1"/>
    <col min="11537" max="11537" width="11.85546875" style="8" customWidth="1"/>
    <col min="11538" max="11538" width="11.42578125" style="8" customWidth="1"/>
    <col min="11539" max="11539" width="24.28515625" style="8" customWidth="1"/>
    <col min="11540" max="11540" width="15.28515625" style="8" customWidth="1"/>
    <col min="11541" max="11541" width="23.42578125" style="8" customWidth="1"/>
    <col min="11542" max="11542" width="8.42578125" style="8" customWidth="1"/>
    <col min="11543" max="11543" width="8.140625" style="8" customWidth="1"/>
    <col min="11544" max="11545" width="8.7109375" style="8" customWidth="1"/>
    <col min="11546" max="11549" width="7.28515625" style="8" bestFit="1" customWidth="1"/>
    <col min="11550" max="11550" width="0" style="8" hidden="1" customWidth="1"/>
    <col min="11551" max="11551" width="9.140625" style="8" bestFit="1" customWidth="1"/>
    <col min="11552" max="11784" width="11.42578125" style="8"/>
    <col min="11785" max="11785" width="5.28515625" style="8" customWidth="1"/>
    <col min="11786" max="11786" width="6.85546875" style="8" customWidth="1"/>
    <col min="11787" max="11787" width="18" style="8" customWidth="1"/>
    <col min="11788" max="11788" width="12" style="8" customWidth="1"/>
    <col min="11789" max="11789" width="11.28515625" style="8" customWidth="1"/>
    <col min="11790" max="11790" width="22.140625" style="8" customWidth="1"/>
    <col min="11791" max="11791" width="20.5703125" style="8" customWidth="1"/>
    <col min="11792" max="11792" width="20" style="8" customWidth="1"/>
    <col min="11793" max="11793" width="11.85546875" style="8" customWidth="1"/>
    <col min="11794" max="11794" width="11.42578125" style="8" customWidth="1"/>
    <col min="11795" max="11795" width="24.28515625" style="8" customWidth="1"/>
    <col min="11796" max="11796" width="15.28515625" style="8" customWidth="1"/>
    <col min="11797" max="11797" width="23.42578125" style="8" customWidth="1"/>
    <col min="11798" max="11798" width="8.42578125" style="8" customWidth="1"/>
    <col min="11799" max="11799" width="8.140625" style="8" customWidth="1"/>
    <col min="11800" max="11801" width="8.7109375" style="8" customWidth="1"/>
    <col min="11802" max="11805" width="7.28515625" style="8" bestFit="1" customWidth="1"/>
    <col min="11806" max="11806" width="0" style="8" hidden="1" customWidth="1"/>
    <col min="11807" max="11807" width="9.140625" style="8" bestFit="1" customWidth="1"/>
    <col min="11808" max="12040" width="11.42578125" style="8"/>
    <col min="12041" max="12041" width="5.28515625" style="8" customWidth="1"/>
    <col min="12042" max="12042" width="6.85546875" style="8" customWidth="1"/>
    <col min="12043" max="12043" width="18" style="8" customWidth="1"/>
    <col min="12044" max="12044" width="12" style="8" customWidth="1"/>
    <col min="12045" max="12045" width="11.28515625" style="8" customWidth="1"/>
    <col min="12046" max="12046" width="22.140625" style="8" customWidth="1"/>
    <col min="12047" max="12047" width="20.5703125" style="8" customWidth="1"/>
    <col min="12048" max="12048" width="20" style="8" customWidth="1"/>
    <col min="12049" max="12049" width="11.85546875" style="8" customWidth="1"/>
    <col min="12050" max="12050" width="11.42578125" style="8" customWidth="1"/>
    <col min="12051" max="12051" width="24.28515625" style="8" customWidth="1"/>
    <col min="12052" max="12052" width="15.28515625" style="8" customWidth="1"/>
    <col min="12053" max="12053" width="23.42578125" style="8" customWidth="1"/>
    <col min="12054" max="12054" width="8.42578125" style="8" customWidth="1"/>
    <col min="12055" max="12055" width="8.140625" style="8" customWidth="1"/>
    <col min="12056" max="12057" width="8.7109375" style="8" customWidth="1"/>
    <col min="12058" max="12061" width="7.28515625" style="8" bestFit="1" customWidth="1"/>
    <col min="12062" max="12062" width="0" style="8" hidden="1" customWidth="1"/>
    <col min="12063" max="12063" width="9.140625" style="8" bestFit="1" customWidth="1"/>
    <col min="12064" max="12296" width="11.42578125" style="8"/>
    <col min="12297" max="12297" width="5.28515625" style="8" customWidth="1"/>
    <col min="12298" max="12298" width="6.85546875" style="8" customWidth="1"/>
    <col min="12299" max="12299" width="18" style="8" customWidth="1"/>
    <col min="12300" max="12300" width="12" style="8" customWidth="1"/>
    <col min="12301" max="12301" width="11.28515625" style="8" customWidth="1"/>
    <col min="12302" max="12302" width="22.140625" style="8" customWidth="1"/>
    <col min="12303" max="12303" width="20.5703125" style="8" customWidth="1"/>
    <col min="12304" max="12304" width="20" style="8" customWidth="1"/>
    <col min="12305" max="12305" width="11.85546875" style="8" customWidth="1"/>
    <col min="12306" max="12306" width="11.42578125" style="8" customWidth="1"/>
    <col min="12307" max="12307" width="24.28515625" style="8" customWidth="1"/>
    <col min="12308" max="12308" width="15.28515625" style="8" customWidth="1"/>
    <col min="12309" max="12309" width="23.42578125" style="8" customWidth="1"/>
    <col min="12310" max="12310" width="8.42578125" style="8" customWidth="1"/>
    <col min="12311" max="12311" width="8.140625" style="8" customWidth="1"/>
    <col min="12312" max="12313" width="8.7109375" style="8" customWidth="1"/>
    <col min="12314" max="12317" width="7.28515625" style="8" bestFit="1" customWidth="1"/>
    <col min="12318" max="12318" width="0" style="8" hidden="1" customWidth="1"/>
    <col min="12319" max="12319" width="9.140625" style="8" bestFit="1" customWidth="1"/>
    <col min="12320" max="12552" width="11.42578125" style="8"/>
    <col min="12553" max="12553" width="5.28515625" style="8" customWidth="1"/>
    <col min="12554" max="12554" width="6.85546875" style="8" customWidth="1"/>
    <col min="12555" max="12555" width="18" style="8" customWidth="1"/>
    <col min="12556" max="12556" width="12" style="8" customWidth="1"/>
    <col min="12557" max="12557" width="11.28515625" style="8" customWidth="1"/>
    <col min="12558" max="12558" width="22.140625" style="8" customWidth="1"/>
    <col min="12559" max="12559" width="20.5703125" style="8" customWidth="1"/>
    <col min="12560" max="12560" width="20" style="8" customWidth="1"/>
    <col min="12561" max="12561" width="11.85546875" style="8" customWidth="1"/>
    <col min="12562" max="12562" width="11.42578125" style="8" customWidth="1"/>
    <col min="12563" max="12563" width="24.28515625" style="8" customWidth="1"/>
    <col min="12564" max="12564" width="15.28515625" style="8" customWidth="1"/>
    <col min="12565" max="12565" width="23.42578125" style="8" customWidth="1"/>
    <col min="12566" max="12566" width="8.42578125" style="8" customWidth="1"/>
    <col min="12567" max="12567" width="8.140625" style="8" customWidth="1"/>
    <col min="12568" max="12569" width="8.7109375" style="8" customWidth="1"/>
    <col min="12570" max="12573" width="7.28515625" style="8" bestFit="1" customWidth="1"/>
    <col min="12574" max="12574" width="0" style="8" hidden="1" customWidth="1"/>
    <col min="12575" max="12575" width="9.140625" style="8" bestFit="1" customWidth="1"/>
    <col min="12576" max="12808" width="11.42578125" style="8"/>
    <col min="12809" max="12809" width="5.28515625" style="8" customWidth="1"/>
    <col min="12810" max="12810" width="6.85546875" style="8" customWidth="1"/>
    <col min="12811" max="12811" width="18" style="8" customWidth="1"/>
    <col min="12812" max="12812" width="12" style="8" customWidth="1"/>
    <col min="12813" max="12813" width="11.28515625" style="8" customWidth="1"/>
    <col min="12814" max="12814" width="22.140625" style="8" customWidth="1"/>
    <col min="12815" max="12815" width="20.5703125" style="8" customWidth="1"/>
    <col min="12816" max="12816" width="20" style="8" customWidth="1"/>
    <col min="12817" max="12817" width="11.85546875" style="8" customWidth="1"/>
    <col min="12818" max="12818" width="11.42578125" style="8" customWidth="1"/>
    <col min="12819" max="12819" width="24.28515625" style="8" customWidth="1"/>
    <col min="12820" max="12820" width="15.28515625" style="8" customWidth="1"/>
    <col min="12821" max="12821" width="23.42578125" style="8" customWidth="1"/>
    <col min="12822" max="12822" width="8.42578125" style="8" customWidth="1"/>
    <col min="12823" max="12823" width="8.140625" style="8" customWidth="1"/>
    <col min="12824" max="12825" width="8.7109375" style="8" customWidth="1"/>
    <col min="12826" max="12829" width="7.28515625" style="8" bestFit="1" customWidth="1"/>
    <col min="12830" max="12830" width="0" style="8" hidden="1" customWidth="1"/>
    <col min="12831" max="12831" width="9.140625" style="8" bestFit="1" customWidth="1"/>
    <col min="12832" max="13064" width="11.42578125" style="8"/>
    <col min="13065" max="13065" width="5.28515625" style="8" customWidth="1"/>
    <col min="13066" max="13066" width="6.85546875" style="8" customWidth="1"/>
    <col min="13067" max="13067" width="18" style="8" customWidth="1"/>
    <col min="13068" max="13068" width="12" style="8" customWidth="1"/>
    <col min="13069" max="13069" width="11.28515625" style="8" customWidth="1"/>
    <col min="13070" max="13070" width="22.140625" style="8" customWidth="1"/>
    <col min="13071" max="13071" width="20.5703125" style="8" customWidth="1"/>
    <col min="13072" max="13072" width="20" style="8" customWidth="1"/>
    <col min="13073" max="13073" width="11.85546875" style="8" customWidth="1"/>
    <col min="13074" max="13074" width="11.42578125" style="8" customWidth="1"/>
    <col min="13075" max="13075" width="24.28515625" style="8" customWidth="1"/>
    <col min="13076" max="13076" width="15.28515625" style="8" customWidth="1"/>
    <col min="13077" max="13077" width="23.42578125" style="8" customWidth="1"/>
    <col min="13078" max="13078" width="8.42578125" style="8" customWidth="1"/>
    <col min="13079" max="13079" width="8.140625" style="8" customWidth="1"/>
    <col min="13080" max="13081" width="8.7109375" style="8" customWidth="1"/>
    <col min="13082" max="13085" width="7.28515625" style="8" bestFit="1" customWidth="1"/>
    <col min="13086" max="13086" width="0" style="8" hidden="1" customWidth="1"/>
    <col min="13087" max="13087" width="9.140625" style="8" bestFit="1" customWidth="1"/>
    <col min="13088" max="13320" width="11.42578125" style="8"/>
    <col min="13321" max="13321" width="5.28515625" style="8" customWidth="1"/>
    <col min="13322" max="13322" width="6.85546875" style="8" customWidth="1"/>
    <col min="13323" max="13323" width="18" style="8" customWidth="1"/>
    <col min="13324" max="13324" width="12" style="8" customWidth="1"/>
    <col min="13325" max="13325" width="11.28515625" style="8" customWidth="1"/>
    <col min="13326" max="13326" width="22.140625" style="8" customWidth="1"/>
    <col min="13327" max="13327" width="20.5703125" style="8" customWidth="1"/>
    <col min="13328" max="13328" width="20" style="8" customWidth="1"/>
    <col min="13329" max="13329" width="11.85546875" style="8" customWidth="1"/>
    <col min="13330" max="13330" width="11.42578125" style="8" customWidth="1"/>
    <col min="13331" max="13331" width="24.28515625" style="8" customWidth="1"/>
    <col min="13332" max="13332" width="15.28515625" style="8" customWidth="1"/>
    <col min="13333" max="13333" width="23.42578125" style="8" customWidth="1"/>
    <col min="13334" max="13334" width="8.42578125" style="8" customWidth="1"/>
    <col min="13335" max="13335" width="8.140625" style="8" customWidth="1"/>
    <col min="13336" max="13337" width="8.7109375" style="8" customWidth="1"/>
    <col min="13338" max="13341" width="7.28515625" style="8" bestFit="1" customWidth="1"/>
    <col min="13342" max="13342" width="0" style="8" hidden="1" customWidth="1"/>
    <col min="13343" max="13343" width="9.140625" style="8" bestFit="1" customWidth="1"/>
    <col min="13344" max="13576" width="11.42578125" style="8"/>
    <col min="13577" max="13577" width="5.28515625" style="8" customWidth="1"/>
    <col min="13578" max="13578" width="6.85546875" style="8" customWidth="1"/>
    <col min="13579" max="13579" width="18" style="8" customWidth="1"/>
    <col min="13580" max="13580" width="12" style="8" customWidth="1"/>
    <col min="13581" max="13581" width="11.28515625" style="8" customWidth="1"/>
    <col min="13582" max="13582" width="22.140625" style="8" customWidth="1"/>
    <col min="13583" max="13583" width="20.5703125" style="8" customWidth="1"/>
    <col min="13584" max="13584" width="20" style="8" customWidth="1"/>
    <col min="13585" max="13585" width="11.85546875" style="8" customWidth="1"/>
    <col min="13586" max="13586" width="11.42578125" style="8" customWidth="1"/>
    <col min="13587" max="13587" width="24.28515625" style="8" customWidth="1"/>
    <col min="13588" max="13588" width="15.28515625" style="8" customWidth="1"/>
    <col min="13589" max="13589" width="23.42578125" style="8" customWidth="1"/>
    <col min="13590" max="13590" width="8.42578125" style="8" customWidth="1"/>
    <col min="13591" max="13591" width="8.140625" style="8" customWidth="1"/>
    <col min="13592" max="13593" width="8.7109375" style="8" customWidth="1"/>
    <col min="13594" max="13597" width="7.28515625" style="8" bestFit="1" customWidth="1"/>
    <col min="13598" max="13598" width="0" style="8" hidden="1" customWidth="1"/>
    <col min="13599" max="13599" width="9.140625" style="8" bestFit="1" customWidth="1"/>
    <col min="13600" max="13832" width="11.42578125" style="8"/>
    <col min="13833" max="13833" width="5.28515625" style="8" customWidth="1"/>
    <col min="13834" max="13834" width="6.85546875" style="8" customWidth="1"/>
    <col min="13835" max="13835" width="18" style="8" customWidth="1"/>
    <col min="13836" max="13836" width="12" style="8" customWidth="1"/>
    <col min="13837" max="13837" width="11.28515625" style="8" customWidth="1"/>
    <col min="13838" max="13838" width="22.140625" style="8" customWidth="1"/>
    <col min="13839" max="13839" width="20.5703125" style="8" customWidth="1"/>
    <col min="13840" max="13840" width="20" style="8" customWidth="1"/>
    <col min="13841" max="13841" width="11.85546875" style="8" customWidth="1"/>
    <col min="13842" max="13842" width="11.42578125" style="8" customWidth="1"/>
    <col min="13843" max="13843" width="24.28515625" style="8" customWidth="1"/>
    <col min="13844" max="13844" width="15.28515625" style="8" customWidth="1"/>
    <col min="13845" max="13845" width="23.42578125" style="8" customWidth="1"/>
    <col min="13846" max="13846" width="8.42578125" style="8" customWidth="1"/>
    <col min="13847" max="13847" width="8.140625" style="8" customWidth="1"/>
    <col min="13848" max="13849" width="8.7109375" style="8" customWidth="1"/>
    <col min="13850" max="13853" width="7.28515625" style="8" bestFit="1" customWidth="1"/>
    <col min="13854" max="13854" width="0" style="8" hidden="1" customWidth="1"/>
    <col min="13855" max="13855" width="9.140625" style="8" bestFit="1" customWidth="1"/>
    <col min="13856" max="14088" width="11.42578125" style="8"/>
    <col min="14089" max="14089" width="5.28515625" style="8" customWidth="1"/>
    <col min="14090" max="14090" width="6.85546875" style="8" customWidth="1"/>
    <col min="14091" max="14091" width="18" style="8" customWidth="1"/>
    <col min="14092" max="14092" width="12" style="8" customWidth="1"/>
    <col min="14093" max="14093" width="11.28515625" style="8" customWidth="1"/>
    <col min="14094" max="14094" width="22.140625" style="8" customWidth="1"/>
    <col min="14095" max="14095" width="20.5703125" style="8" customWidth="1"/>
    <col min="14096" max="14096" width="20" style="8" customWidth="1"/>
    <col min="14097" max="14097" width="11.85546875" style="8" customWidth="1"/>
    <col min="14098" max="14098" width="11.42578125" style="8" customWidth="1"/>
    <col min="14099" max="14099" width="24.28515625" style="8" customWidth="1"/>
    <col min="14100" max="14100" width="15.28515625" style="8" customWidth="1"/>
    <col min="14101" max="14101" width="23.42578125" style="8" customWidth="1"/>
    <col min="14102" max="14102" width="8.42578125" style="8" customWidth="1"/>
    <col min="14103" max="14103" width="8.140625" style="8" customWidth="1"/>
    <col min="14104" max="14105" width="8.7109375" style="8" customWidth="1"/>
    <col min="14106" max="14109" width="7.28515625" style="8" bestFit="1" customWidth="1"/>
    <col min="14110" max="14110" width="0" style="8" hidden="1" customWidth="1"/>
    <col min="14111" max="14111" width="9.140625" style="8" bestFit="1" customWidth="1"/>
    <col min="14112" max="14344" width="11.42578125" style="8"/>
    <col min="14345" max="14345" width="5.28515625" style="8" customWidth="1"/>
    <col min="14346" max="14346" width="6.85546875" style="8" customWidth="1"/>
    <col min="14347" max="14347" width="18" style="8" customWidth="1"/>
    <col min="14348" max="14348" width="12" style="8" customWidth="1"/>
    <col min="14349" max="14349" width="11.28515625" style="8" customWidth="1"/>
    <col min="14350" max="14350" width="22.140625" style="8" customWidth="1"/>
    <col min="14351" max="14351" width="20.5703125" style="8" customWidth="1"/>
    <col min="14352" max="14352" width="20" style="8" customWidth="1"/>
    <col min="14353" max="14353" width="11.85546875" style="8" customWidth="1"/>
    <col min="14354" max="14354" width="11.42578125" style="8" customWidth="1"/>
    <col min="14355" max="14355" width="24.28515625" style="8" customWidth="1"/>
    <col min="14356" max="14356" width="15.28515625" style="8" customWidth="1"/>
    <col min="14357" max="14357" width="23.42578125" style="8" customWidth="1"/>
    <col min="14358" max="14358" width="8.42578125" style="8" customWidth="1"/>
    <col min="14359" max="14359" width="8.140625" style="8" customWidth="1"/>
    <col min="14360" max="14361" width="8.7109375" style="8" customWidth="1"/>
    <col min="14362" max="14365" width="7.28515625" style="8" bestFit="1" customWidth="1"/>
    <col min="14366" max="14366" width="0" style="8" hidden="1" customWidth="1"/>
    <col min="14367" max="14367" width="9.140625" style="8" bestFit="1" customWidth="1"/>
    <col min="14368" max="14600" width="11.42578125" style="8"/>
    <col min="14601" max="14601" width="5.28515625" style="8" customWidth="1"/>
    <col min="14602" max="14602" width="6.85546875" style="8" customWidth="1"/>
    <col min="14603" max="14603" width="18" style="8" customWidth="1"/>
    <col min="14604" max="14604" width="12" style="8" customWidth="1"/>
    <col min="14605" max="14605" width="11.28515625" style="8" customWidth="1"/>
    <col min="14606" max="14606" width="22.140625" style="8" customWidth="1"/>
    <col min="14607" max="14607" width="20.5703125" style="8" customWidth="1"/>
    <col min="14608" max="14608" width="20" style="8" customWidth="1"/>
    <col min="14609" max="14609" width="11.85546875" style="8" customWidth="1"/>
    <col min="14610" max="14610" width="11.42578125" style="8" customWidth="1"/>
    <col min="14611" max="14611" width="24.28515625" style="8" customWidth="1"/>
    <col min="14612" max="14612" width="15.28515625" style="8" customWidth="1"/>
    <col min="14613" max="14613" width="23.42578125" style="8" customWidth="1"/>
    <col min="14614" max="14614" width="8.42578125" style="8" customWidth="1"/>
    <col min="14615" max="14615" width="8.140625" style="8" customWidth="1"/>
    <col min="14616" max="14617" width="8.7109375" style="8" customWidth="1"/>
    <col min="14618" max="14621" width="7.28515625" style="8" bestFit="1" customWidth="1"/>
    <col min="14622" max="14622" width="0" style="8" hidden="1" customWidth="1"/>
    <col min="14623" max="14623" width="9.140625" style="8" bestFit="1" customWidth="1"/>
    <col min="14624" max="14856" width="11.42578125" style="8"/>
    <col min="14857" max="14857" width="5.28515625" style="8" customWidth="1"/>
    <col min="14858" max="14858" width="6.85546875" style="8" customWidth="1"/>
    <col min="14859" max="14859" width="18" style="8" customWidth="1"/>
    <col min="14860" max="14860" width="12" style="8" customWidth="1"/>
    <col min="14861" max="14861" width="11.28515625" style="8" customWidth="1"/>
    <col min="14862" max="14862" width="22.140625" style="8" customWidth="1"/>
    <col min="14863" max="14863" width="20.5703125" style="8" customWidth="1"/>
    <col min="14864" max="14864" width="20" style="8" customWidth="1"/>
    <col min="14865" max="14865" width="11.85546875" style="8" customWidth="1"/>
    <col min="14866" max="14866" width="11.42578125" style="8" customWidth="1"/>
    <col min="14867" max="14867" width="24.28515625" style="8" customWidth="1"/>
    <col min="14868" max="14868" width="15.28515625" style="8" customWidth="1"/>
    <col min="14869" max="14869" width="23.42578125" style="8" customWidth="1"/>
    <col min="14870" max="14870" width="8.42578125" style="8" customWidth="1"/>
    <col min="14871" max="14871" width="8.140625" style="8" customWidth="1"/>
    <col min="14872" max="14873" width="8.7109375" style="8" customWidth="1"/>
    <col min="14874" max="14877" width="7.28515625" style="8" bestFit="1" customWidth="1"/>
    <col min="14878" max="14878" width="0" style="8" hidden="1" customWidth="1"/>
    <col min="14879" max="14879" width="9.140625" style="8" bestFit="1" customWidth="1"/>
    <col min="14880" max="15112" width="11.42578125" style="8"/>
    <col min="15113" max="15113" width="5.28515625" style="8" customWidth="1"/>
    <col min="15114" max="15114" width="6.85546875" style="8" customWidth="1"/>
    <col min="15115" max="15115" width="18" style="8" customWidth="1"/>
    <col min="15116" max="15116" width="12" style="8" customWidth="1"/>
    <col min="15117" max="15117" width="11.28515625" style="8" customWidth="1"/>
    <col min="15118" max="15118" width="22.140625" style="8" customWidth="1"/>
    <col min="15119" max="15119" width="20.5703125" style="8" customWidth="1"/>
    <col min="15120" max="15120" width="20" style="8" customWidth="1"/>
    <col min="15121" max="15121" width="11.85546875" style="8" customWidth="1"/>
    <col min="15122" max="15122" width="11.42578125" style="8" customWidth="1"/>
    <col min="15123" max="15123" width="24.28515625" style="8" customWidth="1"/>
    <col min="15124" max="15124" width="15.28515625" style="8" customWidth="1"/>
    <col min="15125" max="15125" width="23.42578125" style="8" customWidth="1"/>
    <col min="15126" max="15126" width="8.42578125" style="8" customWidth="1"/>
    <col min="15127" max="15127" width="8.140625" style="8" customWidth="1"/>
    <col min="15128" max="15129" width="8.7109375" style="8" customWidth="1"/>
    <col min="15130" max="15133" width="7.28515625" style="8" bestFit="1" customWidth="1"/>
    <col min="15134" max="15134" width="0" style="8" hidden="1" customWidth="1"/>
    <col min="15135" max="15135" width="9.140625" style="8" bestFit="1" customWidth="1"/>
    <col min="15136" max="15368" width="11.42578125" style="8"/>
    <col min="15369" max="15369" width="5.28515625" style="8" customWidth="1"/>
    <col min="15370" max="15370" width="6.85546875" style="8" customWidth="1"/>
    <col min="15371" max="15371" width="18" style="8" customWidth="1"/>
    <col min="15372" max="15372" width="12" style="8" customWidth="1"/>
    <col min="15373" max="15373" width="11.28515625" style="8" customWidth="1"/>
    <col min="15374" max="15374" width="22.140625" style="8" customWidth="1"/>
    <col min="15375" max="15375" width="20.5703125" style="8" customWidth="1"/>
    <col min="15376" max="15376" width="20" style="8" customWidth="1"/>
    <col min="15377" max="15377" width="11.85546875" style="8" customWidth="1"/>
    <col min="15378" max="15378" width="11.42578125" style="8" customWidth="1"/>
    <col min="15379" max="15379" width="24.28515625" style="8" customWidth="1"/>
    <col min="15380" max="15380" width="15.28515625" style="8" customWidth="1"/>
    <col min="15381" max="15381" width="23.42578125" style="8" customWidth="1"/>
    <col min="15382" max="15382" width="8.42578125" style="8" customWidth="1"/>
    <col min="15383" max="15383" width="8.140625" style="8" customWidth="1"/>
    <col min="15384" max="15385" width="8.7109375" style="8" customWidth="1"/>
    <col min="15386" max="15389" width="7.28515625" style="8" bestFit="1" customWidth="1"/>
    <col min="15390" max="15390" width="0" style="8" hidden="1" customWidth="1"/>
    <col min="15391" max="15391" width="9.140625" style="8" bestFit="1" customWidth="1"/>
    <col min="15392" max="15624" width="11.42578125" style="8"/>
    <col min="15625" max="15625" width="5.28515625" style="8" customWidth="1"/>
    <col min="15626" max="15626" width="6.85546875" style="8" customWidth="1"/>
    <col min="15627" max="15627" width="18" style="8" customWidth="1"/>
    <col min="15628" max="15628" width="12" style="8" customWidth="1"/>
    <col min="15629" max="15629" width="11.28515625" style="8" customWidth="1"/>
    <col min="15630" max="15630" width="22.140625" style="8" customWidth="1"/>
    <col min="15631" max="15631" width="20.5703125" style="8" customWidth="1"/>
    <col min="15632" max="15632" width="20" style="8" customWidth="1"/>
    <col min="15633" max="15633" width="11.85546875" style="8" customWidth="1"/>
    <col min="15634" max="15634" width="11.42578125" style="8" customWidth="1"/>
    <col min="15635" max="15635" width="24.28515625" style="8" customWidth="1"/>
    <col min="15636" max="15636" width="15.28515625" style="8" customWidth="1"/>
    <col min="15637" max="15637" width="23.42578125" style="8" customWidth="1"/>
    <col min="15638" max="15638" width="8.42578125" style="8" customWidth="1"/>
    <col min="15639" max="15639" width="8.140625" style="8" customWidth="1"/>
    <col min="15640" max="15641" width="8.7109375" style="8" customWidth="1"/>
    <col min="15642" max="15645" width="7.28515625" style="8" bestFit="1" customWidth="1"/>
    <col min="15646" max="15646" width="0" style="8" hidden="1" customWidth="1"/>
    <col min="15647" max="15647" width="9.140625" style="8" bestFit="1" customWidth="1"/>
    <col min="15648" max="15880" width="11.42578125" style="8"/>
    <col min="15881" max="15881" width="5.28515625" style="8" customWidth="1"/>
    <col min="15882" max="15882" width="6.85546875" style="8" customWidth="1"/>
    <col min="15883" max="15883" width="18" style="8" customWidth="1"/>
    <col min="15884" max="15884" width="12" style="8" customWidth="1"/>
    <col min="15885" max="15885" width="11.28515625" style="8" customWidth="1"/>
    <col min="15886" max="15886" width="22.140625" style="8" customWidth="1"/>
    <col min="15887" max="15887" width="20.5703125" style="8" customWidth="1"/>
    <col min="15888" max="15888" width="20" style="8" customWidth="1"/>
    <col min="15889" max="15889" width="11.85546875" style="8" customWidth="1"/>
    <col min="15890" max="15890" width="11.42578125" style="8" customWidth="1"/>
    <col min="15891" max="15891" width="24.28515625" style="8" customWidth="1"/>
    <col min="15892" max="15892" width="15.28515625" style="8" customWidth="1"/>
    <col min="15893" max="15893" width="23.42578125" style="8" customWidth="1"/>
    <col min="15894" max="15894" width="8.42578125" style="8" customWidth="1"/>
    <col min="15895" max="15895" width="8.140625" style="8" customWidth="1"/>
    <col min="15896" max="15897" width="8.7109375" style="8" customWidth="1"/>
    <col min="15898" max="15901" width="7.28515625" style="8" bestFit="1" customWidth="1"/>
    <col min="15902" max="15902" width="0" style="8" hidden="1" customWidth="1"/>
    <col min="15903" max="15903" width="9.140625" style="8" bestFit="1" customWidth="1"/>
    <col min="15904" max="16136" width="11.42578125" style="8"/>
    <col min="16137" max="16137" width="5.28515625" style="8" customWidth="1"/>
    <col min="16138" max="16138" width="6.85546875" style="8" customWidth="1"/>
    <col min="16139" max="16139" width="18" style="8" customWidth="1"/>
    <col min="16140" max="16140" width="12" style="8" customWidth="1"/>
    <col min="16141" max="16141" width="11.28515625" style="8" customWidth="1"/>
    <col min="16142" max="16142" width="22.140625" style="8" customWidth="1"/>
    <col min="16143" max="16143" width="20.5703125" style="8" customWidth="1"/>
    <col min="16144" max="16144" width="20" style="8" customWidth="1"/>
    <col min="16145" max="16145" width="11.85546875" style="8" customWidth="1"/>
    <col min="16146" max="16146" width="11.42578125" style="8" customWidth="1"/>
    <col min="16147" max="16147" width="24.28515625" style="8" customWidth="1"/>
    <col min="16148" max="16148" width="15.28515625" style="8" customWidth="1"/>
    <col min="16149" max="16149" width="23.42578125" style="8" customWidth="1"/>
    <col min="16150" max="16150" width="8.42578125" style="8" customWidth="1"/>
    <col min="16151" max="16151" width="8.140625" style="8" customWidth="1"/>
    <col min="16152" max="16153" width="8.7109375" style="8" customWidth="1"/>
    <col min="16154" max="16157" width="7.28515625" style="8" bestFit="1" customWidth="1"/>
    <col min="16158" max="16158" width="0" style="8" hidden="1" customWidth="1"/>
    <col min="16159" max="16159" width="9.140625" style="8" bestFit="1" customWidth="1"/>
    <col min="16160" max="16383" width="11.42578125" style="8"/>
    <col min="16384" max="16384" width="11.42578125" style="8" customWidth="1"/>
  </cols>
  <sheetData>
    <row r="1" spans="1:65" ht="42" customHeight="1" x14ac:dyDescent="0.2">
      <c r="A1" s="1352" t="s">
        <v>3471</v>
      </c>
      <c r="B1" s="1354" t="s">
        <v>3472</v>
      </c>
      <c r="C1" s="1193" t="s">
        <v>3473</v>
      </c>
      <c r="D1" s="1356" t="s">
        <v>3283</v>
      </c>
      <c r="E1" s="1358" t="s">
        <v>3347</v>
      </c>
      <c r="F1" s="1193" t="s">
        <v>3474</v>
      </c>
      <c r="G1" s="1193" t="s">
        <v>3475</v>
      </c>
      <c r="H1" s="1193" t="s">
        <v>3476</v>
      </c>
      <c r="I1" s="1193" t="s">
        <v>3139</v>
      </c>
      <c r="J1" s="1193" t="s">
        <v>3477</v>
      </c>
      <c r="K1" s="1193" t="s">
        <v>3478</v>
      </c>
      <c r="L1" s="1193" t="s">
        <v>3479</v>
      </c>
      <c r="M1" s="1389" t="s">
        <v>3480</v>
      </c>
      <c r="N1" s="1389"/>
      <c r="O1" s="1389"/>
      <c r="P1" s="1389"/>
      <c r="Q1" s="1389" t="s">
        <v>3481</v>
      </c>
      <c r="R1" s="1389"/>
      <c r="S1" s="1389"/>
      <c r="T1" s="1389"/>
      <c r="U1" s="1389"/>
      <c r="V1" s="1390"/>
      <c r="W1" s="1343" t="s">
        <v>3637</v>
      </c>
      <c r="X1" s="1371" t="s">
        <v>3658</v>
      </c>
      <c r="Y1" s="1371" t="s">
        <v>447</v>
      </c>
      <c r="Z1" s="1385"/>
      <c r="AA1" s="1348" t="s">
        <v>3425</v>
      </c>
      <c r="AB1" s="1348"/>
      <c r="AC1" s="1348"/>
      <c r="AD1" s="1348"/>
      <c r="AE1" s="1348"/>
      <c r="AF1" s="1348"/>
      <c r="AG1" s="1348"/>
      <c r="AH1" s="1348"/>
      <c r="AI1" s="1348"/>
      <c r="AJ1" s="1348"/>
      <c r="AK1" s="1348"/>
      <c r="AL1" s="1348"/>
      <c r="AN1" s="1343" t="s">
        <v>4021</v>
      </c>
      <c r="AO1" s="1343" t="s">
        <v>4023</v>
      </c>
      <c r="AP1" s="1343"/>
      <c r="AQ1" s="1343" t="s">
        <v>4025</v>
      </c>
      <c r="AR1" s="1343" t="s">
        <v>4026</v>
      </c>
      <c r="AS1" s="1343" t="s">
        <v>4027</v>
      </c>
      <c r="AT1" s="1343" t="s">
        <v>4028</v>
      </c>
      <c r="AU1" s="1343" t="s">
        <v>4029</v>
      </c>
      <c r="AV1" s="1343" t="s">
        <v>4022</v>
      </c>
      <c r="AW1" s="1343"/>
      <c r="AY1" s="1343" t="s">
        <v>4044</v>
      </c>
      <c r="AZ1" s="1348" t="s">
        <v>3425</v>
      </c>
      <c r="BA1" s="1348"/>
      <c r="BB1" s="1348"/>
      <c r="BC1" s="1348"/>
      <c r="BD1" s="1348"/>
      <c r="BE1" s="1348"/>
      <c r="BF1" s="1348"/>
      <c r="BG1" s="1348"/>
      <c r="BH1" s="1348"/>
      <c r="BI1" s="1348"/>
      <c r="BJ1" s="1348"/>
      <c r="BK1" s="1348"/>
      <c r="BL1" s="1348"/>
      <c r="BM1" s="1343" t="s">
        <v>4044</v>
      </c>
    </row>
    <row r="2" spans="1:65" ht="47.25" customHeight="1" x14ac:dyDescent="0.2">
      <c r="A2" s="1353"/>
      <c r="B2" s="1355"/>
      <c r="C2" s="1194"/>
      <c r="D2" s="1357"/>
      <c r="E2" s="1359"/>
      <c r="F2" s="1194"/>
      <c r="G2" s="1195"/>
      <c r="H2" s="1194"/>
      <c r="I2" s="1194"/>
      <c r="J2" s="1194"/>
      <c r="K2" s="1195"/>
      <c r="L2" s="1195"/>
      <c r="M2" s="394">
        <v>2009</v>
      </c>
      <c r="N2" s="394">
        <v>2010</v>
      </c>
      <c r="O2" s="394">
        <v>2011</v>
      </c>
      <c r="P2" s="394">
        <v>2012</v>
      </c>
      <c r="Q2" s="394">
        <v>2009</v>
      </c>
      <c r="R2" s="394">
        <v>2010</v>
      </c>
      <c r="S2" s="394">
        <v>2011</v>
      </c>
      <c r="T2" s="394">
        <v>2012</v>
      </c>
      <c r="U2" s="394">
        <v>2008</v>
      </c>
      <c r="V2" s="436" t="s">
        <v>695</v>
      </c>
      <c r="W2" s="1343"/>
      <c r="X2" s="1371"/>
      <c r="Y2" s="1371"/>
      <c r="Z2" s="1385"/>
      <c r="AA2" s="482" t="s">
        <v>3310</v>
      </c>
      <c r="AB2" s="482" t="s">
        <v>3731</v>
      </c>
      <c r="AC2" s="482" t="s">
        <v>3732</v>
      </c>
      <c r="AD2" s="482" t="s">
        <v>3313</v>
      </c>
      <c r="AE2" s="482" t="s">
        <v>3314</v>
      </c>
      <c r="AF2" s="482" t="s">
        <v>3315</v>
      </c>
      <c r="AG2" s="482" t="s">
        <v>3316</v>
      </c>
      <c r="AH2" s="482" t="s">
        <v>3317</v>
      </c>
      <c r="AI2" s="482" t="s">
        <v>3756</v>
      </c>
      <c r="AJ2" s="482" t="s">
        <v>3733</v>
      </c>
      <c r="AK2" s="482" t="s">
        <v>3319</v>
      </c>
      <c r="AL2" s="482" t="s">
        <v>695</v>
      </c>
      <c r="AN2" s="1343"/>
      <c r="AO2" s="584" t="s">
        <v>4032</v>
      </c>
      <c r="AP2" s="579" t="s">
        <v>4024</v>
      </c>
      <c r="AQ2" s="1343"/>
      <c r="AR2" s="1343"/>
      <c r="AS2" s="1343"/>
      <c r="AT2" s="1343"/>
      <c r="AU2" s="1343"/>
      <c r="AV2" s="565" t="s">
        <v>3422</v>
      </c>
      <c r="AW2" s="443" t="s">
        <v>433</v>
      </c>
      <c r="AY2" s="1343"/>
      <c r="AZ2" s="482" t="s">
        <v>3310</v>
      </c>
      <c r="BA2" s="482" t="s">
        <v>3731</v>
      </c>
      <c r="BB2" s="482" t="s">
        <v>3732</v>
      </c>
      <c r="BC2" s="482" t="s">
        <v>3313</v>
      </c>
      <c r="BD2" s="482" t="s">
        <v>3314</v>
      </c>
      <c r="BE2" s="482" t="s">
        <v>3315</v>
      </c>
      <c r="BF2" s="482" t="s">
        <v>3316</v>
      </c>
      <c r="BG2" s="482" t="s">
        <v>3317</v>
      </c>
      <c r="BH2" s="482" t="s">
        <v>3346</v>
      </c>
      <c r="BI2" s="482" t="s">
        <v>3756</v>
      </c>
      <c r="BJ2" s="482" t="s">
        <v>3733</v>
      </c>
      <c r="BK2" s="482" t="s">
        <v>3319</v>
      </c>
      <c r="BL2" s="482" t="s">
        <v>695</v>
      </c>
      <c r="BM2" s="1343"/>
    </row>
    <row r="3" spans="1:65" ht="95.25" customHeight="1" x14ac:dyDescent="0.2">
      <c r="A3" s="1185">
        <v>1</v>
      </c>
      <c r="B3" s="1363" t="s">
        <v>3080</v>
      </c>
      <c r="C3" s="1189" t="s">
        <v>3482</v>
      </c>
      <c r="D3" s="1363" t="s">
        <v>3704</v>
      </c>
      <c r="E3" s="1362" t="s">
        <v>3483</v>
      </c>
      <c r="F3" s="1188" t="s">
        <v>3484</v>
      </c>
      <c r="G3" s="1188" t="s">
        <v>3485</v>
      </c>
      <c r="H3" s="1188" t="s">
        <v>3486</v>
      </c>
      <c r="I3" s="401" t="s">
        <v>3699</v>
      </c>
      <c r="J3" s="451" t="s">
        <v>3487</v>
      </c>
      <c r="K3" s="403">
        <v>0</v>
      </c>
      <c r="L3" s="451" t="s">
        <v>3488</v>
      </c>
      <c r="M3" s="413">
        <v>0.5</v>
      </c>
      <c r="N3" s="413">
        <v>0.1</v>
      </c>
      <c r="O3" s="413">
        <v>0.4</v>
      </c>
      <c r="P3" s="413">
        <v>0</v>
      </c>
      <c r="Q3" s="414">
        <v>200</v>
      </c>
      <c r="R3" s="414">
        <v>5</v>
      </c>
      <c r="S3" s="414">
        <v>5</v>
      </c>
      <c r="T3" s="414">
        <v>0</v>
      </c>
      <c r="U3" s="679">
        <f>SUM(Q3:Q37)</f>
        <v>4243</v>
      </c>
      <c r="V3" s="437">
        <f>Q3+R3+S3+T3</f>
        <v>210</v>
      </c>
      <c r="W3" s="549">
        <v>111</v>
      </c>
      <c r="X3" s="566">
        <v>5000000</v>
      </c>
      <c r="Y3" s="549">
        <v>510</v>
      </c>
      <c r="AA3" s="449"/>
      <c r="AB3" s="449"/>
      <c r="AC3" s="449"/>
      <c r="AD3" s="449"/>
      <c r="AE3" s="449"/>
      <c r="AF3" s="449"/>
      <c r="AG3" s="449"/>
      <c r="AH3" s="449">
        <f>+X3</f>
        <v>5000000</v>
      </c>
      <c r="AI3" s="449"/>
      <c r="AJ3" s="449"/>
      <c r="AK3" s="449"/>
      <c r="AL3" s="449">
        <f>SUM(AA3:AJ3)</f>
        <v>5000000</v>
      </c>
      <c r="AN3" s="444">
        <f>+S3*1000000-X3</f>
        <v>0</v>
      </c>
      <c r="AO3" s="444">
        <f>+'[3]PLANINVERSIONES DIC'!$BG$4</f>
        <v>5000000</v>
      </c>
      <c r="AP3" s="444"/>
      <c r="AQ3" s="444"/>
      <c r="AR3" s="444">
        <f>+AP3+AQ3</f>
        <v>0</v>
      </c>
      <c r="AS3" s="444"/>
      <c r="AT3" s="444">
        <f>+X3+AR3+AS3</f>
        <v>5000000</v>
      </c>
      <c r="AU3" s="444">
        <f>+AT3-S3*1000000</f>
        <v>0</v>
      </c>
      <c r="AV3" s="442"/>
      <c r="AW3" s="444"/>
      <c r="AY3" s="444"/>
      <c r="AZ3" s="449"/>
      <c r="BA3" s="449"/>
      <c r="BB3" s="449"/>
      <c r="BC3" s="449"/>
      <c r="BD3" s="449"/>
      <c r="BE3" s="449"/>
      <c r="BF3" s="449"/>
      <c r="BG3" s="449"/>
      <c r="BH3" s="449"/>
      <c r="BI3" s="449"/>
      <c r="BJ3" s="449"/>
      <c r="BK3" s="449"/>
      <c r="BL3" s="449">
        <f>SUM(AZ3:BJ3)</f>
        <v>0</v>
      </c>
      <c r="BM3" s="444"/>
    </row>
    <row r="4" spans="1:65" ht="108" customHeight="1" x14ac:dyDescent="0.2">
      <c r="A4" s="1186"/>
      <c r="B4" s="1364"/>
      <c r="C4" s="1191"/>
      <c r="D4" s="1364"/>
      <c r="E4" s="1360"/>
      <c r="F4" s="1188"/>
      <c r="G4" s="1188"/>
      <c r="H4" s="1188"/>
      <c r="I4" s="401" t="s">
        <v>3265</v>
      </c>
      <c r="J4" s="451" t="s">
        <v>3489</v>
      </c>
      <c r="K4" s="403">
        <v>0</v>
      </c>
      <c r="L4" s="451" t="s">
        <v>3279</v>
      </c>
      <c r="M4" s="409">
        <v>1</v>
      </c>
      <c r="N4" s="413">
        <v>0</v>
      </c>
      <c r="O4" s="413">
        <v>0</v>
      </c>
      <c r="P4" s="413">
        <v>0</v>
      </c>
      <c r="Q4" s="414">
        <v>50</v>
      </c>
      <c r="R4" s="414">
        <v>0</v>
      </c>
      <c r="S4" s="414">
        <v>0</v>
      </c>
      <c r="T4" s="414">
        <v>0</v>
      </c>
      <c r="U4" s="415"/>
      <c r="V4" s="437">
        <f>Q4+R4+S4+T4</f>
        <v>50</v>
      </c>
      <c r="W4" s="550">
        <v>112</v>
      </c>
      <c r="X4" s="566"/>
      <c r="Y4" s="549">
        <v>510</v>
      </c>
      <c r="AA4" s="449"/>
      <c r="AB4" s="449"/>
      <c r="AC4" s="449"/>
      <c r="AD4" s="449"/>
      <c r="AE4" s="449"/>
      <c r="AF4" s="449"/>
      <c r="AG4" s="449"/>
      <c r="AH4" s="449"/>
      <c r="AI4" s="449"/>
      <c r="AJ4" s="449"/>
      <c r="AK4" s="449"/>
      <c r="AL4" s="449">
        <f>SUM(AA4:AJ4)</f>
        <v>0</v>
      </c>
      <c r="AN4" s="444">
        <f>+S4*1000000-X4</f>
        <v>0</v>
      </c>
      <c r="AO4" s="444"/>
      <c r="AP4" s="444"/>
      <c r="AQ4" s="444"/>
      <c r="AR4" s="444">
        <f>+AP4+AQ4</f>
        <v>0</v>
      </c>
      <c r="AS4" s="444"/>
      <c r="AT4" s="444">
        <f>+X4+AR4+AS4</f>
        <v>0</v>
      </c>
      <c r="AU4" s="444">
        <f>+AT4-S4*1000000</f>
        <v>0</v>
      </c>
      <c r="AV4" s="442"/>
      <c r="AW4" s="444"/>
      <c r="AY4" s="444"/>
      <c r="AZ4" s="449"/>
      <c r="BA4" s="449"/>
      <c r="BB4" s="449"/>
      <c r="BC4" s="449"/>
      <c r="BD4" s="449"/>
      <c r="BE4" s="449"/>
      <c r="BF4" s="449"/>
      <c r="BG4" s="449"/>
      <c r="BH4" s="449"/>
      <c r="BI4" s="449"/>
      <c r="BJ4" s="449"/>
      <c r="BK4" s="449"/>
      <c r="BL4" s="449">
        <f>SUM(AZ4:BJ4)</f>
        <v>0</v>
      </c>
      <c r="BM4" s="444"/>
    </row>
    <row r="5" spans="1:65" ht="94.5" customHeight="1" x14ac:dyDescent="0.2">
      <c r="A5" s="1186"/>
      <c r="B5" s="1364"/>
      <c r="C5" s="1191"/>
      <c r="D5" s="1364"/>
      <c r="E5" s="1360"/>
      <c r="F5" s="1188"/>
      <c r="G5" s="1188"/>
      <c r="H5" s="1188"/>
      <c r="I5" s="472" t="s">
        <v>3092</v>
      </c>
      <c r="J5" s="451" t="s">
        <v>3490</v>
      </c>
      <c r="K5" s="403">
        <v>0</v>
      </c>
      <c r="L5" s="451" t="s">
        <v>3276</v>
      </c>
      <c r="M5" s="409">
        <v>0.3</v>
      </c>
      <c r="N5" s="413">
        <v>0.2</v>
      </c>
      <c r="O5" s="413">
        <v>0.2</v>
      </c>
      <c r="P5" s="413">
        <v>0.3</v>
      </c>
      <c r="Q5" s="414">
        <v>75</v>
      </c>
      <c r="R5" s="414">
        <v>200</v>
      </c>
      <c r="S5" s="414">
        <v>240</v>
      </c>
      <c r="T5" s="414">
        <v>280</v>
      </c>
      <c r="U5" s="415"/>
      <c r="V5" s="437">
        <f>Q5+R5+S5+T5</f>
        <v>795</v>
      </c>
      <c r="W5" s="550">
        <v>113</v>
      </c>
      <c r="X5" s="566">
        <v>240000000</v>
      </c>
      <c r="Y5" s="549">
        <v>510</v>
      </c>
      <c r="AA5" s="449">
        <v>120000000</v>
      </c>
      <c r="AB5" s="449"/>
      <c r="AC5" s="449"/>
      <c r="AD5" s="449"/>
      <c r="AE5" s="449"/>
      <c r="AF5" s="449"/>
      <c r="AG5" s="449"/>
      <c r="AH5" s="449">
        <f>+X5-AA5</f>
        <v>120000000</v>
      </c>
      <c r="AI5" s="449"/>
      <c r="AJ5" s="449"/>
      <c r="AK5" s="449"/>
      <c r="AL5" s="449">
        <f>SUM(AA5:AJ5)</f>
        <v>240000000</v>
      </c>
      <c r="AN5" s="444">
        <f>+S5*1000000-X5</f>
        <v>0</v>
      </c>
      <c r="AO5" s="444">
        <f>SUM('[3]PLANINVERSIONES DIC'!$BG$6:$BG$8)</f>
        <v>78053447</v>
      </c>
      <c r="AP5" s="444"/>
      <c r="AQ5" s="444"/>
      <c r="AR5" s="444">
        <f>+AP5+AQ5</f>
        <v>0</v>
      </c>
      <c r="AS5" s="444"/>
      <c r="AT5" s="444">
        <f>+X5+AR5+AS5</f>
        <v>240000000</v>
      </c>
      <c r="AU5" s="444">
        <f>+AT5-S5*1000000</f>
        <v>0</v>
      </c>
      <c r="AV5" s="442"/>
      <c r="AW5" s="444"/>
      <c r="AY5" s="444"/>
      <c r="AZ5" s="449"/>
      <c r="BA5" s="449"/>
      <c r="BB5" s="449"/>
      <c r="BC5" s="449"/>
      <c r="BD5" s="449"/>
      <c r="BE5" s="449"/>
      <c r="BF5" s="449"/>
      <c r="BG5" s="449"/>
      <c r="BH5" s="449"/>
      <c r="BI5" s="449"/>
      <c r="BJ5" s="449"/>
      <c r="BK5" s="449"/>
      <c r="BL5" s="449">
        <f>SUM(AZ5:BJ5)</f>
        <v>0</v>
      </c>
      <c r="BM5" s="444"/>
    </row>
    <row r="6" spans="1:65" ht="23.25" customHeight="1" x14ac:dyDescent="0.25">
      <c r="A6" s="1186"/>
      <c r="B6" s="1364"/>
      <c r="C6" s="1191"/>
      <c r="D6" s="1364"/>
      <c r="E6" s="1360"/>
      <c r="F6" s="1188"/>
      <c r="G6" s="1188"/>
      <c r="H6" s="1188"/>
      <c r="I6" s="472"/>
      <c r="J6" s="468"/>
      <c r="K6" s="469"/>
      <c r="L6" s="470"/>
      <c r="M6" s="1345" t="s">
        <v>695</v>
      </c>
      <c r="N6" s="1346"/>
      <c r="O6" s="1346"/>
      <c r="P6" s="1347"/>
      <c r="Q6" s="395">
        <f t="shared" ref="Q6:V6" si="0">SUM(Q3:Q5)</f>
        <v>325</v>
      </c>
      <c r="R6" s="395">
        <f t="shared" si="0"/>
        <v>205</v>
      </c>
      <c r="S6" s="395">
        <f t="shared" si="0"/>
        <v>245</v>
      </c>
      <c r="T6" s="395">
        <f t="shared" si="0"/>
        <v>280</v>
      </c>
      <c r="U6" s="395">
        <f t="shared" si="0"/>
        <v>4243</v>
      </c>
      <c r="V6" s="437">
        <f t="shared" si="0"/>
        <v>1055</v>
      </c>
      <c r="W6" s="550"/>
      <c r="X6" s="481">
        <f>SUM(X3:X5)</f>
        <v>245000000</v>
      </c>
      <c r="Y6" s="549"/>
      <c r="AA6" s="481">
        <f>SUM(AA3:AA5)</f>
        <v>120000000</v>
      </c>
      <c r="AB6" s="481">
        <f t="shared" ref="AB6:AL6" si="1">SUM(AB3:AB5)</f>
        <v>0</v>
      </c>
      <c r="AC6" s="481">
        <f t="shared" si="1"/>
        <v>0</v>
      </c>
      <c r="AD6" s="481">
        <f t="shared" si="1"/>
        <v>0</v>
      </c>
      <c r="AE6" s="481">
        <f t="shared" si="1"/>
        <v>0</v>
      </c>
      <c r="AF6" s="481">
        <f t="shared" si="1"/>
        <v>0</v>
      </c>
      <c r="AG6" s="481">
        <f t="shared" si="1"/>
        <v>0</v>
      </c>
      <c r="AH6" s="481">
        <f t="shared" si="1"/>
        <v>125000000</v>
      </c>
      <c r="AI6" s="481"/>
      <c r="AJ6" s="481">
        <f t="shared" si="1"/>
        <v>0</v>
      </c>
      <c r="AK6" s="481"/>
      <c r="AL6" s="481">
        <f t="shared" si="1"/>
        <v>245000000</v>
      </c>
      <c r="AN6" s="481">
        <f t="shared" ref="AN6:AU6" si="2">SUM(AN3:AN5)</f>
        <v>0</v>
      </c>
      <c r="AO6" s="481">
        <f t="shared" si="2"/>
        <v>83053447</v>
      </c>
      <c r="AP6" s="481">
        <f t="shared" si="2"/>
        <v>0</v>
      </c>
      <c r="AQ6" s="481">
        <f t="shared" si="2"/>
        <v>0</v>
      </c>
      <c r="AR6" s="481">
        <f t="shared" si="2"/>
        <v>0</v>
      </c>
      <c r="AS6" s="481">
        <f t="shared" si="2"/>
        <v>0</v>
      </c>
      <c r="AT6" s="481">
        <f t="shared" si="2"/>
        <v>245000000</v>
      </c>
      <c r="AU6" s="481">
        <f t="shared" si="2"/>
        <v>0</v>
      </c>
      <c r="AV6" s="442"/>
      <c r="AW6" s="481">
        <f>SUM(AW3:AW5)</f>
        <v>0</v>
      </c>
      <c r="AY6" s="481">
        <f>SUM(AY3:AY5)</f>
        <v>0</v>
      </c>
      <c r="AZ6" s="481">
        <f>SUM(AZ3:AZ5)</f>
        <v>0</v>
      </c>
      <c r="BA6" s="481">
        <f t="shared" ref="BA6:BK6" si="3">SUM(BA3:BA5)</f>
        <v>0</v>
      </c>
      <c r="BB6" s="481">
        <f t="shared" si="3"/>
        <v>0</v>
      </c>
      <c r="BC6" s="481">
        <f t="shared" si="3"/>
        <v>0</v>
      </c>
      <c r="BD6" s="481">
        <f t="shared" si="3"/>
        <v>0</v>
      </c>
      <c r="BE6" s="481">
        <f t="shared" si="3"/>
        <v>0</v>
      </c>
      <c r="BF6" s="481">
        <f t="shared" si="3"/>
        <v>0</v>
      </c>
      <c r="BG6" s="481">
        <f t="shared" si="3"/>
        <v>0</v>
      </c>
      <c r="BH6" s="481">
        <f t="shared" si="3"/>
        <v>0</v>
      </c>
      <c r="BI6" s="481">
        <f t="shared" si="3"/>
        <v>0</v>
      </c>
      <c r="BJ6" s="481">
        <f t="shared" si="3"/>
        <v>0</v>
      </c>
      <c r="BK6" s="481">
        <f t="shared" si="3"/>
        <v>0</v>
      </c>
      <c r="BL6" s="481">
        <f>SUM(BL3:BL5)</f>
        <v>0</v>
      </c>
      <c r="BM6" s="481">
        <f>SUM(BM3:BM5)</f>
        <v>0</v>
      </c>
    </row>
    <row r="7" spans="1:65" ht="15" customHeight="1" x14ac:dyDescent="0.25">
      <c r="A7" s="396"/>
      <c r="B7" s="398"/>
      <c r="C7" s="456"/>
      <c r="D7" s="398"/>
      <c r="E7" s="396"/>
      <c r="F7" s="396"/>
      <c r="G7" s="396"/>
      <c r="H7" s="396"/>
      <c r="I7" s="396"/>
      <c r="J7" s="396"/>
      <c r="K7" s="396"/>
      <c r="L7" s="396"/>
      <c r="M7" s="416"/>
      <c r="N7" s="416"/>
      <c r="O7" s="416"/>
      <c r="P7" s="416"/>
      <c r="Q7" s="417"/>
      <c r="R7" s="417"/>
      <c r="S7" s="417"/>
      <c r="T7" s="417"/>
      <c r="U7" s="416"/>
      <c r="V7" s="399"/>
      <c r="W7" s="551"/>
      <c r="X7" s="567"/>
      <c r="Y7" s="568"/>
      <c r="Z7" s="487"/>
      <c r="AA7" s="488"/>
      <c r="AB7" s="488"/>
      <c r="AC7" s="488"/>
      <c r="AD7" s="488"/>
      <c r="AE7" s="488"/>
      <c r="AF7" s="488"/>
      <c r="AG7" s="488"/>
      <c r="AH7" s="488"/>
      <c r="AI7" s="488"/>
      <c r="AJ7" s="488"/>
      <c r="AK7" s="488"/>
      <c r="AL7" s="488"/>
      <c r="AN7" s="478"/>
      <c r="AO7" s="478"/>
      <c r="AP7" s="478"/>
      <c r="AQ7" s="478"/>
      <c r="AR7" s="478"/>
      <c r="AS7" s="478"/>
      <c r="AT7" s="478"/>
      <c r="AU7" s="478"/>
      <c r="AW7" s="478"/>
      <c r="AY7" s="478"/>
      <c r="AZ7" s="488"/>
      <c r="BA7" s="488"/>
      <c r="BB7" s="488"/>
      <c r="BC7" s="488"/>
      <c r="BD7" s="488"/>
      <c r="BE7" s="488"/>
      <c r="BF7" s="488"/>
      <c r="BG7" s="488"/>
      <c r="BH7" s="488"/>
      <c r="BI7" s="488"/>
      <c r="BJ7" s="488"/>
      <c r="BK7" s="488"/>
      <c r="BL7" s="488"/>
      <c r="BM7" s="478"/>
    </row>
    <row r="8" spans="1:65" ht="83.45" customHeight="1" x14ac:dyDescent="0.2">
      <c r="A8" s="1186">
        <v>2</v>
      </c>
      <c r="B8" s="1364" t="s">
        <v>648</v>
      </c>
      <c r="C8" s="1186" t="s">
        <v>3656</v>
      </c>
      <c r="D8" s="1363" t="s">
        <v>3736</v>
      </c>
      <c r="E8" s="1360" t="s">
        <v>3483</v>
      </c>
      <c r="F8" s="1186" t="s">
        <v>3737</v>
      </c>
      <c r="G8" s="1186" t="s">
        <v>3738</v>
      </c>
      <c r="H8" s="1186" t="s">
        <v>3657</v>
      </c>
      <c r="I8" s="472" t="s">
        <v>3700</v>
      </c>
      <c r="J8" s="451" t="s">
        <v>3432</v>
      </c>
      <c r="K8" s="451">
        <v>0</v>
      </c>
      <c r="L8" s="451" t="s">
        <v>3638</v>
      </c>
      <c r="M8" s="418">
        <v>2</v>
      </c>
      <c r="N8" s="418">
        <v>7</v>
      </c>
      <c r="O8" s="418">
        <v>7</v>
      </c>
      <c r="P8" s="418">
        <v>7</v>
      </c>
      <c r="Q8" s="420">
        <v>10</v>
      </c>
      <c r="R8" s="420">
        <v>85</v>
      </c>
      <c r="S8" s="420">
        <v>85</v>
      </c>
      <c r="T8" s="420">
        <v>35</v>
      </c>
      <c r="U8" s="419"/>
      <c r="V8" s="437">
        <f>Q8+R8+S8+T8</f>
        <v>215</v>
      </c>
      <c r="W8" s="550">
        <v>211</v>
      </c>
      <c r="X8" s="566">
        <f>25000000+25000000</f>
        <v>50000000</v>
      </c>
      <c r="Y8" s="549">
        <v>520</v>
      </c>
      <c r="AA8" s="449">
        <v>25000000</v>
      </c>
      <c r="AB8" s="449"/>
      <c r="AC8" s="449"/>
      <c r="AD8" s="449"/>
      <c r="AE8" s="449"/>
      <c r="AF8" s="449"/>
      <c r="AG8" s="449"/>
      <c r="AH8" s="449">
        <f>+X8-AA8</f>
        <v>25000000</v>
      </c>
      <c r="AI8" s="449"/>
      <c r="AJ8" s="449"/>
      <c r="AK8" s="449"/>
      <c r="AL8" s="449">
        <f>SUM(AA8:AJ8)</f>
        <v>50000000</v>
      </c>
      <c r="AN8" s="444">
        <f>+S8*1000000-X8</f>
        <v>35000000</v>
      </c>
      <c r="AO8" s="444">
        <f>SUM('[3]PLANINVERSIONES DIC'!$BG$12:$BG$16)</f>
        <v>5714352</v>
      </c>
      <c r="AP8" s="587">
        <v>15000000</v>
      </c>
      <c r="AQ8" s="444"/>
      <c r="AR8" s="444">
        <f>+AP8+AQ8</f>
        <v>15000000</v>
      </c>
      <c r="AS8" s="444"/>
      <c r="AT8" s="444">
        <f>+X8+AR8+AS8</f>
        <v>65000000</v>
      </c>
      <c r="AU8" s="444">
        <f>+AT8-S8*1000000</f>
        <v>-20000000</v>
      </c>
      <c r="AV8" s="442"/>
      <c r="AW8" s="444"/>
      <c r="AY8" s="444"/>
      <c r="AZ8" s="449"/>
      <c r="BA8" s="449"/>
      <c r="BB8" s="449"/>
      <c r="BC8" s="449"/>
      <c r="BD8" s="449"/>
      <c r="BE8" s="449"/>
      <c r="BF8" s="449"/>
      <c r="BG8" s="449"/>
      <c r="BH8" s="449">
        <f>+AR8</f>
        <v>15000000</v>
      </c>
      <c r="BI8" s="449"/>
      <c r="BJ8" s="449"/>
      <c r="BK8" s="449"/>
      <c r="BL8" s="449">
        <f>SUM(AZ8:BJ8)</f>
        <v>15000000</v>
      </c>
      <c r="BM8" s="444"/>
    </row>
    <row r="9" spans="1:65" ht="102.75" customHeight="1" x14ac:dyDescent="0.2">
      <c r="A9" s="1186"/>
      <c r="B9" s="1364"/>
      <c r="C9" s="1186"/>
      <c r="D9" s="1364"/>
      <c r="E9" s="1360"/>
      <c r="F9" s="1186"/>
      <c r="G9" s="1186"/>
      <c r="H9" s="1186"/>
      <c r="I9" s="1185" t="s">
        <v>3701</v>
      </c>
      <c r="J9" s="455" t="s">
        <v>3682</v>
      </c>
      <c r="K9" s="451">
        <v>111</v>
      </c>
      <c r="L9" s="451" t="s">
        <v>3287</v>
      </c>
      <c r="M9" s="418">
        <v>111</v>
      </c>
      <c r="N9" s="418">
        <v>50</v>
      </c>
      <c r="O9" s="418">
        <v>50</v>
      </c>
      <c r="P9" s="418">
        <v>50</v>
      </c>
      <c r="Q9" s="420">
        <v>100</v>
      </c>
      <c r="R9" s="420">
        <v>50</v>
      </c>
      <c r="S9" s="420">
        <v>100</v>
      </c>
      <c r="T9" s="414">
        <v>100</v>
      </c>
      <c r="U9" s="419"/>
      <c r="V9" s="437">
        <f>Q9+R9+S9+T9</f>
        <v>350</v>
      </c>
      <c r="W9" s="550" t="s">
        <v>3612</v>
      </c>
      <c r="X9" s="569">
        <v>100000000</v>
      </c>
      <c r="Y9" s="549">
        <v>520</v>
      </c>
      <c r="AA9" s="449">
        <v>50000000</v>
      </c>
      <c r="AB9" s="449"/>
      <c r="AC9" s="449"/>
      <c r="AD9" s="449"/>
      <c r="AE9" s="449"/>
      <c r="AF9" s="449"/>
      <c r="AG9" s="449">
        <v>50000000</v>
      </c>
      <c r="AH9" s="545"/>
      <c r="AI9" s="545"/>
      <c r="AJ9" s="449"/>
      <c r="AK9" s="449"/>
      <c r="AL9" s="449">
        <f>SUM(AA9:AJ9)</f>
        <v>100000000</v>
      </c>
      <c r="AN9" s="444">
        <f>+S9*1000000-X9</f>
        <v>0</v>
      </c>
      <c r="AO9" s="444">
        <f>+'[3]PLANINVERSIONES DIC'!$BG$17</f>
        <v>19026000</v>
      </c>
      <c r="AP9" s="444"/>
      <c r="AQ9" s="444"/>
      <c r="AR9" s="444">
        <f>+AP9+AQ9</f>
        <v>0</v>
      </c>
      <c r="AS9" s="444"/>
      <c r="AT9" s="444">
        <f>+X9+AR9+AS9</f>
        <v>100000000</v>
      </c>
      <c r="AU9" s="444">
        <f>+AT9-S9*1000000</f>
        <v>0</v>
      </c>
      <c r="AV9" s="442"/>
      <c r="AW9" s="444"/>
      <c r="AY9" s="444"/>
      <c r="AZ9" s="449"/>
      <c r="BA9" s="449"/>
      <c r="BB9" s="449"/>
      <c r="BC9" s="449"/>
      <c r="BD9" s="449"/>
      <c r="BE9" s="449"/>
      <c r="BF9" s="449"/>
      <c r="BG9" s="545"/>
      <c r="BH9" s="545"/>
      <c r="BI9" s="545"/>
      <c r="BJ9" s="449"/>
      <c r="BK9" s="449"/>
      <c r="BL9" s="449">
        <f>SUM(AZ9:BJ9)</f>
        <v>0</v>
      </c>
      <c r="BM9" s="444"/>
    </row>
    <row r="10" spans="1:65" ht="63" customHeight="1" x14ac:dyDescent="0.2">
      <c r="A10" s="1186"/>
      <c r="B10" s="1364"/>
      <c r="C10" s="1186"/>
      <c r="D10" s="1364"/>
      <c r="E10" s="1360"/>
      <c r="F10" s="1186"/>
      <c r="G10" s="1186"/>
      <c r="H10" s="1186"/>
      <c r="I10" s="1186"/>
      <c r="J10" s="455" t="s">
        <v>3681</v>
      </c>
      <c r="K10" s="451">
        <v>9</v>
      </c>
      <c r="L10" s="451" t="s">
        <v>3288</v>
      </c>
      <c r="M10" s="418">
        <v>10</v>
      </c>
      <c r="N10" s="418">
        <v>11</v>
      </c>
      <c r="O10" s="418">
        <v>11</v>
      </c>
      <c r="P10" s="418">
        <v>12</v>
      </c>
      <c r="Q10" s="420">
        <v>150</v>
      </c>
      <c r="R10" s="420">
        <v>191</v>
      </c>
      <c r="S10" s="420">
        <v>190</v>
      </c>
      <c r="T10" s="414">
        <v>180</v>
      </c>
      <c r="U10" s="419"/>
      <c r="V10" s="437">
        <f>Q10+R10+S10+T10</f>
        <v>711</v>
      </c>
      <c r="W10" s="550" t="s">
        <v>3611</v>
      </c>
      <c r="X10" s="569">
        <f>165000000+25000000</f>
        <v>190000000</v>
      </c>
      <c r="Y10" s="549">
        <v>520</v>
      </c>
      <c r="AA10" s="449">
        <v>100000000</v>
      </c>
      <c r="AB10" s="449"/>
      <c r="AC10" s="449"/>
      <c r="AD10" s="449"/>
      <c r="AE10" s="449"/>
      <c r="AF10" s="449"/>
      <c r="AG10" s="449">
        <v>50000000</v>
      </c>
      <c r="AH10" s="545">
        <v>40000000</v>
      </c>
      <c r="AI10" s="545"/>
      <c r="AJ10" s="449"/>
      <c r="AK10" s="449"/>
      <c r="AL10" s="449">
        <f>SUM(AA10:AJ10)</f>
        <v>190000000</v>
      </c>
      <c r="AN10" s="444">
        <f>+S10*1000000-X10</f>
        <v>0</v>
      </c>
      <c r="AO10" s="444">
        <f>+'[3]PLANINVERSIONES DIC'!$BG$18</f>
        <v>26832272</v>
      </c>
      <c r="AP10" s="444"/>
      <c r="AQ10" s="444"/>
      <c r="AR10" s="444">
        <f>+AP10+AQ10</f>
        <v>0</v>
      </c>
      <c r="AS10" s="444"/>
      <c r="AT10" s="444">
        <f>+X10+AR10+AS10</f>
        <v>190000000</v>
      </c>
      <c r="AU10" s="444">
        <f>+AT10-S10*1000000</f>
        <v>0</v>
      </c>
      <c r="AV10" s="442"/>
      <c r="AW10" s="444"/>
      <c r="AY10" s="444"/>
      <c r="AZ10" s="449"/>
      <c r="BA10" s="449"/>
      <c r="BB10" s="449"/>
      <c r="BC10" s="449"/>
      <c r="BD10" s="449"/>
      <c r="BE10" s="449"/>
      <c r="BF10" s="449"/>
      <c r="BG10" s="545"/>
      <c r="BH10" s="545"/>
      <c r="BI10" s="545"/>
      <c r="BJ10" s="449"/>
      <c r="BK10" s="449"/>
      <c r="BL10" s="449">
        <f>SUM(AZ10:BJ10)</f>
        <v>0</v>
      </c>
      <c r="BM10" s="444"/>
    </row>
    <row r="11" spans="1:65" ht="63" customHeight="1" x14ac:dyDescent="0.2">
      <c r="A11" s="1186"/>
      <c r="B11" s="1364"/>
      <c r="C11" s="1186"/>
      <c r="D11" s="1364"/>
      <c r="E11" s="1360"/>
      <c r="F11" s="1186"/>
      <c r="G11" s="1186"/>
      <c r="H11" s="1186"/>
      <c r="I11" s="1186"/>
      <c r="J11" s="451" t="s">
        <v>3491</v>
      </c>
      <c r="K11" s="451">
        <v>3</v>
      </c>
      <c r="L11" s="451" t="s">
        <v>3492</v>
      </c>
      <c r="M11" s="418">
        <v>5</v>
      </c>
      <c r="N11" s="418">
        <v>0</v>
      </c>
      <c r="O11" s="418">
        <v>0</v>
      </c>
      <c r="P11" s="418">
        <v>0</v>
      </c>
      <c r="Q11" s="414">
        <v>25</v>
      </c>
      <c r="R11" s="414">
        <v>10</v>
      </c>
      <c r="S11" s="414">
        <v>0</v>
      </c>
      <c r="T11" s="414">
        <v>0</v>
      </c>
      <c r="U11" s="419"/>
      <c r="V11" s="437">
        <f>Q11+R11+S11+T11</f>
        <v>35</v>
      </c>
      <c r="W11" s="550" t="s">
        <v>3610</v>
      </c>
      <c r="X11" s="566">
        <v>0</v>
      </c>
      <c r="Y11" s="549">
        <v>520</v>
      </c>
      <c r="AA11" s="449"/>
      <c r="AB11" s="449"/>
      <c r="AC11" s="449"/>
      <c r="AD11" s="449"/>
      <c r="AE11" s="449"/>
      <c r="AF11" s="449"/>
      <c r="AG11" s="449"/>
      <c r="AH11" s="449"/>
      <c r="AI11" s="449"/>
      <c r="AJ11" s="449"/>
      <c r="AK11" s="449"/>
      <c r="AL11" s="449">
        <f>SUM(AA11:AJ11)</f>
        <v>0</v>
      </c>
      <c r="AN11" s="444">
        <f>+S11*1000000-X11</f>
        <v>0</v>
      </c>
      <c r="AO11" s="444">
        <f>+'[3]PLANINVERSIONES DIC'!$BG$19</f>
        <v>9517731</v>
      </c>
      <c r="AP11" s="444"/>
      <c r="AQ11" s="444"/>
      <c r="AR11" s="444">
        <f>+AP11+AQ11</f>
        <v>0</v>
      </c>
      <c r="AS11" s="444"/>
      <c r="AT11" s="444">
        <f>+X11+AR11+AS11</f>
        <v>0</v>
      </c>
      <c r="AU11" s="444">
        <f>+AT11-S11*1000000</f>
        <v>0</v>
      </c>
      <c r="AV11" s="442"/>
      <c r="AW11" s="444"/>
      <c r="AY11" s="444"/>
      <c r="AZ11" s="449"/>
      <c r="BA11" s="449"/>
      <c r="BB11" s="449"/>
      <c r="BC11" s="449"/>
      <c r="BD11" s="449"/>
      <c r="BE11" s="449"/>
      <c r="BF11" s="449"/>
      <c r="BG11" s="449"/>
      <c r="BH11" s="449"/>
      <c r="BI11" s="449"/>
      <c r="BJ11" s="449"/>
      <c r="BK11" s="449"/>
      <c r="BL11" s="449">
        <f>SUM(AZ11:BJ11)</f>
        <v>0</v>
      </c>
      <c r="BM11" s="444"/>
    </row>
    <row r="12" spans="1:65" ht="93.75" customHeight="1" x14ac:dyDescent="0.2">
      <c r="A12" s="1186"/>
      <c r="B12" s="1364"/>
      <c r="C12" s="1186"/>
      <c r="D12" s="1364"/>
      <c r="E12" s="1360"/>
      <c r="F12" s="1186"/>
      <c r="G12" s="1186"/>
      <c r="H12" s="1186"/>
      <c r="I12" s="1187"/>
      <c r="J12" s="451" t="s">
        <v>3641</v>
      </c>
      <c r="K12" s="451">
        <v>0</v>
      </c>
      <c r="L12" s="557" t="s">
        <v>3642</v>
      </c>
      <c r="M12" s="418"/>
      <c r="N12" s="413">
        <v>0.1</v>
      </c>
      <c r="O12" s="413">
        <v>0.5</v>
      </c>
      <c r="P12" s="413">
        <v>0.4</v>
      </c>
      <c r="Q12" s="420"/>
      <c r="R12" s="420">
        <v>30</v>
      </c>
      <c r="S12" s="420">
        <v>80</v>
      </c>
      <c r="T12" s="414">
        <v>70</v>
      </c>
      <c r="U12" s="419"/>
      <c r="V12" s="437">
        <f>Q12+R12+S12+T12</f>
        <v>180</v>
      </c>
      <c r="W12" s="550" t="s">
        <v>3643</v>
      </c>
      <c r="X12" s="566">
        <v>80000000</v>
      </c>
      <c r="Y12" s="549">
        <v>520</v>
      </c>
      <c r="AA12" s="449">
        <v>40000000</v>
      </c>
      <c r="AB12" s="449"/>
      <c r="AC12" s="449"/>
      <c r="AD12" s="449"/>
      <c r="AE12" s="449"/>
      <c r="AF12" s="449"/>
      <c r="AG12" s="449"/>
      <c r="AH12" s="449">
        <f>+X12-AA12</f>
        <v>40000000</v>
      </c>
      <c r="AI12" s="449"/>
      <c r="AJ12" s="449"/>
      <c r="AK12" s="449"/>
      <c r="AL12" s="449">
        <f>SUM(AA12:AJ12)</f>
        <v>80000000</v>
      </c>
      <c r="AN12" s="444">
        <f>+S12*1000000-X12</f>
        <v>0</v>
      </c>
      <c r="AO12" s="444">
        <f>+'[3]PLANINVERSIONES DIC'!$BG$20</f>
        <v>0</v>
      </c>
      <c r="AP12" s="444"/>
      <c r="AQ12" s="444"/>
      <c r="AR12" s="444">
        <f>+AP12+AQ12</f>
        <v>0</v>
      </c>
      <c r="AS12" s="444"/>
      <c r="AT12" s="444">
        <f>+X12+AR12+AS12</f>
        <v>80000000</v>
      </c>
      <c r="AU12" s="444">
        <f>+AT12-S12*1000000</f>
        <v>0</v>
      </c>
      <c r="AV12" s="442"/>
      <c r="AW12" s="444"/>
      <c r="AY12" s="444"/>
      <c r="AZ12" s="449"/>
      <c r="BA12" s="449"/>
      <c r="BB12" s="449"/>
      <c r="BC12" s="449"/>
      <c r="BD12" s="449"/>
      <c r="BE12" s="449"/>
      <c r="BF12" s="449"/>
      <c r="BG12" s="449"/>
      <c r="BH12" s="449"/>
      <c r="BI12" s="449"/>
      <c r="BJ12" s="449"/>
      <c r="BK12" s="449"/>
      <c r="BL12" s="449">
        <f>SUM(AZ12:BJ12)</f>
        <v>0</v>
      </c>
      <c r="BM12" s="444"/>
    </row>
    <row r="13" spans="1:65" ht="27" customHeight="1" x14ac:dyDescent="0.2">
      <c r="A13" s="1187"/>
      <c r="B13" s="1373"/>
      <c r="C13" s="1187"/>
      <c r="D13" s="1373"/>
      <c r="E13" s="1361"/>
      <c r="F13" s="1187"/>
      <c r="G13" s="1187"/>
      <c r="H13" s="453"/>
      <c r="I13" s="473"/>
      <c r="J13" s="451"/>
      <c r="K13" s="451"/>
      <c r="L13" s="451"/>
      <c r="M13" s="1349"/>
      <c r="N13" s="1350"/>
      <c r="O13" s="1350"/>
      <c r="P13" s="1351"/>
      <c r="Q13" s="411">
        <f t="shared" ref="Q13:V13" si="4">SUM(Q8:Q12)</f>
        <v>285</v>
      </c>
      <c r="R13" s="411">
        <f t="shared" si="4"/>
        <v>366</v>
      </c>
      <c r="S13" s="411">
        <f t="shared" si="4"/>
        <v>455</v>
      </c>
      <c r="T13" s="411">
        <f t="shared" si="4"/>
        <v>385</v>
      </c>
      <c r="U13" s="411">
        <f t="shared" si="4"/>
        <v>0</v>
      </c>
      <c r="V13" s="411">
        <f t="shared" si="4"/>
        <v>1491</v>
      </c>
      <c r="W13" s="550"/>
      <c r="X13" s="446">
        <f>SUM(X8:X12)</f>
        <v>420000000</v>
      </c>
      <c r="Y13" s="549"/>
      <c r="AA13" s="446">
        <f>SUM(AA8:AA12)</f>
        <v>215000000</v>
      </c>
      <c r="AB13" s="446">
        <f t="shared" ref="AB13:AL13" si="5">SUM(AB8:AB12)</f>
        <v>0</v>
      </c>
      <c r="AC13" s="446">
        <f t="shared" si="5"/>
        <v>0</v>
      </c>
      <c r="AD13" s="446">
        <f t="shared" si="5"/>
        <v>0</v>
      </c>
      <c r="AE13" s="446">
        <f t="shared" si="5"/>
        <v>0</v>
      </c>
      <c r="AF13" s="446">
        <f t="shared" si="5"/>
        <v>0</v>
      </c>
      <c r="AG13" s="446">
        <f t="shared" si="5"/>
        <v>100000000</v>
      </c>
      <c r="AH13" s="446">
        <f t="shared" si="5"/>
        <v>105000000</v>
      </c>
      <c r="AI13" s="446"/>
      <c r="AJ13" s="446">
        <f t="shared" si="5"/>
        <v>0</v>
      </c>
      <c r="AK13" s="446"/>
      <c r="AL13" s="446">
        <f t="shared" si="5"/>
        <v>420000000</v>
      </c>
      <c r="AN13" s="446">
        <f t="shared" ref="AN13:AU13" si="6">SUM(AN8:AN12)</f>
        <v>35000000</v>
      </c>
      <c r="AO13" s="446">
        <f t="shared" si="6"/>
        <v>61090355</v>
      </c>
      <c r="AP13" s="446">
        <f t="shared" si="6"/>
        <v>15000000</v>
      </c>
      <c r="AQ13" s="446">
        <f t="shared" si="6"/>
        <v>0</v>
      </c>
      <c r="AR13" s="446">
        <f t="shared" si="6"/>
        <v>15000000</v>
      </c>
      <c r="AS13" s="446">
        <f t="shared" si="6"/>
        <v>0</v>
      </c>
      <c r="AT13" s="446">
        <f t="shared" si="6"/>
        <v>435000000</v>
      </c>
      <c r="AU13" s="446">
        <f t="shared" si="6"/>
        <v>-20000000</v>
      </c>
      <c r="AV13" s="442"/>
      <c r="AW13" s="446">
        <f>SUM(AW8:AW12)</f>
        <v>0</v>
      </c>
      <c r="AY13" s="446">
        <f>SUM(AY8:AY12)</f>
        <v>0</v>
      </c>
      <c r="AZ13" s="446">
        <f>SUM(AZ8:AZ12)</f>
        <v>0</v>
      </c>
      <c r="BA13" s="446">
        <f t="shared" ref="BA13:BK13" si="7">SUM(BA8:BA12)</f>
        <v>0</v>
      </c>
      <c r="BB13" s="446">
        <f t="shared" si="7"/>
        <v>0</v>
      </c>
      <c r="BC13" s="446">
        <f t="shared" si="7"/>
        <v>0</v>
      </c>
      <c r="BD13" s="446">
        <f t="shared" si="7"/>
        <v>0</v>
      </c>
      <c r="BE13" s="446">
        <f t="shared" si="7"/>
        <v>0</v>
      </c>
      <c r="BF13" s="446">
        <f t="shared" si="7"/>
        <v>0</v>
      </c>
      <c r="BG13" s="446">
        <f t="shared" si="7"/>
        <v>0</v>
      </c>
      <c r="BH13" s="446">
        <f t="shared" si="7"/>
        <v>15000000</v>
      </c>
      <c r="BI13" s="446">
        <f t="shared" si="7"/>
        <v>0</v>
      </c>
      <c r="BJ13" s="446">
        <f t="shared" si="7"/>
        <v>0</v>
      </c>
      <c r="BK13" s="446">
        <f t="shared" si="7"/>
        <v>0</v>
      </c>
      <c r="BL13" s="446">
        <f>SUM(BL8:BL12)</f>
        <v>15000000</v>
      </c>
      <c r="BM13" s="446">
        <f>SUM(BM8:BM12)</f>
        <v>0</v>
      </c>
    </row>
    <row r="14" spans="1:65" ht="24.75" customHeight="1" x14ac:dyDescent="0.25">
      <c r="A14" s="398"/>
      <c r="B14" s="456"/>
      <c r="C14" s="398"/>
      <c r="D14" s="396"/>
      <c r="E14" s="396"/>
      <c r="F14" s="396"/>
      <c r="G14" s="396"/>
      <c r="H14" s="398"/>
      <c r="I14" s="398"/>
      <c r="J14" s="396"/>
      <c r="K14" s="396"/>
      <c r="L14" s="457"/>
      <c r="M14" s="416"/>
      <c r="N14" s="416"/>
      <c r="O14" s="416"/>
      <c r="P14" s="417"/>
      <c r="Q14" s="417"/>
      <c r="R14" s="417"/>
      <c r="S14" s="417"/>
      <c r="T14" s="416"/>
      <c r="U14" s="399"/>
      <c r="V14" s="397"/>
      <c r="W14" s="551"/>
      <c r="X14" s="567"/>
      <c r="Y14" s="568"/>
      <c r="Z14" s="487"/>
      <c r="AA14" s="488"/>
      <c r="AB14" s="488"/>
      <c r="AC14" s="488"/>
      <c r="AD14" s="488"/>
      <c r="AE14" s="488"/>
      <c r="AF14" s="488"/>
      <c r="AG14" s="488"/>
      <c r="AH14" s="488"/>
      <c r="AI14" s="488"/>
      <c r="AJ14" s="488"/>
      <c r="AK14" s="488"/>
      <c r="AL14" s="488"/>
      <c r="AN14" s="478"/>
      <c r="AO14" s="478"/>
      <c r="AP14" s="478"/>
      <c r="AQ14" s="478"/>
      <c r="AR14" s="478"/>
      <c r="AS14" s="478"/>
      <c r="AT14" s="478"/>
      <c r="AU14" s="478"/>
      <c r="AW14" s="478"/>
      <c r="AY14" s="478"/>
      <c r="AZ14" s="488"/>
      <c r="BA14" s="488"/>
      <c r="BB14" s="488"/>
      <c r="BC14" s="488"/>
      <c r="BD14" s="488"/>
      <c r="BE14" s="488"/>
      <c r="BF14" s="488"/>
      <c r="BG14" s="488"/>
      <c r="BH14" s="488"/>
      <c r="BI14" s="488"/>
      <c r="BJ14" s="488"/>
      <c r="BK14" s="488"/>
      <c r="BL14" s="488"/>
      <c r="BM14" s="478"/>
    </row>
    <row r="15" spans="1:65" ht="54.75" customHeight="1" x14ac:dyDescent="0.2">
      <c r="A15" s="1188">
        <v>3</v>
      </c>
      <c r="B15" s="1365" t="s">
        <v>3162</v>
      </c>
      <c r="C15" s="1185" t="s">
        <v>3493</v>
      </c>
      <c r="D15" s="1365" t="s">
        <v>3494</v>
      </c>
      <c r="E15" s="1362" t="s">
        <v>3495</v>
      </c>
      <c r="F15" s="1188" t="s">
        <v>3484</v>
      </c>
      <c r="G15" s="1185" t="s">
        <v>3485</v>
      </c>
      <c r="H15" s="1188" t="s">
        <v>3486</v>
      </c>
      <c r="I15" s="1185" t="s">
        <v>3702</v>
      </c>
      <c r="J15" s="491" t="s">
        <v>3739</v>
      </c>
      <c r="K15" s="451">
        <v>7</v>
      </c>
      <c r="L15" s="451" t="s">
        <v>3217</v>
      </c>
      <c r="M15" s="418">
        <v>2</v>
      </c>
      <c r="N15" s="418">
        <v>2</v>
      </c>
      <c r="O15" s="418">
        <v>3</v>
      </c>
      <c r="P15" s="418">
        <v>2</v>
      </c>
      <c r="Q15" s="420">
        <v>50</v>
      </c>
      <c r="R15" s="420">
        <v>116</v>
      </c>
      <c r="S15" s="420">
        <v>210</v>
      </c>
      <c r="T15" s="420">
        <v>250</v>
      </c>
      <c r="U15" s="419"/>
      <c r="V15" s="437">
        <f t="shared" ref="V15:V37" si="8">Q15+R15+S15+T15</f>
        <v>626</v>
      </c>
      <c r="W15" s="550" t="s">
        <v>3614</v>
      </c>
      <c r="X15" s="566">
        <f>14*15000000</f>
        <v>210000000</v>
      </c>
      <c r="Y15" s="549">
        <v>510</v>
      </c>
      <c r="AA15" s="449">
        <v>160000000</v>
      </c>
      <c r="AB15" s="449"/>
      <c r="AC15" s="449"/>
      <c r="AD15" s="449"/>
      <c r="AE15" s="449"/>
      <c r="AF15" s="449"/>
      <c r="AG15" s="449"/>
      <c r="AH15" s="449">
        <f>+X15-AA15</f>
        <v>50000000</v>
      </c>
      <c r="AI15" s="449"/>
      <c r="AJ15" s="449"/>
      <c r="AK15" s="449"/>
      <c r="AL15" s="449">
        <f t="shared" ref="AL15:AL37" si="9">SUM(AA15:AJ15)</f>
        <v>210000000</v>
      </c>
      <c r="AN15" s="444">
        <f t="shared" ref="AN15:AN37" si="10">+S15*1000000-X15</f>
        <v>0</v>
      </c>
      <c r="AO15" s="444">
        <f>+'[3]PLANINVERSIONES DIC'!$BG23</f>
        <v>26977416</v>
      </c>
      <c r="AP15" s="580"/>
      <c r="AQ15" s="444"/>
      <c r="AR15" s="444">
        <f t="shared" ref="AR15:AR24" si="11">+AP15+AQ15</f>
        <v>0</v>
      </c>
      <c r="AS15" s="444">
        <v>-25000000</v>
      </c>
      <c r="AT15" s="444">
        <f t="shared" ref="AT15:AT37" si="12">+X15+AR15+AS15</f>
        <v>185000000</v>
      </c>
      <c r="AU15" s="444">
        <f t="shared" ref="AU15:AU37" si="13">+AT15-S15*1000000</f>
        <v>-25000000</v>
      </c>
      <c r="AV15" s="442"/>
      <c r="AW15" s="444"/>
      <c r="AY15" s="444"/>
      <c r="AZ15" s="449"/>
      <c r="BA15" s="449"/>
      <c r="BB15" s="449"/>
      <c r="BC15" s="449"/>
      <c r="BD15" s="449"/>
      <c r="BE15" s="449"/>
      <c r="BF15" s="449"/>
      <c r="BG15" s="449">
        <v>-25000000</v>
      </c>
      <c r="BH15" s="449"/>
      <c r="BI15" s="449"/>
      <c r="BJ15" s="449"/>
      <c r="BK15" s="449"/>
      <c r="BL15" s="449">
        <f t="shared" ref="BL15:BL37" si="14">SUM(AZ15:BJ15)</f>
        <v>-25000000</v>
      </c>
      <c r="BM15" s="444"/>
    </row>
    <row r="16" spans="1:65" ht="61.5" customHeight="1" x14ac:dyDescent="0.2">
      <c r="A16" s="1188"/>
      <c r="B16" s="1365"/>
      <c r="C16" s="1186"/>
      <c r="D16" s="1365"/>
      <c r="E16" s="1360"/>
      <c r="F16" s="1188"/>
      <c r="G16" s="1186"/>
      <c r="H16" s="1188"/>
      <c r="I16" s="1187"/>
      <c r="J16" s="451" t="s">
        <v>3498</v>
      </c>
      <c r="K16" s="451">
        <v>0</v>
      </c>
      <c r="L16" s="451" t="s">
        <v>3218</v>
      </c>
      <c r="M16" s="421">
        <v>1</v>
      </c>
      <c r="N16" s="421">
        <v>1</v>
      </c>
      <c r="O16" s="421">
        <v>2</v>
      </c>
      <c r="P16" s="421">
        <v>3</v>
      </c>
      <c r="Q16" s="414">
        <v>30</v>
      </c>
      <c r="R16" s="414">
        <v>150</v>
      </c>
      <c r="S16" s="414">
        <v>135</v>
      </c>
      <c r="T16" s="414">
        <v>150</v>
      </c>
      <c r="U16" s="419"/>
      <c r="V16" s="437">
        <f t="shared" si="8"/>
        <v>465</v>
      </c>
      <c r="W16" s="550" t="s">
        <v>3615</v>
      </c>
      <c r="X16" s="566">
        <f>9*15000000</f>
        <v>135000000</v>
      </c>
      <c r="Y16" s="549">
        <v>510</v>
      </c>
      <c r="AA16" s="449">
        <v>70000000</v>
      </c>
      <c r="AB16" s="449"/>
      <c r="AC16" s="449"/>
      <c r="AD16" s="449"/>
      <c r="AE16" s="449"/>
      <c r="AF16" s="449"/>
      <c r="AG16" s="449"/>
      <c r="AH16" s="449">
        <f>+X16-AA16</f>
        <v>65000000</v>
      </c>
      <c r="AI16" s="449"/>
      <c r="AJ16" s="449"/>
      <c r="AK16" s="449"/>
      <c r="AL16" s="449">
        <f t="shared" si="9"/>
        <v>135000000</v>
      </c>
      <c r="AN16" s="444">
        <f t="shared" si="10"/>
        <v>0</v>
      </c>
      <c r="AO16" s="444">
        <f>+'[3]PLANINVERSIONES DIC'!$BG24</f>
        <v>56213373</v>
      </c>
      <c r="AP16" s="444"/>
      <c r="AQ16" s="444"/>
      <c r="AR16" s="444">
        <f t="shared" si="11"/>
        <v>0</v>
      </c>
      <c r="AS16" s="444"/>
      <c r="AT16" s="444">
        <f t="shared" si="12"/>
        <v>135000000</v>
      </c>
      <c r="AU16" s="444">
        <f t="shared" si="13"/>
        <v>0</v>
      </c>
      <c r="AV16" s="442"/>
      <c r="AW16" s="444"/>
      <c r="AY16" s="444"/>
      <c r="AZ16" s="449"/>
      <c r="BA16" s="449"/>
      <c r="BB16" s="449"/>
      <c r="BC16" s="449"/>
      <c r="BD16" s="449"/>
      <c r="BE16" s="449"/>
      <c r="BF16" s="449"/>
      <c r="BG16" s="449"/>
      <c r="BH16" s="449"/>
      <c r="BI16" s="449"/>
      <c r="BJ16" s="449"/>
      <c r="BK16" s="449"/>
      <c r="BL16" s="449">
        <f t="shared" si="14"/>
        <v>0</v>
      </c>
      <c r="BM16" s="444"/>
    </row>
    <row r="17" spans="1:65" ht="60.75" customHeight="1" x14ac:dyDescent="0.2">
      <c r="A17" s="1188"/>
      <c r="B17" s="1365"/>
      <c r="C17" s="1186"/>
      <c r="D17" s="1365"/>
      <c r="E17" s="1360"/>
      <c r="F17" s="1188"/>
      <c r="G17" s="1186"/>
      <c r="H17" s="1188"/>
      <c r="I17" s="472" t="s">
        <v>3167</v>
      </c>
      <c r="J17" s="451" t="s">
        <v>3496</v>
      </c>
      <c r="K17" s="451">
        <v>0</v>
      </c>
      <c r="L17" s="451" t="s">
        <v>3497</v>
      </c>
      <c r="M17" s="418">
        <v>2</v>
      </c>
      <c r="N17" s="418">
        <v>2</v>
      </c>
      <c r="O17" s="418">
        <v>3</v>
      </c>
      <c r="P17" s="418">
        <v>3</v>
      </c>
      <c r="Q17" s="420">
        <v>20</v>
      </c>
      <c r="R17" s="420">
        <v>9</v>
      </c>
      <c r="S17" s="420">
        <v>30</v>
      </c>
      <c r="T17" s="420">
        <v>30</v>
      </c>
      <c r="U17" s="419"/>
      <c r="V17" s="437">
        <f t="shared" si="8"/>
        <v>89</v>
      </c>
      <c r="W17" s="550">
        <v>312</v>
      </c>
      <c r="X17" s="566">
        <v>30000000</v>
      </c>
      <c r="Y17" s="549">
        <v>510</v>
      </c>
      <c r="AA17" s="449">
        <v>20000000</v>
      </c>
      <c r="AB17" s="449"/>
      <c r="AC17" s="449"/>
      <c r="AD17" s="449"/>
      <c r="AE17" s="449"/>
      <c r="AF17" s="449"/>
      <c r="AG17" s="449"/>
      <c r="AH17" s="449">
        <f>+X17-AA17</f>
        <v>10000000</v>
      </c>
      <c r="AI17" s="449"/>
      <c r="AJ17" s="449"/>
      <c r="AK17" s="449"/>
      <c r="AL17" s="449">
        <f t="shared" si="9"/>
        <v>30000000</v>
      </c>
      <c r="AN17" s="444">
        <f t="shared" si="10"/>
        <v>0</v>
      </c>
      <c r="AO17" s="444">
        <f>+'[3]PLANINVERSIONES DIC'!$BG25</f>
        <v>9000000</v>
      </c>
      <c r="AP17" s="580"/>
      <c r="AQ17" s="444"/>
      <c r="AR17" s="444">
        <f t="shared" si="11"/>
        <v>0</v>
      </c>
      <c r="AS17" s="444">
        <v>-30000000</v>
      </c>
      <c r="AT17" s="444">
        <f t="shared" si="12"/>
        <v>0</v>
      </c>
      <c r="AU17" s="444">
        <f t="shared" si="13"/>
        <v>-30000000</v>
      </c>
      <c r="AV17" s="442"/>
      <c r="AW17" s="444"/>
      <c r="AY17" s="444"/>
      <c r="AZ17" s="449">
        <f>+AS17-BG17</f>
        <v>-20000000</v>
      </c>
      <c r="BA17" s="449"/>
      <c r="BB17" s="449"/>
      <c r="BC17" s="449"/>
      <c r="BD17" s="449"/>
      <c r="BE17" s="449"/>
      <c r="BF17" s="449"/>
      <c r="BG17" s="449">
        <v>-10000000</v>
      </c>
      <c r="BH17" s="449"/>
      <c r="BI17" s="449"/>
      <c r="BJ17" s="449"/>
      <c r="BK17" s="449"/>
      <c r="BL17" s="449">
        <f t="shared" si="14"/>
        <v>-30000000</v>
      </c>
      <c r="BM17" s="444"/>
    </row>
    <row r="18" spans="1:65" ht="93" customHeight="1" x14ac:dyDescent="0.2">
      <c r="A18" s="1188"/>
      <c r="B18" s="1365"/>
      <c r="C18" s="1187"/>
      <c r="D18" s="1365"/>
      <c r="E18" s="1361"/>
      <c r="F18" s="1188"/>
      <c r="G18" s="1187"/>
      <c r="H18" s="1188"/>
      <c r="I18" s="472" t="s">
        <v>3703</v>
      </c>
      <c r="J18" s="451" t="s">
        <v>3644</v>
      </c>
      <c r="K18" s="451">
        <v>0</v>
      </c>
      <c r="L18" s="451" t="s">
        <v>3645</v>
      </c>
      <c r="M18" s="421">
        <v>1</v>
      </c>
      <c r="N18" s="401" t="s">
        <v>3646</v>
      </c>
      <c r="O18" s="421">
        <v>3</v>
      </c>
      <c r="P18" s="421">
        <v>3</v>
      </c>
      <c r="Q18" s="414">
        <v>40</v>
      </c>
      <c r="R18" s="414">
        <v>115</v>
      </c>
      <c r="S18" s="414">
        <v>40</v>
      </c>
      <c r="T18" s="414">
        <v>40</v>
      </c>
      <c r="U18" s="419"/>
      <c r="V18" s="437">
        <f t="shared" si="8"/>
        <v>235</v>
      </c>
      <c r="W18" s="550">
        <v>313</v>
      </c>
      <c r="X18" s="566">
        <v>40000000</v>
      </c>
      <c r="Y18" s="549">
        <v>510</v>
      </c>
      <c r="AA18" s="449">
        <v>20000000</v>
      </c>
      <c r="AB18" s="449"/>
      <c r="AC18" s="449"/>
      <c r="AD18" s="449"/>
      <c r="AE18" s="449"/>
      <c r="AF18" s="449"/>
      <c r="AG18" s="449"/>
      <c r="AH18" s="449">
        <f>+X18-AA18</f>
        <v>20000000</v>
      </c>
      <c r="AI18" s="449"/>
      <c r="AJ18" s="449"/>
      <c r="AK18" s="449"/>
      <c r="AL18" s="449">
        <f t="shared" si="9"/>
        <v>40000000</v>
      </c>
      <c r="AN18" s="444">
        <f t="shared" si="10"/>
        <v>0</v>
      </c>
      <c r="AO18" s="444">
        <f>+'[3]PLANINVERSIONES DIC'!$BG26</f>
        <v>106041700</v>
      </c>
      <c r="AP18" s="444"/>
      <c r="AQ18" s="444"/>
      <c r="AR18" s="444">
        <f t="shared" si="11"/>
        <v>0</v>
      </c>
      <c r="AS18" s="444"/>
      <c r="AT18" s="444">
        <f t="shared" si="12"/>
        <v>40000000</v>
      </c>
      <c r="AU18" s="444">
        <f t="shared" si="13"/>
        <v>0</v>
      </c>
      <c r="AV18" s="442"/>
      <c r="AW18" s="444"/>
      <c r="AY18" s="444"/>
      <c r="AZ18" s="449"/>
      <c r="BA18" s="449"/>
      <c r="BB18" s="449"/>
      <c r="BC18" s="449"/>
      <c r="BD18" s="449"/>
      <c r="BE18" s="449"/>
      <c r="BF18" s="449"/>
      <c r="BG18" s="449"/>
      <c r="BH18" s="449"/>
      <c r="BI18" s="449"/>
      <c r="BJ18" s="449"/>
      <c r="BK18" s="449"/>
      <c r="BL18" s="449">
        <f t="shared" si="14"/>
        <v>0</v>
      </c>
      <c r="BM18" s="444"/>
    </row>
    <row r="19" spans="1:65" ht="105" customHeight="1" x14ac:dyDescent="0.2">
      <c r="A19" s="1365">
        <v>3</v>
      </c>
      <c r="B19" s="1365" t="s">
        <v>3162</v>
      </c>
      <c r="C19" s="1188" t="s">
        <v>3493</v>
      </c>
      <c r="D19" s="1365" t="s">
        <v>3184</v>
      </c>
      <c r="E19" s="1372" t="s">
        <v>3495</v>
      </c>
      <c r="F19" s="1188" t="s">
        <v>3499</v>
      </c>
      <c r="G19" s="1188" t="s">
        <v>3500</v>
      </c>
      <c r="H19" s="1188" t="s">
        <v>3501</v>
      </c>
      <c r="I19" s="472" t="s">
        <v>3293</v>
      </c>
      <c r="J19" s="451" t="s">
        <v>3683</v>
      </c>
      <c r="K19" s="451">
        <v>1</v>
      </c>
      <c r="L19" s="451" t="s">
        <v>3239</v>
      </c>
      <c r="M19" s="422">
        <v>0</v>
      </c>
      <c r="N19" s="422">
        <v>0</v>
      </c>
      <c r="O19" s="422">
        <v>2</v>
      </c>
      <c r="P19" s="422">
        <v>2</v>
      </c>
      <c r="Q19" s="414">
        <v>10</v>
      </c>
      <c r="R19" s="414">
        <v>20</v>
      </c>
      <c r="S19" s="414">
        <v>20</v>
      </c>
      <c r="T19" s="414">
        <v>10</v>
      </c>
      <c r="U19" s="419"/>
      <c r="V19" s="437">
        <f t="shared" si="8"/>
        <v>60</v>
      </c>
      <c r="W19" s="550">
        <v>321</v>
      </c>
      <c r="X19" s="566">
        <v>20000000</v>
      </c>
      <c r="Y19" s="549">
        <v>510</v>
      </c>
      <c r="AA19" s="449"/>
      <c r="AB19" s="449"/>
      <c r="AC19" s="449"/>
      <c r="AD19" s="449"/>
      <c r="AE19" s="449"/>
      <c r="AF19" s="449"/>
      <c r="AG19" s="449"/>
      <c r="AH19" s="449">
        <f>+X19</f>
        <v>20000000</v>
      </c>
      <c r="AI19" s="449"/>
      <c r="AJ19" s="449"/>
      <c r="AK19" s="449"/>
      <c r="AL19" s="449">
        <f t="shared" si="9"/>
        <v>20000000</v>
      </c>
      <c r="AN19" s="444">
        <f t="shared" si="10"/>
        <v>0</v>
      </c>
      <c r="AO19" s="444">
        <f>+'[3]PLANINVERSIONES DIC'!$BG27</f>
        <v>20000000</v>
      </c>
      <c r="AP19" s="444"/>
      <c r="AQ19" s="444"/>
      <c r="AR19" s="444">
        <f t="shared" si="11"/>
        <v>0</v>
      </c>
      <c r="AS19" s="444"/>
      <c r="AT19" s="444">
        <f t="shared" si="12"/>
        <v>20000000</v>
      </c>
      <c r="AU19" s="444">
        <f t="shared" si="13"/>
        <v>0</v>
      </c>
      <c r="AV19" s="442"/>
      <c r="AW19" s="444"/>
      <c r="AY19" s="444"/>
      <c r="AZ19" s="449"/>
      <c r="BA19" s="449"/>
      <c r="BB19" s="449"/>
      <c r="BC19" s="449"/>
      <c r="BD19" s="449"/>
      <c r="BE19" s="449"/>
      <c r="BF19" s="449"/>
      <c r="BG19" s="449"/>
      <c r="BH19" s="449"/>
      <c r="BI19" s="449"/>
      <c r="BJ19" s="449"/>
      <c r="BK19" s="449"/>
      <c r="BL19" s="449">
        <f t="shared" si="14"/>
        <v>0</v>
      </c>
      <c r="BM19" s="444"/>
    </row>
    <row r="20" spans="1:65" ht="105" customHeight="1" x14ac:dyDescent="0.2">
      <c r="A20" s="1365"/>
      <c r="B20" s="1365"/>
      <c r="C20" s="1188"/>
      <c r="D20" s="1365"/>
      <c r="E20" s="1372"/>
      <c r="F20" s="1188"/>
      <c r="G20" s="1188"/>
      <c r="H20" s="1188"/>
      <c r="I20" s="1188" t="s">
        <v>3705</v>
      </c>
      <c r="J20" s="491" t="s">
        <v>3647</v>
      </c>
      <c r="K20" s="460">
        <v>0</v>
      </c>
      <c r="L20" s="451" t="s">
        <v>3649</v>
      </c>
      <c r="M20" s="422">
        <v>1</v>
      </c>
      <c r="N20" s="552" t="s">
        <v>3648</v>
      </c>
      <c r="O20" s="422">
        <v>50</v>
      </c>
      <c r="P20" s="422">
        <v>100</v>
      </c>
      <c r="Q20" s="414">
        <v>10</v>
      </c>
      <c r="R20" s="414">
        <v>27</v>
      </c>
      <c r="S20" s="414">
        <v>10</v>
      </c>
      <c r="T20" s="414">
        <v>10</v>
      </c>
      <c r="U20" s="419"/>
      <c r="V20" s="437">
        <f t="shared" si="8"/>
        <v>57</v>
      </c>
      <c r="W20" s="550" t="s">
        <v>3617</v>
      </c>
      <c r="X20" s="566">
        <v>5000000</v>
      </c>
      <c r="Y20" s="549">
        <v>510</v>
      </c>
      <c r="AA20" s="449"/>
      <c r="AB20" s="449"/>
      <c r="AC20" s="449"/>
      <c r="AD20" s="449"/>
      <c r="AE20" s="449"/>
      <c r="AF20" s="449"/>
      <c r="AG20" s="449"/>
      <c r="AH20" s="449">
        <f>+X20</f>
        <v>5000000</v>
      </c>
      <c r="AI20" s="449"/>
      <c r="AJ20" s="449"/>
      <c r="AK20" s="449"/>
      <c r="AL20" s="449">
        <f t="shared" si="9"/>
        <v>5000000</v>
      </c>
      <c r="AN20" s="444">
        <f t="shared" si="10"/>
        <v>5000000</v>
      </c>
      <c r="AO20" s="444">
        <f>+'[3]PLANINVERSIONES DIC'!$BG28</f>
        <v>25232411</v>
      </c>
      <c r="AP20" s="580">
        <v>5000000</v>
      </c>
      <c r="AQ20" s="444"/>
      <c r="AR20" s="444"/>
      <c r="AS20" s="444"/>
      <c r="AT20" s="444">
        <f t="shared" si="12"/>
        <v>5000000</v>
      </c>
      <c r="AU20" s="444">
        <f t="shared" si="13"/>
        <v>-5000000</v>
      </c>
      <c r="AV20" s="442"/>
      <c r="AW20" s="444"/>
      <c r="AY20" s="444"/>
      <c r="AZ20" s="449"/>
      <c r="BA20" s="449"/>
      <c r="BB20" s="449"/>
      <c r="BC20" s="449"/>
      <c r="BD20" s="449"/>
      <c r="BE20" s="449"/>
      <c r="BF20" s="449"/>
      <c r="BG20" s="449"/>
      <c r="BH20" s="449"/>
      <c r="BI20" s="449"/>
      <c r="BJ20" s="449"/>
      <c r="BK20" s="449"/>
      <c r="BL20" s="449">
        <f t="shared" si="14"/>
        <v>0</v>
      </c>
      <c r="BM20" s="444"/>
    </row>
    <row r="21" spans="1:65" ht="79.5" customHeight="1" x14ac:dyDescent="0.2">
      <c r="A21" s="1365"/>
      <c r="B21" s="1365"/>
      <c r="C21" s="1188"/>
      <c r="D21" s="1365"/>
      <c r="E21" s="1372"/>
      <c r="F21" s="1188"/>
      <c r="G21" s="1188"/>
      <c r="H21" s="1188"/>
      <c r="I21" s="1188"/>
      <c r="J21" s="491" t="s">
        <v>3740</v>
      </c>
      <c r="K21" s="451">
        <v>22</v>
      </c>
      <c r="L21" s="451" t="s">
        <v>3294</v>
      </c>
      <c r="M21" s="422">
        <v>1</v>
      </c>
      <c r="N21" s="422">
        <v>2</v>
      </c>
      <c r="O21" s="422">
        <v>2</v>
      </c>
      <c r="P21" s="422">
        <v>4</v>
      </c>
      <c r="Q21" s="414">
        <v>40</v>
      </c>
      <c r="R21" s="414">
        <v>55</v>
      </c>
      <c r="S21" s="414">
        <v>80</v>
      </c>
      <c r="T21" s="414">
        <v>80</v>
      </c>
      <c r="U21" s="419"/>
      <c r="V21" s="437">
        <f t="shared" si="8"/>
        <v>255</v>
      </c>
      <c r="W21" s="550" t="s">
        <v>3613</v>
      </c>
      <c r="X21" s="566">
        <v>80000000</v>
      </c>
      <c r="Y21" s="549">
        <v>510</v>
      </c>
      <c r="AA21" s="449">
        <v>40000000</v>
      </c>
      <c r="AB21" s="449"/>
      <c r="AC21" s="449"/>
      <c r="AD21" s="449"/>
      <c r="AE21" s="449"/>
      <c r="AF21" s="449"/>
      <c r="AG21" s="449"/>
      <c r="AH21" s="449">
        <f>+X21-AA21</f>
        <v>40000000</v>
      </c>
      <c r="AI21" s="449"/>
      <c r="AJ21" s="449"/>
      <c r="AK21" s="449"/>
      <c r="AL21" s="449">
        <f t="shared" si="9"/>
        <v>80000000</v>
      </c>
      <c r="AN21" s="444">
        <f t="shared" si="10"/>
        <v>0</v>
      </c>
      <c r="AO21" s="444">
        <f>+'[3]PLANINVERSIONES DIC'!$BG29</f>
        <v>34173413</v>
      </c>
      <c r="AP21" s="444"/>
      <c r="AQ21" s="444"/>
      <c r="AR21" s="444">
        <f t="shared" si="11"/>
        <v>0</v>
      </c>
      <c r="AS21" s="444">
        <v>-14000000</v>
      </c>
      <c r="AT21" s="444">
        <f t="shared" si="12"/>
        <v>66000000</v>
      </c>
      <c r="AU21" s="444">
        <f t="shared" si="13"/>
        <v>-14000000</v>
      </c>
      <c r="AV21" s="442"/>
      <c r="AW21" s="444"/>
      <c r="AY21" s="444"/>
      <c r="AZ21" s="449"/>
      <c r="BA21" s="449"/>
      <c r="BB21" s="449"/>
      <c r="BC21" s="449"/>
      <c r="BD21" s="449"/>
      <c r="BE21" s="449"/>
      <c r="BF21" s="449"/>
      <c r="BG21" s="449">
        <v>-14000000</v>
      </c>
      <c r="BH21" s="449"/>
      <c r="BI21" s="449"/>
      <c r="BJ21" s="449"/>
      <c r="BK21" s="449"/>
      <c r="BL21" s="449">
        <f t="shared" si="14"/>
        <v>-14000000</v>
      </c>
      <c r="BM21" s="444"/>
    </row>
    <row r="22" spans="1:65" ht="81.75" customHeight="1" x14ac:dyDescent="0.2">
      <c r="A22" s="1365"/>
      <c r="B22" s="1365"/>
      <c r="C22" s="1188"/>
      <c r="D22" s="1365"/>
      <c r="E22" s="1372"/>
      <c r="F22" s="1188"/>
      <c r="G22" s="1188"/>
      <c r="H22" s="1188"/>
      <c r="I22" s="1188"/>
      <c r="J22" s="451" t="s">
        <v>3502</v>
      </c>
      <c r="K22" s="451">
        <v>0</v>
      </c>
      <c r="L22" s="451" t="s">
        <v>3274</v>
      </c>
      <c r="M22" s="422">
        <v>0</v>
      </c>
      <c r="N22" s="422">
        <v>0</v>
      </c>
      <c r="O22" s="553" t="s">
        <v>3650</v>
      </c>
      <c r="P22" s="553" t="s">
        <v>3651</v>
      </c>
      <c r="Q22" s="414">
        <v>0</v>
      </c>
      <c r="R22" s="414">
        <v>0</v>
      </c>
      <c r="S22" s="414">
        <v>0</v>
      </c>
      <c r="T22" s="414">
        <v>0</v>
      </c>
      <c r="U22" s="419"/>
      <c r="V22" s="437">
        <f t="shared" si="8"/>
        <v>0</v>
      </c>
      <c r="W22" s="550" t="s">
        <v>3616</v>
      </c>
      <c r="X22" s="566">
        <v>0</v>
      </c>
      <c r="Y22" s="549">
        <v>510</v>
      </c>
      <c r="AA22" s="449"/>
      <c r="AB22" s="449"/>
      <c r="AC22" s="449"/>
      <c r="AD22" s="449"/>
      <c r="AE22" s="449"/>
      <c r="AF22" s="449"/>
      <c r="AG22" s="449"/>
      <c r="AH22" s="449"/>
      <c r="AI22" s="449"/>
      <c r="AJ22" s="449"/>
      <c r="AK22" s="449"/>
      <c r="AL22" s="449">
        <f t="shared" si="9"/>
        <v>0</v>
      </c>
      <c r="AN22" s="444">
        <f t="shared" si="10"/>
        <v>0</v>
      </c>
      <c r="AO22" s="444">
        <f>+'[3]PLANINVERSIONES DIC'!$BG30</f>
        <v>0</v>
      </c>
      <c r="AP22" s="444"/>
      <c r="AQ22" s="444"/>
      <c r="AR22" s="444">
        <f t="shared" si="11"/>
        <v>0</v>
      </c>
      <c r="AS22" s="444"/>
      <c r="AT22" s="444">
        <f t="shared" si="12"/>
        <v>0</v>
      </c>
      <c r="AU22" s="444">
        <f t="shared" si="13"/>
        <v>0</v>
      </c>
      <c r="AV22" s="442"/>
      <c r="AW22" s="444"/>
      <c r="AY22" s="444"/>
      <c r="AZ22" s="449"/>
      <c r="BA22" s="449"/>
      <c r="BB22" s="449"/>
      <c r="BC22" s="449"/>
      <c r="BD22" s="449"/>
      <c r="BE22" s="449"/>
      <c r="BF22" s="449"/>
      <c r="BG22" s="449"/>
      <c r="BH22" s="449"/>
      <c r="BI22" s="449"/>
      <c r="BJ22" s="449"/>
      <c r="BK22" s="449"/>
      <c r="BL22" s="449">
        <f t="shared" si="14"/>
        <v>0</v>
      </c>
      <c r="BM22" s="444"/>
    </row>
    <row r="23" spans="1:65" ht="104.25" customHeight="1" x14ac:dyDescent="0.2">
      <c r="A23" s="1365"/>
      <c r="B23" s="1365"/>
      <c r="C23" s="1188"/>
      <c r="D23" s="1365"/>
      <c r="E23" s="1372"/>
      <c r="F23" s="1188"/>
      <c r="G23" s="1188"/>
      <c r="H23" s="1188"/>
      <c r="I23" s="401" t="s">
        <v>3299</v>
      </c>
      <c r="J23" s="451" t="s">
        <v>3696</v>
      </c>
      <c r="K23" s="451">
        <v>10</v>
      </c>
      <c r="L23" s="451" t="s">
        <v>3697</v>
      </c>
      <c r="M23" s="422">
        <v>20</v>
      </c>
      <c r="N23" s="422">
        <v>30</v>
      </c>
      <c r="O23" s="553" t="s">
        <v>3652</v>
      </c>
      <c r="P23" s="553" t="s">
        <v>3653</v>
      </c>
      <c r="Q23" s="414">
        <v>10</v>
      </c>
      <c r="R23" s="414">
        <v>10</v>
      </c>
      <c r="S23" s="414">
        <v>10</v>
      </c>
      <c r="T23" s="414">
        <v>10</v>
      </c>
      <c r="U23" s="419"/>
      <c r="V23" s="437">
        <f t="shared" si="8"/>
        <v>40</v>
      </c>
      <c r="W23" s="550">
        <v>323</v>
      </c>
      <c r="X23" s="566">
        <v>10000000</v>
      </c>
      <c r="Y23" s="549">
        <v>510</v>
      </c>
      <c r="AA23" s="449"/>
      <c r="AB23" s="449"/>
      <c r="AC23" s="449"/>
      <c r="AD23" s="449"/>
      <c r="AE23" s="449"/>
      <c r="AF23" s="449"/>
      <c r="AG23" s="449"/>
      <c r="AH23" s="449">
        <f>+X23-AA23</f>
        <v>10000000</v>
      </c>
      <c r="AI23" s="449"/>
      <c r="AJ23" s="449"/>
      <c r="AK23" s="449"/>
      <c r="AL23" s="449">
        <f t="shared" si="9"/>
        <v>10000000</v>
      </c>
      <c r="AN23" s="444">
        <f t="shared" si="10"/>
        <v>0</v>
      </c>
      <c r="AO23" s="444">
        <f>+'[3]PLANINVERSIONES DIC'!$BG31</f>
        <v>2400000</v>
      </c>
      <c r="AP23" s="580"/>
      <c r="AQ23" s="444"/>
      <c r="AR23" s="444">
        <f t="shared" si="11"/>
        <v>0</v>
      </c>
      <c r="AS23" s="444"/>
      <c r="AT23" s="444">
        <f t="shared" si="12"/>
        <v>10000000</v>
      </c>
      <c r="AU23" s="444">
        <f t="shared" si="13"/>
        <v>0</v>
      </c>
      <c r="AV23" s="442"/>
      <c r="AW23" s="444"/>
      <c r="AY23" s="444"/>
      <c r="AZ23" s="449"/>
      <c r="BA23" s="449"/>
      <c r="BB23" s="449"/>
      <c r="BC23" s="449"/>
      <c r="BD23" s="449"/>
      <c r="BE23" s="449"/>
      <c r="BF23" s="449"/>
      <c r="BG23" s="449"/>
      <c r="BH23" s="449"/>
      <c r="BI23" s="449"/>
      <c r="BJ23" s="449"/>
      <c r="BK23" s="449"/>
      <c r="BL23" s="449">
        <f t="shared" si="14"/>
        <v>0</v>
      </c>
      <c r="BM23" s="444"/>
    </row>
    <row r="24" spans="1:65" ht="87" customHeight="1" x14ac:dyDescent="0.2">
      <c r="A24" s="1365"/>
      <c r="B24" s="1365"/>
      <c r="C24" s="1188"/>
      <c r="D24" s="1365"/>
      <c r="E24" s="1372"/>
      <c r="F24" s="1188"/>
      <c r="G24" s="1188"/>
      <c r="H24" s="1188"/>
      <c r="I24" s="472" t="s">
        <v>3706</v>
      </c>
      <c r="J24" s="491" t="s">
        <v>3741</v>
      </c>
      <c r="K24" s="458">
        <v>25</v>
      </c>
      <c r="L24" s="451" t="s">
        <v>3224</v>
      </c>
      <c r="M24" s="422">
        <v>25</v>
      </c>
      <c r="N24" s="413">
        <v>0.8</v>
      </c>
      <c r="O24" s="413">
        <v>0.9</v>
      </c>
      <c r="P24" s="413">
        <v>1</v>
      </c>
      <c r="Q24" s="414">
        <v>150</v>
      </c>
      <c r="R24" s="414">
        <v>440</v>
      </c>
      <c r="S24" s="414">
        <v>480</v>
      </c>
      <c r="T24" s="414">
        <v>520</v>
      </c>
      <c r="U24" s="419"/>
      <c r="V24" s="437">
        <f t="shared" si="8"/>
        <v>1590</v>
      </c>
      <c r="W24" s="550">
        <v>324</v>
      </c>
      <c r="X24" s="566">
        <f>480000000</f>
        <v>480000000</v>
      </c>
      <c r="Y24" s="549">
        <v>310</v>
      </c>
      <c r="AA24" s="449">
        <f>+X24</f>
        <v>480000000</v>
      </c>
      <c r="AB24" s="449"/>
      <c r="AC24" s="449"/>
      <c r="AD24" s="449"/>
      <c r="AE24" s="449"/>
      <c r="AF24" s="449"/>
      <c r="AG24" s="449"/>
      <c r="AH24" s="449"/>
      <c r="AI24" s="449"/>
      <c r="AJ24" s="449"/>
      <c r="AK24" s="449"/>
      <c r="AL24" s="449">
        <f t="shared" si="9"/>
        <v>480000000</v>
      </c>
      <c r="AN24" s="444">
        <f t="shared" si="10"/>
        <v>0</v>
      </c>
      <c r="AO24" s="444">
        <f>+'[3]PLANINVERSIONES DIC'!$BG32</f>
        <v>157446280</v>
      </c>
      <c r="AP24" s="580"/>
      <c r="AQ24" s="444"/>
      <c r="AR24" s="444">
        <f t="shared" si="11"/>
        <v>0</v>
      </c>
      <c r="AS24" s="444"/>
      <c r="AT24" s="444">
        <f t="shared" si="12"/>
        <v>480000000</v>
      </c>
      <c r="AU24" s="444">
        <f t="shared" si="13"/>
        <v>0</v>
      </c>
      <c r="AV24" s="442"/>
      <c r="AW24" s="444"/>
      <c r="AY24" s="444"/>
      <c r="AZ24" s="449"/>
      <c r="BA24" s="449"/>
      <c r="BB24" s="449"/>
      <c r="BC24" s="449"/>
      <c r="BD24" s="449"/>
      <c r="BE24" s="449"/>
      <c r="BF24" s="449"/>
      <c r="BG24" s="449"/>
      <c r="BH24" s="449"/>
      <c r="BI24" s="449"/>
      <c r="BJ24" s="449"/>
      <c r="BK24" s="449"/>
      <c r="BL24" s="449">
        <f t="shared" si="14"/>
        <v>0</v>
      </c>
      <c r="BM24" s="444"/>
    </row>
    <row r="25" spans="1:65" ht="132" customHeight="1" x14ac:dyDescent="0.2">
      <c r="A25" s="1188">
        <v>3</v>
      </c>
      <c r="B25" s="1365" t="s">
        <v>3162</v>
      </c>
      <c r="C25" s="1188" t="s">
        <v>3493</v>
      </c>
      <c r="D25" s="1365" t="s">
        <v>3707</v>
      </c>
      <c r="E25" s="1372" t="s">
        <v>3503</v>
      </c>
      <c r="F25" s="1188" t="s">
        <v>3499</v>
      </c>
      <c r="G25" s="1188" t="s">
        <v>3500</v>
      </c>
      <c r="H25" s="1188" t="s">
        <v>3501</v>
      </c>
      <c r="I25" s="479" t="s">
        <v>3750</v>
      </c>
      <c r="J25" s="451" t="s">
        <v>3505</v>
      </c>
      <c r="K25" s="451" t="s">
        <v>3506</v>
      </c>
      <c r="L25" s="451" t="s">
        <v>3221</v>
      </c>
      <c r="M25" s="401" t="s">
        <v>3507</v>
      </c>
      <c r="N25" s="401" t="s">
        <v>3744</v>
      </c>
      <c r="O25" s="401" t="s">
        <v>3745</v>
      </c>
      <c r="P25" s="401" t="s">
        <v>3746</v>
      </c>
      <c r="Q25" s="414">
        <v>900</v>
      </c>
      <c r="R25" s="414">
        <v>948</v>
      </c>
      <c r="S25" s="414">
        <f>R25*1.03</f>
        <v>976.44</v>
      </c>
      <c r="T25" s="414">
        <f>+S25*1.03</f>
        <v>1005.7332000000001</v>
      </c>
      <c r="U25" s="419"/>
      <c r="V25" s="437">
        <f t="shared" si="8"/>
        <v>3830.1732000000002</v>
      </c>
      <c r="W25" s="550">
        <v>331</v>
      </c>
      <c r="X25" s="566">
        <f>948000000*1.03-39469246</f>
        <v>936970754</v>
      </c>
      <c r="Y25" s="549">
        <v>310</v>
      </c>
      <c r="AA25" s="449">
        <f>+X25</f>
        <v>936970754</v>
      </c>
      <c r="AB25" s="449"/>
      <c r="AC25" s="449"/>
      <c r="AD25" s="449"/>
      <c r="AE25" s="449"/>
      <c r="AF25" s="449"/>
      <c r="AG25" s="449"/>
      <c r="AH25" s="449"/>
      <c r="AI25" s="449"/>
      <c r="AJ25" s="449"/>
      <c r="AK25" s="449"/>
      <c r="AL25" s="449">
        <f t="shared" si="9"/>
        <v>936970754</v>
      </c>
      <c r="AN25" s="444">
        <f t="shared" si="10"/>
        <v>39469246</v>
      </c>
      <c r="AO25" s="444">
        <f>SUM('[3]PLANINVERSIONES DIC'!$BG$33:$BG$39)</f>
        <v>17295991</v>
      </c>
      <c r="AP25" s="588">
        <v>39469246</v>
      </c>
      <c r="AQ25" s="444"/>
      <c r="AR25" s="444"/>
      <c r="AS25" s="444"/>
      <c r="AT25" s="444">
        <f t="shared" si="12"/>
        <v>936970754</v>
      </c>
      <c r="AU25" s="444">
        <f t="shared" si="13"/>
        <v>-39469246</v>
      </c>
      <c r="AV25" s="442"/>
      <c r="AW25" s="444"/>
      <c r="AY25" s="444"/>
      <c r="AZ25" s="449"/>
      <c r="BA25" s="449"/>
      <c r="BB25" s="449"/>
      <c r="BC25" s="449"/>
      <c r="BD25" s="449"/>
      <c r="BE25" s="449"/>
      <c r="BF25" s="449"/>
      <c r="BG25" s="449"/>
      <c r="BH25" s="449"/>
      <c r="BI25" s="449"/>
      <c r="BJ25" s="449"/>
      <c r="BK25" s="449"/>
      <c r="BL25" s="449">
        <f t="shared" si="14"/>
        <v>0</v>
      </c>
      <c r="BM25" s="444"/>
    </row>
    <row r="26" spans="1:65" ht="87" customHeight="1" x14ac:dyDescent="0.2">
      <c r="A26" s="1188"/>
      <c r="B26" s="1402"/>
      <c r="C26" s="1188"/>
      <c r="D26" s="1365"/>
      <c r="E26" s="1372"/>
      <c r="F26" s="1188"/>
      <c r="G26" s="1188"/>
      <c r="H26" s="1188"/>
      <c r="I26" s="1185" t="s">
        <v>3708</v>
      </c>
      <c r="J26" s="451" t="s">
        <v>3508</v>
      </c>
      <c r="K26" s="451" t="s">
        <v>3509</v>
      </c>
      <c r="L26" s="451" t="s">
        <v>3232</v>
      </c>
      <c r="M26" s="421">
        <v>21</v>
      </c>
      <c r="N26" s="421">
        <v>22</v>
      </c>
      <c r="O26" s="421">
        <v>23</v>
      </c>
      <c r="P26" s="421">
        <v>25</v>
      </c>
      <c r="Q26" s="414">
        <v>420</v>
      </c>
      <c r="R26" s="414">
        <v>330</v>
      </c>
      <c r="S26" s="414">
        <v>460</v>
      </c>
      <c r="T26" s="414">
        <v>500</v>
      </c>
      <c r="U26" s="419"/>
      <c r="V26" s="437">
        <f t="shared" si="8"/>
        <v>1710</v>
      </c>
      <c r="W26" s="550" t="s">
        <v>3618</v>
      </c>
      <c r="X26" s="566">
        <v>260000000</v>
      </c>
      <c r="Y26" s="549">
        <v>410</v>
      </c>
      <c r="AA26" s="449">
        <v>128931366</v>
      </c>
      <c r="AB26" s="449">
        <v>68634</v>
      </c>
      <c r="AC26" s="449"/>
      <c r="AD26" s="449"/>
      <c r="AE26" s="449"/>
      <c r="AF26" s="449"/>
      <c r="AG26" s="449"/>
      <c r="AH26" s="490">
        <f>+X26-AA26-AB26</f>
        <v>131000000</v>
      </c>
      <c r="AI26" s="490"/>
      <c r="AJ26" s="449"/>
      <c r="AK26" s="449"/>
      <c r="AL26" s="449">
        <f t="shared" si="9"/>
        <v>260000000</v>
      </c>
      <c r="AM26" s="449">
        <f t="shared" ref="AM26:AM36" si="15">+S26*1000000-X26</f>
        <v>200000000</v>
      </c>
      <c r="AN26" s="444">
        <f t="shared" si="10"/>
        <v>200000000</v>
      </c>
      <c r="AO26" s="444">
        <f>+'[3]PLANINVERSIONES DIC'!$BG40</f>
        <v>43407540</v>
      </c>
      <c r="AP26" s="587">
        <v>164057569</v>
      </c>
      <c r="AQ26" s="444"/>
      <c r="AR26" s="444"/>
      <c r="AS26" s="444"/>
      <c r="AT26" s="444">
        <f t="shared" si="12"/>
        <v>260000000</v>
      </c>
      <c r="AU26" s="444">
        <f t="shared" si="13"/>
        <v>-200000000</v>
      </c>
      <c r="AV26" s="442"/>
      <c r="AW26" s="444"/>
      <c r="AY26" s="444">
        <v>0</v>
      </c>
      <c r="AZ26" s="449"/>
      <c r="BA26" s="449"/>
      <c r="BB26" s="449"/>
      <c r="BC26" s="449"/>
      <c r="BD26" s="449"/>
      <c r="BE26" s="449"/>
      <c r="BF26" s="449"/>
      <c r="BG26" s="545"/>
      <c r="BH26" s="545"/>
      <c r="BI26" s="545"/>
      <c r="BJ26" s="449"/>
      <c r="BK26" s="449"/>
      <c r="BL26" s="449">
        <f t="shared" si="14"/>
        <v>0</v>
      </c>
      <c r="BM26" s="444">
        <v>0</v>
      </c>
    </row>
    <row r="27" spans="1:65" ht="66" customHeight="1" x14ac:dyDescent="0.2">
      <c r="A27" s="1188"/>
      <c r="B27" s="1402"/>
      <c r="C27" s="1188"/>
      <c r="D27" s="1365"/>
      <c r="E27" s="1372"/>
      <c r="F27" s="1188"/>
      <c r="G27" s="1188"/>
      <c r="H27" s="1188"/>
      <c r="I27" s="1186"/>
      <c r="J27" s="451" t="s">
        <v>3510</v>
      </c>
      <c r="K27" s="451" t="s">
        <v>3511</v>
      </c>
      <c r="L27" s="451" t="s">
        <v>3271</v>
      </c>
      <c r="M27" s="421">
        <v>17</v>
      </c>
      <c r="N27" s="421">
        <v>18</v>
      </c>
      <c r="O27" s="421">
        <v>19</v>
      </c>
      <c r="P27" s="421">
        <v>20</v>
      </c>
      <c r="Q27" s="414">
        <v>160</v>
      </c>
      <c r="R27" s="414">
        <v>356</v>
      </c>
      <c r="S27" s="414">
        <v>180</v>
      </c>
      <c r="T27" s="414">
        <v>190</v>
      </c>
      <c r="U27" s="419"/>
      <c r="V27" s="437">
        <f t="shared" si="8"/>
        <v>886</v>
      </c>
      <c r="W27" s="550" t="s">
        <v>3619</v>
      </c>
      <c r="X27" s="566">
        <v>70000000</v>
      </c>
      <c r="Y27" s="549">
        <v>410</v>
      </c>
      <c r="AA27" s="449">
        <v>30000000</v>
      </c>
      <c r="AB27" s="449"/>
      <c r="AC27" s="449"/>
      <c r="AD27" s="449"/>
      <c r="AE27" s="449"/>
      <c r="AF27" s="449"/>
      <c r="AG27" s="449"/>
      <c r="AH27" s="449">
        <f>+X27-AA27</f>
        <v>40000000</v>
      </c>
      <c r="AI27" s="449"/>
      <c r="AJ27" s="449"/>
      <c r="AK27" s="449"/>
      <c r="AL27" s="449">
        <f t="shared" si="9"/>
        <v>70000000</v>
      </c>
      <c r="AM27" s="449">
        <f t="shared" si="15"/>
        <v>110000000</v>
      </c>
      <c r="AN27" s="444">
        <f t="shared" si="10"/>
        <v>110000000</v>
      </c>
      <c r="AO27" s="444">
        <f>+'[3]PLANINVERSIONES DIC'!$BG41</f>
        <v>15915416</v>
      </c>
      <c r="AP27" s="587">
        <v>20000000</v>
      </c>
      <c r="AQ27" s="444"/>
      <c r="AR27" s="444">
        <f>+AY27</f>
        <v>6000000</v>
      </c>
      <c r="AS27" s="444"/>
      <c r="AT27" s="444">
        <f t="shared" si="12"/>
        <v>76000000</v>
      </c>
      <c r="AU27" s="444">
        <f t="shared" si="13"/>
        <v>-104000000</v>
      </c>
      <c r="AV27" s="442"/>
      <c r="AW27" s="444"/>
      <c r="AY27" s="444">
        <v>6000000</v>
      </c>
      <c r="AZ27" s="449"/>
      <c r="BA27" s="449">
        <f>+AY27</f>
        <v>6000000</v>
      </c>
      <c r="BB27" s="449"/>
      <c r="BC27" s="449"/>
      <c r="BD27" s="449"/>
      <c r="BE27" s="449"/>
      <c r="BF27" s="449"/>
      <c r="BG27" s="449"/>
      <c r="BH27" s="449"/>
      <c r="BI27" s="449"/>
      <c r="BJ27" s="449"/>
      <c r="BK27" s="449"/>
      <c r="BL27" s="449">
        <f t="shared" si="14"/>
        <v>6000000</v>
      </c>
      <c r="BM27" s="444">
        <v>6000000</v>
      </c>
    </row>
    <row r="28" spans="1:65" ht="78.75" customHeight="1" x14ac:dyDescent="0.2">
      <c r="A28" s="1188"/>
      <c r="B28" s="1402"/>
      <c r="C28" s="1188"/>
      <c r="D28" s="1365"/>
      <c r="E28" s="1372"/>
      <c r="F28" s="1188"/>
      <c r="G28" s="1188"/>
      <c r="H28" s="1188"/>
      <c r="I28" s="1187"/>
      <c r="J28" s="451" t="s">
        <v>3512</v>
      </c>
      <c r="K28" s="451" t="s">
        <v>3513</v>
      </c>
      <c r="L28" s="451" t="s">
        <v>3233</v>
      </c>
      <c r="M28" s="421">
        <v>28</v>
      </c>
      <c r="N28" s="421">
        <v>29</v>
      </c>
      <c r="O28" s="421">
        <v>32</v>
      </c>
      <c r="P28" s="421">
        <v>34</v>
      </c>
      <c r="Q28" s="414">
        <v>56</v>
      </c>
      <c r="R28" s="414">
        <v>124</v>
      </c>
      <c r="S28" s="414">
        <v>64</v>
      </c>
      <c r="T28" s="414">
        <v>68</v>
      </c>
      <c r="U28" s="419"/>
      <c r="V28" s="437">
        <f t="shared" si="8"/>
        <v>312</v>
      </c>
      <c r="W28" s="550" t="s">
        <v>3620</v>
      </c>
      <c r="X28" s="566">
        <v>20000000</v>
      </c>
      <c r="Y28" s="549">
        <v>410</v>
      </c>
      <c r="AA28" s="449"/>
      <c r="AB28" s="449"/>
      <c r="AC28" s="449"/>
      <c r="AD28" s="449"/>
      <c r="AE28" s="449"/>
      <c r="AF28" s="449"/>
      <c r="AG28" s="449"/>
      <c r="AH28" s="449">
        <f>+X28-AA28</f>
        <v>20000000</v>
      </c>
      <c r="AI28" s="449"/>
      <c r="AJ28" s="449"/>
      <c r="AK28" s="449"/>
      <c r="AL28" s="449">
        <f t="shared" si="9"/>
        <v>20000000</v>
      </c>
      <c r="AM28" s="449">
        <f t="shared" si="15"/>
        <v>44000000</v>
      </c>
      <c r="AN28" s="444">
        <f t="shared" si="10"/>
        <v>44000000</v>
      </c>
      <c r="AO28" s="444">
        <f>+'[3]PLANINVERSIONES DIC'!$BG42</f>
        <v>11462829</v>
      </c>
      <c r="AP28" s="580">
        <v>44000000</v>
      </c>
      <c r="AQ28" s="444"/>
      <c r="AR28" s="444">
        <f>+AY28</f>
        <v>32000000</v>
      </c>
      <c r="AS28" s="444"/>
      <c r="AT28" s="444">
        <f t="shared" si="12"/>
        <v>52000000</v>
      </c>
      <c r="AU28" s="444">
        <f t="shared" si="13"/>
        <v>-12000000</v>
      </c>
      <c r="AV28" s="442"/>
      <c r="AW28" s="444"/>
      <c r="AY28" s="444">
        <v>32000000</v>
      </c>
      <c r="AZ28" s="449"/>
      <c r="BA28" s="449">
        <f>+AY28</f>
        <v>32000000</v>
      </c>
      <c r="BB28" s="449"/>
      <c r="BC28" s="449"/>
      <c r="BD28" s="449"/>
      <c r="BE28" s="449"/>
      <c r="BF28" s="449"/>
      <c r="BG28" s="449"/>
      <c r="BH28" s="449"/>
      <c r="BI28" s="449"/>
      <c r="BJ28" s="449"/>
      <c r="BK28" s="449"/>
      <c r="BL28" s="449">
        <f t="shared" si="14"/>
        <v>32000000</v>
      </c>
      <c r="BM28" s="444">
        <v>32000000</v>
      </c>
    </row>
    <row r="29" spans="1:65" ht="78.75" customHeight="1" x14ac:dyDescent="0.2">
      <c r="A29" s="1188"/>
      <c r="B29" s="1402"/>
      <c r="C29" s="1188"/>
      <c r="D29" s="1365"/>
      <c r="E29" s="1372"/>
      <c r="F29" s="1188"/>
      <c r="G29" s="1188"/>
      <c r="H29" s="1188"/>
      <c r="I29" s="1185" t="s">
        <v>3180</v>
      </c>
      <c r="J29" s="451" t="s">
        <v>3688</v>
      </c>
      <c r="K29" s="451" t="s">
        <v>3517</v>
      </c>
      <c r="L29" s="451" t="s">
        <v>3518</v>
      </c>
      <c r="M29" s="401" t="s">
        <v>3519</v>
      </c>
      <c r="N29" s="401" t="s">
        <v>3747</v>
      </c>
      <c r="O29" s="401" t="s">
        <v>3748</v>
      </c>
      <c r="P29" s="401" t="s">
        <v>3749</v>
      </c>
      <c r="Q29" s="414">
        <v>122</v>
      </c>
      <c r="R29" s="414">
        <v>97</v>
      </c>
      <c r="S29" s="414">
        <v>176</v>
      </c>
      <c r="T29" s="414">
        <v>180</v>
      </c>
      <c r="U29" s="419"/>
      <c r="V29" s="437">
        <f t="shared" si="8"/>
        <v>575</v>
      </c>
      <c r="W29" s="550">
        <v>333</v>
      </c>
      <c r="X29" s="566">
        <v>40000000</v>
      </c>
      <c r="Y29" s="549">
        <v>410</v>
      </c>
      <c r="AA29" s="449">
        <v>10000000</v>
      </c>
      <c r="AB29" s="449"/>
      <c r="AC29" s="449"/>
      <c r="AD29" s="449"/>
      <c r="AE29" s="449"/>
      <c r="AF29" s="449"/>
      <c r="AG29" s="449"/>
      <c r="AH29" s="449">
        <f>+X29-AA29</f>
        <v>30000000</v>
      </c>
      <c r="AI29" s="449"/>
      <c r="AJ29" s="449"/>
      <c r="AK29" s="449"/>
      <c r="AL29" s="449">
        <f t="shared" si="9"/>
        <v>40000000</v>
      </c>
      <c r="AM29" s="449">
        <f t="shared" si="15"/>
        <v>136000000</v>
      </c>
      <c r="AN29" s="444">
        <f t="shared" si="10"/>
        <v>136000000</v>
      </c>
      <c r="AO29" s="444">
        <f>SUM('[3]PLANINVERSIONES DIC'!$BG$43:$BG$45)</f>
        <v>17036434</v>
      </c>
      <c r="AP29" s="580">
        <v>136000000</v>
      </c>
      <c r="AQ29" s="444"/>
      <c r="AR29" s="444">
        <f>+AY29</f>
        <v>30000000</v>
      </c>
      <c r="AS29" s="444"/>
      <c r="AT29" s="444">
        <f t="shared" si="12"/>
        <v>70000000</v>
      </c>
      <c r="AU29" s="444">
        <f t="shared" si="13"/>
        <v>-106000000</v>
      </c>
      <c r="AV29" s="442"/>
      <c r="AW29" s="444"/>
      <c r="AY29" s="444">
        <v>30000000</v>
      </c>
      <c r="AZ29" s="449"/>
      <c r="BA29" s="449">
        <f>+AY29</f>
        <v>30000000</v>
      </c>
      <c r="BB29" s="449"/>
      <c r="BC29" s="449"/>
      <c r="BD29" s="449"/>
      <c r="BE29" s="449"/>
      <c r="BF29" s="449"/>
      <c r="BG29" s="449"/>
      <c r="BH29" s="449"/>
      <c r="BI29" s="449"/>
      <c r="BJ29" s="449"/>
      <c r="BK29" s="449"/>
      <c r="BL29" s="449">
        <f t="shared" si="14"/>
        <v>30000000</v>
      </c>
      <c r="BM29" s="444">
        <v>30000000</v>
      </c>
    </row>
    <row r="30" spans="1:65" ht="78.75" customHeight="1" x14ac:dyDescent="0.2">
      <c r="A30" s="1188"/>
      <c r="B30" s="1402"/>
      <c r="C30" s="1188"/>
      <c r="D30" s="1365"/>
      <c r="E30" s="1372"/>
      <c r="F30" s="1188"/>
      <c r="G30" s="1188"/>
      <c r="H30" s="1188"/>
      <c r="I30" s="1187"/>
      <c r="J30" s="451" t="s">
        <v>3424</v>
      </c>
      <c r="K30" s="451">
        <v>5</v>
      </c>
      <c r="L30" s="451" t="s">
        <v>3639</v>
      </c>
      <c r="M30" s="401"/>
      <c r="N30" s="401">
        <v>5</v>
      </c>
      <c r="O30" s="401">
        <v>4</v>
      </c>
      <c r="P30" s="401">
        <v>4</v>
      </c>
      <c r="Q30" s="414"/>
      <c r="R30" s="414">
        <v>74</v>
      </c>
      <c r="S30" s="414">
        <v>80</v>
      </c>
      <c r="T30" s="414">
        <v>100</v>
      </c>
      <c r="U30" s="419"/>
      <c r="V30" s="437">
        <f t="shared" si="8"/>
        <v>254</v>
      </c>
      <c r="W30" s="550" t="s">
        <v>3640</v>
      </c>
      <c r="X30" s="566">
        <v>20000000</v>
      </c>
      <c r="Y30" s="549">
        <v>410</v>
      </c>
      <c r="AA30" s="449"/>
      <c r="AB30" s="449"/>
      <c r="AC30" s="449"/>
      <c r="AD30" s="449"/>
      <c r="AE30" s="449"/>
      <c r="AF30" s="449"/>
      <c r="AG30" s="449"/>
      <c r="AH30" s="449">
        <f>+X30-AA30</f>
        <v>20000000</v>
      </c>
      <c r="AI30" s="449"/>
      <c r="AJ30" s="449"/>
      <c r="AK30" s="449"/>
      <c r="AL30" s="449">
        <f t="shared" si="9"/>
        <v>20000000</v>
      </c>
      <c r="AM30" s="449">
        <f t="shared" si="15"/>
        <v>60000000</v>
      </c>
      <c r="AN30" s="444">
        <f t="shared" si="10"/>
        <v>60000000</v>
      </c>
      <c r="AO30" s="444">
        <f>+'[3]PLANINVERSIONES DIC'!$BG$46</f>
        <v>66531000</v>
      </c>
      <c r="AP30" s="580">
        <v>60000000</v>
      </c>
      <c r="AQ30" s="444"/>
      <c r="AR30" s="444">
        <f>+AY30</f>
        <v>90000000</v>
      </c>
      <c r="AS30" s="444"/>
      <c r="AT30" s="444">
        <f t="shared" si="12"/>
        <v>110000000</v>
      </c>
      <c r="AU30" s="444">
        <f t="shared" si="13"/>
        <v>30000000</v>
      </c>
      <c r="AV30" s="442"/>
      <c r="AW30" s="444"/>
      <c r="AY30" s="444">
        <v>90000000</v>
      </c>
      <c r="AZ30" s="449"/>
      <c r="BA30" s="449">
        <f>+AY30</f>
        <v>90000000</v>
      </c>
      <c r="BB30" s="449"/>
      <c r="BC30" s="449"/>
      <c r="BD30" s="449"/>
      <c r="BE30" s="449"/>
      <c r="BF30" s="449"/>
      <c r="BG30" s="449"/>
      <c r="BH30" s="449"/>
      <c r="BI30" s="449"/>
      <c r="BJ30" s="449"/>
      <c r="BK30" s="449"/>
      <c r="BL30" s="449">
        <f t="shared" si="14"/>
        <v>90000000</v>
      </c>
      <c r="BM30" s="444">
        <v>90000000</v>
      </c>
    </row>
    <row r="31" spans="1:65" ht="78.75" customHeight="1" x14ac:dyDescent="0.2">
      <c r="A31" s="1188"/>
      <c r="B31" s="1402"/>
      <c r="C31" s="1188"/>
      <c r="D31" s="1365"/>
      <c r="E31" s="1372"/>
      <c r="F31" s="1188"/>
      <c r="G31" s="1188"/>
      <c r="H31" s="1188"/>
      <c r="I31" s="1185" t="s">
        <v>3709</v>
      </c>
      <c r="J31" s="451" t="s">
        <v>3515</v>
      </c>
      <c r="K31" s="451" t="s">
        <v>3516</v>
      </c>
      <c r="L31" s="451" t="s">
        <v>3222</v>
      </c>
      <c r="M31" s="421">
        <v>6</v>
      </c>
      <c r="N31" s="421">
        <v>7</v>
      </c>
      <c r="O31" s="421">
        <v>8</v>
      </c>
      <c r="P31" s="421">
        <v>10</v>
      </c>
      <c r="Q31" s="414">
        <v>90</v>
      </c>
      <c r="R31" s="414">
        <v>672</v>
      </c>
      <c r="S31" s="414">
        <v>120</v>
      </c>
      <c r="T31" s="414">
        <v>150</v>
      </c>
      <c r="U31" s="419"/>
      <c r="V31" s="437">
        <f t="shared" si="8"/>
        <v>1032</v>
      </c>
      <c r="W31" s="550" t="s">
        <v>3622</v>
      </c>
      <c r="X31" s="566">
        <f>+AB31+AG31</f>
        <v>1616800000</v>
      </c>
      <c r="Y31" s="549">
        <v>410</v>
      </c>
      <c r="AA31" s="449"/>
      <c r="AB31" s="449">
        <v>200000000</v>
      </c>
      <c r="AC31" s="449"/>
      <c r="AD31" s="449"/>
      <c r="AE31" s="449"/>
      <c r="AF31" s="449"/>
      <c r="AG31" s="449">
        <f>800000000+616800000</f>
        <v>1416800000</v>
      </c>
      <c r="AH31" s="449"/>
      <c r="AI31" s="449"/>
      <c r="AJ31" s="449"/>
      <c r="AK31" s="449"/>
      <c r="AL31" s="449">
        <f t="shared" si="9"/>
        <v>1616800000</v>
      </c>
      <c r="AM31" s="449">
        <f t="shared" si="15"/>
        <v>-1496800000</v>
      </c>
      <c r="AN31" s="583">
        <f t="shared" si="10"/>
        <v>-1496800000</v>
      </c>
      <c r="AO31" s="444">
        <f>+'[3]PLANINVERSIONES DIC'!$BG$47</f>
        <v>208123315</v>
      </c>
      <c r="AP31" s="587">
        <v>5000000</v>
      </c>
      <c r="AQ31" s="444">
        <v>900000000</v>
      </c>
      <c r="AR31" s="444">
        <f>+AY31+AQ31</f>
        <v>900000000</v>
      </c>
      <c r="AS31" s="444"/>
      <c r="AT31" s="444">
        <f t="shared" si="12"/>
        <v>2516800000</v>
      </c>
      <c r="AU31" s="444">
        <f t="shared" si="13"/>
        <v>2396800000</v>
      </c>
      <c r="AV31" s="444"/>
      <c r="AW31" s="444">
        <v>2500000000</v>
      </c>
      <c r="AY31" s="444"/>
      <c r="AZ31" s="449"/>
      <c r="BA31" s="449">
        <f>+AY31</f>
        <v>0</v>
      </c>
      <c r="BB31" s="449"/>
      <c r="BC31" s="449"/>
      <c r="BD31" s="449"/>
      <c r="BE31" s="449"/>
      <c r="BF31" s="449">
        <f>+AQ31</f>
        <v>900000000</v>
      </c>
      <c r="BG31" s="449"/>
      <c r="BH31" s="449"/>
      <c r="BI31" s="449"/>
      <c r="BJ31" s="449"/>
      <c r="BK31" s="449"/>
      <c r="BL31" s="449">
        <f t="shared" si="14"/>
        <v>900000000</v>
      </c>
      <c r="BM31" s="444"/>
    </row>
    <row r="32" spans="1:65" ht="81" customHeight="1" x14ac:dyDescent="0.2">
      <c r="A32" s="1188"/>
      <c r="B32" s="1402"/>
      <c r="C32" s="1188"/>
      <c r="D32" s="1365"/>
      <c r="E32" s="1372"/>
      <c r="F32" s="1188"/>
      <c r="G32" s="1188"/>
      <c r="H32" s="1188"/>
      <c r="I32" s="1187"/>
      <c r="J32" s="451" t="s">
        <v>3687</v>
      </c>
      <c r="K32" s="451" t="s">
        <v>3514</v>
      </c>
      <c r="L32" s="451" t="s">
        <v>3235</v>
      </c>
      <c r="M32" s="421">
        <v>49</v>
      </c>
      <c r="N32" s="421">
        <v>49</v>
      </c>
      <c r="O32" s="421">
        <v>52</v>
      </c>
      <c r="P32" s="421">
        <v>56</v>
      </c>
      <c r="Q32" s="414">
        <v>760</v>
      </c>
      <c r="R32" s="414">
        <v>985</v>
      </c>
      <c r="S32" s="414">
        <v>780</v>
      </c>
      <c r="T32" s="414">
        <v>800</v>
      </c>
      <c r="U32" s="419"/>
      <c r="V32" s="437">
        <f t="shared" si="8"/>
        <v>3325</v>
      </c>
      <c r="W32" s="550" t="s">
        <v>3621</v>
      </c>
      <c r="X32" s="566">
        <f>+AB32+AH32</f>
        <v>400000000</v>
      </c>
      <c r="Y32" s="549">
        <v>410</v>
      </c>
      <c r="AA32" s="449"/>
      <c r="AB32" s="449">
        <v>300000000</v>
      </c>
      <c r="AC32" s="449"/>
      <c r="AD32" s="449"/>
      <c r="AE32" s="449"/>
      <c r="AF32" s="449"/>
      <c r="AG32" s="449"/>
      <c r="AH32" s="449">
        <v>100000000</v>
      </c>
      <c r="AI32" s="449"/>
      <c r="AJ32" s="449"/>
      <c r="AK32" s="449"/>
      <c r="AL32" s="449">
        <f t="shared" si="9"/>
        <v>400000000</v>
      </c>
      <c r="AM32" s="449">
        <f t="shared" si="15"/>
        <v>380000000</v>
      </c>
      <c r="AN32" s="444">
        <f t="shared" si="10"/>
        <v>380000000</v>
      </c>
      <c r="AO32" s="444">
        <f>+'[3]PLANINVERSIONES DIC'!$BG$48</f>
        <v>187359323</v>
      </c>
      <c r="AP32" s="587">
        <v>81675181</v>
      </c>
      <c r="AQ32" s="444"/>
      <c r="AR32" s="444">
        <f>+AY32</f>
        <v>132732750</v>
      </c>
      <c r="AS32" s="444"/>
      <c r="AT32" s="444">
        <f t="shared" si="12"/>
        <v>532732750</v>
      </c>
      <c r="AU32" s="444">
        <f t="shared" si="13"/>
        <v>-247267250</v>
      </c>
      <c r="AV32" s="442"/>
      <c r="AW32" s="444"/>
      <c r="AY32" s="444">
        <f>132000000+732750</f>
        <v>132732750</v>
      </c>
      <c r="AZ32" s="449"/>
      <c r="BA32" s="449" t="e">
        <f>+AY32-BF32</f>
        <v>#REF!</v>
      </c>
      <c r="BB32" s="449"/>
      <c r="BC32" s="449"/>
      <c r="BD32" s="449"/>
      <c r="BE32" s="449"/>
      <c r="BF32" s="449" t="e">
        <f>+#REF!</f>
        <v>#REF!</v>
      </c>
      <c r="BG32" s="449"/>
      <c r="BH32" s="449"/>
      <c r="BI32" s="449"/>
      <c r="BJ32" s="449"/>
      <c r="BK32" s="449"/>
      <c r="BL32" s="449" t="e">
        <f t="shared" si="14"/>
        <v>#REF!</v>
      </c>
      <c r="BM32" s="444">
        <f>132000000+732750</f>
        <v>132732750</v>
      </c>
    </row>
    <row r="33" spans="1:65" ht="81" customHeight="1" x14ac:dyDescent="0.2">
      <c r="A33" s="1188"/>
      <c r="B33" s="1402"/>
      <c r="C33" s="1188"/>
      <c r="D33" s="1365"/>
      <c r="E33" s="1372"/>
      <c r="F33" s="1188"/>
      <c r="G33" s="1188"/>
      <c r="H33" s="1188"/>
      <c r="I33" s="472" t="s">
        <v>3710</v>
      </c>
      <c r="J33" s="451" t="s">
        <v>3523</v>
      </c>
      <c r="K33" s="451" t="s">
        <v>3524</v>
      </c>
      <c r="L33" s="451" t="s">
        <v>3525</v>
      </c>
      <c r="M33" s="423">
        <v>3</v>
      </c>
      <c r="N33" s="423">
        <v>3</v>
      </c>
      <c r="O33" s="423">
        <v>4</v>
      </c>
      <c r="P33" s="423">
        <v>4</v>
      </c>
      <c r="Q33" s="424">
        <v>30</v>
      </c>
      <c r="R33" s="424">
        <v>30</v>
      </c>
      <c r="S33" s="424">
        <v>40</v>
      </c>
      <c r="T33" s="424">
        <v>40</v>
      </c>
      <c r="U33" s="419"/>
      <c r="V33" s="438">
        <f t="shared" si="8"/>
        <v>140</v>
      </c>
      <c r="W33" s="550">
        <v>335</v>
      </c>
      <c r="X33" s="566">
        <v>10000000</v>
      </c>
      <c r="Y33" s="549">
        <v>410</v>
      </c>
      <c r="AA33" s="449"/>
      <c r="AB33" s="449"/>
      <c r="AC33" s="449"/>
      <c r="AD33" s="449"/>
      <c r="AE33" s="449"/>
      <c r="AF33" s="449"/>
      <c r="AG33" s="449"/>
      <c r="AH33" s="449">
        <f>+X33</f>
        <v>10000000</v>
      </c>
      <c r="AI33" s="449"/>
      <c r="AJ33" s="449"/>
      <c r="AK33" s="449"/>
      <c r="AL33" s="449">
        <f t="shared" si="9"/>
        <v>10000000</v>
      </c>
      <c r="AM33" s="449">
        <f t="shared" si="15"/>
        <v>30000000</v>
      </c>
      <c r="AN33" s="444">
        <f t="shared" si="10"/>
        <v>30000000</v>
      </c>
      <c r="AO33" s="444">
        <f>+'[3]PLANINVERSIONES DIC'!$BG49</f>
        <v>5223763</v>
      </c>
      <c r="AP33" s="580">
        <v>30000000</v>
      </c>
      <c r="AQ33" s="444"/>
      <c r="AR33" s="444"/>
      <c r="AS33" s="444"/>
      <c r="AT33" s="444">
        <f t="shared" si="12"/>
        <v>10000000</v>
      </c>
      <c r="AU33" s="444">
        <f t="shared" si="13"/>
        <v>-30000000</v>
      </c>
      <c r="AV33" s="442"/>
      <c r="AW33" s="444"/>
      <c r="AY33" s="444"/>
      <c r="AZ33" s="449"/>
      <c r="BA33" s="449"/>
      <c r="BB33" s="449"/>
      <c r="BC33" s="449"/>
      <c r="BD33" s="449"/>
      <c r="BE33" s="449"/>
      <c r="BF33" s="449"/>
      <c r="BG33" s="449"/>
      <c r="BH33" s="449"/>
      <c r="BI33" s="449"/>
      <c r="BJ33" s="449"/>
      <c r="BK33" s="449"/>
      <c r="BL33" s="449">
        <f t="shared" si="14"/>
        <v>0</v>
      </c>
      <c r="BM33" s="444"/>
    </row>
    <row r="34" spans="1:65" ht="90.75" customHeight="1" x14ac:dyDescent="0.2">
      <c r="A34" s="1188"/>
      <c r="B34" s="1402"/>
      <c r="C34" s="1188"/>
      <c r="D34" s="1365"/>
      <c r="E34" s="1372"/>
      <c r="F34" s="1188"/>
      <c r="G34" s="1188"/>
      <c r="H34" s="1188"/>
      <c r="I34" s="472" t="s">
        <v>3711</v>
      </c>
      <c r="J34" s="451" t="s">
        <v>3689</v>
      </c>
      <c r="K34" s="451" t="s">
        <v>3520</v>
      </c>
      <c r="L34" s="451" t="s">
        <v>3690</v>
      </c>
      <c r="M34" s="421">
        <v>0</v>
      </c>
      <c r="N34" s="413">
        <v>0.1</v>
      </c>
      <c r="O34" s="413">
        <v>0.2</v>
      </c>
      <c r="P34" s="413">
        <v>0.2</v>
      </c>
      <c r="Q34" s="414">
        <v>5</v>
      </c>
      <c r="R34" s="414">
        <v>40</v>
      </c>
      <c r="S34" s="414">
        <v>30</v>
      </c>
      <c r="T34" s="414">
        <v>40</v>
      </c>
      <c r="U34" s="419"/>
      <c r="V34" s="437">
        <f t="shared" si="8"/>
        <v>115</v>
      </c>
      <c r="W34" s="550">
        <v>336</v>
      </c>
      <c r="X34" s="566">
        <v>10000000</v>
      </c>
      <c r="Y34" s="549">
        <v>410</v>
      </c>
      <c r="AA34" s="449"/>
      <c r="AB34" s="449"/>
      <c r="AC34" s="449"/>
      <c r="AD34" s="449"/>
      <c r="AE34" s="449"/>
      <c r="AF34" s="449"/>
      <c r="AG34" s="449"/>
      <c r="AH34" s="449">
        <f>+X34</f>
        <v>10000000</v>
      </c>
      <c r="AI34" s="449"/>
      <c r="AJ34" s="449"/>
      <c r="AK34" s="449"/>
      <c r="AL34" s="449">
        <f t="shared" si="9"/>
        <v>10000000</v>
      </c>
      <c r="AM34" s="449">
        <f t="shared" si="15"/>
        <v>20000000</v>
      </c>
      <c r="AN34" s="444">
        <f t="shared" si="10"/>
        <v>20000000</v>
      </c>
      <c r="AO34" s="444">
        <f>+'[3]PLANINVERSIONES DIC'!$BG50</f>
        <v>39700000</v>
      </c>
      <c r="AP34" s="580">
        <v>20000000</v>
      </c>
      <c r="AQ34" s="444"/>
      <c r="AR34" s="444"/>
      <c r="AS34" s="444"/>
      <c r="AT34" s="444">
        <f t="shared" si="12"/>
        <v>10000000</v>
      </c>
      <c r="AU34" s="444">
        <f t="shared" si="13"/>
        <v>-20000000</v>
      </c>
      <c r="AV34" s="442"/>
      <c r="AW34" s="444"/>
      <c r="AY34" s="444"/>
      <c r="AZ34" s="449"/>
      <c r="BA34" s="449"/>
      <c r="BB34" s="449"/>
      <c r="BC34" s="449"/>
      <c r="BD34" s="449"/>
      <c r="BE34" s="449"/>
      <c r="BF34" s="449"/>
      <c r="BG34" s="449"/>
      <c r="BH34" s="449"/>
      <c r="BI34" s="449"/>
      <c r="BJ34" s="449"/>
      <c r="BK34" s="449"/>
      <c r="BL34" s="449">
        <f t="shared" si="14"/>
        <v>0</v>
      </c>
      <c r="BM34" s="444"/>
    </row>
    <row r="35" spans="1:65" ht="82.5" customHeight="1" x14ac:dyDescent="0.2">
      <c r="A35" s="1188"/>
      <c r="B35" s="1402"/>
      <c r="C35" s="1188"/>
      <c r="D35" s="1365"/>
      <c r="E35" s="1372"/>
      <c r="F35" s="1188"/>
      <c r="G35" s="1188"/>
      <c r="H35" s="1188"/>
      <c r="I35" s="472" t="s">
        <v>3712</v>
      </c>
      <c r="J35" s="451" t="s">
        <v>3521</v>
      </c>
      <c r="K35" s="451" t="s">
        <v>3522</v>
      </c>
      <c r="L35" s="451" t="s">
        <v>3234</v>
      </c>
      <c r="M35" s="421">
        <v>0</v>
      </c>
      <c r="N35" s="413">
        <v>0.2</v>
      </c>
      <c r="O35" s="413">
        <v>0.2</v>
      </c>
      <c r="P35" s="413">
        <v>0.6</v>
      </c>
      <c r="Q35" s="414">
        <v>15</v>
      </c>
      <c r="R35" s="414">
        <v>35</v>
      </c>
      <c r="S35" s="414">
        <v>150</v>
      </c>
      <c r="T35" s="414">
        <v>150</v>
      </c>
      <c r="U35" s="419"/>
      <c r="V35" s="437">
        <f t="shared" si="8"/>
        <v>350</v>
      </c>
      <c r="W35" s="550">
        <v>337</v>
      </c>
      <c r="X35" s="566">
        <v>15000000</v>
      </c>
      <c r="Y35" s="549">
        <v>410</v>
      </c>
      <c r="AA35" s="449"/>
      <c r="AB35" s="449"/>
      <c r="AC35" s="449"/>
      <c r="AD35" s="449"/>
      <c r="AE35" s="449"/>
      <c r="AF35" s="449"/>
      <c r="AG35" s="449"/>
      <c r="AH35" s="449">
        <f>+X35</f>
        <v>15000000</v>
      </c>
      <c r="AI35" s="449"/>
      <c r="AJ35" s="449"/>
      <c r="AK35" s="449"/>
      <c r="AL35" s="449">
        <f t="shared" si="9"/>
        <v>15000000</v>
      </c>
      <c r="AM35" s="449">
        <f t="shared" si="15"/>
        <v>135000000</v>
      </c>
      <c r="AN35" s="444">
        <f t="shared" si="10"/>
        <v>135000000</v>
      </c>
      <c r="AO35" s="444">
        <f>+'[3]PLANINVERSIONES DIC'!$BG51</f>
        <v>9606897</v>
      </c>
      <c r="AP35" s="587">
        <v>20000000</v>
      </c>
      <c r="AQ35" s="444"/>
      <c r="AR35" s="444"/>
      <c r="AS35" s="444"/>
      <c r="AT35" s="444">
        <f t="shared" si="12"/>
        <v>15000000</v>
      </c>
      <c r="AU35" s="444">
        <f t="shared" si="13"/>
        <v>-135000000</v>
      </c>
      <c r="AV35" s="442"/>
      <c r="AW35" s="444"/>
      <c r="AY35" s="444"/>
      <c r="AZ35" s="449"/>
      <c r="BA35" s="449"/>
      <c r="BB35" s="449"/>
      <c r="BC35" s="449"/>
      <c r="BD35" s="449"/>
      <c r="BE35" s="449"/>
      <c r="BF35" s="449"/>
      <c r="BG35" s="449"/>
      <c r="BH35" s="449"/>
      <c r="BI35" s="449"/>
      <c r="BJ35" s="449"/>
      <c r="BK35" s="449"/>
      <c r="BL35" s="449">
        <f t="shared" si="14"/>
        <v>0</v>
      </c>
      <c r="BM35" s="444"/>
    </row>
    <row r="36" spans="1:65" ht="92.25" customHeight="1" x14ac:dyDescent="0.2">
      <c r="A36" s="1185">
        <v>3</v>
      </c>
      <c r="B36" s="1363" t="s">
        <v>3162</v>
      </c>
      <c r="C36" s="1185" t="s">
        <v>3493</v>
      </c>
      <c r="D36" s="1364" t="s">
        <v>3182</v>
      </c>
      <c r="E36" s="1374" t="s">
        <v>3503</v>
      </c>
      <c r="F36" s="1376" t="s">
        <v>3499</v>
      </c>
      <c r="G36" s="1185" t="s">
        <v>3500</v>
      </c>
      <c r="H36" s="1185" t="s">
        <v>3501</v>
      </c>
      <c r="I36" s="472" t="s">
        <v>3713</v>
      </c>
      <c r="J36" s="459" t="s">
        <v>3684</v>
      </c>
      <c r="K36" s="453">
        <v>0</v>
      </c>
      <c r="L36" s="459" t="s">
        <v>3685</v>
      </c>
      <c r="M36" s="422">
        <v>0</v>
      </c>
      <c r="N36" s="413">
        <v>0.05</v>
      </c>
      <c r="O36" s="413">
        <v>0.15</v>
      </c>
      <c r="P36" s="413">
        <v>0.2</v>
      </c>
      <c r="Q36" s="414">
        <v>5</v>
      </c>
      <c r="R36" s="414">
        <v>5</v>
      </c>
      <c r="S36" s="414">
        <v>15</v>
      </c>
      <c r="T36" s="414">
        <v>15</v>
      </c>
      <c r="U36" s="419"/>
      <c r="V36" s="437">
        <f t="shared" si="8"/>
        <v>40</v>
      </c>
      <c r="W36" s="550">
        <v>341</v>
      </c>
      <c r="X36" s="566">
        <v>5000000</v>
      </c>
      <c r="Y36" s="549">
        <v>510</v>
      </c>
      <c r="AA36" s="449"/>
      <c r="AB36" s="449"/>
      <c r="AC36" s="449"/>
      <c r="AD36" s="449"/>
      <c r="AE36" s="449"/>
      <c r="AF36" s="449"/>
      <c r="AG36" s="449"/>
      <c r="AH36" s="449">
        <f>+X36</f>
        <v>5000000</v>
      </c>
      <c r="AI36" s="449"/>
      <c r="AJ36" s="449"/>
      <c r="AK36" s="449"/>
      <c r="AL36" s="449">
        <f t="shared" si="9"/>
        <v>5000000</v>
      </c>
      <c r="AM36" s="449">
        <f t="shared" si="15"/>
        <v>10000000</v>
      </c>
      <c r="AN36" s="444">
        <f t="shared" si="10"/>
        <v>10000000</v>
      </c>
      <c r="AO36" s="444">
        <f>+'[3]PLANINVERSIONES DIC'!$BG52</f>
        <v>5000000</v>
      </c>
      <c r="AP36" s="580">
        <v>10000000</v>
      </c>
      <c r="AQ36" s="444"/>
      <c r="AR36" s="444"/>
      <c r="AS36" s="444"/>
      <c r="AT36" s="444">
        <f t="shared" si="12"/>
        <v>5000000</v>
      </c>
      <c r="AU36" s="444">
        <f t="shared" si="13"/>
        <v>-10000000</v>
      </c>
      <c r="AV36" s="442"/>
      <c r="AW36" s="444"/>
      <c r="AY36" s="444"/>
      <c r="AZ36" s="449"/>
      <c r="BA36" s="449"/>
      <c r="BB36" s="449"/>
      <c r="BC36" s="449"/>
      <c r="BD36" s="449"/>
      <c r="BE36" s="449"/>
      <c r="BF36" s="449"/>
      <c r="BG36" s="449"/>
      <c r="BH36" s="449"/>
      <c r="BI36" s="449"/>
      <c r="BJ36" s="449"/>
      <c r="BK36" s="449"/>
      <c r="BL36" s="449">
        <f t="shared" si="14"/>
        <v>0</v>
      </c>
      <c r="BM36" s="444"/>
    </row>
    <row r="37" spans="1:65" ht="91.5" customHeight="1" x14ac:dyDescent="0.2">
      <c r="A37" s="1187"/>
      <c r="B37" s="1373"/>
      <c r="C37" s="1187"/>
      <c r="D37" s="1373"/>
      <c r="E37" s="1375"/>
      <c r="F37" s="1377"/>
      <c r="G37" s="1187"/>
      <c r="H37" s="1187"/>
      <c r="I37" s="401" t="s">
        <v>3714</v>
      </c>
      <c r="J37" s="451" t="s">
        <v>3686</v>
      </c>
      <c r="K37" s="460">
        <v>4</v>
      </c>
      <c r="L37" s="451" t="s">
        <v>3273</v>
      </c>
      <c r="M37" s="422">
        <v>4</v>
      </c>
      <c r="N37" s="422">
        <v>11</v>
      </c>
      <c r="O37" s="422">
        <v>11</v>
      </c>
      <c r="P37" s="422">
        <v>11</v>
      </c>
      <c r="Q37" s="414">
        <v>100</v>
      </c>
      <c r="R37" s="414">
        <v>117</v>
      </c>
      <c r="S37" s="414">
        <v>100</v>
      </c>
      <c r="T37" s="414">
        <v>100</v>
      </c>
      <c r="U37" s="419"/>
      <c r="V37" s="437">
        <f t="shared" si="8"/>
        <v>417</v>
      </c>
      <c r="W37" s="550">
        <v>342</v>
      </c>
      <c r="X37" s="566">
        <v>50000000</v>
      </c>
      <c r="Y37" s="549">
        <v>510</v>
      </c>
      <c r="AA37" s="449">
        <v>20000000</v>
      </c>
      <c r="AB37" s="449"/>
      <c r="AC37" s="449"/>
      <c r="AD37" s="449"/>
      <c r="AE37" s="449"/>
      <c r="AF37" s="449"/>
      <c r="AG37" s="449"/>
      <c r="AH37" s="449">
        <f>+X37-AA37</f>
        <v>30000000</v>
      </c>
      <c r="AI37" s="449"/>
      <c r="AJ37" s="449"/>
      <c r="AK37" s="449"/>
      <c r="AL37" s="449">
        <f t="shared" si="9"/>
        <v>50000000</v>
      </c>
      <c r="AM37" s="449">
        <f>+S37*1000000-X37</f>
        <v>50000000</v>
      </c>
      <c r="AN37" s="444">
        <f t="shared" si="10"/>
        <v>50000000</v>
      </c>
      <c r="AO37" s="444">
        <f>+'[3]PLANINVERSIONES DIC'!$BG53</f>
        <v>25852320</v>
      </c>
      <c r="AP37" s="580">
        <f>+AO37+39923664</f>
        <v>65775984</v>
      </c>
      <c r="AQ37" s="444"/>
      <c r="AR37" s="444"/>
      <c r="AS37" s="444"/>
      <c r="AT37" s="444">
        <f t="shared" si="12"/>
        <v>50000000</v>
      </c>
      <c r="AU37" s="444">
        <f t="shared" si="13"/>
        <v>-50000000</v>
      </c>
      <c r="AV37" s="442"/>
      <c r="AW37" s="444"/>
      <c r="AY37" s="444"/>
      <c r="AZ37" s="449"/>
      <c r="BA37" s="449"/>
      <c r="BB37" s="449"/>
      <c r="BC37" s="449"/>
      <c r="BD37" s="449"/>
      <c r="BE37" s="449"/>
      <c r="BF37" s="449"/>
      <c r="BG37" s="449"/>
      <c r="BH37" s="449"/>
      <c r="BI37" s="449"/>
      <c r="BJ37" s="449"/>
      <c r="BK37" s="449"/>
      <c r="BL37" s="449">
        <f t="shared" si="14"/>
        <v>0</v>
      </c>
      <c r="BM37" s="444"/>
    </row>
    <row r="38" spans="1:65" ht="24.75" customHeight="1" x14ac:dyDescent="0.25">
      <c r="A38" s="461"/>
      <c r="B38" s="461"/>
      <c r="C38" s="461"/>
      <c r="D38" s="461"/>
      <c r="E38" s="461"/>
      <c r="F38" s="461"/>
      <c r="G38" s="461"/>
      <c r="H38" s="461"/>
      <c r="I38" s="461"/>
      <c r="J38" s="462"/>
      <c r="K38" s="461"/>
      <c r="L38" s="461"/>
      <c r="M38" s="1345" t="s">
        <v>695</v>
      </c>
      <c r="N38" s="1346"/>
      <c r="O38" s="1346"/>
      <c r="P38" s="1347"/>
      <c r="Q38" s="395">
        <f t="shared" ref="Q38:V38" si="16">SUM(Q15:Q37)</f>
        <v>3023</v>
      </c>
      <c r="R38" s="395">
        <f t="shared" si="16"/>
        <v>4755</v>
      </c>
      <c r="S38" s="395">
        <f t="shared" si="16"/>
        <v>4186.4400000000005</v>
      </c>
      <c r="T38" s="395">
        <f t="shared" si="16"/>
        <v>4438.7332000000006</v>
      </c>
      <c r="U38" s="395">
        <f t="shared" si="16"/>
        <v>0</v>
      </c>
      <c r="V38" s="395">
        <f t="shared" si="16"/>
        <v>16403.173200000001</v>
      </c>
      <c r="W38" s="550"/>
      <c r="X38" s="446">
        <f>SUM(X15:X37)</f>
        <v>4463770754</v>
      </c>
      <c r="Y38" s="549"/>
      <c r="AA38" s="446">
        <f>SUM(AA15:AA37)</f>
        <v>1915902120</v>
      </c>
      <c r="AB38" s="446">
        <f t="shared" ref="AB38:AL38" si="17">SUM(AB15:AB37)</f>
        <v>500068634</v>
      </c>
      <c r="AC38" s="446">
        <f t="shared" si="17"/>
        <v>0</v>
      </c>
      <c r="AD38" s="446">
        <f t="shared" si="17"/>
        <v>0</v>
      </c>
      <c r="AE38" s="446">
        <f t="shared" si="17"/>
        <v>0</v>
      </c>
      <c r="AF38" s="446">
        <f t="shared" si="17"/>
        <v>0</v>
      </c>
      <c r="AG38" s="446">
        <f t="shared" si="17"/>
        <v>1416800000</v>
      </c>
      <c r="AH38" s="446">
        <f t="shared" si="17"/>
        <v>631000000</v>
      </c>
      <c r="AI38" s="446"/>
      <c r="AJ38" s="446">
        <f t="shared" si="17"/>
        <v>0</v>
      </c>
      <c r="AK38" s="446"/>
      <c r="AL38" s="446">
        <f t="shared" si="17"/>
        <v>4463770754</v>
      </c>
      <c r="AM38" s="445">
        <f>SUM(AM26:AM37)</f>
        <v>-321800000</v>
      </c>
      <c r="AN38" s="446">
        <f t="shared" ref="AN38:AU38" si="18">SUM(AN15:AN37)</f>
        <v>-277330754</v>
      </c>
      <c r="AO38" s="446">
        <f t="shared" si="18"/>
        <v>1089999421</v>
      </c>
      <c r="AP38" s="446">
        <f t="shared" si="18"/>
        <v>700977980</v>
      </c>
      <c r="AQ38" s="446">
        <f t="shared" si="18"/>
        <v>900000000</v>
      </c>
      <c r="AR38" s="446">
        <f t="shared" si="18"/>
        <v>1190732750</v>
      </c>
      <c r="AS38" s="446">
        <f t="shared" si="18"/>
        <v>-69000000</v>
      </c>
      <c r="AT38" s="446">
        <f t="shared" si="18"/>
        <v>5585503504</v>
      </c>
      <c r="AU38" s="446">
        <f t="shared" si="18"/>
        <v>1399063504</v>
      </c>
      <c r="AV38" s="442"/>
      <c r="AW38" s="446">
        <f>SUM(AW15:AW37)</f>
        <v>2500000000</v>
      </c>
      <c r="AY38" s="446">
        <f>SUM(AY15:AY37)</f>
        <v>290732750</v>
      </c>
      <c r="AZ38" s="446">
        <f>SUM(AZ15:AZ37)</f>
        <v>-20000000</v>
      </c>
      <c r="BA38" s="446" t="e">
        <f t="shared" ref="BA38:BK38" si="19">SUM(BA15:BA37)</f>
        <v>#REF!</v>
      </c>
      <c r="BB38" s="446">
        <f t="shared" si="19"/>
        <v>0</v>
      </c>
      <c r="BC38" s="446">
        <f t="shared" si="19"/>
        <v>0</v>
      </c>
      <c r="BD38" s="446">
        <f t="shared" si="19"/>
        <v>0</v>
      </c>
      <c r="BE38" s="446">
        <f t="shared" si="19"/>
        <v>0</v>
      </c>
      <c r="BF38" s="446" t="e">
        <f t="shared" si="19"/>
        <v>#REF!</v>
      </c>
      <c r="BG38" s="446">
        <f t="shared" si="19"/>
        <v>-49000000</v>
      </c>
      <c r="BH38" s="446">
        <f t="shared" si="19"/>
        <v>0</v>
      </c>
      <c r="BI38" s="446">
        <f t="shared" si="19"/>
        <v>0</v>
      </c>
      <c r="BJ38" s="446">
        <f t="shared" si="19"/>
        <v>0</v>
      </c>
      <c r="BK38" s="446">
        <f t="shared" si="19"/>
        <v>0</v>
      </c>
      <c r="BL38" s="446" t="e">
        <f>SUM(BL15:BL37)</f>
        <v>#REF!</v>
      </c>
      <c r="BM38" s="446">
        <f>SUM(BM15:BM37)</f>
        <v>290732750</v>
      </c>
    </row>
    <row r="39" spans="1:65" ht="20.25" customHeight="1" x14ac:dyDescent="0.25">
      <c r="A39" s="398"/>
      <c r="B39" s="456"/>
      <c r="C39" s="398"/>
      <c r="D39" s="396"/>
      <c r="E39" s="396"/>
      <c r="F39" s="396"/>
      <c r="G39" s="396"/>
      <c r="H39" s="398"/>
      <c r="I39" s="398"/>
      <c r="J39" s="396"/>
      <c r="K39" s="396"/>
      <c r="L39" s="457"/>
      <c r="M39" s="416"/>
      <c r="N39" s="416"/>
      <c r="O39" s="416"/>
      <c r="P39" s="417"/>
      <c r="Q39" s="417"/>
      <c r="R39" s="417"/>
      <c r="S39" s="417"/>
      <c r="T39" s="416"/>
      <c r="U39" s="399"/>
      <c r="V39" s="397"/>
      <c r="W39" s="551"/>
      <c r="X39" s="567"/>
      <c r="Y39" s="568"/>
      <c r="Z39" s="487"/>
      <c r="AA39" s="488"/>
      <c r="AB39" s="488"/>
      <c r="AC39" s="488"/>
      <c r="AD39" s="488"/>
      <c r="AE39" s="488"/>
      <c r="AF39" s="488"/>
      <c r="AG39" s="488"/>
      <c r="AH39" s="488"/>
      <c r="AI39" s="488"/>
      <c r="AJ39" s="488"/>
      <c r="AK39" s="488"/>
      <c r="AL39" s="488"/>
      <c r="AN39" s="478"/>
      <c r="AO39" s="478"/>
      <c r="AP39" s="478"/>
      <c r="AQ39" s="478"/>
      <c r="AR39" s="478"/>
      <c r="AS39" s="478"/>
      <c r="AT39" s="478"/>
      <c r="AU39" s="478"/>
      <c r="AW39" s="478"/>
      <c r="AY39" s="478"/>
      <c r="AZ39" s="488"/>
      <c r="BA39" s="488"/>
      <c r="BB39" s="488"/>
      <c r="BC39" s="488"/>
      <c r="BD39" s="488"/>
      <c r="BE39" s="488"/>
      <c r="BF39" s="488"/>
      <c r="BG39" s="488"/>
      <c r="BH39" s="488"/>
      <c r="BI39" s="488"/>
      <c r="BJ39" s="488"/>
      <c r="BK39" s="488"/>
      <c r="BL39" s="488"/>
      <c r="BM39" s="478"/>
    </row>
    <row r="40" spans="1:65" ht="80.25" customHeight="1" x14ac:dyDescent="0.2">
      <c r="A40" s="1398">
        <v>4</v>
      </c>
      <c r="B40" s="1400" t="s">
        <v>3526</v>
      </c>
      <c r="C40" s="1185" t="s">
        <v>3527</v>
      </c>
      <c r="D40" s="1365" t="s">
        <v>3528</v>
      </c>
      <c r="E40" s="1394" t="s">
        <v>3529</v>
      </c>
      <c r="F40" s="1188" t="s">
        <v>3530</v>
      </c>
      <c r="G40" s="1185" t="s">
        <v>446</v>
      </c>
      <c r="H40" s="1188" t="s">
        <v>3531</v>
      </c>
      <c r="I40" s="472" t="s">
        <v>3715</v>
      </c>
      <c r="J40" s="451" t="s">
        <v>3532</v>
      </c>
      <c r="K40" s="451">
        <v>0</v>
      </c>
      <c r="L40" s="451" t="s">
        <v>3533</v>
      </c>
      <c r="M40" s="425" t="s">
        <v>3534</v>
      </c>
      <c r="N40" s="425" t="s">
        <v>3534</v>
      </c>
      <c r="O40" s="425" t="s">
        <v>3534</v>
      </c>
      <c r="P40" s="425" t="s">
        <v>3534</v>
      </c>
      <c r="Q40" s="426">
        <v>50</v>
      </c>
      <c r="R40" s="426">
        <v>46</v>
      </c>
      <c r="S40" s="426">
        <v>70</v>
      </c>
      <c r="T40" s="426">
        <v>50</v>
      </c>
      <c r="U40" s="427"/>
      <c r="V40" s="438">
        <f>Q40+R40+S40+T40</f>
        <v>216</v>
      </c>
      <c r="W40" s="550">
        <v>411</v>
      </c>
      <c r="X40" s="566">
        <v>40000000</v>
      </c>
      <c r="Y40" s="549">
        <v>510</v>
      </c>
      <c r="AA40" s="449">
        <v>40000000</v>
      </c>
      <c r="AB40" s="449"/>
      <c r="AC40" s="449"/>
      <c r="AD40" s="449"/>
      <c r="AE40" s="449"/>
      <c r="AF40" s="449"/>
      <c r="AG40" s="449"/>
      <c r="AH40" s="449"/>
      <c r="AI40" s="449"/>
      <c r="AJ40" s="449"/>
      <c r="AK40" s="449"/>
      <c r="AL40" s="449">
        <f t="shared" ref="AL40:AL45" si="20">SUM(AA40:AJ40)</f>
        <v>40000000</v>
      </c>
      <c r="AN40" s="444">
        <f t="shared" ref="AN40:AN45" si="21">+S40*1000000-X40</f>
        <v>30000000</v>
      </c>
      <c r="AO40" s="444">
        <f>+'[3]PLANINVERSIONES DIC'!$BG56</f>
        <v>83490</v>
      </c>
      <c r="AP40" s="587">
        <v>10000000</v>
      </c>
      <c r="AQ40" s="444"/>
      <c r="AR40" s="444">
        <f>+AP40+AQ40</f>
        <v>10000000</v>
      </c>
      <c r="AS40" s="444"/>
      <c r="AT40" s="444">
        <f t="shared" ref="AT40:AT45" si="22">+X40+AR40+AS40</f>
        <v>50000000</v>
      </c>
      <c r="AU40" s="444">
        <f t="shared" ref="AU40:AU45" si="23">+AT40-S40*1000000</f>
        <v>-20000000</v>
      </c>
      <c r="AV40" s="442"/>
      <c r="AW40" s="444"/>
      <c r="AY40" s="444"/>
      <c r="AZ40" s="449"/>
      <c r="BA40" s="449"/>
      <c r="BB40" s="449"/>
      <c r="BC40" s="449"/>
      <c r="BD40" s="449"/>
      <c r="BE40" s="449"/>
      <c r="BF40" s="449"/>
      <c r="BG40" s="449"/>
      <c r="BH40" s="449">
        <f>+AR40</f>
        <v>10000000</v>
      </c>
      <c r="BI40" s="449"/>
      <c r="BJ40" s="449"/>
      <c r="BK40" s="449"/>
      <c r="BL40" s="449">
        <f t="shared" ref="BL40:BL45" si="24">SUM(AZ40:BJ40)</f>
        <v>10000000</v>
      </c>
      <c r="BM40" s="444"/>
    </row>
    <row r="41" spans="1:65" ht="61.5" customHeight="1" x14ac:dyDescent="0.2">
      <c r="A41" s="1399"/>
      <c r="B41" s="1401"/>
      <c r="C41" s="1186"/>
      <c r="D41" s="1365"/>
      <c r="E41" s="1395"/>
      <c r="F41" s="1188"/>
      <c r="G41" s="1186"/>
      <c r="H41" s="1188"/>
      <c r="I41" s="401" t="s">
        <v>3716</v>
      </c>
      <c r="J41" s="451" t="s">
        <v>3535</v>
      </c>
      <c r="K41" s="451">
        <v>0</v>
      </c>
      <c r="L41" s="451" t="s">
        <v>3536</v>
      </c>
      <c r="M41" s="428">
        <v>0.4</v>
      </c>
      <c r="N41" s="428">
        <v>0</v>
      </c>
      <c r="O41" s="428">
        <v>0.3</v>
      </c>
      <c r="P41" s="428">
        <v>0.15</v>
      </c>
      <c r="Q41" s="426">
        <v>5</v>
      </c>
      <c r="R41" s="426">
        <v>0</v>
      </c>
      <c r="S41" s="426">
        <v>10</v>
      </c>
      <c r="T41" s="426">
        <v>10</v>
      </c>
      <c r="U41" s="427"/>
      <c r="V41" s="438">
        <f>Q41+R41+S41+T41</f>
        <v>25</v>
      </c>
      <c r="W41" s="550">
        <v>412</v>
      </c>
      <c r="X41" s="566"/>
      <c r="Y41" s="549">
        <v>510</v>
      </c>
      <c r="AA41" s="449"/>
      <c r="AB41" s="449"/>
      <c r="AC41" s="449"/>
      <c r="AD41" s="449"/>
      <c r="AE41" s="449"/>
      <c r="AF41" s="449"/>
      <c r="AG41" s="449"/>
      <c r="AH41" s="449"/>
      <c r="AI41" s="449"/>
      <c r="AJ41" s="449"/>
      <c r="AK41" s="449"/>
      <c r="AL41" s="449">
        <f t="shared" si="20"/>
        <v>0</v>
      </c>
      <c r="AN41" s="444">
        <f t="shared" si="21"/>
        <v>10000000</v>
      </c>
      <c r="AO41" s="444">
        <f>+'[3]PLANINVERSIONES DIC'!$BG57</f>
        <v>0</v>
      </c>
      <c r="AP41" s="580">
        <v>10000000</v>
      </c>
      <c r="AQ41" s="444"/>
      <c r="AR41" s="444"/>
      <c r="AS41" s="444"/>
      <c r="AT41" s="444">
        <f t="shared" si="22"/>
        <v>0</v>
      </c>
      <c r="AU41" s="444">
        <f t="shared" si="23"/>
        <v>-10000000</v>
      </c>
      <c r="AV41" s="442"/>
      <c r="AW41" s="444"/>
      <c r="AY41" s="444"/>
      <c r="AZ41" s="449"/>
      <c r="BA41" s="449"/>
      <c r="BB41" s="449"/>
      <c r="BC41" s="449"/>
      <c r="BD41" s="449"/>
      <c r="BE41" s="449"/>
      <c r="BF41" s="449"/>
      <c r="BG41" s="449"/>
      <c r="BH41" s="449"/>
      <c r="BI41" s="449"/>
      <c r="BJ41" s="449"/>
      <c r="BK41" s="449"/>
      <c r="BL41" s="449">
        <f t="shared" si="24"/>
        <v>0</v>
      </c>
      <c r="BM41" s="444"/>
    </row>
    <row r="42" spans="1:65" ht="126" customHeight="1" x14ac:dyDescent="0.2">
      <c r="A42" s="1399"/>
      <c r="B42" s="1401"/>
      <c r="C42" s="1186"/>
      <c r="D42" s="1373" t="s">
        <v>3537</v>
      </c>
      <c r="E42" s="1362" t="s">
        <v>3538</v>
      </c>
      <c r="F42" s="1188" t="s">
        <v>3504</v>
      </c>
      <c r="G42" s="1188">
        <v>0</v>
      </c>
      <c r="H42" s="1188" t="s">
        <v>3539</v>
      </c>
      <c r="I42" s="401" t="s">
        <v>3717</v>
      </c>
      <c r="J42" s="451" t="s">
        <v>3540</v>
      </c>
      <c r="K42" s="463">
        <v>0</v>
      </c>
      <c r="L42" s="451" t="s">
        <v>3036</v>
      </c>
      <c r="M42" s="429" t="s">
        <v>3541</v>
      </c>
      <c r="N42" s="429" t="s">
        <v>3542</v>
      </c>
      <c r="O42" s="429" t="s">
        <v>3543</v>
      </c>
      <c r="P42" s="429" t="s">
        <v>3544</v>
      </c>
      <c r="Q42" s="414">
        <v>4600</v>
      </c>
      <c r="R42" s="414">
        <v>6195</v>
      </c>
      <c r="S42" s="414">
        <v>3700</v>
      </c>
      <c r="T42" s="414">
        <v>4000</v>
      </c>
      <c r="U42" s="419"/>
      <c r="V42" s="437">
        <f>Q42+R42+S42+T42</f>
        <v>18495</v>
      </c>
      <c r="W42" s="550" t="s">
        <v>3623</v>
      </c>
      <c r="X42" s="566">
        <f>167960301+232172859+70000000</f>
        <v>470133160</v>
      </c>
      <c r="Y42" s="549">
        <v>111</v>
      </c>
      <c r="AA42" s="449"/>
      <c r="AB42" s="449">
        <f>232172859+167960301</f>
        <v>400133160</v>
      </c>
      <c r="AC42" s="449"/>
      <c r="AD42" s="449">
        <v>36500000</v>
      </c>
      <c r="AE42" s="449">
        <v>10000000</v>
      </c>
      <c r="AF42" s="449">
        <v>23500000</v>
      </c>
      <c r="AG42" s="449"/>
      <c r="AH42" s="449"/>
      <c r="AI42" s="449"/>
      <c r="AJ42" s="449"/>
      <c r="AK42" s="449"/>
      <c r="AL42" s="449">
        <f t="shared" si="20"/>
        <v>470133160</v>
      </c>
      <c r="AN42" s="444">
        <f t="shared" si="21"/>
        <v>3229866840</v>
      </c>
      <c r="AO42" s="444">
        <f>+[4]PLANTAFISICA!$M$54</f>
        <v>2123567389.3333333</v>
      </c>
      <c r="AP42" s="587">
        <v>3068356818.1999998</v>
      </c>
      <c r="AQ42" s="444"/>
      <c r="AR42" s="444">
        <v>2958222037</v>
      </c>
      <c r="AS42" s="444"/>
      <c r="AT42" s="444">
        <f t="shared" si="22"/>
        <v>3428355197</v>
      </c>
      <c r="AU42" s="444">
        <f t="shared" si="23"/>
        <v>-271644803</v>
      </c>
      <c r="AV42" s="442"/>
      <c r="AW42" s="444">
        <v>700000000</v>
      </c>
      <c r="AY42" s="444"/>
      <c r="AZ42" s="449"/>
      <c r="BA42" s="449" t="e">
        <f>+#REF!-BA43</f>
        <v>#REF!</v>
      </c>
      <c r="BB42" s="449" t="e">
        <f>+#REF!</f>
        <v>#REF!</v>
      </c>
      <c r="BC42" s="449"/>
      <c r="BD42" s="449"/>
      <c r="BE42" s="449"/>
      <c r="BF42" s="449" t="e">
        <f>+#REF!</f>
        <v>#REF!</v>
      </c>
      <c r="BG42" s="449"/>
      <c r="BH42" s="449" t="e">
        <f>+#REF!</f>
        <v>#REF!</v>
      </c>
      <c r="BI42" s="449"/>
      <c r="BJ42" s="449"/>
      <c r="BK42" s="449"/>
      <c r="BL42" s="449" t="e">
        <f t="shared" si="24"/>
        <v>#REF!</v>
      </c>
      <c r="BM42" s="444"/>
    </row>
    <row r="43" spans="1:65" ht="93.75" customHeight="1" x14ac:dyDescent="0.2">
      <c r="A43" s="1399"/>
      <c r="B43" s="1401"/>
      <c r="C43" s="1186"/>
      <c r="D43" s="1373"/>
      <c r="E43" s="1360"/>
      <c r="F43" s="1188"/>
      <c r="G43" s="1188"/>
      <c r="H43" s="1188"/>
      <c r="I43" s="410" t="s">
        <v>3718</v>
      </c>
      <c r="J43" s="452" t="s">
        <v>3545</v>
      </c>
      <c r="K43" s="452" t="s">
        <v>3546</v>
      </c>
      <c r="L43" s="452" t="s">
        <v>3547</v>
      </c>
      <c r="M43" s="548" t="s">
        <v>3548</v>
      </c>
      <c r="N43" s="548" t="s">
        <v>3549</v>
      </c>
      <c r="O43" s="548" t="s">
        <v>3550</v>
      </c>
      <c r="P43" s="548" t="s">
        <v>3550</v>
      </c>
      <c r="Q43" s="430">
        <v>300</v>
      </c>
      <c r="R43" s="430">
        <v>524</v>
      </c>
      <c r="S43" s="430">
        <v>300</v>
      </c>
      <c r="T43" s="430">
        <v>300</v>
      </c>
      <c r="U43" s="427"/>
      <c r="V43" s="438">
        <f>Q43+R43+S43+T43</f>
        <v>1424</v>
      </c>
      <c r="W43" s="550" t="s">
        <v>3624</v>
      </c>
      <c r="X43" s="566">
        <f>200000000+70271140</f>
        <v>270271140</v>
      </c>
      <c r="Y43" s="549">
        <v>211</v>
      </c>
      <c r="Z43" s="546">
        <v>725068634</v>
      </c>
      <c r="AA43" s="449"/>
      <c r="AB43" s="449">
        <v>200000000</v>
      </c>
      <c r="AC43" s="449"/>
      <c r="AD43" s="449">
        <v>36770400</v>
      </c>
      <c r="AE43" s="449">
        <v>10000000</v>
      </c>
      <c r="AF43" s="449">
        <v>23500740</v>
      </c>
      <c r="AG43" s="449"/>
      <c r="AH43" s="449"/>
      <c r="AI43" s="449"/>
      <c r="AJ43" s="449"/>
      <c r="AK43" s="449"/>
      <c r="AL43" s="449">
        <f t="shared" si="20"/>
        <v>270271140</v>
      </c>
      <c r="AN43" s="444">
        <f t="shared" si="21"/>
        <v>29728860</v>
      </c>
      <c r="AO43" s="444">
        <f>SUM('[3]PLANINVERSIONES DIC'!$BG$63:$BG$66)</f>
        <v>299991607</v>
      </c>
      <c r="AP43" s="580">
        <f>+AN43</f>
        <v>29728860</v>
      </c>
      <c r="AQ43" s="444"/>
      <c r="AR43" s="444">
        <v>110134781</v>
      </c>
      <c r="AS43" s="444"/>
      <c r="AT43" s="444">
        <f t="shared" si="22"/>
        <v>380405921</v>
      </c>
      <c r="AU43" s="444">
        <f t="shared" si="23"/>
        <v>80405921</v>
      </c>
      <c r="AV43" s="442"/>
      <c r="AW43" s="444"/>
      <c r="AY43" s="444"/>
      <c r="AZ43" s="449"/>
      <c r="BA43" s="449">
        <f>+AR43</f>
        <v>110134781</v>
      </c>
      <c r="BB43" s="449"/>
      <c r="BC43" s="449"/>
      <c r="BD43" s="449"/>
      <c r="BE43" s="449"/>
      <c r="BF43" s="449"/>
      <c r="BG43" s="449"/>
      <c r="BH43" s="449"/>
      <c r="BI43" s="449"/>
      <c r="BJ43" s="449"/>
      <c r="BK43" s="449"/>
      <c r="BL43" s="449">
        <f t="shared" si="24"/>
        <v>110134781</v>
      </c>
      <c r="BM43" s="444"/>
    </row>
    <row r="44" spans="1:65" ht="111" customHeight="1" x14ac:dyDescent="0.2">
      <c r="A44" s="1399"/>
      <c r="B44" s="1401"/>
      <c r="C44" s="1186"/>
      <c r="D44" s="1373"/>
      <c r="E44" s="1360"/>
      <c r="F44" s="1188"/>
      <c r="G44" s="1188"/>
      <c r="H44" s="1188"/>
      <c r="I44" s="410" t="s">
        <v>3719</v>
      </c>
      <c r="J44" s="452" t="s">
        <v>3552</v>
      </c>
      <c r="K44" s="451" t="s">
        <v>3553</v>
      </c>
      <c r="L44" s="451" t="s">
        <v>3554</v>
      </c>
      <c r="M44" s="401" t="s">
        <v>3555</v>
      </c>
      <c r="N44" s="401" t="s">
        <v>3556</v>
      </c>
      <c r="O44" s="401" t="s">
        <v>3557</v>
      </c>
      <c r="P44" s="401" t="s">
        <v>3557</v>
      </c>
      <c r="Q44" s="432">
        <v>2300</v>
      </c>
      <c r="R44" s="432">
        <v>887</v>
      </c>
      <c r="S44" s="432">
        <v>2300</v>
      </c>
      <c r="T44" s="432">
        <v>2256</v>
      </c>
      <c r="U44" s="419"/>
      <c r="V44" s="437">
        <f>Q44+R44+S44+T44</f>
        <v>7743</v>
      </c>
      <c r="W44" s="550" t="s">
        <v>3625</v>
      </c>
      <c r="X44" s="566">
        <f>200000000+77000000+1300000000</f>
        <v>1577000000</v>
      </c>
      <c r="Y44" s="549">
        <v>211</v>
      </c>
      <c r="Z44" s="480">
        <v>432172859</v>
      </c>
      <c r="AA44" s="449"/>
      <c r="AB44" s="449">
        <v>200000000</v>
      </c>
      <c r="AC44" s="449">
        <v>77000000</v>
      </c>
      <c r="AD44" s="449"/>
      <c r="AE44" s="449"/>
      <c r="AF44" s="449"/>
      <c r="AG44" s="449">
        <v>1300000000</v>
      </c>
      <c r="AH44" s="449"/>
      <c r="AI44" s="449"/>
      <c r="AJ44" s="449"/>
      <c r="AK44" s="449"/>
      <c r="AL44" s="449">
        <f t="shared" si="20"/>
        <v>1577000000</v>
      </c>
      <c r="AN44" s="444">
        <f t="shared" si="21"/>
        <v>723000000</v>
      </c>
      <c r="AO44" s="444">
        <f>SUM('[3]PLANINVERSIONES DIC'!$BG$67:$BG$89)</f>
        <v>289761977</v>
      </c>
      <c r="AP44" s="587">
        <f>40000000+19000000+1000000</f>
        <v>60000000</v>
      </c>
      <c r="AQ44" s="444"/>
      <c r="AR44" s="444">
        <f>+AP44</f>
        <v>60000000</v>
      </c>
      <c r="AS44" s="444"/>
      <c r="AT44" s="444">
        <f t="shared" si="22"/>
        <v>1637000000</v>
      </c>
      <c r="AU44" s="444">
        <f t="shared" si="23"/>
        <v>-663000000</v>
      </c>
      <c r="AV44" s="442"/>
      <c r="AW44" s="444"/>
      <c r="AY44" s="444"/>
      <c r="AZ44" s="449"/>
      <c r="BA44" s="449"/>
      <c r="BB44" s="449"/>
      <c r="BC44" s="449"/>
      <c r="BD44" s="449"/>
      <c r="BE44" s="449"/>
      <c r="BF44" s="449"/>
      <c r="BG44" s="449"/>
      <c r="BH44" s="449">
        <f>+AR44</f>
        <v>60000000</v>
      </c>
      <c r="BI44" s="449"/>
      <c r="BJ44" s="449"/>
      <c r="BK44" s="449"/>
      <c r="BL44" s="449">
        <f t="shared" si="24"/>
        <v>60000000</v>
      </c>
      <c r="BM44" s="444"/>
    </row>
    <row r="45" spans="1:65" ht="36.75" customHeight="1" x14ac:dyDescent="0.2">
      <c r="A45" s="1399"/>
      <c r="B45" s="1401"/>
      <c r="C45" s="1186"/>
      <c r="D45" s="1373"/>
      <c r="E45" s="1360"/>
      <c r="F45" s="1188"/>
      <c r="G45" s="1188"/>
      <c r="H45" s="1188"/>
      <c r="I45" s="472" t="s">
        <v>237</v>
      </c>
      <c r="J45" s="451" t="s">
        <v>3551</v>
      </c>
      <c r="K45" s="451">
        <v>0</v>
      </c>
      <c r="L45" s="451" t="s">
        <v>3258</v>
      </c>
      <c r="M45" s="421">
        <v>1</v>
      </c>
      <c r="N45" s="421">
        <v>0</v>
      </c>
      <c r="O45" s="421">
        <v>0</v>
      </c>
      <c r="P45" s="421">
        <v>0</v>
      </c>
      <c r="Q45" s="414">
        <v>100</v>
      </c>
      <c r="R45" s="414">
        <v>0</v>
      </c>
      <c r="S45" s="414">
        <v>0</v>
      </c>
      <c r="T45" s="414">
        <v>0</v>
      </c>
      <c r="U45" s="431"/>
      <c r="V45" s="437">
        <f t="shared" ref="V45:V50" si="25">Q45+R45+S45+T45</f>
        <v>100</v>
      </c>
      <c r="W45" s="554">
        <v>422</v>
      </c>
      <c r="X45" s="569"/>
      <c r="Y45" s="570">
        <v>111</v>
      </c>
      <c r="AA45" s="449"/>
      <c r="AB45" s="449"/>
      <c r="AC45" s="449"/>
      <c r="AD45" s="449"/>
      <c r="AE45" s="449"/>
      <c r="AF45" s="449"/>
      <c r="AG45" s="449"/>
      <c r="AH45" s="449"/>
      <c r="AI45" s="449"/>
      <c r="AJ45" s="449"/>
      <c r="AK45" s="449"/>
      <c r="AL45" s="449">
        <f t="shared" si="20"/>
        <v>0</v>
      </c>
      <c r="AN45" s="444">
        <f t="shared" si="21"/>
        <v>0</v>
      </c>
      <c r="AO45" s="444">
        <f>+'[3]PLANINVERSIONES DIC'!$BG$90</f>
        <v>500000</v>
      </c>
      <c r="AQ45" s="580"/>
      <c r="AR45" s="444">
        <f>+AP45+AQ45</f>
        <v>0</v>
      </c>
      <c r="AS45" s="444"/>
      <c r="AT45" s="444">
        <f t="shared" si="22"/>
        <v>0</v>
      </c>
      <c r="AU45" s="444">
        <f t="shared" si="23"/>
        <v>0</v>
      </c>
      <c r="AV45" s="442"/>
      <c r="AW45" s="444">
        <v>1000000000</v>
      </c>
      <c r="AY45" s="444"/>
      <c r="AZ45" s="449"/>
      <c r="BA45" s="449"/>
      <c r="BB45" s="449"/>
      <c r="BC45" s="449"/>
      <c r="BD45" s="449"/>
      <c r="BE45" s="449"/>
      <c r="BF45" s="449"/>
      <c r="BG45" s="449"/>
      <c r="BH45" s="449"/>
      <c r="BI45" s="449"/>
      <c r="BJ45" s="449"/>
      <c r="BK45" s="449"/>
      <c r="BL45" s="449">
        <f t="shared" si="24"/>
        <v>0</v>
      </c>
      <c r="BM45" s="444"/>
    </row>
    <row r="46" spans="1:65" ht="25.5" customHeight="1" x14ac:dyDescent="0.2">
      <c r="A46" s="464"/>
      <c r="B46" s="1401"/>
      <c r="C46" s="1186"/>
      <c r="D46" s="1365"/>
      <c r="E46" s="1397"/>
      <c r="F46" s="1188"/>
      <c r="G46" s="1188"/>
      <c r="H46" s="1188"/>
      <c r="I46" s="474"/>
      <c r="J46" s="465"/>
      <c r="K46" s="451"/>
      <c r="L46" s="451"/>
      <c r="M46" s="1345" t="s">
        <v>695</v>
      </c>
      <c r="N46" s="1346"/>
      <c r="O46" s="1346"/>
      <c r="P46" s="1347"/>
      <c r="Q46" s="407">
        <f t="shared" ref="Q46:V46" si="26">SUM(Q40:Q45)</f>
        <v>7355</v>
      </c>
      <c r="R46" s="407">
        <f t="shared" si="26"/>
        <v>7652</v>
      </c>
      <c r="S46" s="407">
        <f t="shared" si="26"/>
        <v>6380</v>
      </c>
      <c r="T46" s="407">
        <f t="shared" si="26"/>
        <v>6616</v>
      </c>
      <c r="U46" s="407">
        <f t="shared" si="26"/>
        <v>0</v>
      </c>
      <c r="V46" s="439">
        <f t="shared" si="26"/>
        <v>28003</v>
      </c>
      <c r="W46" s="550"/>
      <c r="X46" s="407">
        <f>SUM(X40:X45)</f>
        <v>2357404300</v>
      </c>
      <c r="Y46" s="549"/>
      <c r="AA46" s="407">
        <f>SUM(AA40:AA45)</f>
        <v>40000000</v>
      </c>
      <c r="AB46" s="407">
        <f t="shared" ref="AB46:AL46" si="27">SUM(AB40:AB45)</f>
        <v>800133160</v>
      </c>
      <c r="AC46" s="407">
        <f t="shared" si="27"/>
        <v>77000000</v>
      </c>
      <c r="AD46" s="407">
        <f t="shared" si="27"/>
        <v>73270400</v>
      </c>
      <c r="AE46" s="407">
        <f t="shared" si="27"/>
        <v>20000000</v>
      </c>
      <c r="AF46" s="407">
        <f t="shared" si="27"/>
        <v>47000740</v>
      </c>
      <c r="AG46" s="407">
        <f t="shared" si="27"/>
        <v>1300000000</v>
      </c>
      <c r="AH46" s="407">
        <f t="shared" si="27"/>
        <v>0</v>
      </c>
      <c r="AI46" s="407"/>
      <c r="AJ46" s="407">
        <f t="shared" si="27"/>
        <v>0</v>
      </c>
      <c r="AK46" s="407"/>
      <c r="AL46" s="407">
        <f t="shared" si="27"/>
        <v>2357404300</v>
      </c>
      <c r="AN46" s="407">
        <f t="shared" ref="AN46:AU46" si="28">SUM(AN40:AN45)</f>
        <v>4022595700</v>
      </c>
      <c r="AO46" s="407">
        <f t="shared" si="28"/>
        <v>2713904463.333333</v>
      </c>
      <c r="AP46" s="407">
        <f t="shared" si="28"/>
        <v>3178085678.1999998</v>
      </c>
      <c r="AQ46" s="407">
        <f t="shared" si="28"/>
        <v>0</v>
      </c>
      <c r="AR46" s="407">
        <f t="shared" si="28"/>
        <v>3138356818</v>
      </c>
      <c r="AS46" s="407">
        <f t="shared" si="28"/>
        <v>0</v>
      </c>
      <c r="AT46" s="407">
        <f t="shared" si="28"/>
        <v>5495761118</v>
      </c>
      <c r="AU46" s="407">
        <f t="shared" si="28"/>
        <v>-884238882</v>
      </c>
      <c r="AV46" s="442"/>
      <c r="AW46" s="407">
        <f>SUM(AW40:AW45)</f>
        <v>1700000000</v>
      </c>
      <c r="AY46" s="407">
        <f>SUM(AY40:AY45)</f>
        <v>0</v>
      </c>
      <c r="AZ46" s="407">
        <f>SUM(AZ40:AZ45)</f>
        <v>0</v>
      </c>
      <c r="BA46" s="407" t="e">
        <f t="shared" ref="BA46:BK46" si="29">SUM(BA40:BA45)</f>
        <v>#REF!</v>
      </c>
      <c r="BB46" s="407" t="e">
        <f t="shared" si="29"/>
        <v>#REF!</v>
      </c>
      <c r="BC46" s="407">
        <f t="shared" si="29"/>
        <v>0</v>
      </c>
      <c r="BD46" s="407">
        <f t="shared" si="29"/>
        <v>0</v>
      </c>
      <c r="BE46" s="407">
        <f t="shared" si="29"/>
        <v>0</v>
      </c>
      <c r="BF46" s="407" t="e">
        <f t="shared" si="29"/>
        <v>#REF!</v>
      </c>
      <c r="BG46" s="407">
        <f t="shared" si="29"/>
        <v>0</v>
      </c>
      <c r="BH46" s="407" t="e">
        <f t="shared" si="29"/>
        <v>#REF!</v>
      </c>
      <c r="BI46" s="407">
        <f t="shared" si="29"/>
        <v>0</v>
      </c>
      <c r="BJ46" s="407">
        <f t="shared" si="29"/>
        <v>0</v>
      </c>
      <c r="BK46" s="407">
        <f t="shared" si="29"/>
        <v>0</v>
      </c>
      <c r="BL46" s="407" t="e">
        <f>SUM(BL40:BL45)</f>
        <v>#REF!</v>
      </c>
      <c r="BM46" s="407">
        <f>SUM(BM40:BM45)</f>
        <v>0</v>
      </c>
    </row>
    <row r="47" spans="1:65" ht="34.5" customHeight="1" x14ac:dyDescent="0.25">
      <c r="A47" s="398"/>
      <c r="B47" s="456"/>
      <c r="C47" s="398"/>
      <c r="D47" s="396"/>
      <c r="E47" s="396"/>
      <c r="F47" s="396"/>
      <c r="G47" s="396"/>
      <c r="H47" s="398"/>
      <c r="I47" s="398"/>
      <c r="J47" s="396"/>
      <c r="K47" s="396"/>
      <c r="L47" s="457"/>
      <c r="M47" s="416"/>
      <c r="N47" s="416"/>
      <c r="O47" s="416"/>
      <c r="P47" s="417"/>
      <c r="Q47" s="417"/>
      <c r="R47" s="417"/>
      <c r="S47" s="417"/>
      <c r="T47" s="416"/>
      <c r="U47" s="399"/>
      <c r="V47" s="397"/>
      <c r="W47" s="551"/>
      <c r="X47" s="567"/>
      <c r="Y47" s="568"/>
      <c r="AA47" s="488"/>
      <c r="AB47" s="488"/>
      <c r="AC47" s="488"/>
      <c r="AD47" s="488"/>
      <c r="AE47" s="488"/>
      <c r="AF47" s="488"/>
      <c r="AG47" s="488"/>
      <c r="AH47" s="488"/>
      <c r="AI47" s="488"/>
      <c r="AJ47" s="488"/>
      <c r="AK47" s="488"/>
      <c r="AL47" s="488"/>
      <c r="AN47" s="478"/>
      <c r="AO47" s="478"/>
      <c r="AP47" s="478"/>
      <c r="AQ47" s="478"/>
      <c r="AR47" s="478"/>
      <c r="AS47" s="478"/>
      <c r="AT47" s="478"/>
      <c r="AU47" s="478"/>
      <c r="AW47" s="478"/>
      <c r="AY47" s="478"/>
      <c r="AZ47" s="488"/>
      <c r="BA47" s="488"/>
      <c r="BB47" s="488"/>
      <c r="BC47" s="488"/>
      <c r="BD47" s="488"/>
      <c r="BE47" s="488"/>
      <c r="BF47" s="488"/>
      <c r="BG47" s="488"/>
      <c r="BH47" s="488"/>
      <c r="BI47" s="488"/>
      <c r="BJ47" s="488"/>
      <c r="BK47" s="488"/>
      <c r="BL47" s="488"/>
      <c r="BM47" s="478"/>
    </row>
    <row r="48" spans="1:65" ht="68.25" customHeight="1" x14ac:dyDescent="0.2">
      <c r="A48" s="1185">
        <v>5</v>
      </c>
      <c r="B48" s="1363" t="s">
        <v>3112</v>
      </c>
      <c r="C48" s="1189" t="s">
        <v>3558</v>
      </c>
      <c r="D48" s="1363" t="s">
        <v>3559</v>
      </c>
      <c r="E48" s="1362" t="s">
        <v>3483</v>
      </c>
      <c r="F48" s="1188" t="s">
        <v>3484</v>
      </c>
      <c r="G48" s="1188">
        <v>0</v>
      </c>
      <c r="H48" s="1188" t="s">
        <v>3560</v>
      </c>
      <c r="I48" s="401" t="s">
        <v>3266</v>
      </c>
      <c r="J48" s="451" t="s">
        <v>3561</v>
      </c>
      <c r="K48" s="403" t="s">
        <v>3562</v>
      </c>
      <c r="L48" s="451" t="s">
        <v>3563</v>
      </c>
      <c r="M48" s="404">
        <v>0.3</v>
      </c>
      <c r="N48" s="404">
        <v>0.3</v>
      </c>
      <c r="O48" s="404">
        <v>0.3</v>
      </c>
      <c r="P48" s="404">
        <v>0.1</v>
      </c>
      <c r="Q48" s="414">
        <v>25</v>
      </c>
      <c r="R48" s="414">
        <v>43</v>
      </c>
      <c r="S48" s="414">
        <v>25</v>
      </c>
      <c r="T48" s="414">
        <v>10</v>
      </c>
      <c r="U48" s="419"/>
      <c r="V48" s="437">
        <f t="shared" si="25"/>
        <v>103</v>
      </c>
      <c r="W48" s="550">
        <v>511</v>
      </c>
      <c r="X48" s="566">
        <v>35000000</v>
      </c>
      <c r="Y48" s="549">
        <v>510</v>
      </c>
      <c r="AA48" s="449">
        <v>35000000</v>
      </c>
      <c r="AB48" s="449"/>
      <c r="AC48" s="449"/>
      <c r="AD48" s="449"/>
      <c r="AE48" s="449"/>
      <c r="AF48" s="449"/>
      <c r="AG48" s="449"/>
      <c r="AH48" s="449"/>
      <c r="AI48" s="449"/>
      <c r="AJ48" s="449"/>
      <c r="AK48" s="449"/>
      <c r="AL48" s="449">
        <f>SUM(AA48:AJ48)</f>
        <v>35000000</v>
      </c>
      <c r="AN48" s="583">
        <f>+S48*1000000-X48</f>
        <v>-10000000</v>
      </c>
      <c r="AO48" s="444">
        <f>+'[3]PLANINVERSIONES DIC'!$BG93</f>
        <v>517000</v>
      </c>
      <c r="AP48" s="444"/>
      <c r="AQ48" s="580"/>
      <c r="AR48" s="444">
        <f>+AP48+AQ48</f>
        <v>0</v>
      </c>
      <c r="AS48" s="444"/>
      <c r="AT48" s="444">
        <f>+X48+AR48+AS48</f>
        <v>35000000</v>
      </c>
      <c r="AU48" s="444">
        <f>+AT48-S48*1000000</f>
        <v>10000000</v>
      </c>
      <c r="AV48" s="442"/>
      <c r="AW48" s="444"/>
      <c r="AY48" s="444"/>
      <c r="AZ48" s="449"/>
      <c r="BA48" s="449"/>
      <c r="BB48" s="449"/>
      <c r="BC48" s="449"/>
      <c r="BD48" s="449"/>
      <c r="BE48" s="449"/>
      <c r="BF48" s="449"/>
      <c r="BG48" s="449"/>
      <c r="BH48" s="449"/>
      <c r="BI48" s="449"/>
      <c r="BJ48" s="449"/>
      <c r="BK48" s="449"/>
      <c r="BL48" s="449">
        <f>SUM(AZ48:BJ48)</f>
        <v>0</v>
      </c>
      <c r="BM48" s="444"/>
    </row>
    <row r="49" spans="1:65" ht="92.25" customHeight="1" x14ac:dyDescent="0.2">
      <c r="A49" s="1186"/>
      <c r="B49" s="1364"/>
      <c r="C49" s="1191"/>
      <c r="D49" s="1364"/>
      <c r="E49" s="1360"/>
      <c r="F49" s="1188"/>
      <c r="G49" s="1188"/>
      <c r="H49" s="1188"/>
      <c r="I49" s="472" t="s">
        <v>3720</v>
      </c>
      <c r="J49" s="451" t="s">
        <v>3564</v>
      </c>
      <c r="K49" s="403">
        <v>0</v>
      </c>
      <c r="L49" s="451" t="s">
        <v>3565</v>
      </c>
      <c r="M49" s="400">
        <v>4</v>
      </c>
      <c r="N49" s="400">
        <v>4</v>
      </c>
      <c r="O49" s="400">
        <v>4</v>
      </c>
      <c r="P49" s="400">
        <v>4</v>
      </c>
      <c r="Q49" s="405">
        <v>30</v>
      </c>
      <c r="R49" s="405">
        <v>30</v>
      </c>
      <c r="S49" s="405">
        <v>30</v>
      </c>
      <c r="T49" s="405">
        <v>30</v>
      </c>
      <c r="U49" s="419"/>
      <c r="V49" s="437">
        <f t="shared" si="25"/>
        <v>120</v>
      </c>
      <c r="W49" s="550">
        <v>512</v>
      </c>
      <c r="X49" s="566"/>
      <c r="Y49" s="549">
        <v>510</v>
      </c>
      <c r="AA49" s="449"/>
      <c r="AB49" s="449"/>
      <c r="AC49" s="449"/>
      <c r="AD49" s="449"/>
      <c r="AE49" s="449"/>
      <c r="AF49" s="449"/>
      <c r="AG49" s="449"/>
      <c r="AH49" s="449"/>
      <c r="AI49" s="449"/>
      <c r="AJ49" s="449"/>
      <c r="AK49" s="449"/>
      <c r="AL49" s="449">
        <f>SUM(AA49:AJ49)</f>
        <v>0</v>
      </c>
      <c r="AN49" s="444">
        <f>+S49*1000000-X49</f>
        <v>30000000</v>
      </c>
      <c r="AO49" s="444">
        <f>+'[3]PLANINVERSIONES DIC'!$BG94</f>
        <v>1513334</v>
      </c>
      <c r="AP49" s="587">
        <v>10000000</v>
      </c>
      <c r="AQ49" s="580"/>
      <c r="AR49" s="444">
        <f>+AP49+AQ49</f>
        <v>10000000</v>
      </c>
      <c r="AS49" s="444"/>
      <c r="AT49" s="444">
        <f>+X49+AR49+AS49</f>
        <v>10000000</v>
      </c>
      <c r="AU49" s="444">
        <f>+AT49-S49*1000000</f>
        <v>-20000000</v>
      </c>
      <c r="AV49" s="442"/>
      <c r="AW49" s="444"/>
      <c r="AY49" s="444"/>
      <c r="AZ49" s="449"/>
      <c r="BA49" s="449"/>
      <c r="BB49" s="449"/>
      <c r="BC49" s="449"/>
      <c r="BD49" s="449"/>
      <c r="BE49" s="449"/>
      <c r="BF49" s="449"/>
      <c r="BG49" s="449"/>
      <c r="BH49" s="449">
        <f>+AR49</f>
        <v>10000000</v>
      </c>
      <c r="BI49" s="449"/>
      <c r="BJ49" s="449"/>
      <c r="BK49" s="449"/>
      <c r="BL49" s="449">
        <f>SUM(AZ49:BJ49)</f>
        <v>10000000</v>
      </c>
      <c r="BM49" s="444"/>
    </row>
    <row r="50" spans="1:65" ht="96.75" customHeight="1" x14ac:dyDescent="0.2">
      <c r="A50" s="1187"/>
      <c r="B50" s="1373"/>
      <c r="C50" s="1192"/>
      <c r="D50" s="1373"/>
      <c r="E50" s="1361"/>
      <c r="F50" s="1188"/>
      <c r="G50" s="1188"/>
      <c r="H50" s="1188"/>
      <c r="I50" s="401" t="s">
        <v>3267</v>
      </c>
      <c r="J50" s="451" t="s">
        <v>3566</v>
      </c>
      <c r="K50" s="403" t="s">
        <v>3567</v>
      </c>
      <c r="L50" s="451" t="s">
        <v>3568</v>
      </c>
      <c r="M50" s="400">
        <v>4</v>
      </c>
      <c r="N50" s="400">
        <v>6</v>
      </c>
      <c r="O50" s="400">
        <v>6</v>
      </c>
      <c r="P50" s="400">
        <v>6</v>
      </c>
      <c r="Q50" s="405">
        <v>24</v>
      </c>
      <c r="R50" s="405">
        <v>10</v>
      </c>
      <c r="S50" s="405">
        <v>24</v>
      </c>
      <c r="T50" s="405">
        <v>24</v>
      </c>
      <c r="U50" s="427"/>
      <c r="V50" s="438">
        <f t="shared" si="25"/>
        <v>82</v>
      </c>
      <c r="W50" s="550">
        <v>513</v>
      </c>
      <c r="X50" s="566"/>
      <c r="Y50" s="549">
        <v>510</v>
      </c>
      <c r="AA50" s="449"/>
      <c r="AB50" s="449"/>
      <c r="AC50" s="449"/>
      <c r="AD50" s="449"/>
      <c r="AE50" s="449"/>
      <c r="AF50" s="449"/>
      <c r="AG50" s="449"/>
      <c r="AH50" s="449"/>
      <c r="AI50" s="449"/>
      <c r="AJ50" s="449"/>
      <c r="AK50" s="449"/>
      <c r="AL50" s="449">
        <f>SUM(AA50:AJ50)</f>
        <v>0</v>
      </c>
      <c r="AN50" s="444">
        <f>+S50*1000000-X50</f>
        <v>24000000</v>
      </c>
      <c r="AO50" s="444">
        <f>+'[3]PLANINVERSIONES DIC'!$BG95</f>
        <v>10300000</v>
      </c>
      <c r="AP50" s="580">
        <f>+AN50</f>
        <v>24000000</v>
      </c>
      <c r="AQ50" s="580"/>
      <c r="AR50" s="444"/>
      <c r="AS50" s="444"/>
      <c r="AT50" s="444">
        <f>+X50+AR50+AS50</f>
        <v>0</v>
      </c>
      <c r="AU50" s="444">
        <f>+AT50-S50*1000000</f>
        <v>-24000000</v>
      </c>
      <c r="AV50" s="442"/>
      <c r="AW50" s="444"/>
      <c r="AY50" s="444"/>
      <c r="AZ50" s="449"/>
      <c r="BA50" s="449"/>
      <c r="BB50" s="449"/>
      <c r="BC50" s="449"/>
      <c r="BD50" s="449"/>
      <c r="BE50" s="449"/>
      <c r="BF50" s="449"/>
      <c r="BG50" s="449"/>
      <c r="BH50" s="449"/>
      <c r="BI50" s="449"/>
      <c r="BJ50" s="449"/>
      <c r="BK50" s="449"/>
      <c r="BL50" s="449">
        <f>SUM(AZ50:BJ50)</f>
        <v>0</v>
      </c>
      <c r="BM50" s="444"/>
    </row>
    <row r="51" spans="1:65" ht="23.25" customHeight="1" x14ac:dyDescent="0.25">
      <c r="A51" s="461"/>
      <c r="B51" s="461"/>
      <c r="C51" s="461"/>
      <c r="D51" s="461"/>
      <c r="E51" s="461"/>
      <c r="F51" s="461"/>
      <c r="G51" s="461"/>
      <c r="H51" s="461"/>
      <c r="I51" s="461"/>
      <c r="J51" s="462"/>
      <c r="K51" s="461"/>
      <c r="L51" s="461"/>
      <c r="M51" s="1345" t="s">
        <v>695</v>
      </c>
      <c r="N51" s="1346"/>
      <c r="O51" s="1346"/>
      <c r="P51" s="1347"/>
      <c r="Q51" s="407">
        <f>SUM(Q48:Q50)</f>
        <v>79</v>
      </c>
      <c r="R51" s="407">
        <f t="shared" ref="R51:X51" si="30">SUM(R48:R50)</f>
        <v>83</v>
      </c>
      <c r="S51" s="407">
        <f t="shared" si="30"/>
        <v>79</v>
      </c>
      <c r="T51" s="407">
        <f t="shared" si="30"/>
        <v>64</v>
      </c>
      <c r="U51" s="407">
        <f t="shared" si="30"/>
        <v>0</v>
      </c>
      <c r="V51" s="407">
        <f t="shared" si="30"/>
        <v>305</v>
      </c>
      <c r="W51" s="550"/>
      <c r="X51" s="407">
        <f t="shared" si="30"/>
        <v>35000000</v>
      </c>
      <c r="Y51" s="549"/>
      <c r="AA51" s="407">
        <f t="shared" ref="AA51:AL51" si="31">SUM(AA48:AA50)</f>
        <v>35000000</v>
      </c>
      <c r="AB51" s="407">
        <f t="shared" si="31"/>
        <v>0</v>
      </c>
      <c r="AC51" s="407">
        <f t="shared" si="31"/>
        <v>0</v>
      </c>
      <c r="AD51" s="407">
        <f t="shared" si="31"/>
        <v>0</v>
      </c>
      <c r="AE51" s="407">
        <f t="shared" si="31"/>
        <v>0</v>
      </c>
      <c r="AF51" s="407">
        <f t="shared" si="31"/>
        <v>0</v>
      </c>
      <c r="AG51" s="407">
        <f t="shared" si="31"/>
        <v>0</v>
      </c>
      <c r="AH51" s="407">
        <f t="shared" si="31"/>
        <v>0</v>
      </c>
      <c r="AI51" s="407"/>
      <c r="AJ51" s="407">
        <f t="shared" si="31"/>
        <v>0</v>
      </c>
      <c r="AK51" s="407"/>
      <c r="AL51" s="407">
        <f t="shared" si="31"/>
        <v>35000000</v>
      </c>
      <c r="AN51" s="407">
        <f t="shared" ref="AN51:AW51" si="32">SUM(AN48:AN50)</f>
        <v>44000000</v>
      </c>
      <c r="AO51" s="407">
        <f t="shared" si="32"/>
        <v>12330334</v>
      </c>
      <c r="AP51" s="407">
        <f t="shared" si="32"/>
        <v>34000000</v>
      </c>
      <c r="AQ51" s="407">
        <f t="shared" si="32"/>
        <v>0</v>
      </c>
      <c r="AR51" s="407">
        <f t="shared" si="32"/>
        <v>10000000</v>
      </c>
      <c r="AS51" s="407">
        <f t="shared" si="32"/>
        <v>0</v>
      </c>
      <c r="AT51" s="407">
        <f t="shared" si="32"/>
        <v>45000000</v>
      </c>
      <c r="AU51" s="407">
        <f>SUM(AU48:AU50)</f>
        <v>-34000000</v>
      </c>
      <c r="AV51" s="442"/>
      <c r="AW51" s="407">
        <f t="shared" si="32"/>
        <v>0</v>
      </c>
      <c r="AY51" s="407">
        <f t="shared" ref="AY51:BK51" si="33">SUM(AY48:AY50)</f>
        <v>0</v>
      </c>
      <c r="AZ51" s="407">
        <f t="shared" si="33"/>
        <v>0</v>
      </c>
      <c r="BA51" s="407">
        <f t="shared" si="33"/>
        <v>0</v>
      </c>
      <c r="BB51" s="407">
        <f t="shared" si="33"/>
        <v>0</v>
      </c>
      <c r="BC51" s="407">
        <f t="shared" si="33"/>
        <v>0</v>
      </c>
      <c r="BD51" s="407">
        <f t="shared" si="33"/>
        <v>0</v>
      </c>
      <c r="BE51" s="407">
        <f t="shared" si="33"/>
        <v>0</v>
      </c>
      <c r="BF51" s="407">
        <f t="shared" si="33"/>
        <v>0</v>
      </c>
      <c r="BG51" s="407">
        <f t="shared" si="33"/>
        <v>0</v>
      </c>
      <c r="BH51" s="407">
        <f t="shared" si="33"/>
        <v>10000000</v>
      </c>
      <c r="BI51" s="407">
        <f t="shared" si="33"/>
        <v>0</v>
      </c>
      <c r="BJ51" s="407">
        <f t="shared" si="33"/>
        <v>0</v>
      </c>
      <c r="BK51" s="407">
        <f t="shared" si="33"/>
        <v>0</v>
      </c>
      <c r="BL51" s="407">
        <f>SUM(BL48:BL50)</f>
        <v>10000000</v>
      </c>
      <c r="BM51" s="407">
        <f>SUM(BM48:BM50)</f>
        <v>0</v>
      </c>
    </row>
    <row r="52" spans="1:65" ht="21.75" customHeight="1" x14ac:dyDescent="0.25">
      <c r="A52" s="398"/>
      <c r="B52" s="456"/>
      <c r="C52" s="398"/>
      <c r="D52" s="396"/>
      <c r="E52" s="396"/>
      <c r="F52" s="396"/>
      <c r="G52" s="396"/>
      <c r="H52" s="398"/>
      <c r="I52" s="398"/>
      <c r="J52" s="396"/>
      <c r="K52" s="396"/>
      <c r="L52" s="457"/>
      <c r="M52" s="416"/>
      <c r="N52" s="416"/>
      <c r="O52" s="416"/>
      <c r="P52" s="417"/>
      <c r="Q52" s="417"/>
      <c r="R52" s="417"/>
      <c r="S52" s="417"/>
      <c r="T52" s="416"/>
      <c r="U52" s="399"/>
      <c r="V52" s="484"/>
      <c r="W52" s="551"/>
      <c r="X52" s="567"/>
      <c r="Y52" s="568"/>
      <c r="Z52" s="487"/>
      <c r="AA52" s="488"/>
      <c r="AB52" s="488"/>
      <c r="AC52" s="488"/>
      <c r="AD52" s="488"/>
      <c r="AE52" s="488"/>
      <c r="AF52" s="488"/>
      <c r="AG52" s="488"/>
      <c r="AH52" s="488"/>
      <c r="AI52" s="488"/>
      <c r="AJ52" s="488"/>
      <c r="AK52" s="488"/>
      <c r="AL52" s="488"/>
      <c r="AN52" s="478"/>
      <c r="AO52" s="478"/>
      <c r="AP52" s="478"/>
      <c r="AQ52" s="478"/>
      <c r="AR52" s="478"/>
      <c r="AS52" s="478"/>
      <c r="AT52" s="478"/>
      <c r="AU52" s="478"/>
      <c r="AW52" s="478"/>
      <c r="AY52" s="478"/>
      <c r="AZ52" s="488"/>
      <c r="BA52" s="488"/>
      <c r="BB52" s="488"/>
      <c r="BC52" s="488"/>
      <c r="BD52" s="488"/>
      <c r="BE52" s="488"/>
      <c r="BF52" s="488"/>
      <c r="BG52" s="488"/>
      <c r="BH52" s="488"/>
      <c r="BI52" s="488"/>
      <c r="BJ52" s="488"/>
      <c r="BK52" s="488"/>
      <c r="BL52" s="488"/>
      <c r="BM52" s="478"/>
    </row>
    <row r="53" spans="1:65" ht="78" customHeight="1" x14ac:dyDescent="0.2">
      <c r="A53" s="1185">
        <v>6</v>
      </c>
      <c r="B53" s="1363" t="s">
        <v>3569</v>
      </c>
      <c r="C53" s="1185" t="s">
        <v>3570</v>
      </c>
      <c r="D53" s="1365" t="s">
        <v>3571</v>
      </c>
      <c r="E53" s="1366" t="s">
        <v>3572</v>
      </c>
      <c r="F53" s="1188" t="s">
        <v>3484</v>
      </c>
      <c r="G53" s="1188" t="s">
        <v>3573</v>
      </c>
      <c r="H53" s="1188" t="s">
        <v>3574</v>
      </c>
      <c r="I53" s="475" t="s">
        <v>3721</v>
      </c>
      <c r="J53" s="452" t="s">
        <v>3575</v>
      </c>
      <c r="K53" s="452">
        <v>0</v>
      </c>
      <c r="L53" s="452" t="s">
        <v>3576</v>
      </c>
      <c r="M53" s="400">
        <v>50</v>
      </c>
      <c r="N53" s="400">
        <v>150</v>
      </c>
      <c r="O53" s="400">
        <v>200</v>
      </c>
      <c r="P53" s="400">
        <v>200</v>
      </c>
      <c r="Q53" s="405">
        <v>150</v>
      </c>
      <c r="R53" s="405">
        <v>150</v>
      </c>
      <c r="S53" s="405">
        <v>200</v>
      </c>
      <c r="T53" s="405">
        <v>220</v>
      </c>
      <c r="U53" s="427"/>
      <c r="V53" s="486">
        <f>Q53+R53+S53+T53</f>
        <v>720</v>
      </c>
      <c r="W53" s="550">
        <v>611</v>
      </c>
      <c r="X53" s="566">
        <f>180000000-30000000</f>
        <v>150000000</v>
      </c>
      <c r="Y53" s="549">
        <v>310</v>
      </c>
      <c r="AA53" s="449">
        <f>+X53</f>
        <v>150000000</v>
      </c>
      <c r="AB53" s="449"/>
      <c r="AC53" s="449"/>
      <c r="AD53" s="449"/>
      <c r="AE53" s="449"/>
      <c r="AF53" s="449"/>
      <c r="AG53" s="449"/>
      <c r="AH53" s="449"/>
      <c r="AI53" s="449"/>
      <c r="AJ53" s="449"/>
      <c r="AK53" s="449"/>
      <c r="AL53" s="449">
        <f t="shared" ref="AL53:AL63" si="34">SUM(AA53:AJ53)</f>
        <v>150000000</v>
      </c>
      <c r="AN53" s="444">
        <f t="shared" ref="AN53:AN63" si="35">+S53*1000000-X53</f>
        <v>50000000</v>
      </c>
      <c r="AO53" s="444">
        <f>+'[3]PLANINVERSIONES DIC'!$BG98</f>
        <v>36305486</v>
      </c>
      <c r="AP53" s="588">
        <f>+AN53</f>
        <v>50000000</v>
      </c>
      <c r="AQ53" s="580"/>
      <c r="AR53" s="444"/>
      <c r="AS53" s="444"/>
      <c r="AT53" s="444">
        <f t="shared" ref="AT53:AT63" si="36">+X53+AR53+AS53</f>
        <v>150000000</v>
      </c>
      <c r="AU53" s="444">
        <f t="shared" ref="AU53:AU63" si="37">+AT53-S53*1000000</f>
        <v>-50000000</v>
      </c>
      <c r="AV53" s="442"/>
      <c r="AW53" s="444"/>
      <c r="AY53" s="444"/>
      <c r="AZ53" s="449">
        <f>+AX53</f>
        <v>0</v>
      </c>
      <c r="BA53" s="449"/>
      <c r="BB53" s="449"/>
      <c r="BC53" s="449"/>
      <c r="BD53" s="449"/>
      <c r="BE53" s="449"/>
      <c r="BF53" s="449"/>
      <c r="BG53" s="449"/>
      <c r="BH53" s="449"/>
      <c r="BI53" s="449"/>
      <c r="BJ53" s="449"/>
      <c r="BK53" s="449"/>
      <c r="BL53" s="449">
        <f t="shared" ref="BL53:BL63" si="38">SUM(AZ53:BJ53)</f>
        <v>0</v>
      </c>
      <c r="BM53" s="444"/>
    </row>
    <row r="54" spans="1:65" ht="61.5" customHeight="1" x14ac:dyDescent="0.2">
      <c r="A54" s="1186"/>
      <c r="B54" s="1364"/>
      <c r="C54" s="1186"/>
      <c r="D54" s="1365"/>
      <c r="E54" s="1367"/>
      <c r="F54" s="1188"/>
      <c r="G54" s="1188"/>
      <c r="H54" s="1188"/>
      <c r="I54" s="475" t="s">
        <v>3722</v>
      </c>
      <c r="J54" s="452" t="s">
        <v>3691</v>
      </c>
      <c r="K54" s="452">
        <v>0</v>
      </c>
      <c r="L54" s="452" t="s">
        <v>3692</v>
      </c>
      <c r="M54" s="400">
        <v>600</v>
      </c>
      <c r="N54" s="400">
        <v>800</v>
      </c>
      <c r="O54" s="400">
        <v>800</v>
      </c>
      <c r="P54" s="400">
        <v>800</v>
      </c>
      <c r="Q54" s="405">
        <v>15</v>
      </c>
      <c r="R54" s="405">
        <v>45</v>
      </c>
      <c r="S54" s="405">
        <v>50</v>
      </c>
      <c r="T54" s="405">
        <v>55</v>
      </c>
      <c r="U54" s="427"/>
      <c r="V54" s="440">
        <f>Q54+R54+S54+T54</f>
        <v>165</v>
      </c>
      <c r="W54" s="550">
        <v>612</v>
      </c>
      <c r="X54" s="566"/>
      <c r="Y54" s="549">
        <v>510</v>
      </c>
      <c r="AA54" s="449"/>
      <c r="AB54" s="449"/>
      <c r="AC54" s="449"/>
      <c r="AD54" s="449"/>
      <c r="AE54" s="449"/>
      <c r="AF54" s="449"/>
      <c r="AG54" s="449"/>
      <c r="AH54" s="449"/>
      <c r="AI54" s="449"/>
      <c r="AJ54" s="449"/>
      <c r="AK54" s="449"/>
      <c r="AL54" s="449">
        <f t="shared" si="34"/>
        <v>0</v>
      </c>
      <c r="AN54" s="444">
        <f t="shared" si="35"/>
        <v>50000000</v>
      </c>
      <c r="AO54" s="444">
        <f>+'[3]PLANINVERSIONES DIC'!$BG99</f>
        <v>13701102</v>
      </c>
      <c r="AP54" s="587">
        <v>15000000</v>
      </c>
      <c r="AQ54" s="580"/>
      <c r="AR54" s="444">
        <f>+AP54+AQ54</f>
        <v>15000000</v>
      </c>
      <c r="AS54" s="444"/>
      <c r="AT54" s="444">
        <f t="shared" si="36"/>
        <v>15000000</v>
      </c>
      <c r="AU54" s="444">
        <f t="shared" si="37"/>
        <v>-35000000</v>
      </c>
      <c r="AV54" s="442"/>
      <c r="AW54" s="444"/>
      <c r="AY54" s="444"/>
      <c r="AZ54" s="449"/>
      <c r="BA54" s="449"/>
      <c r="BB54" s="449"/>
      <c r="BC54" s="449"/>
      <c r="BD54" s="449"/>
      <c r="BE54" s="449"/>
      <c r="BF54" s="449"/>
      <c r="BG54" s="449"/>
      <c r="BH54" s="449">
        <f>+AR54</f>
        <v>15000000</v>
      </c>
      <c r="BI54" s="449"/>
      <c r="BJ54" s="449"/>
      <c r="BK54" s="449"/>
      <c r="BL54" s="449">
        <f t="shared" si="38"/>
        <v>15000000</v>
      </c>
      <c r="BM54" s="444"/>
    </row>
    <row r="55" spans="1:65" ht="111.75" customHeight="1" x14ac:dyDescent="0.2">
      <c r="A55" s="1186"/>
      <c r="B55" s="1364"/>
      <c r="C55" s="1186"/>
      <c r="D55" s="1363" t="s">
        <v>434</v>
      </c>
      <c r="E55" s="1362" t="s">
        <v>3577</v>
      </c>
      <c r="F55" s="1185" t="s">
        <v>3578</v>
      </c>
      <c r="G55" s="1185" t="s">
        <v>3579</v>
      </c>
      <c r="H55" s="1185" t="s">
        <v>3580</v>
      </c>
      <c r="I55" s="1188" t="s">
        <v>3723</v>
      </c>
      <c r="J55" s="451" t="s">
        <v>3589</v>
      </c>
      <c r="K55" s="403">
        <v>0.1</v>
      </c>
      <c r="L55" s="451" t="s">
        <v>2844</v>
      </c>
      <c r="M55" s="409">
        <v>0.12</v>
      </c>
      <c r="N55" s="409">
        <v>0.13</v>
      </c>
      <c r="O55" s="409">
        <v>0.14000000000000001</v>
      </c>
      <c r="P55" s="409">
        <v>0.15</v>
      </c>
      <c r="Q55" s="432">
        <v>50</v>
      </c>
      <c r="R55" s="432">
        <v>42</v>
      </c>
      <c r="S55" s="432">
        <v>70</v>
      </c>
      <c r="T55" s="432">
        <v>80</v>
      </c>
      <c r="U55" s="419"/>
      <c r="V55" s="547">
        <f>Q55+R55+S55+T55</f>
        <v>242</v>
      </c>
      <c r="W55" s="550" t="s">
        <v>3630</v>
      </c>
      <c r="X55" s="566">
        <v>60000000</v>
      </c>
      <c r="Y55" s="549">
        <v>301</v>
      </c>
      <c r="AA55" s="449"/>
      <c r="AB55" s="449"/>
      <c r="AC55" s="449"/>
      <c r="AD55" s="449"/>
      <c r="AE55" s="449"/>
      <c r="AF55" s="449"/>
      <c r="AG55" s="449"/>
      <c r="AH55" s="449"/>
      <c r="AI55" s="449"/>
      <c r="AJ55" s="449">
        <f>+X55</f>
        <v>60000000</v>
      </c>
      <c r="AK55" s="449"/>
      <c r="AL55" s="449">
        <f t="shared" si="34"/>
        <v>60000000</v>
      </c>
      <c r="AN55" s="444">
        <f t="shared" si="35"/>
        <v>10000000</v>
      </c>
      <c r="AO55" s="444">
        <f>+'[3]PLANINVERSIONES DIC'!$BG100</f>
        <v>11761700</v>
      </c>
      <c r="AP55" s="580">
        <f>+AN55</f>
        <v>10000000</v>
      </c>
      <c r="AQ55" s="580"/>
      <c r="AR55" s="444"/>
      <c r="AS55" s="444"/>
      <c r="AT55" s="444">
        <f t="shared" si="36"/>
        <v>60000000</v>
      </c>
      <c r="AU55" s="444">
        <f t="shared" si="37"/>
        <v>-10000000</v>
      </c>
      <c r="AV55" s="442"/>
      <c r="AW55" s="444"/>
      <c r="AY55" s="444"/>
      <c r="AZ55" s="449"/>
      <c r="BA55" s="449"/>
      <c r="BB55" s="449"/>
      <c r="BC55" s="449"/>
      <c r="BD55" s="449"/>
      <c r="BE55" s="449"/>
      <c r="BF55" s="449"/>
      <c r="BG55" s="449"/>
      <c r="BH55" s="449"/>
      <c r="BI55" s="449"/>
      <c r="BJ55" s="449">
        <f>+AX55</f>
        <v>0</v>
      </c>
      <c r="BK55" s="449"/>
      <c r="BL55" s="449">
        <f t="shared" si="38"/>
        <v>0</v>
      </c>
      <c r="BM55" s="444"/>
    </row>
    <row r="56" spans="1:65" ht="66.75" customHeight="1" x14ac:dyDescent="0.2">
      <c r="A56" s="1186"/>
      <c r="B56" s="1364"/>
      <c r="C56" s="1186"/>
      <c r="D56" s="1364"/>
      <c r="E56" s="1360"/>
      <c r="F56" s="1186"/>
      <c r="G56" s="1186"/>
      <c r="H56" s="1186"/>
      <c r="I56" s="1188"/>
      <c r="J56" s="451" t="s">
        <v>3596</v>
      </c>
      <c r="K56" s="403">
        <v>0.56999999999999995</v>
      </c>
      <c r="L56" s="451" t="s">
        <v>3597</v>
      </c>
      <c r="M56" s="406">
        <v>0.57999999999999996</v>
      </c>
      <c r="N56" s="406">
        <v>0.59</v>
      </c>
      <c r="O56" s="406">
        <v>0.6</v>
      </c>
      <c r="P56" s="406">
        <v>0.6</v>
      </c>
      <c r="Q56" s="430">
        <v>30</v>
      </c>
      <c r="R56" s="430">
        <v>90</v>
      </c>
      <c r="S56" s="430">
        <v>60</v>
      </c>
      <c r="T56" s="430">
        <v>80</v>
      </c>
      <c r="U56" s="419"/>
      <c r="V56" s="440">
        <f>Q56+R56+S56+T56</f>
        <v>260</v>
      </c>
      <c r="W56" s="550" t="s">
        <v>3633</v>
      </c>
      <c r="X56" s="566">
        <v>80000000</v>
      </c>
      <c r="Y56" s="549">
        <v>301</v>
      </c>
      <c r="AA56" s="449"/>
      <c r="AB56" s="449"/>
      <c r="AC56" s="449"/>
      <c r="AD56" s="449"/>
      <c r="AE56" s="449"/>
      <c r="AF56" s="449"/>
      <c r="AG56" s="449"/>
      <c r="AH56" s="449"/>
      <c r="AI56" s="449"/>
      <c r="AJ56" s="449">
        <f t="shared" ref="AJ56:AJ63" si="39">+X56</f>
        <v>80000000</v>
      </c>
      <c r="AK56" s="449"/>
      <c r="AL56" s="449">
        <f t="shared" si="34"/>
        <v>80000000</v>
      </c>
      <c r="AN56" s="583">
        <f t="shared" si="35"/>
        <v>-20000000</v>
      </c>
      <c r="AO56" s="444">
        <f>+'[3]PLANINVERSIONES DIC'!$BG101</f>
        <v>71995404</v>
      </c>
      <c r="AP56" s="580"/>
      <c r="AQ56" s="444"/>
      <c r="AR56" s="444">
        <f t="shared" ref="AR56:AR63" si="40">+AP56+AQ56</f>
        <v>0</v>
      </c>
      <c r="AS56" s="444"/>
      <c r="AT56" s="444">
        <f t="shared" si="36"/>
        <v>80000000</v>
      </c>
      <c r="AU56" s="444">
        <f t="shared" si="37"/>
        <v>20000000</v>
      </c>
      <c r="AV56" s="442"/>
      <c r="AW56" s="444"/>
      <c r="AY56" s="444"/>
      <c r="AZ56" s="449"/>
      <c r="BA56" s="449"/>
      <c r="BB56" s="449"/>
      <c r="BC56" s="449"/>
      <c r="BD56" s="449"/>
      <c r="BE56" s="449"/>
      <c r="BF56" s="449"/>
      <c r="BG56" s="449"/>
      <c r="BH56" s="449"/>
      <c r="BI56" s="449"/>
      <c r="BJ56" s="449">
        <f t="shared" ref="BJ56:BJ63" si="41">+AX56</f>
        <v>0</v>
      </c>
      <c r="BK56" s="449"/>
      <c r="BL56" s="449">
        <f t="shared" si="38"/>
        <v>0</v>
      </c>
      <c r="BM56" s="444"/>
    </row>
    <row r="57" spans="1:65" ht="66.75" customHeight="1" x14ac:dyDescent="0.2">
      <c r="A57" s="1186"/>
      <c r="B57" s="1364"/>
      <c r="C57" s="1186"/>
      <c r="D57" s="1364"/>
      <c r="E57" s="1360"/>
      <c r="F57" s="1186"/>
      <c r="G57" s="1186"/>
      <c r="H57" s="1186"/>
      <c r="I57" s="1188"/>
      <c r="J57" s="451" t="s">
        <v>3581</v>
      </c>
      <c r="K57" s="403">
        <v>0.6</v>
      </c>
      <c r="L57" s="451" t="s">
        <v>3582</v>
      </c>
      <c r="M57" s="409">
        <v>0.63</v>
      </c>
      <c r="N57" s="409">
        <v>0.7</v>
      </c>
      <c r="O57" s="409">
        <v>0.8</v>
      </c>
      <c r="P57" s="409">
        <v>0.85</v>
      </c>
      <c r="Q57" s="432">
        <v>25</v>
      </c>
      <c r="R57" s="432">
        <v>47</v>
      </c>
      <c r="S57" s="432">
        <v>50</v>
      </c>
      <c r="T57" s="432">
        <v>60</v>
      </c>
      <c r="U57" s="419"/>
      <c r="V57" s="547">
        <f>Q57+R57+S57+T57</f>
        <v>182</v>
      </c>
      <c r="W57" s="550" t="s">
        <v>3626</v>
      </c>
      <c r="X57" s="566">
        <v>38000000</v>
      </c>
      <c r="Y57" s="549">
        <v>301</v>
      </c>
      <c r="AA57" s="449"/>
      <c r="AB57" s="449"/>
      <c r="AC57" s="449"/>
      <c r="AD57" s="449"/>
      <c r="AE57" s="449"/>
      <c r="AF57" s="449"/>
      <c r="AG57" s="449"/>
      <c r="AH57" s="449"/>
      <c r="AI57" s="449"/>
      <c r="AJ57" s="449">
        <f t="shared" si="39"/>
        <v>38000000</v>
      </c>
      <c r="AK57" s="449"/>
      <c r="AL57" s="449">
        <f t="shared" si="34"/>
        <v>38000000</v>
      </c>
      <c r="AN57" s="444">
        <f t="shared" si="35"/>
        <v>12000000</v>
      </c>
      <c r="AO57" s="444">
        <f>+'[3]PLANINVERSIONES DIC'!$BG102</f>
        <v>19687114</v>
      </c>
      <c r="AP57" s="580">
        <f>+AN57</f>
        <v>12000000</v>
      </c>
      <c r="AQ57" s="580"/>
      <c r="AR57" s="444"/>
      <c r="AS57" s="444"/>
      <c r="AT57" s="444">
        <f t="shared" si="36"/>
        <v>38000000</v>
      </c>
      <c r="AU57" s="444">
        <f t="shared" si="37"/>
        <v>-12000000</v>
      </c>
      <c r="AV57" s="442"/>
      <c r="AW57" s="444"/>
      <c r="AY57" s="444"/>
      <c r="AZ57" s="449"/>
      <c r="BA57" s="449"/>
      <c r="BB57" s="449"/>
      <c r="BC57" s="449"/>
      <c r="BD57" s="449"/>
      <c r="BE57" s="449"/>
      <c r="BF57" s="449"/>
      <c r="BG57" s="449"/>
      <c r="BH57" s="449"/>
      <c r="BI57" s="449"/>
      <c r="BJ57" s="449">
        <f t="shared" si="41"/>
        <v>0</v>
      </c>
      <c r="BK57" s="449"/>
      <c r="BL57" s="449">
        <f t="shared" si="38"/>
        <v>0</v>
      </c>
      <c r="BM57" s="444"/>
    </row>
    <row r="58" spans="1:65" ht="58.5" customHeight="1" x14ac:dyDescent="0.2">
      <c r="A58" s="1186"/>
      <c r="B58" s="1364"/>
      <c r="C58" s="1186"/>
      <c r="D58" s="1364"/>
      <c r="E58" s="1360"/>
      <c r="F58" s="1186"/>
      <c r="G58" s="1186"/>
      <c r="H58" s="1186"/>
      <c r="I58" s="1188"/>
      <c r="J58" s="451" t="s">
        <v>3583</v>
      </c>
      <c r="K58" s="403">
        <v>0.4</v>
      </c>
      <c r="L58" s="451" t="s">
        <v>3584</v>
      </c>
      <c r="M58" s="409">
        <v>0.45</v>
      </c>
      <c r="N58" s="409">
        <v>0.5</v>
      </c>
      <c r="O58" s="409">
        <v>0.55000000000000004</v>
      </c>
      <c r="P58" s="409">
        <v>0.6</v>
      </c>
      <c r="Q58" s="432">
        <v>20</v>
      </c>
      <c r="R58" s="432">
        <v>6</v>
      </c>
      <c r="S58" s="432">
        <v>40</v>
      </c>
      <c r="T58" s="432">
        <v>50</v>
      </c>
      <c r="U58" s="419"/>
      <c r="V58" s="547">
        <f t="shared" ref="V58:V63" si="42">Q58+R58+S58+T58</f>
        <v>116</v>
      </c>
      <c r="W58" s="550" t="s">
        <v>3627</v>
      </c>
      <c r="X58" s="566">
        <v>11000000</v>
      </c>
      <c r="Y58" s="549">
        <v>301</v>
      </c>
      <c r="AA58" s="449"/>
      <c r="AB58" s="449"/>
      <c r="AC58" s="449"/>
      <c r="AD58" s="449"/>
      <c r="AE58" s="449"/>
      <c r="AF58" s="449"/>
      <c r="AG58" s="449"/>
      <c r="AH58" s="449"/>
      <c r="AI58" s="449"/>
      <c r="AJ58" s="449">
        <f t="shared" si="39"/>
        <v>11000000</v>
      </c>
      <c r="AK58" s="449"/>
      <c r="AL58" s="449">
        <f t="shared" si="34"/>
        <v>11000000</v>
      </c>
      <c r="AN58" s="444">
        <f t="shared" si="35"/>
        <v>29000000</v>
      </c>
      <c r="AO58" s="444">
        <f>+'[3]PLANINVERSIONES DIC'!$BG103</f>
        <v>194328</v>
      </c>
      <c r="AP58" s="580">
        <f>+AN58</f>
        <v>29000000</v>
      </c>
      <c r="AQ58" s="580"/>
      <c r="AR58" s="444"/>
      <c r="AS58" s="444"/>
      <c r="AT58" s="444">
        <f t="shared" si="36"/>
        <v>11000000</v>
      </c>
      <c r="AU58" s="444">
        <f t="shared" si="37"/>
        <v>-29000000</v>
      </c>
      <c r="AV58" s="442"/>
      <c r="AW58" s="444"/>
      <c r="AY58" s="444"/>
      <c r="AZ58" s="449"/>
      <c r="BA58" s="449"/>
      <c r="BB58" s="449"/>
      <c r="BC58" s="449"/>
      <c r="BD58" s="449"/>
      <c r="BE58" s="449"/>
      <c r="BF58" s="449"/>
      <c r="BG58" s="449"/>
      <c r="BH58" s="449"/>
      <c r="BI58" s="449"/>
      <c r="BJ58" s="449">
        <f t="shared" si="41"/>
        <v>0</v>
      </c>
      <c r="BK58" s="449"/>
      <c r="BL58" s="449">
        <f t="shared" si="38"/>
        <v>0</v>
      </c>
      <c r="BM58" s="444"/>
    </row>
    <row r="59" spans="1:65" ht="77.25" customHeight="1" x14ac:dyDescent="0.2">
      <c r="A59" s="1186"/>
      <c r="B59" s="1364"/>
      <c r="C59" s="1186"/>
      <c r="D59" s="1364"/>
      <c r="E59" s="1360"/>
      <c r="F59" s="1186"/>
      <c r="G59" s="1186"/>
      <c r="H59" s="1186"/>
      <c r="I59" s="1188"/>
      <c r="J59" s="451" t="s">
        <v>3585</v>
      </c>
      <c r="K59" s="403">
        <v>0.3</v>
      </c>
      <c r="L59" s="451" t="s">
        <v>3586</v>
      </c>
      <c r="M59" s="409">
        <v>0.35</v>
      </c>
      <c r="N59" s="409">
        <v>0.4</v>
      </c>
      <c r="O59" s="409">
        <v>0.45</v>
      </c>
      <c r="P59" s="409">
        <v>0.5</v>
      </c>
      <c r="Q59" s="432">
        <v>10</v>
      </c>
      <c r="R59" s="432">
        <v>0</v>
      </c>
      <c r="S59" s="432">
        <v>20</v>
      </c>
      <c r="T59" s="432">
        <v>25</v>
      </c>
      <c r="U59" s="419"/>
      <c r="V59" s="547">
        <f t="shared" si="42"/>
        <v>55</v>
      </c>
      <c r="W59" s="550" t="s">
        <v>3628</v>
      </c>
      <c r="X59" s="566">
        <v>15000000</v>
      </c>
      <c r="Y59" s="549">
        <v>301</v>
      </c>
      <c r="AA59" s="449"/>
      <c r="AB59" s="449"/>
      <c r="AC59" s="449"/>
      <c r="AD59" s="449"/>
      <c r="AE59" s="449"/>
      <c r="AF59" s="449"/>
      <c r="AG59" s="449"/>
      <c r="AH59" s="449"/>
      <c r="AI59" s="449"/>
      <c r="AJ59" s="449">
        <f t="shared" si="39"/>
        <v>15000000</v>
      </c>
      <c r="AK59" s="449"/>
      <c r="AL59" s="449">
        <f t="shared" si="34"/>
        <v>15000000</v>
      </c>
      <c r="AN59" s="444">
        <f t="shared" si="35"/>
        <v>5000000</v>
      </c>
      <c r="AO59" s="444">
        <f>+'[3]PLANINVERSIONES DIC'!$BG104</f>
        <v>0</v>
      </c>
      <c r="AP59" s="580">
        <f>+AN59</f>
        <v>5000000</v>
      </c>
      <c r="AQ59" s="580"/>
      <c r="AR59" s="444"/>
      <c r="AS59" s="444"/>
      <c r="AT59" s="444">
        <f t="shared" si="36"/>
        <v>15000000</v>
      </c>
      <c r="AU59" s="444">
        <f t="shared" si="37"/>
        <v>-5000000</v>
      </c>
      <c r="AV59" s="442"/>
      <c r="AW59" s="444"/>
      <c r="AY59" s="444"/>
      <c r="AZ59" s="449"/>
      <c r="BA59" s="449"/>
      <c r="BB59" s="449"/>
      <c r="BC59" s="449"/>
      <c r="BD59" s="449"/>
      <c r="BE59" s="449"/>
      <c r="BF59" s="449"/>
      <c r="BG59" s="449"/>
      <c r="BH59" s="449"/>
      <c r="BI59" s="449"/>
      <c r="BJ59" s="449">
        <f t="shared" si="41"/>
        <v>0</v>
      </c>
      <c r="BK59" s="449"/>
      <c r="BL59" s="449">
        <f t="shared" si="38"/>
        <v>0</v>
      </c>
      <c r="BM59" s="444"/>
    </row>
    <row r="60" spans="1:65" ht="75.75" customHeight="1" x14ac:dyDescent="0.2">
      <c r="A60" s="1186"/>
      <c r="B60" s="1364"/>
      <c r="C60" s="1186"/>
      <c r="D60" s="1364"/>
      <c r="E60" s="1360"/>
      <c r="F60" s="1186"/>
      <c r="G60" s="1186"/>
      <c r="H60" s="1186"/>
      <c r="I60" s="1188"/>
      <c r="J60" s="598" t="s">
        <v>3587</v>
      </c>
      <c r="K60" s="451">
        <v>662</v>
      </c>
      <c r="L60" s="451" t="s">
        <v>3588</v>
      </c>
      <c r="M60" s="401">
        <v>680</v>
      </c>
      <c r="N60" s="401">
        <v>750</v>
      </c>
      <c r="O60" s="401">
        <v>850</v>
      </c>
      <c r="P60" s="401">
        <v>1000</v>
      </c>
      <c r="Q60" s="432">
        <v>500</v>
      </c>
      <c r="R60" s="432">
        <v>550</v>
      </c>
      <c r="S60" s="432">
        <v>600</v>
      </c>
      <c r="T60" s="432">
        <v>700</v>
      </c>
      <c r="U60" s="419"/>
      <c r="V60" s="547">
        <f t="shared" si="42"/>
        <v>2350</v>
      </c>
      <c r="W60" s="550" t="s">
        <v>3629</v>
      </c>
      <c r="X60" s="566">
        <v>600000000</v>
      </c>
      <c r="Y60" s="549">
        <v>301</v>
      </c>
      <c r="AA60" s="449"/>
      <c r="AB60" s="449"/>
      <c r="AC60" s="449"/>
      <c r="AD60" s="449"/>
      <c r="AE60" s="449"/>
      <c r="AF60" s="449"/>
      <c r="AG60" s="449"/>
      <c r="AH60" s="449"/>
      <c r="AI60" s="449"/>
      <c r="AJ60" s="449">
        <f t="shared" si="39"/>
        <v>600000000</v>
      </c>
      <c r="AK60" s="449"/>
      <c r="AL60" s="449">
        <f t="shared" si="34"/>
        <v>600000000</v>
      </c>
      <c r="AN60" s="444">
        <f t="shared" si="35"/>
        <v>0</v>
      </c>
      <c r="AO60" s="444">
        <f>+'[3]PLANINVERSIONES DIC'!$BG105</f>
        <v>179559544</v>
      </c>
      <c r="AP60" s="580"/>
      <c r="AQ60" s="444"/>
      <c r="AR60" s="444">
        <f t="shared" si="40"/>
        <v>0</v>
      </c>
      <c r="AS60" s="444">
        <v>15000000</v>
      </c>
      <c r="AT60" s="444">
        <f t="shared" si="36"/>
        <v>615000000</v>
      </c>
      <c r="AU60" s="444">
        <f t="shared" si="37"/>
        <v>15000000</v>
      </c>
      <c r="AV60" s="442"/>
      <c r="AW60" s="444"/>
      <c r="AY60" s="444"/>
      <c r="AZ60" s="449"/>
      <c r="BA60" s="449"/>
      <c r="BB60" s="449"/>
      <c r="BC60" s="449"/>
      <c r="BD60" s="449"/>
      <c r="BE60" s="449"/>
      <c r="BF60" s="449"/>
      <c r="BG60" s="449"/>
      <c r="BH60" s="449"/>
      <c r="BI60" s="449"/>
      <c r="BJ60" s="449">
        <v>15000000</v>
      </c>
      <c r="BK60" s="449"/>
      <c r="BL60" s="449">
        <f t="shared" si="38"/>
        <v>15000000</v>
      </c>
      <c r="BM60" s="444"/>
    </row>
    <row r="61" spans="1:65" ht="91.5" customHeight="1" x14ac:dyDescent="0.2">
      <c r="A61" s="473"/>
      <c r="B61" s="476"/>
      <c r="C61" s="473"/>
      <c r="D61" s="476"/>
      <c r="E61" s="471"/>
      <c r="F61" s="473"/>
      <c r="G61" s="473"/>
      <c r="H61" s="473"/>
      <c r="I61" s="435" t="s">
        <v>3724</v>
      </c>
      <c r="J61" s="451" t="s">
        <v>3594</v>
      </c>
      <c r="K61" s="451">
        <v>0</v>
      </c>
      <c r="L61" s="451" t="s">
        <v>3595</v>
      </c>
      <c r="M61" s="409">
        <v>0.9</v>
      </c>
      <c r="N61" s="409">
        <v>0.9</v>
      </c>
      <c r="O61" s="409">
        <v>0.9</v>
      </c>
      <c r="P61" s="409">
        <v>0.9</v>
      </c>
      <c r="Q61" s="432">
        <v>35</v>
      </c>
      <c r="R61" s="432">
        <v>40</v>
      </c>
      <c r="S61" s="432">
        <v>35</v>
      </c>
      <c r="T61" s="432">
        <v>35</v>
      </c>
      <c r="U61" s="419"/>
      <c r="V61" s="547">
        <f>Q61+R61+S61+T61</f>
        <v>145</v>
      </c>
      <c r="W61" s="550">
        <v>622</v>
      </c>
      <c r="X61" s="566">
        <v>70000000</v>
      </c>
      <c r="Y61" s="549">
        <v>301</v>
      </c>
      <c r="AA61" s="449"/>
      <c r="AB61" s="449"/>
      <c r="AC61" s="449"/>
      <c r="AD61" s="449"/>
      <c r="AE61" s="449"/>
      <c r="AF61" s="449"/>
      <c r="AG61" s="449"/>
      <c r="AH61" s="449"/>
      <c r="AI61" s="449"/>
      <c r="AJ61" s="449">
        <f t="shared" si="39"/>
        <v>70000000</v>
      </c>
      <c r="AK61" s="449"/>
      <c r="AL61" s="449">
        <f t="shared" si="34"/>
        <v>70000000</v>
      </c>
      <c r="AN61" s="583">
        <f t="shared" si="35"/>
        <v>-35000000</v>
      </c>
      <c r="AO61" s="444">
        <f>+'[3]PLANINVERSIONES DIC'!$BG106</f>
        <v>35000000</v>
      </c>
      <c r="AP61" s="580"/>
      <c r="AQ61" s="444"/>
      <c r="AR61" s="444">
        <f t="shared" si="40"/>
        <v>0</v>
      </c>
      <c r="AS61" s="444"/>
      <c r="AT61" s="444">
        <f t="shared" si="36"/>
        <v>70000000</v>
      </c>
      <c r="AU61" s="444">
        <f t="shared" si="37"/>
        <v>35000000</v>
      </c>
      <c r="AV61" s="442"/>
      <c r="AW61" s="444"/>
      <c r="AY61" s="444"/>
      <c r="AZ61" s="449"/>
      <c r="BA61" s="449"/>
      <c r="BB61" s="449"/>
      <c r="BC61" s="449"/>
      <c r="BD61" s="449"/>
      <c r="BE61" s="449"/>
      <c r="BF61" s="449"/>
      <c r="BG61" s="449"/>
      <c r="BH61" s="449"/>
      <c r="BI61" s="449"/>
      <c r="BJ61" s="449">
        <f t="shared" si="41"/>
        <v>0</v>
      </c>
      <c r="BK61" s="449"/>
      <c r="BL61" s="449">
        <f t="shared" si="38"/>
        <v>0</v>
      </c>
      <c r="BM61" s="444"/>
    </row>
    <row r="62" spans="1:65" ht="101.25" customHeight="1" x14ac:dyDescent="0.2">
      <c r="A62" s="1188">
        <v>6</v>
      </c>
      <c r="B62" s="1396" t="s">
        <v>3569</v>
      </c>
      <c r="C62" s="1188" t="s">
        <v>3570</v>
      </c>
      <c r="D62" s="1365" t="s">
        <v>434</v>
      </c>
      <c r="E62" s="1372" t="s">
        <v>3577</v>
      </c>
      <c r="F62" s="1188" t="s">
        <v>3578</v>
      </c>
      <c r="G62" s="1188" t="s">
        <v>3579</v>
      </c>
      <c r="H62" s="1188" t="s">
        <v>3580</v>
      </c>
      <c r="I62" s="1188" t="s">
        <v>3725</v>
      </c>
      <c r="J62" s="598" t="s">
        <v>3590</v>
      </c>
      <c r="K62" s="403">
        <v>0.1</v>
      </c>
      <c r="L62" s="451" t="s">
        <v>3591</v>
      </c>
      <c r="M62" s="409">
        <v>0.2</v>
      </c>
      <c r="N62" s="409">
        <v>0.3</v>
      </c>
      <c r="O62" s="409">
        <v>0.4</v>
      </c>
      <c r="P62" s="409">
        <v>0.5</v>
      </c>
      <c r="Q62" s="432">
        <v>40</v>
      </c>
      <c r="R62" s="432">
        <v>67</v>
      </c>
      <c r="S62" s="432">
        <v>80</v>
      </c>
      <c r="T62" s="432">
        <v>100</v>
      </c>
      <c r="U62" s="419"/>
      <c r="V62" s="547">
        <f t="shared" si="42"/>
        <v>287</v>
      </c>
      <c r="W62" s="550" t="s">
        <v>3631</v>
      </c>
      <c r="X62" s="566">
        <v>150000000</v>
      </c>
      <c r="Y62" s="549">
        <v>301</v>
      </c>
      <c r="AA62" s="449"/>
      <c r="AB62" s="449"/>
      <c r="AC62" s="449"/>
      <c r="AD62" s="449"/>
      <c r="AE62" s="449"/>
      <c r="AF62" s="449"/>
      <c r="AG62" s="449"/>
      <c r="AH62" s="449"/>
      <c r="AI62" s="449"/>
      <c r="AJ62" s="449">
        <f t="shared" si="39"/>
        <v>150000000</v>
      </c>
      <c r="AK62" s="449"/>
      <c r="AL62" s="449">
        <f t="shared" si="34"/>
        <v>150000000</v>
      </c>
      <c r="AN62" s="583">
        <f t="shared" si="35"/>
        <v>-70000000</v>
      </c>
      <c r="AO62" s="444">
        <f>+'[3]PLANINVERSIONES DIC'!$BG107</f>
        <v>21474934</v>
      </c>
      <c r="AP62" s="580"/>
      <c r="AQ62" s="444"/>
      <c r="AR62" s="444">
        <f t="shared" si="40"/>
        <v>0</v>
      </c>
      <c r="AS62" s="444">
        <v>-15000000</v>
      </c>
      <c r="AT62" s="444">
        <f t="shared" si="36"/>
        <v>135000000</v>
      </c>
      <c r="AU62" s="444">
        <f t="shared" si="37"/>
        <v>55000000</v>
      </c>
      <c r="AV62" s="442"/>
      <c r="AW62" s="444"/>
      <c r="AY62" s="444"/>
      <c r="AZ62" s="449"/>
      <c r="BA62" s="449"/>
      <c r="BB62" s="449"/>
      <c r="BC62" s="449"/>
      <c r="BD62" s="449"/>
      <c r="BE62" s="449"/>
      <c r="BF62" s="449"/>
      <c r="BG62" s="449"/>
      <c r="BH62" s="449"/>
      <c r="BI62" s="449"/>
      <c r="BJ62" s="449">
        <v>-15000000</v>
      </c>
      <c r="BK62" s="449"/>
      <c r="BL62" s="449">
        <f t="shared" si="38"/>
        <v>-15000000</v>
      </c>
      <c r="BM62" s="444"/>
    </row>
    <row r="63" spans="1:65" ht="109.5" customHeight="1" x14ac:dyDescent="0.2">
      <c r="A63" s="1188"/>
      <c r="B63" s="1396"/>
      <c r="C63" s="1188"/>
      <c r="D63" s="1365"/>
      <c r="E63" s="1372"/>
      <c r="F63" s="1188"/>
      <c r="G63" s="1188"/>
      <c r="H63" s="1188"/>
      <c r="I63" s="1188"/>
      <c r="J63" s="451" t="s">
        <v>3592</v>
      </c>
      <c r="K63" s="451">
        <v>45</v>
      </c>
      <c r="L63" s="451" t="s">
        <v>3593</v>
      </c>
      <c r="M63" s="401">
        <v>50</v>
      </c>
      <c r="N63" s="401">
        <v>50</v>
      </c>
      <c r="O63" s="401">
        <v>50</v>
      </c>
      <c r="P63" s="401">
        <v>50</v>
      </c>
      <c r="Q63" s="432">
        <v>200</v>
      </c>
      <c r="R63" s="432">
        <f>133+97</f>
        <v>230</v>
      </c>
      <c r="S63" s="432">
        <v>200</v>
      </c>
      <c r="T63" s="432">
        <v>200</v>
      </c>
      <c r="U63" s="419"/>
      <c r="V63" s="486">
        <f t="shared" si="42"/>
        <v>830</v>
      </c>
      <c r="W63" s="555" t="s">
        <v>3632</v>
      </c>
      <c r="X63" s="566">
        <f>215000000+116000000</f>
        <v>331000000</v>
      </c>
      <c r="Y63" s="549">
        <v>301</v>
      </c>
      <c r="AA63" s="449"/>
      <c r="AB63" s="449"/>
      <c r="AC63" s="449"/>
      <c r="AD63" s="449"/>
      <c r="AE63" s="449"/>
      <c r="AF63" s="449"/>
      <c r="AG63" s="449"/>
      <c r="AH63" s="449"/>
      <c r="AI63" s="449"/>
      <c r="AJ63" s="449">
        <f t="shared" si="39"/>
        <v>331000000</v>
      </c>
      <c r="AK63" s="449"/>
      <c r="AL63" s="449">
        <f t="shared" si="34"/>
        <v>331000000</v>
      </c>
      <c r="AN63" s="583">
        <f t="shared" si="35"/>
        <v>-131000000</v>
      </c>
      <c r="AO63" s="444">
        <f>SUM('[3]PLANINVERSIONES DIC'!$BG$108:$BG$109)</f>
        <v>28285134</v>
      </c>
      <c r="AP63" s="580"/>
      <c r="AQ63" s="444"/>
      <c r="AR63" s="444">
        <f t="shared" si="40"/>
        <v>0</v>
      </c>
      <c r="AS63" s="444"/>
      <c r="AT63" s="444">
        <f t="shared" si="36"/>
        <v>331000000</v>
      </c>
      <c r="AU63" s="444">
        <f t="shared" si="37"/>
        <v>131000000</v>
      </c>
      <c r="AV63" s="442"/>
      <c r="AW63" s="444"/>
      <c r="AY63" s="444"/>
      <c r="AZ63" s="449"/>
      <c r="BA63" s="449"/>
      <c r="BB63" s="449"/>
      <c r="BC63" s="449"/>
      <c r="BD63" s="449"/>
      <c r="BE63" s="449"/>
      <c r="BF63" s="449"/>
      <c r="BG63" s="449"/>
      <c r="BH63" s="449"/>
      <c r="BI63" s="449"/>
      <c r="BJ63" s="449">
        <f t="shared" si="41"/>
        <v>0</v>
      </c>
      <c r="BK63" s="449"/>
      <c r="BL63" s="449">
        <f t="shared" si="38"/>
        <v>0</v>
      </c>
      <c r="BM63" s="444"/>
    </row>
    <row r="64" spans="1:65" ht="18" customHeight="1" x14ac:dyDescent="0.25">
      <c r="A64" s="466"/>
      <c r="B64" s="466"/>
      <c r="C64" s="466"/>
      <c r="D64" s="466"/>
      <c r="E64" s="466"/>
      <c r="F64" s="466"/>
      <c r="G64" s="466"/>
      <c r="H64" s="466"/>
      <c r="I64" s="466"/>
      <c r="J64" s="466"/>
      <c r="K64" s="466"/>
      <c r="L64" s="466"/>
      <c r="M64" s="1345" t="s">
        <v>695</v>
      </c>
      <c r="N64" s="1346"/>
      <c r="O64" s="1346"/>
      <c r="P64" s="1347"/>
      <c r="Q64" s="407">
        <f t="shared" ref="Q64:V64" si="43">SUM(Q53:Q63)</f>
        <v>1075</v>
      </c>
      <c r="R64" s="407">
        <f t="shared" si="43"/>
        <v>1267</v>
      </c>
      <c r="S64" s="407">
        <f t="shared" si="43"/>
        <v>1405</v>
      </c>
      <c r="T64" s="407">
        <f t="shared" si="43"/>
        <v>1605</v>
      </c>
      <c r="U64" s="407">
        <f t="shared" si="43"/>
        <v>0</v>
      </c>
      <c r="V64" s="407">
        <f t="shared" si="43"/>
        <v>5352</v>
      </c>
      <c r="W64" s="550"/>
      <c r="X64" s="407">
        <f>SUM(X53:X63)</f>
        <v>1505000000</v>
      </c>
      <c r="Y64" s="549"/>
      <c r="AA64" s="407">
        <f>SUM(AA53:AA63)</f>
        <v>150000000</v>
      </c>
      <c r="AB64" s="407">
        <f t="shared" ref="AB64:AL64" si="44">SUM(AB53:AB63)</f>
        <v>0</v>
      </c>
      <c r="AC64" s="407">
        <f t="shared" si="44"/>
        <v>0</v>
      </c>
      <c r="AD64" s="407">
        <f t="shared" si="44"/>
        <v>0</v>
      </c>
      <c r="AE64" s="407">
        <f t="shared" si="44"/>
        <v>0</v>
      </c>
      <c r="AF64" s="407">
        <f t="shared" si="44"/>
        <v>0</v>
      </c>
      <c r="AG64" s="407">
        <f t="shared" si="44"/>
        <v>0</v>
      </c>
      <c r="AH64" s="407">
        <f t="shared" si="44"/>
        <v>0</v>
      </c>
      <c r="AI64" s="407"/>
      <c r="AJ64" s="407">
        <f t="shared" si="44"/>
        <v>1355000000</v>
      </c>
      <c r="AK64" s="407"/>
      <c r="AL64" s="407">
        <f t="shared" si="44"/>
        <v>1505000000</v>
      </c>
      <c r="AN64" s="407">
        <f t="shared" ref="AN64:AU64" si="45">SUM(AN53:AN63)</f>
        <v>-100000000</v>
      </c>
      <c r="AO64" s="407">
        <f t="shared" si="45"/>
        <v>417964746</v>
      </c>
      <c r="AP64" s="581">
        <f t="shared" si="45"/>
        <v>121000000</v>
      </c>
      <c r="AQ64" s="407">
        <f t="shared" si="45"/>
        <v>0</v>
      </c>
      <c r="AR64" s="407">
        <f t="shared" si="45"/>
        <v>15000000</v>
      </c>
      <c r="AS64" s="407">
        <f t="shared" si="45"/>
        <v>0</v>
      </c>
      <c r="AT64" s="407">
        <f t="shared" si="45"/>
        <v>1520000000</v>
      </c>
      <c r="AU64" s="407">
        <f t="shared" si="45"/>
        <v>115000000</v>
      </c>
      <c r="AV64" s="442"/>
      <c r="AW64" s="407">
        <f>SUM(AW53:AW63)</f>
        <v>0</v>
      </c>
      <c r="AY64" s="407">
        <f>SUM(AY53:AY63)</f>
        <v>0</v>
      </c>
      <c r="AZ64" s="407">
        <f>SUM(AZ53:AZ63)</f>
        <v>0</v>
      </c>
      <c r="BA64" s="407">
        <f t="shared" ref="BA64:BI64" si="46">SUM(BA53:BA63)</f>
        <v>0</v>
      </c>
      <c r="BB64" s="407">
        <f t="shared" si="46"/>
        <v>0</v>
      </c>
      <c r="BC64" s="407">
        <f t="shared" si="46"/>
        <v>0</v>
      </c>
      <c r="BD64" s="407">
        <f t="shared" si="46"/>
        <v>0</v>
      </c>
      <c r="BE64" s="407">
        <f t="shared" si="46"/>
        <v>0</v>
      </c>
      <c r="BF64" s="407">
        <f t="shared" si="46"/>
        <v>0</v>
      </c>
      <c r="BG64" s="407">
        <f t="shared" si="46"/>
        <v>0</v>
      </c>
      <c r="BH64" s="407">
        <f t="shared" si="46"/>
        <v>15000000</v>
      </c>
      <c r="BI64" s="407">
        <f t="shared" si="46"/>
        <v>0</v>
      </c>
      <c r="BJ64" s="407">
        <f>SUM(BJ53:BJ63)</f>
        <v>0</v>
      </c>
      <c r="BK64" s="407">
        <f>SUM(BK53:BK63)</f>
        <v>0</v>
      </c>
      <c r="BL64" s="407">
        <f>SUM(BL53:BL63)</f>
        <v>15000000</v>
      </c>
      <c r="BM64" s="407">
        <f>SUM(BM53:BM63)</f>
        <v>0</v>
      </c>
    </row>
    <row r="65" spans="1:65" ht="22.5" customHeight="1" x14ac:dyDescent="0.25">
      <c r="A65" s="398"/>
      <c r="B65" s="456"/>
      <c r="C65" s="398"/>
      <c r="D65" s="396"/>
      <c r="E65" s="396"/>
      <c r="F65" s="396"/>
      <c r="G65" s="396"/>
      <c r="H65" s="398"/>
      <c r="I65" s="398"/>
      <c r="J65" s="396"/>
      <c r="K65" s="396"/>
      <c r="L65" s="457"/>
      <c r="M65" s="416"/>
      <c r="N65" s="416"/>
      <c r="O65" s="416"/>
      <c r="P65" s="417"/>
      <c r="Q65" s="417"/>
      <c r="R65" s="417"/>
      <c r="S65" s="417"/>
      <c r="T65" s="416"/>
      <c r="U65" s="399"/>
      <c r="V65" s="484"/>
      <c r="W65" s="556"/>
      <c r="X65" s="571"/>
      <c r="Y65" s="572"/>
      <c r="Z65" s="483"/>
      <c r="AA65" s="489"/>
      <c r="AB65" s="489"/>
      <c r="AC65" s="489"/>
      <c r="AD65" s="489"/>
      <c r="AE65" s="489"/>
      <c r="AF65" s="489"/>
      <c r="AG65" s="489"/>
      <c r="AH65" s="489"/>
      <c r="AI65" s="489"/>
      <c r="AJ65" s="489"/>
      <c r="AK65" s="489"/>
      <c r="AL65" s="489"/>
      <c r="AN65" s="485"/>
      <c r="AO65" s="485"/>
      <c r="AP65" s="582"/>
      <c r="AQ65" s="485"/>
      <c r="AR65" s="485"/>
      <c r="AS65" s="485"/>
      <c r="AT65" s="485"/>
      <c r="AU65" s="485"/>
      <c r="AW65" s="485"/>
      <c r="AY65" s="485"/>
      <c r="AZ65" s="489"/>
      <c r="BA65" s="489"/>
      <c r="BB65" s="489"/>
      <c r="BC65" s="489"/>
      <c r="BD65" s="489"/>
      <c r="BE65" s="489"/>
      <c r="BF65" s="489"/>
      <c r="BG65" s="489"/>
      <c r="BH65" s="489"/>
      <c r="BI65" s="489"/>
      <c r="BJ65" s="489"/>
      <c r="BK65" s="489"/>
      <c r="BL65" s="489"/>
      <c r="BM65" s="485"/>
    </row>
    <row r="66" spans="1:65" ht="84.75" customHeight="1" x14ac:dyDescent="0.2">
      <c r="A66" s="1188">
        <v>7</v>
      </c>
      <c r="B66" s="1365" t="s">
        <v>3598</v>
      </c>
      <c r="C66" s="1188" t="s">
        <v>3599</v>
      </c>
      <c r="D66" s="1365" t="s">
        <v>3600</v>
      </c>
      <c r="E66" s="1394" t="s">
        <v>3577</v>
      </c>
      <c r="F66" s="1188" t="s">
        <v>3674</v>
      </c>
      <c r="G66" s="1188" t="s">
        <v>3675</v>
      </c>
      <c r="H66" s="1188" t="s">
        <v>3676</v>
      </c>
      <c r="I66" s="1185" t="s">
        <v>3726</v>
      </c>
      <c r="J66" s="475" t="s">
        <v>3730</v>
      </c>
      <c r="K66" s="452">
        <v>0</v>
      </c>
      <c r="L66" s="452" t="s">
        <v>2887</v>
      </c>
      <c r="M66" s="400">
        <v>0</v>
      </c>
      <c r="N66" s="435" t="s">
        <v>3601</v>
      </c>
      <c r="O66" s="435" t="s">
        <v>3602</v>
      </c>
      <c r="P66" s="435" t="s">
        <v>3602</v>
      </c>
      <c r="Q66" s="405">
        <v>25</v>
      </c>
      <c r="R66" s="405">
        <v>110</v>
      </c>
      <c r="S66" s="405">
        <v>110</v>
      </c>
      <c r="T66" s="405">
        <v>0</v>
      </c>
      <c r="U66" s="427"/>
      <c r="V66" s="486">
        <f t="shared" ref="V66:V71" si="47">Q66+R66+S66+T66</f>
        <v>245</v>
      </c>
      <c r="W66" s="550" t="s">
        <v>3634</v>
      </c>
      <c r="X66" s="566"/>
      <c r="Y66" s="549">
        <v>510</v>
      </c>
      <c r="AA66" s="449"/>
      <c r="AB66" s="449"/>
      <c r="AC66" s="449"/>
      <c r="AD66" s="449"/>
      <c r="AE66" s="449"/>
      <c r="AF66" s="449"/>
      <c r="AG66" s="449"/>
      <c r="AH66" s="449"/>
      <c r="AI66" s="449"/>
      <c r="AJ66" s="449"/>
      <c r="AK66" s="449"/>
      <c r="AL66" s="449">
        <f t="shared" ref="AL66:AL71" si="48">SUM(AA66:AJ66)</f>
        <v>0</v>
      </c>
      <c r="AN66" s="444">
        <f t="shared" ref="AN66:AN71" si="49">+S66*1000000-X66</f>
        <v>110000000</v>
      </c>
      <c r="AO66" s="444">
        <f>+'[3]PLANINVERSIONES DIC'!$BG112</f>
        <v>80639972</v>
      </c>
      <c r="AP66" s="587">
        <f>90000000-44222728</f>
        <v>45777272</v>
      </c>
      <c r="AQ66" s="580"/>
      <c r="AR66" s="444">
        <f t="shared" ref="AR66:AR71" si="50">+AP66+AQ66</f>
        <v>45777272</v>
      </c>
      <c r="AS66" s="444"/>
      <c r="AT66" s="444">
        <f t="shared" ref="AT66:AT71" si="51">+X66+AR66+AS66</f>
        <v>45777272</v>
      </c>
      <c r="AU66" s="444">
        <f t="shared" ref="AU66:AU71" si="52">+AT66-S66*1000000</f>
        <v>-64222728</v>
      </c>
      <c r="AV66" s="442"/>
      <c r="AW66" s="444"/>
      <c r="AY66" s="444"/>
      <c r="AZ66" s="449"/>
      <c r="BA66" s="449"/>
      <c r="BB66" s="449"/>
      <c r="BC66" s="449"/>
      <c r="BD66" s="449"/>
      <c r="BE66" s="449"/>
      <c r="BF66" s="449"/>
      <c r="BG66" s="449"/>
      <c r="BH66" s="449">
        <f>+AR66</f>
        <v>45777272</v>
      </c>
      <c r="BI66" s="449"/>
      <c r="BJ66" s="449"/>
      <c r="BK66" s="449"/>
      <c r="BL66" s="449">
        <f>SUM(AZ66:BJ66)</f>
        <v>45777272</v>
      </c>
      <c r="BM66" s="444"/>
    </row>
    <row r="67" spans="1:65" ht="75" customHeight="1" x14ac:dyDescent="0.2">
      <c r="A67" s="1188"/>
      <c r="B67" s="1365"/>
      <c r="C67" s="1188"/>
      <c r="D67" s="1365"/>
      <c r="E67" s="1395"/>
      <c r="F67" s="1188"/>
      <c r="G67" s="1188"/>
      <c r="H67" s="1188"/>
      <c r="I67" s="1187"/>
      <c r="J67" s="452" t="s">
        <v>3603</v>
      </c>
      <c r="K67" s="452">
        <v>0</v>
      </c>
      <c r="L67" s="452" t="s">
        <v>3604</v>
      </c>
      <c r="M67" s="400">
        <v>0</v>
      </c>
      <c r="N67" s="400">
        <v>1</v>
      </c>
      <c r="O67" s="400">
        <v>0</v>
      </c>
      <c r="P67" s="400">
        <v>0</v>
      </c>
      <c r="Q67" s="405">
        <v>30</v>
      </c>
      <c r="R67" s="405">
        <v>50</v>
      </c>
      <c r="S67" s="405">
        <v>80</v>
      </c>
      <c r="T67" s="405">
        <v>140</v>
      </c>
      <c r="U67" s="427"/>
      <c r="V67" s="440">
        <f t="shared" si="47"/>
        <v>300</v>
      </c>
      <c r="W67" s="550" t="s">
        <v>3635</v>
      </c>
      <c r="X67" s="566"/>
      <c r="Y67" s="549">
        <v>510</v>
      </c>
      <c r="AA67" s="449"/>
      <c r="AB67" s="449"/>
      <c r="AC67" s="449"/>
      <c r="AD67" s="449"/>
      <c r="AE67" s="449"/>
      <c r="AF67" s="449"/>
      <c r="AG67" s="449"/>
      <c r="AH67" s="449"/>
      <c r="AI67" s="449"/>
      <c r="AJ67" s="449"/>
      <c r="AK67" s="449"/>
      <c r="AL67" s="449">
        <f t="shared" si="48"/>
        <v>0</v>
      </c>
      <c r="AN67" s="444">
        <f t="shared" si="49"/>
        <v>80000000</v>
      </c>
      <c r="AO67" s="444">
        <f>+'[3]PLANINVERSIONES DIC'!$BG113</f>
        <v>7650000</v>
      </c>
      <c r="AP67" s="580">
        <v>80000000</v>
      </c>
      <c r="AQ67" s="580"/>
      <c r="AR67" s="444"/>
      <c r="AS67" s="444"/>
      <c r="AT67" s="444">
        <f t="shared" si="51"/>
        <v>0</v>
      </c>
      <c r="AU67" s="444">
        <f t="shared" si="52"/>
        <v>-80000000</v>
      </c>
      <c r="AV67" s="442"/>
      <c r="AW67" s="444"/>
      <c r="AY67" s="444"/>
      <c r="AZ67" s="449"/>
      <c r="BA67" s="449"/>
      <c r="BB67" s="449"/>
      <c r="BC67" s="449"/>
      <c r="BD67" s="449"/>
      <c r="BE67" s="449"/>
      <c r="BF67" s="449"/>
      <c r="BG67" s="449"/>
      <c r="BH67" s="449"/>
      <c r="BI67" s="449"/>
      <c r="BJ67" s="449"/>
      <c r="BK67" s="449"/>
      <c r="BL67" s="449">
        <f>SUM(AZ67:BJ67)</f>
        <v>0</v>
      </c>
      <c r="BM67" s="444"/>
    </row>
    <row r="68" spans="1:65" ht="45.75" customHeight="1" x14ac:dyDescent="0.2">
      <c r="A68" s="1188"/>
      <c r="B68" s="1365"/>
      <c r="C68" s="1188"/>
      <c r="D68" s="1396" t="s">
        <v>3605</v>
      </c>
      <c r="E68" s="1362" t="s">
        <v>3667</v>
      </c>
      <c r="F68" s="1188" t="s">
        <v>3698</v>
      </c>
      <c r="G68" s="1188" t="s">
        <v>3677</v>
      </c>
      <c r="H68" s="1188" t="s">
        <v>3678</v>
      </c>
      <c r="I68" s="1185" t="s">
        <v>3727</v>
      </c>
      <c r="J68" s="452" t="s">
        <v>3693</v>
      </c>
      <c r="K68" s="452">
        <v>0</v>
      </c>
      <c r="L68" s="452" t="s">
        <v>3606</v>
      </c>
      <c r="M68" s="548">
        <v>10</v>
      </c>
      <c r="N68" s="548">
        <v>10</v>
      </c>
      <c r="O68" s="548">
        <v>5</v>
      </c>
      <c r="P68" s="548">
        <v>5</v>
      </c>
      <c r="Q68" s="430">
        <v>500</v>
      </c>
      <c r="R68" s="430">
        <f>15+32+8</f>
        <v>55</v>
      </c>
      <c r="S68" s="430">
        <v>50</v>
      </c>
      <c r="T68" s="430">
        <v>50</v>
      </c>
      <c r="U68" s="427"/>
      <c r="V68" s="440">
        <f t="shared" si="47"/>
        <v>655</v>
      </c>
      <c r="W68" s="555" t="s">
        <v>3669</v>
      </c>
      <c r="X68" s="566">
        <v>100821516</v>
      </c>
      <c r="Y68" s="549">
        <v>211</v>
      </c>
      <c r="AA68" s="449"/>
      <c r="AB68" s="449"/>
      <c r="AC68" s="449">
        <f>+X68</f>
        <v>100821516</v>
      </c>
      <c r="AD68" s="449"/>
      <c r="AE68" s="449"/>
      <c r="AF68" s="449"/>
      <c r="AG68" s="449"/>
      <c r="AH68" s="449"/>
      <c r="AI68" s="449"/>
      <c r="AJ68" s="449"/>
      <c r="AK68" s="449"/>
      <c r="AL68" s="449">
        <f t="shared" si="48"/>
        <v>100821516</v>
      </c>
      <c r="AN68" s="583">
        <f t="shared" si="49"/>
        <v>-50821516</v>
      </c>
      <c r="AO68" s="444">
        <f>+'[3]PLANINVERSIONES DIC'!$BG$114+SUM('[3]PLANINVERSIONES DIC'!$BG$125)</f>
        <v>0</v>
      </c>
      <c r="AP68" s="580"/>
      <c r="AQ68" s="444"/>
      <c r="AR68" s="444">
        <f t="shared" si="50"/>
        <v>0</v>
      </c>
      <c r="AS68" s="444">
        <v>-43000000</v>
      </c>
      <c r="AT68" s="444">
        <f t="shared" si="51"/>
        <v>57821516</v>
      </c>
      <c r="AU68" s="444">
        <f t="shared" si="52"/>
        <v>7821516</v>
      </c>
      <c r="AV68" s="442"/>
      <c r="AW68" s="444"/>
      <c r="AY68" s="444"/>
      <c r="AZ68" s="449"/>
      <c r="BA68" s="449"/>
      <c r="BB68" s="449">
        <f>+AS68</f>
        <v>-43000000</v>
      </c>
      <c r="BC68" s="449"/>
      <c r="BD68" s="449"/>
      <c r="BE68" s="449"/>
      <c r="BF68" s="449"/>
      <c r="BG68" s="449"/>
      <c r="BH68" s="449"/>
      <c r="BI68" s="449"/>
      <c r="BJ68" s="449"/>
      <c r="BK68" s="449"/>
      <c r="BL68" s="449">
        <f>SUM(AZ68:BJ68)</f>
        <v>-43000000</v>
      </c>
      <c r="BM68" s="444"/>
    </row>
    <row r="69" spans="1:65" ht="63" customHeight="1" x14ac:dyDescent="0.2">
      <c r="A69" s="1188"/>
      <c r="B69" s="1365"/>
      <c r="C69" s="1188"/>
      <c r="D69" s="1396"/>
      <c r="E69" s="1360"/>
      <c r="F69" s="1188"/>
      <c r="G69" s="1188"/>
      <c r="H69" s="1188"/>
      <c r="I69" s="1186"/>
      <c r="J69" s="452" t="s">
        <v>3679</v>
      </c>
      <c r="K69" s="452">
        <v>0</v>
      </c>
      <c r="L69" s="452" t="s">
        <v>3608</v>
      </c>
      <c r="M69" s="400">
        <v>0</v>
      </c>
      <c r="N69" s="400">
        <v>1</v>
      </c>
      <c r="O69" s="400">
        <v>0</v>
      </c>
      <c r="P69" s="400">
        <v>0</v>
      </c>
      <c r="Q69" s="405">
        <v>50</v>
      </c>
      <c r="R69" s="405">
        <v>0</v>
      </c>
      <c r="S69" s="405">
        <v>0</v>
      </c>
      <c r="T69" s="405">
        <v>0</v>
      </c>
      <c r="U69" s="427"/>
      <c r="V69" s="440">
        <f>Q69+R69+S69+T69</f>
        <v>50</v>
      </c>
      <c r="W69" s="555" t="s">
        <v>3670</v>
      </c>
      <c r="X69" s="566"/>
      <c r="Y69" s="549">
        <v>211</v>
      </c>
      <c r="AA69" s="449"/>
      <c r="AB69" s="449"/>
      <c r="AC69" s="449"/>
      <c r="AD69" s="449"/>
      <c r="AE69" s="449"/>
      <c r="AF69" s="449"/>
      <c r="AG69" s="449"/>
      <c r="AH69" s="449"/>
      <c r="AI69" s="449"/>
      <c r="AJ69" s="449"/>
      <c r="AK69" s="449"/>
      <c r="AL69" s="449">
        <f t="shared" si="48"/>
        <v>0</v>
      </c>
      <c r="AN69" s="444">
        <f t="shared" si="49"/>
        <v>0</v>
      </c>
      <c r="AO69" s="444">
        <f>+'[3]PLANINVERSIONES DIC'!$BG$115+'[3]PLANINVERSIONES DIC'!$BG$126</f>
        <v>0</v>
      </c>
      <c r="AP69" s="580"/>
      <c r="AQ69" s="444"/>
      <c r="AR69" s="444">
        <f t="shared" si="50"/>
        <v>0</v>
      </c>
      <c r="AS69" s="444"/>
      <c r="AT69" s="444">
        <f t="shared" si="51"/>
        <v>0</v>
      </c>
      <c r="AU69" s="444">
        <f t="shared" si="52"/>
        <v>0</v>
      </c>
      <c r="AV69" s="442"/>
      <c r="AW69" s="444"/>
      <c r="AY69" s="444"/>
      <c r="AZ69" s="449"/>
      <c r="BA69" s="449"/>
      <c r="BB69" s="449"/>
      <c r="BC69" s="449"/>
      <c r="BD69" s="449"/>
      <c r="BE69" s="449"/>
      <c r="BF69" s="449"/>
      <c r="BG69" s="449"/>
      <c r="BH69" s="449"/>
      <c r="BI69" s="449"/>
      <c r="BJ69" s="449"/>
      <c r="BK69" s="449"/>
      <c r="BL69" s="449">
        <f>SUM(AZ69:BJ69)</f>
        <v>0</v>
      </c>
      <c r="BM69" s="444"/>
    </row>
    <row r="70" spans="1:65" ht="66.75" customHeight="1" x14ac:dyDescent="0.2">
      <c r="A70" s="1188"/>
      <c r="B70" s="1365"/>
      <c r="C70" s="1188"/>
      <c r="D70" s="1396"/>
      <c r="E70" s="1360"/>
      <c r="F70" s="1188"/>
      <c r="G70" s="1188"/>
      <c r="H70" s="1188"/>
      <c r="I70" s="1187"/>
      <c r="J70" s="452" t="s">
        <v>3694</v>
      </c>
      <c r="K70" s="467">
        <v>0</v>
      </c>
      <c r="L70" s="452" t="s">
        <v>3607</v>
      </c>
      <c r="M70" s="400">
        <v>0</v>
      </c>
      <c r="N70" s="400">
        <v>1</v>
      </c>
      <c r="O70" s="400">
        <v>0</v>
      </c>
      <c r="P70" s="400">
        <v>0</v>
      </c>
      <c r="Q70" s="405">
        <v>50</v>
      </c>
      <c r="R70" s="405">
        <v>75</v>
      </c>
      <c r="S70" s="405">
        <v>150</v>
      </c>
      <c r="T70" s="405">
        <v>150</v>
      </c>
      <c r="U70" s="427"/>
      <c r="V70" s="440">
        <f t="shared" si="47"/>
        <v>425</v>
      </c>
      <c r="W70" s="550" t="s">
        <v>3636</v>
      </c>
      <c r="X70" s="566"/>
      <c r="Y70" s="549">
        <v>510</v>
      </c>
      <c r="AA70" s="449"/>
      <c r="AB70" s="449"/>
      <c r="AC70" s="449"/>
      <c r="AD70" s="449"/>
      <c r="AE70" s="449"/>
      <c r="AF70" s="449"/>
      <c r="AG70" s="449"/>
      <c r="AH70" s="449"/>
      <c r="AI70" s="449"/>
      <c r="AJ70" s="449"/>
      <c r="AK70" s="449"/>
      <c r="AL70" s="449">
        <f t="shared" si="48"/>
        <v>0</v>
      </c>
      <c r="AN70" s="444">
        <f t="shared" si="49"/>
        <v>150000000</v>
      </c>
      <c r="AO70" s="444">
        <f>+'[3]PLANINVERSIONES DIC'!$BG$127</f>
        <v>26193952</v>
      </c>
      <c r="AP70" s="587">
        <v>2000000</v>
      </c>
      <c r="AQ70" s="580"/>
      <c r="AR70" s="444">
        <f t="shared" si="50"/>
        <v>2000000</v>
      </c>
      <c r="AS70" s="444">
        <v>69000000</v>
      </c>
      <c r="AT70" s="444">
        <f t="shared" si="51"/>
        <v>71000000</v>
      </c>
      <c r="AU70" s="444">
        <f t="shared" si="52"/>
        <v>-79000000</v>
      </c>
      <c r="AV70" s="442"/>
      <c r="AW70" s="444"/>
      <c r="AY70" s="444"/>
      <c r="AZ70" s="449">
        <f>-AZ21-AZ17-AZ15</f>
        <v>20000000</v>
      </c>
      <c r="BA70" s="449"/>
      <c r="BB70" s="449"/>
      <c r="BC70" s="449"/>
      <c r="BD70" s="449"/>
      <c r="BE70" s="449"/>
      <c r="BF70" s="449"/>
      <c r="BG70" s="449">
        <f>-BG17-BG15-BG21</f>
        <v>49000000</v>
      </c>
      <c r="BH70" s="449">
        <f>+AR70</f>
        <v>2000000</v>
      </c>
      <c r="BI70" s="449"/>
      <c r="BJ70" s="449"/>
      <c r="BK70" s="449"/>
      <c r="BL70" s="449">
        <f>SUM(AZ70:BJ70)</f>
        <v>71000000</v>
      </c>
      <c r="BM70" s="444"/>
    </row>
    <row r="71" spans="1:65" ht="122.25" customHeight="1" x14ac:dyDescent="0.2">
      <c r="A71" s="1188"/>
      <c r="B71" s="1365"/>
      <c r="C71" s="1188"/>
      <c r="D71" s="1396"/>
      <c r="E71" s="1360"/>
      <c r="F71" s="1188"/>
      <c r="G71" s="1188"/>
      <c r="H71" s="1188"/>
      <c r="I71" s="401" t="s">
        <v>3728</v>
      </c>
      <c r="J71" s="451" t="s">
        <v>3695</v>
      </c>
      <c r="K71" s="451">
        <v>300</v>
      </c>
      <c r="L71" s="451" t="s">
        <v>3609</v>
      </c>
      <c r="M71" s="400">
        <v>300</v>
      </c>
      <c r="N71" s="400">
        <v>400</v>
      </c>
      <c r="O71" s="400">
        <v>500</v>
      </c>
      <c r="P71" s="400">
        <v>550</v>
      </c>
      <c r="Q71" s="433">
        <v>600</v>
      </c>
      <c r="R71" s="433">
        <v>599</v>
      </c>
      <c r="S71" s="433">
        <v>1000</v>
      </c>
      <c r="T71" s="433">
        <v>1300</v>
      </c>
      <c r="U71" s="427"/>
      <c r="V71" s="440">
        <f t="shared" si="47"/>
        <v>3499</v>
      </c>
      <c r="W71" s="550">
        <v>722</v>
      </c>
      <c r="X71" s="566">
        <f>25000000+20000000</f>
        <v>45000000</v>
      </c>
      <c r="Y71" s="549">
        <v>211</v>
      </c>
      <c r="AA71" s="449"/>
      <c r="AB71" s="449">
        <v>25000000</v>
      </c>
      <c r="AC71" s="449"/>
      <c r="AD71" s="449"/>
      <c r="AE71" s="449"/>
      <c r="AF71" s="449"/>
      <c r="AG71" s="449"/>
      <c r="AH71" s="449">
        <v>20000000</v>
      </c>
      <c r="AI71" s="449"/>
      <c r="AJ71" s="449"/>
      <c r="AK71" s="449"/>
      <c r="AL71" s="449">
        <f t="shared" si="48"/>
        <v>45000000</v>
      </c>
      <c r="AN71" s="444">
        <f t="shared" si="49"/>
        <v>955000000</v>
      </c>
      <c r="AO71" s="444">
        <f>SUM('[3]PLANINVERSIONES DIC'!$BG$128:$BG$130)</f>
        <v>140252978</v>
      </c>
      <c r="AP71" s="587">
        <f>314500313+24000000</f>
        <v>338500313</v>
      </c>
      <c r="AQ71" s="580"/>
      <c r="AR71" s="444">
        <f t="shared" si="50"/>
        <v>338500313</v>
      </c>
      <c r="AS71" s="444">
        <v>43000000</v>
      </c>
      <c r="AT71" s="444">
        <f t="shared" si="51"/>
        <v>426500313</v>
      </c>
      <c r="AU71" s="444">
        <f t="shared" si="52"/>
        <v>-573499687</v>
      </c>
      <c r="AV71" s="442"/>
      <c r="AW71" s="444"/>
      <c r="AY71" s="444"/>
      <c r="AZ71" s="449"/>
      <c r="BA71" s="449" t="e">
        <f>+#REF!</f>
        <v>#REF!</v>
      </c>
      <c r="BB71" s="449">
        <f>-BB68</f>
        <v>43000000</v>
      </c>
      <c r="BC71" s="449" t="e">
        <f>+#REF!</f>
        <v>#REF!</v>
      </c>
      <c r="BD71" s="449" t="e">
        <f>+#REF!</f>
        <v>#REF!</v>
      </c>
      <c r="BE71" s="449" t="e">
        <f>+#REF!</f>
        <v>#REF!</v>
      </c>
      <c r="BF71" s="449"/>
      <c r="BG71" s="449"/>
      <c r="BH71" s="449">
        <v>21675181</v>
      </c>
      <c r="BI71" s="449"/>
      <c r="BJ71" s="449"/>
      <c r="BK71" s="449"/>
      <c r="BL71" s="449" t="e">
        <f>SUM(AZ71:BK71)</f>
        <v>#REF!</v>
      </c>
      <c r="BM71" s="444"/>
    </row>
    <row r="72" spans="1:65" ht="18" customHeight="1" x14ac:dyDescent="0.2">
      <c r="A72" s="419"/>
      <c r="B72" s="419"/>
      <c r="C72" s="419"/>
      <c r="D72" s="419"/>
      <c r="E72" s="419"/>
      <c r="F72" s="419"/>
      <c r="G72" s="419"/>
      <c r="H72" s="419"/>
      <c r="I72" s="419"/>
      <c r="J72" s="419"/>
      <c r="K72" s="419"/>
      <c r="L72" s="419"/>
      <c r="M72" s="1345" t="s">
        <v>695</v>
      </c>
      <c r="N72" s="1346"/>
      <c r="O72" s="1346"/>
      <c r="P72" s="1347"/>
      <c r="Q72" s="407">
        <f t="shared" ref="Q72:V72" si="53">SUM(Q66:Q71)</f>
        <v>1255</v>
      </c>
      <c r="R72" s="407">
        <f t="shared" si="53"/>
        <v>889</v>
      </c>
      <c r="S72" s="407">
        <f t="shared" si="53"/>
        <v>1390</v>
      </c>
      <c r="T72" s="407">
        <f t="shared" si="53"/>
        <v>1640</v>
      </c>
      <c r="U72" s="407">
        <f t="shared" si="53"/>
        <v>0</v>
      </c>
      <c r="V72" s="439">
        <f t="shared" si="53"/>
        <v>5174</v>
      </c>
      <c r="W72" s="443"/>
      <c r="X72" s="407">
        <f>SUM(X66:X71)</f>
        <v>145821516</v>
      </c>
      <c r="AA72" s="407">
        <f>SUM(AA66:AA71)</f>
        <v>0</v>
      </c>
      <c r="AB72" s="407">
        <f t="shared" ref="AB72:AL72" si="54">SUM(AB66:AB71)</f>
        <v>25000000</v>
      </c>
      <c r="AC72" s="407">
        <f t="shared" si="54"/>
        <v>100821516</v>
      </c>
      <c r="AD72" s="407">
        <f t="shared" si="54"/>
        <v>0</v>
      </c>
      <c r="AE72" s="407">
        <f t="shared" si="54"/>
        <v>0</v>
      </c>
      <c r="AF72" s="407">
        <f t="shared" si="54"/>
        <v>0</v>
      </c>
      <c r="AG72" s="407">
        <f t="shared" si="54"/>
        <v>0</v>
      </c>
      <c r="AH72" s="407">
        <f t="shared" si="54"/>
        <v>20000000</v>
      </c>
      <c r="AI72" s="407"/>
      <c r="AJ72" s="407">
        <f t="shared" si="54"/>
        <v>0</v>
      </c>
      <c r="AK72" s="407"/>
      <c r="AL72" s="407">
        <f t="shared" si="54"/>
        <v>145821516</v>
      </c>
      <c r="AN72" s="407">
        <f t="shared" ref="AN72:AU72" si="55">SUM(AN66:AN71)</f>
        <v>1244178484</v>
      </c>
      <c r="AO72" s="407">
        <f t="shared" si="55"/>
        <v>254736902</v>
      </c>
      <c r="AP72" s="407">
        <f t="shared" si="55"/>
        <v>466277585</v>
      </c>
      <c r="AQ72" s="407">
        <f t="shared" si="55"/>
        <v>0</v>
      </c>
      <c r="AR72" s="407">
        <f t="shared" si="55"/>
        <v>386277585</v>
      </c>
      <c r="AS72" s="407">
        <f t="shared" si="55"/>
        <v>69000000</v>
      </c>
      <c r="AT72" s="407">
        <f t="shared" si="55"/>
        <v>601099101</v>
      </c>
      <c r="AU72" s="407">
        <f t="shared" si="55"/>
        <v>-788900899</v>
      </c>
      <c r="AV72" s="442"/>
      <c r="AW72" s="407">
        <f>SUM(AW66:AW71)</f>
        <v>0</v>
      </c>
      <c r="AY72" s="407">
        <f>SUM(AY66:AY71)</f>
        <v>0</v>
      </c>
      <c r="AZ72" s="407">
        <f>SUM(AZ66:AZ71)</f>
        <v>20000000</v>
      </c>
      <c r="BA72" s="407" t="e">
        <f t="shared" ref="BA72:BI72" si="56">SUM(BA66:BA71)</f>
        <v>#REF!</v>
      </c>
      <c r="BB72" s="407">
        <f t="shared" si="56"/>
        <v>0</v>
      </c>
      <c r="BC72" s="407" t="e">
        <f t="shared" si="56"/>
        <v>#REF!</v>
      </c>
      <c r="BD72" s="407" t="e">
        <f t="shared" si="56"/>
        <v>#REF!</v>
      </c>
      <c r="BE72" s="407" t="e">
        <f t="shared" si="56"/>
        <v>#REF!</v>
      </c>
      <c r="BF72" s="407">
        <f t="shared" si="56"/>
        <v>0</v>
      </c>
      <c r="BG72" s="407">
        <f t="shared" si="56"/>
        <v>49000000</v>
      </c>
      <c r="BH72" s="407">
        <f t="shared" si="56"/>
        <v>69452453</v>
      </c>
      <c r="BI72" s="407">
        <f t="shared" si="56"/>
        <v>0</v>
      </c>
      <c r="BJ72" s="407">
        <f>SUM(BJ66:BJ71)</f>
        <v>0</v>
      </c>
      <c r="BK72" s="407">
        <f>SUM(BK66:BK71)</f>
        <v>0</v>
      </c>
      <c r="BL72" s="407" t="e">
        <f>SUM(BL66:BL71)</f>
        <v>#REF!</v>
      </c>
      <c r="BM72" s="407">
        <f>SUM(BM66:BM71)</f>
        <v>0</v>
      </c>
    </row>
    <row r="73" spans="1:65" x14ac:dyDescent="0.2">
      <c r="A73" s="419"/>
      <c r="B73" s="419"/>
      <c r="C73" s="419"/>
      <c r="D73" s="419"/>
      <c r="E73" s="419"/>
      <c r="F73" s="419"/>
      <c r="G73" s="419"/>
      <c r="H73" s="419"/>
      <c r="I73" s="419"/>
      <c r="J73" s="419"/>
      <c r="K73" s="419"/>
      <c r="L73" s="419"/>
      <c r="M73" s="1392"/>
      <c r="N73" s="1392"/>
      <c r="O73" s="1392"/>
      <c r="P73" s="1392"/>
      <c r="Q73" s="1392"/>
      <c r="R73" s="1392"/>
      <c r="S73" s="1392"/>
      <c r="T73" s="1392"/>
      <c r="U73" s="1392"/>
      <c r="V73" s="1392"/>
      <c r="W73" s="1392"/>
      <c r="X73" s="1393"/>
      <c r="AP73" s="445"/>
    </row>
    <row r="74" spans="1:65" ht="17.25" customHeight="1" x14ac:dyDescent="0.2">
      <c r="A74" s="419"/>
      <c r="B74" s="419"/>
      <c r="C74" s="419"/>
      <c r="D74" s="419"/>
      <c r="E74" s="419"/>
      <c r="F74" s="419"/>
      <c r="G74" s="419"/>
      <c r="H74" s="419"/>
      <c r="I74" s="419"/>
      <c r="J74" s="419"/>
      <c r="K74" s="419"/>
      <c r="L74" s="419"/>
      <c r="M74" s="1380" t="s">
        <v>695</v>
      </c>
      <c r="N74" s="1381"/>
      <c r="O74" s="1381"/>
      <c r="P74" s="1382"/>
      <c r="Q74" s="412">
        <f t="shared" ref="Q74:V74" si="57">+Q72+Q64+Q51+Q46+Q38+Q13+Q6</f>
        <v>13397</v>
      </c>
      <c r="R74" s="412">
        <f t="shared" si="57"/>
        <v>15217</v>
      </c>
      <c r="S74" s="412">
        <f t="shared" si="57"/>
        <v>14140.44</v>
      </c>
      <c r="T74" s="412">
        <f t="shared" si="57"/>
        <v>15028.733200000001</v>
      </c>
      <c r="U74" s="412">
        <f t="shared" si="57"/>
        <v>4243</v>
      </c>
      <c r="V74" s="441">
        <f t="shared" si="57"/>
        <v>57783.173200000005</v>
      </c>
      <c r="W74" s="443"/>
      <c r="X74" s="412">
        <f>+X72+X64+X51+X46+X38+X13+X6</f>
        <v>9171996570</v>
      </c>
      <c r="AA74" s="412">
        <f t="shared" ref="AA74:AL74" si="58">+AA72+AA64+AA51+AA46+AA38+AA13+AA6</f>
        <v>2475902120</v>
      </c>
      <c r="AB74" s="412">
        <f t="shared" si="58"/>
        <v>1325201794</v>
      </c>
      <c r="AC74" s="412">
        <f t="shared" si="58"/>
        <v>177821516</v>
      </c>
      <c r="AD74" s="412">
        <f t="shared" si="58"/>
        <v>73270400</v>
      </c>
      <c r="AE74" s="412">
        <f t="shared" si="58"/>
        <v>20000000</v>
      </c>
      <c r="AF74" s="412">
        <f t="shared" si="58"/>
        <v>47000740</v>
      </c>
      <c r="AG74" s="412">
        <f t="shared" si="58"/>
        <v>2816800000</v>
      </c>
      <c r="AH74" s="412">
        <f t="shared" si="58"/>
        <v>881000000</v>
      </c>
      <c r="AI74" s="412"/>
      <c r="AJ74" s="412">
        <f t="shared" si="58"/>
        <v>1355000000</v>
      </c>
      <c r="AK74" s="412"/>
      <c r="AL74" s="412">
        <f t="shared" si="58"/>
        <v>9171996570</v>
      </c>
      <c r="AN74" s="412"/>
      <c r="AO74" s="412"/>
      <c r="AP74" s="412"/>
      <c r="AQ74" s="412"/>
      <c r="AR74" s="412"/>
      <c r="AS74" s="412"/>
      <c r="AT74" s="412"/>
      <c r="AU74" s="412"/>
      <c r="AV74" s="442"/>
      <c r="AW74" s="412">
        <f>+U74*1000000-Z74</f>
        <v>4243000000</v>
      </c>
      <c r="AY74" s="412"/>
      <c r="AZ74" s="412">
        <f t="shared" ref="AZ74:BK74" si="59">+AZ72+AZ64+AZ51+AZ46+AZ38+AZ13+AZ6</f>
        <v>0</v>
      </c>
      <c r="BA74" s="412" t="e">
        <f t="shared" si="59"/>
        <v>#REF!</v>
      </c>
      <c r="BB74" s="412" t="e">
        <f t="shared" si="59"/>
        <v>#REF!</v>
      </c>
      <c r="BC74" s="412" t="e">
        <f t="shared" si="59"/>
        <v>#REF!</v>
      </c>
      <c r="BD74" s="412" t="e">
        <f t="shared" si="59"/>
        <v>#REF!</v>
      </c>
      <c r="BE74" s="412" t="e">
        <f t="shared" si="59"/>
        <v>#REF!</v>
      </c>
      <c r="BF74" s="412" t="e">
        <f t="shared" si="59"/>
        <v>#REF!</v>
      </c>
      <c r="BG74" s="412">
        <f>+BG72+BG64+BG51+BG46+BG38+BG13+BG6</f>
        <v>0</v>
      </c>
      <c r="BH74" s="412" t="e">
        <f t="shared" si="59"/>
        <v>#REF!</v>
      </c>
      <c r="BI74" s="412">
        <f t="shared" si="59"/>
        <v>0</v>
      </c>
      <c r="BJ74" s="412">
        <f t="shared" si="59"/>
        <v>0</v>
      </c>
      <c r="BK74" s="412">
        <f t="shared" si="59"/>
        <v>0</v>
      </c>
      <c r="BL74" s="412" t="e">
        <f>+BL72+BL64+BL51+BL46+BL38+BL13+BL6</f>
        <v>#REF!</v>
      </c>
      <c r="BM74" s="412"/>
    </row>
    <row r="75" spans="1:65" ht="17.25" customHeight="1" x14ac:dyDescent="0.2">
      <c r="A75" s="419"/>
      <c r="B75" s="419"/>
      <c r="C75" s="419"/>
      <c r="D75" s="419"/>
      <c r="E75" s="419"/>
      <c r="F75" s="419"/>
      <c r="G75" s="419"/>
      <c r="H75" s="419"/>
      <c r="I75" s="419"/>
      <c r="J75" s="419"/>
      <c r="K75" s="419"/>
      <c r="L75" s="419"/>
      <c r="M75" s="1380" t="s">
        <v>3654</v>
      </c>
      <c r="N75" s="1381"/>
      <c r="O75" s="1381"/>
      <c r="P75" s="1382"/>
      <c r="Q75" s="402">
        <v>9937</v>
      </c>
      <c r="R75" s="402">
        <v>15222</v>
      </c>
      <c r="S75" s="402">
        <v>13927</v>
      </c>
      <c r="T75" s="402"/>
      <c r="U75" s="408"/>
      <c r="V75" s="437"/>
      <c r="W75" s="443"/>
      <c r="X75" s="574"/>
      <c r="AA75" s="445">
        <f>+V101</f>
        <v>2475902120</v>
      </c>
      <c r="AB75" s="445">
        <f>+V94</f>
        <v>1325201794</v>
      </c>
      <c r="AC75" s="445">
        <f>+V95</f>
        <v>177821516</v>
      </c>
      <c r="AD75" s="445">
        <f>+V96</f>
        <v>73270400</v>
      </c>
      <c r="AE75" s="445">
        <f>+V97</f>
        <v>20000000</v>
      </c>
      <c r="AF75" s="445">
        <f>+V98</f>
        <v>47000740</v>
      </c>
      <c r="AG75" s="445">
        <f>+V91+V92+V93</f>
        <v>2816800000</v>
      </c>
      <c r="AH75" s="445">
        <f>+V99</f>
        <v>881000000</v>
      </c>
      <c r="AI75" s="445"/>
      <c r="AJ75" s="445">
        <f>+V100</f>
        <v>1355000000</v>
      </c>
      <c r="AK75" s="445"/>
      <c r="AL75" s="445">
        <f>SUM(AA75:AJ75)</f>
        <v>9171996570</v>
      </c>
      <c r="AN75" s="412">
        <f t="shared" ref="AN75:AU75" si="60">+AN72+AN64+AN51+AN46+AN38+AN13+AN6</f>
        <v>4968443430</v>
      </c>
      <c r="AO75" s="412">
        <f t="shared" si="60"/>
        <v>4633079668.333333</v>
      </c>
      <c r="AP75" s="412">
        <f t="shared" si="60"/>
        <v>4515341243.1999998</v>
      </c>
      <c r="AQ75" s="412">
        <f t="shared" si="60"/>
        <v>900000000</v>
      </c>
      <c r="AR75" s="412">
        <f t="shared" si="60"/>
        <v>4755367153</v>
      </c>
      <c r="AS75" s="412">
        <f t="shared" si="60"/>
        <v>0</v>
      </c>
      <c r="AT75" s="412">
        <f t="shared" si="60"/>
        <v>13927363723</v>
      </c>
      <c r="AU75" s="412">
        <f t="shared" si="60"/>
        <v>-213076277</v>
      </c>
      <c r="AW75" s="412">
        <f>+AW72+AW64+AW51+AW46+AW38+AW13+AW6</f>
        <v>4200000000</v>
      </c>
      <c r="AY75" s="412">
        <f>+AY72+AY64+AY51+AY46+AY38+AY13+AY6</f>
        <v>290732750</v>
      </c>
      <c r="AZ75" s="445">
        <f>+AV101</f>
        <v>0</v>
      </c>
      <c r="BA75" s="445">
        <f>+AV94</f>
        <v>0</v>
      </c>
      <c r="BB75" s="445">
        <f>+AV95</f>
        <v>0</v>
      </c>
      <c r="BC75" s="445"/>
      <c r="BD75" s="445">
        <f>+AV97</f>
        <v>0</v>
      </c>
      <c r="BE75" s="445">
        <f>+AV98</f>
        <v>0</v>
      </c>
      <c r="BF75" s="445"/>
      <c r="BG75" s="445">
        <f>+AV99</f>
        <v>0</v>
      </c>
      <c r="BH75" s="445"/>
      <c r="BI75" s="445"/>
      <c r="BJ75" s="445">
        <f>+AV100</f>
        <v>0</v>
      </c>
      <c r="BK75" s="445"/>
      <c r="BL75" s="445">
        <f>SUM(AZ75:BJ75)</f>
        <v>0</v>
      </c>
      <c r="BM75" s="412">
        <f>+BM72+BM64+BM51+BM46+BM38+BM13+BM6</f>
        <v>290732750</v>
      </c>
    </row>
    <row r="76" spans="1:65" ht="17.25" customHeight="1" x14ac:dyDescent="0.2">
      <c r="A76" s="419"/>
      <c r="B76" s="419"/>
      <c r="C76" s="419"/>
      <c r="D76" s="419"/>
      <c r="E76" s="419"/>
      <c r="F76" s="419"/>
      <c r="G76" s="419"/>
      <c r="H76" s="419"/>
      <c r="I76" s="419"/>
      <c r="J76" s="419"/>
      <c r="K76" s="419"/>
      <c r="L76" s="419"/>
      <c r="M76" s="1380" t="s">
        <v>3655</v>
      </c>
      <c r="N76" s="1381"/>
      <c r="O76" s="1381"/>
      <c r="P76" s="1382"/>
      <c r="Q76" s="402">
        <v>3628</v>
      </c>
      <c r="R76" s="402">
        <v>10683</v>
      </c>
      <c r="S76" s="402"/>
      <c r="T76" s="402"/>
      <c r="U76" s="408"/>
      <c r="V76" s="437"/>
      <c r="W76" s="443"/>
      <c r="X76" s="574"/>
      <c r="AA76" s="445">
        <f>+AA75-AA74</f>
        <v>0</v>
      </c>
      <c r="AB76" s="445">
        <f t="shared" ref="AB76:AL76" si="61">+AB75-AB74</f>
        <v>0</v>
      </c>
      <c r="AC76" s="445">
        <f t="shared" si="61"/>
        <v>0</v>
      </c>
      <c r="AD76" s="445">
        <f t="shared" si="61"/>
        <v>0</v>
      </c>
      <c r="AE76" s="445">
        <f t="shared" si="61"/>
        <v>0</v>
      </c>
      <c r="AF76" s="445">
        <f t="shared" si="61"/>
        <v>0</v>
      </c>
      <c r="AG76" s="445">
        <f t="shared" si="61"/>
        <v>0</v>
      </c>
      <c r="AH76" s="445">
        <f t="shared" si="61"/>
        <v>0</v>
      </c>
      <c r="AI76" s="445"/>
      <c r="AJ76" s="445">
        <f t="shared" si="61"/>
        <v>0</v>
      </c>
      <c r="AK76" s="445"/>
      <c r="AL76" s="445">
        <f t="shared" si="61"/>
        <v>0</v>
      </c>
      <c r="AN76" s="445" t="s">
        <v>4030</v>
      </c>
      <c r="AO76" s="445">
        <v>3842282961</v>
      </c>
      <c r="AP76" s="445"/>
      <c r="AQ76" s="445"/>
      <c r="AR76" s="445"/>
      <c r="AS76" s="445"/>
      <c r="AT76" s="445"/>
      <c r="AU76" s="445"/>
      <c r="AW76" s="445">
        <f>+AW74-AW75</f>
        <v>43000000</v>
      </c>
      <c r="AY76" s="445" t="e">
        <f>+AY75-#REF!</f>
        <v>#REF!</v>
      </c>
      <c r="AZ76" s="445">
        <f>+AZ75-AZ74</f>
        <v>0</v>
      </c>
      <c r="BA76" s="445" t="e">
        <f t="shared" ref="BA76:BK76" si="62">+BA75-BA74</f>
        <v>#REF!</v>
      </c>
      <c r="BB76" s="445" t="e">
        <f t="shared" si="62"/>
        <v>#REF!</v>
      </c>
      <c r="BC76" s="445" t="e">
        <f t="shared" si="62"/>
        <v>#REF!</v>
      </c>
      <c r="BD76" s="445" t="e">
        <f t="shared" si="62"/>
        <v>#REF!</v>
      </c>
      <c r="BE76" s="445" t="e">
        <f t="shared" si="62"/>
        <v>#REF!</v>
      </c>
      <c r="BF76" s="445" t="e">
        <f t="shared" si="62"/>
        <v>#REF!</v>
      </c>
      <c r="BG76" s="445">
        <f t="shared" si="62"/>
        <v>0</v>
      </c>
      <c r="BH76" s="445" t="e">
        <f t="shared" si="62"/>
        <v>#REF!</v>
      </c>
      <c r="BI76" s="445">
        <f t="shared" si="62"/>
        <v>0</v>
      </c>
      <c r="BJ76" s="445">
        <f t="shared" si="62"/>
        <v>0</v>
      </c>
      <c r="BK76" s="445">
        <f t="shared" si="62"/>
        <v>0</v>
      </c>
      <c r="BL76" s="445" t="e">
        <f>+BL75-BL74</f>
        <v>#REF!</v>
      </c>
    </row>
    <row r="77" spans="1:65" ht="25.5" x14ac:dyDescent="0.2">
      <c r="A77" s="419"/>
      <c r="B77" s="419"/>
      <c r="C77" s="419"/>
      <c r="D77" s="419"/>
      <c r="E77" s="419"/>
      <c r="F77" s="419"/>
      <c r="G77" s="419"/>
      <c r="H77" s="419"/>
      <c r="I77" s="419"/>
      <c r="J77" s="419"/>
      <c r="K77" s="419"/>
      <c r="L77" s="419"/>
      <c r="M77" s="419"/>
      <c r="N77" s="419"/>
      <c r="O77" s="419"/>
      <c r="P77" s="419"/>
      <c r="Q77" s="419"/>
      <c r="R77" s="419"/>
      <c r="S77" s="419"/>
      <c r="T77" s="419"/>
      <c r="U77" s="419"/>
      <c r="V77" s="434"/>
      <c r="X77" s="575"/>
      <c r="AN77" s="586" t="s">
        <v>4033</v>
      </c>
      <c r="AO77" s="445">
        <v>13084192</v>
      </c>
      <c r="BA77" s="445" t="e">
        <f>+#REF!</f>
        <v>#REF!</v>
      </c>
      <c r="BB77" s="445" t="e">
        <f>+#REF!</f>
        <v>#REF!</v>
      </c>
      <c r="BC77" s="445" t="e">
        <f>+#REF!</f>
        <v>#REF!</v>
      </c>
      <c r="BD77" s="445" t="e">
        <f>+#REF!</f>
        <v>#REF!</v>
      </c>
      <c r="BE77" s="445" t="e">
        <f>+#REF!</f>
        <v>#REF!</v>
      </c>
      <c r="BF77" s="445" t="e">
        <f>+#REF!+#REF!+900000000</f>
        <v>#REF!</v>
      </c>
      <c r="BH77" s="445" t="e">
        <f>+#REF!+#REF!+#REF!</f>
        <v>#REF!</v>
      </c>
    </row>
    <row r="78" spans="1:65" x14ac:dyDescent="0.2">
      <c r="A78" s="419"/>
      <c r="B78" s="419"/>
      <c r="C78" s="419"/>
      <c r="D78" s="419"/>
      <c r="E78" s="419"/>
      <c r="F78" s="419"/>
      <c r="G78" s="419"/>
      <c r="H78" s="419"/>
      <c r="I78" s="419"/>
      <c r="J78" s="419"/>
      <c r="K78" s="419"/>
      <c r="L78" s="419"/>
      <c r="M78" s="419"/>
      <c r="N78" s="419"/>
      <c r="O78" s="419"/>
      <c r="P78" s="419"/>
      <c r="Q78" s="419"/>
      <c r="R78" s="419"/>
      <c r="S78" s="419"/>
      <c r="T78" s="419"/>
      <c r="U78" s="419"/>
      <c r="V78" s="434"/>
      <c r="W78" s="1378" t="s">
        <v>3753</v>
      </c>
      <c r="X78" s="1378"/>
      <c r="Y78" s="1378"/>
      <c r="Z78" s="558">
        <v>111</v>
      </c>
      <c r="AA78" s="445">
        <f>SUMIF($Y$3:$Y$71,$Z$78,AA$3:AA$71)</f>
        <v>0</v>
      </c>
      <c r="AB78" s="445">
        <f>SUMIF($Y$3:$Y$71,Z78,AB3:AB71)</f>
        <v>400133160</v>
      </c>
      <c r="AC78" s="445">
        <f t="shared" ref="AC78:AL78" si="63">SUMIF($Y$3:$Y$71,"111",AC3:AC71)</f>
        <v>0</v>
      </c>
      <c r="AD78" s="445">
        <f t="shared" si="63"/>
        <v>36500000</v>
      </c>
      <c r="AE78" s="445">
        <f t="shared" si="63"/>
        <v>10000000</v>
      </c>
      <c r="AF78" s="445">
        <f t="shared" si="63"/>
        <v>23500000</v>
      </c>
      <c r="AG78" s="445">
        <f t="shared" si="63"/>
        <v>0</v>
      </c>
      <c r="AH78" s="445">
        <f t="shared" si="63"/>
        <v>0</v>
      </c>
      <c r="AI78" s="445">
        <f t="shared" si="63"/>
        <v>0</v>
      </c>
      <c r="AJ78" s="445">
        <f t="shared" si="63"/>
        <v>0</v>
      </c>
      <c r="AK78" s="445">
        <f t="shared" si="63"/>
        <v>0</v>
      </c>
      <c r="AL78" s="445">
        <f t="shared" si="63"/>
        <v>470133160</v>
      </c>
      <c r="AO78" s="445">
        <f>SUM(AO76:AO77)</f>
        <v>3855367153</v>
      </c>
      <c r="AP78" s="589">
        <f>+AP8+AP42+AP49+AP54+AP66+AP70+AP71+AP40+AP35+AP31+AP27+AP44+AP32+AP26</f>
        <v>3855367153.1999998</v>
      </c>
      <c r="AQ78" s="445">
        <f>+AQ75</f>
        <v>900000000</v>
      </c>
      <c r="AR78" s="445">
        <f>SUM(AP78:AQ78)</f>
        <v>4755367153.1999998</v>
      </c>
      <c r="BA78" s="600" t="e">
        <f ca="1">SUMIF($Y$3:$Y$71,"111",$BA$3:$BA$65)</f>
        <v>#REF!</v>
      </c>
      <c r="BB78" s="600" t="e">
        <f ca="1">SUMIF($Y$3:$Y$71,"111",$BB$3:$BB$65)</f>
        <v>#REF!</v>
      </c>
      <c r="BC78" s="600">
        <f ca="1">SUMIF($Y$3:$Y$71,"111",$BC$3:$BC$65)</f>
        <v>0</v>
      </c>
      <c r="BD78" s="600">
        <f ca="1">SUMIF($Y$3:$Y$71,"111",$BD$3:$BD$65)</f>
        <v>0</v>
      </c>
      <c r="BE78" s="600">
        <f ca="1">SUMIF($Y$3:$Y$71,"111",$BE$3:$BE$65)</f>
        <v>0</v>
      </c>
      <c r="BF78" s="600" t="e">
        <f ca="1">SUMIF($Y$3:$Y$71,"111",$BF$3:$BF$65)</f>
        <v>#REF!</v>
      </c>
      <c r="BG78" s="600">
        <f ca="1">SUMIF($Y$3:$Y$71,"111",$BG$3:$BG$65)</f>
        <v>0</v>
      </c>
      <c r="BH78" s="600" t="e">
        <f ca="1">SUMIF($Y$3:$Y$71,"111",$BH$3:$BH$65)</f>
        <v>#REF!</v>
      </c>
    </row>
    <row r="79" spans="1:65" x14ac:dyDescent="0.2">
      <c r="A79" s="419"/>
      <c r="B79" s="419"/>
      <c r="C79" s="419"/>
      <c r="D79" s="419"/>
      <c r="E79" s="419"/>
      <c r="F79" s="419"/>
      <c r="G79" s="419"/>
      <c r="H79" s="419"/>
      <c r="I79" s="419"/>
      <c r="J79" s="419"/>
      <c r="K79" s="419"/>
      <c r="L79" s="419"/>
      <c r="M79" s="1344" t="s">
        <v>4031</v>
      </c>
      <c r="N79" s="1344"/>
      <c r="O79" s="585">
        <f>140+50+36+1000+259.5</f>
        <v>1485.5</v>
      </c>
      <c r="P79" s="419"/>
      <c r="Q79" s="419"/>
      <c r="R79" s="419"/>
      <c r="S79" s="419"/>
      <c r="T79" s="419"/>
      <c r="U79" s="419"/>
      <c r="V79" s="434"/>
      <c r="W79" s="1378" t="s">
        <v>3754</v>
      </c>
      <c r="X79" s="1378"/>
      <c r="Y79" s="1378"/>
      <c r="Z79" s="558">
        <v>211</v>
      </c>
      <c r="AA79" s="445">
        <f>SUMIF($Y$3:$Y$71,$Z$79,AA$3:AA$71)</f>
        <v>0</v>
      </c>
      <c r="AB79" s="445">
        <f t="shared" ref="AB79:AL79" si="64">SUMIF($Y$3:$Y$71,$Z$79,AB$3:AB$71)</f>
        <v>425000000</v>
      </c>
      <c r="AC79" s="445">
        <f t="shared" si="64"/>
        <v>177821516</v>
      </c>
      <c r="AD79" s="445">
        <f t="shared" si="64"/>
        <v>36770400</v>
      </c>
      <c r="AE79" s="445">
        <f t="shared" si="64"/>
        <v>10000000</v>
      </c>
      <c r="AF79" s="445">
        <f t="shared" si="64"/>
        <v>23500740</v>
      </c>
      <c r="AG79" s="445">
        <f t="shared" si="64"/>
        <v>1300000000</v>
      </c>
      <c r="AH79" s="445">
        <f t="shared" si="64"/>
        <v>20000000</v>
      </c>
      <c r="AI79" s="445">
        <f t="shared" si="64"/>
        <v>0</v>
      </c>
      <c r="AJ79" s="445">
        <f t="shared" si="64"/>
        <v>0</v>
      </c>
      <c r="AK79" s="445">
        <f t="shared" si="64"/>
        <v>0</v>
      </c>
      <c r="AL79" s="445">
        <f t="shared" si="64"/>
        <v>1993092656</v>
      </c>
      <c r="AP79" s="445"/>
      <c r="AR79" s="445">
        <f>+AO78+AQ78</f>
        <v>4755367153</v>
      </c>
      <c r="BA79" s="600" t="e">
        <f ca="1">SUMIF($Y$3:$Y$71,"211",$BA$3:$BA$65)</f>
        <v>#REF!</v>
      </c>
      <c r="BB79" s="600">
        <f ca="1">SUMIF($Y$3:$Y$71,"211",$BB$3:$BB$65)</f>
        <v>0</v>
      </c>
      <c r="BC79" s="600" t="e">
        <f ca="1">SUMIF($Y$3:$Y$71,"211",$BC$3:$BC$65)</f>
        <v>#REF!</v>
      </c>
      <c r="BD79" s="600" t="e">
        <f ca="1">SUMIF($Y$3:$Y$71,"211",$BD$3:$BD$65)</f>
        <v>#REF!</v>
      </c>
      <c r="BE79" s="600" t="e">
        <f ca="1">SUMIF($Y$3:$Y$71,"211",$BE$3:$BE$65)</f>
        <v>#REF!</v>
      </c>
      <c r="BF79" s="600">
        <f ca="1">SUMIF($Y$3:$Y$71,"211",$BF$3:$BF$65)</f>
        <v>0</v>
      </c>
      <c r="BG79" s="600">
        <f ca="1">SUMIF($Y$3:$Y$71,"211",$BG$3:$BG$65)</f>
        <v>0</v>
      </c>
      <c r="BH79" s="600">
        <f ca="1">SUMIF($Y$3:$Y$71,"211",$BH$3:$BH$65)</f>
        <v>81675181</v>
      </c>
    </row>
    <row r="80" spans="1:65" x14ac:dyDescent="0.2">
      <c r="A80" s="419"/>
      <c r="B80" s="419"/>
      <c r="C80" s="419"/>
      <c r="D80" s="419"/>
      <c r="E80" s="419"/>
      <c r="F80" s="419"/>
      <c r="G80" s="419"/>
      <c r="H80" s="419"/>
      <c r="I80" s="419"/>
      <c r="J80" s="419"/>
      <c r="K80" s="419"/>
      <c r="L80" s="419"/>
      <c r="M80" s="419"/>
      <c r="N80" s="419"/>
      <c r="O80" s="419"/>
      <c r="P80" s="419"/>
      <c r="Q80" s="419"/>
      <c r="R80" s="419"/>
      <c r="S80" s="419"/>
      <c r="T80" s="419"/>
      <c r="U80" s="419"/>
      <c r="V80" s="434"/>
      <c r="W80" s="1378" t="s">
        <v>3743</v>
      </c>
      <c r="X80" s="1378"/>
      <c r="Y80" s="1378"/>
      <c r="Z80" s="558">
        <v>301</v>
      </c>
      <c r="AA80" s="445">
        <f>SUMIF($Y$3:$Y$71,$Z$80,AA$3:AA$71)</f>
        <v>0</v>
      </c>
      <c r="AB80" s="445">
        <f t="shared" ref="AB80:AL80" si="65">SUMIF($Y$3:$Y$71,$Z$80,AB$3:AB$71)</f>
        <v>0</v>
      </c>
      <c r="AC80" s="445">
        <f t="shared" si="65"/>
        <v>0</v>
      </c>
      <c r="AD80" s="445">
        <f t="shared" si="65"/>
        <v>0</v>
      </c>
      <c r="AE80" s="445">
        <f t="shared" si="65"/>
        <v>0</v>
      </c>
      <c r="AF80" s="445">
        <f t="shared" si="65"/>
        <v>0</v>
      </c>
      <c r="AG80" s="445">
        <f t="shared" si="65"/>
        <v>0</v>
      </c>
      <c r="AH80" s="445">
        <f t="shared" si="65"/>
        <v>0</v>
      </c>
      <c r="AI80" s="445">
        <f t="shared" si="65"/>
        <v>0</v>
      </c>
      <c r="AJ80" s="445">
        <f t="shared" si="65"/>
        <v>1355000000</v>
      </c>
      <c r="AK80" s="445">
        <f t="shared" si="65"/>
        <v>0</v>
      </c>
      <c r="AL80" s="445">
        <f t="shared" si="65"/>
        <v>1355000000</v>
      </c>
      <c r="AO80" s="8" t="s">
        <v>4034</v>
      </c>
      <c r="AP80" s="445">
        <f>20000000+100000000+30000000+170000000+5000000+80000000+70000000+30000000+30000000+30000000+3600000+5250000+50000000</f>
        <v>623850000</v>
      </c>
      <c r="BA80" s="600">
        <f ca="1">SUMIF($Y$3:$Y$71,"301",$BA$3:$BA$65)</f>
        <v>0</v>
      </c>
      <c r="BB80" s="600">
        <f ca="1">SUMIF($Y$3:$Y$71,"301",$BB$3:$BB$65)</f>
        <v>0</v>
      </c>
      <c r="BC80" s="600">
        <f ca="1">SUMIF($Y$3:$Y$71,"301",$BC$3:$BC$65)</f>
        <v>0</v>
      </c>
      <c r="BD80" s="600">
        <f ca="1">SUMIF($Y$3:$Y$71,"301",$BD$3:$BD$65)</f>
        <v>0</v>
      </c>
      <c r="BE80" s="600">
        <f ca="1">SUMIF($Y$3:$Y$71,"301",$BE$3:$BE$65)</f>
        <v>0</v>
      </c>
      <c r="BF80" s="600">
        <f ca="1">SUMIF($Y$3:$Y$71,"301",$BF$3:$BF$65)</f>
        <v>0</v>
      </c>
      <c r="BG80" s="600">
        <f ca="1">SUMIF($Y$3:$Y$71,"301",$BG$3:$BG$65)</f>
        <v>0</v>
      </c>
      <c r="BH80" s="600">
        <f ca="1">SUMIF($Y$3:$Y$71,"301",$BH$3:$BH$65)</f>
        <v>0</v>
      </c>
    </row>
    <row r="81" spans="1:60" x14ac:dyDescent="0.2">
      <c r="A81" s="419"/>
      <c r="B81" s="419"/>
      <c r="C81" s="419"/>
      <c r="D81" s="419"/>
      <c r="E81" s="419"/>
      <c r="F81" s="419"/>
      <c r="G81" s="419"/>
      <c r="H81" s="419"/>
      <c r="I81" s="419"/>
      <c r="J81" s="419"/>
      <c r="K81" s="419"/>
      <c r="L81" s="419"/>
      <c r="M81" s="419"/>
      <c r="N81" s="419"/>
      <c r="O81" s="419"/>
      <c r="P81" s="419"/>
      <c r="Q81" s="419"/>
      <c r="R81" s="419"/>
      <c r="S81" s="419"/>
      <c r="T81" s="419"/>
      <c r="U81" s="419"/>
      <c r="V81" s="434"/>
      <c r="W81" s="1378" t="s">
        <v>674</v>
      </c>
      <c r="X81" s="1378"/>
      <c r="Y81" s="1378"/>
      <c r="Z81" s="558">
        <v>310</v>
      </c>
      <c r="AA81" s="445">
        <f>SUMIF($Y$3:$Y$71,$Z$81,AA$3:AA$71)</f>
        <v>1566970754</v>
      </c>
      <c r="AB81" s="445">
        <f t="shared" ref="AB81:AL81" si="66">SUMIF($Y$3:$Y$71,$Z$81,AB$3:AB$71)</f>
        <v>0</v>
      </c>
      <c r="AC81" s="445">
        <f t="shared" si="66"/>
        <v>0</v>
      </c>
      <c r="AD81" s="445">
        <f t="shared" si="66"/>
        <v>0</v>
      </c>
      <c r="AE81" s="445">
        <f t="shared" si="66"/>
        <v>0</v>
      </c>
      <c r="AF81" s="445">
        <f t="shared" si="66"/>
        <v>0</v>
      </c>
      <c r="AG81" s="445">
        <f t="shared" si="66"/>
        <v>0</v>
      </c>
      <c r="AH81" s="445">
        <f t="shared" si="66"/>
        <v>0</v>
      </c>
      <c r="AI81" s="445">
        <f t="shared" si="66"/>
        <v>0</v>
      </c>
      <c r="AJ81" s="445">
        <f t="shared" si="66"/>
        <v>0</v>
      </c>
      <c r="AK81" s="445">
        <f t="shared" si="66"/>
        <v>0</v>
      </c>
      <c r="AL81" s="445">
        <f t="shared" si="66"/>
        <v>1566970754</v>
      </c>
      <c r="AP81" s="445">
        <f>+AP80-AP71-AS71</f>
        <v>242349687</v>
      </c>
      <c r="BA81" s="600">
        <f ca="1">SUMIF($Y$3:$Y$71,"310",$BA$3:$BA$65)</f>
        <v>0</v>
      </c>
      <c r="BB81" s="600">
        <f ca="1">SUMIF($Y$3:$Y$71,"310",$BB$3:$BB$65)</f>
        <v>0</v>
      </c>
      <c r="BC81" s="600">
        <f ca="1">SUMIF($Y$3:$Y$71,"310",$BC$3:$BC$65)</f>
        <v>0</v>
      </c>
      <c r="BD81" s="600">
        <f ca="1">SUMIF($Y$3:$Y$71,"310",$BD$3:$BD$65)</f>
        <v>0</v>
      </c>
      <c r="BE81" s="600">
        <f ca="1">SUMIF($Y$3:$Y$71,"310",$BE$3:$BE$65)</f>
        <v>0</v>
      </c>
      <c r="BF81" s="600">
        <f ca="1">SUMIF($Y$3:$Y$71,"310",$BF$3:$BF$65)</f>
        <v>0</v>
      </c>
      <c r="BG81" s="600">
        <f ca="1">SUMIF($Y$3:$Y$71,"310",$BG$3:$BG$65)</f>
        <v>0</v>
      </c>
      <c r="BH81" s="600">
        <f ca="1">SUMIF($Y$3:$Y$71,"310",$BH$3:$BH$65)</f>
        <v>0</v>
      </c>
    </row>
    <row r="82" spans="1:60" x14ac:dyDescent="0.2">
      <c r="A82" s="419"/>
      <c r="B82" s="419"/>
      <c r="C82" s="419"/>
      <c r="D82" s="419"/>
      <c r="E82" s="419"/>
      <c r="F82" s="419"/>
      <c r="G82" s="419"/>
      <c r="H82" s="419"/>
      <c r="I82" s="419"/>
      <c r="J82" s="419"/>
      <c r="K82" s="419"/>
      <c r="L82" s="419"/>
      <c r="M82" s="419"/>
      <c r="N82" s="419"/>
      <c r="O82" s="419"/>
      <c r="P82" s="419"/>
      <c r="Q82" s="419"/>
      <c r="R82" s="419"/>
      <c r="S82" s="419"/>
      <c r="T82" s="419"/>
      <c r="U82" s="419"/>
      <c r="V82" s="434"/>
      <c r="W82" s="1378" t="s">
        <v>443</v>
      </c>
      <c r="X82" s="1378"/>
      <c r="Y82" s="1378"/>
      <c r="Z82" s="558">
        <v>410</v>
      </c>
      <c r="AA82" s="445">
        <f>SUMIF($Y$3:$Y$71,$Z$82,AA$3:AA$71)</f>
        <v>168931366</v>
      </c>
      <c r="AB82" s="445">
        <f t="shared" ref="AB82:AL82" si="67">SUMIF($Y$3:$Y$71,$Z$82,AB$3:AB$71)</f>
        <v>500068634</v>
      </c>
      <c r="AC82" s="445">
        <f t="shared" si="67"/>
        <v>0</v>
      </c>
      <c r="AD82" s="445">
        <f t="shared" si="67"/>
        <v>0</v>
      </c>
      <c r="AE82" s="445">
        <f t="shared" si="67"/>
        <v>0</v>
      </c>
      <c r="AF82" s="445">
        <f t="shared" si="67"/>
        <v>0</v>
      </c>
      <c r="AG82" s="445">
        <f t="shared" si="67"/>
        <v>1416800000</v>
      </c>
      <c r="AH82" s="445">
        <f t="shared" si="67"/>
        <v>376000000</v>
      </c>
      <c r="AI82" s="445">
        <f t="shared" si="67"/>
        <v>0</v>
      </c>
      <c r="AJ82" s="445">
        <f t="shared" si="67"/>
        <v>0</v>
      </c>
      <c r="AK82" s="445">
        <f t="shared" si="67"/>
        <v>0</v>
      </c>
      <c r="AL82" s="445">
        <f t="shared" si="67"/>
        <v>2461800000</v>
      </c>
      <c r="BA82" s="600" t="e">
        <f ca="1">SUMIF($Y$3:$Y$71,"410",$BA$3:$BA$65)</f>
        <v>#REF!</v>
      </c>
      <c r="BB82" s="600">
        <f ca="1">SUMIF($Y$3:$Y$71,"410",$BB$3:$BB$65)</f>
        <v>0</v>
      </c>
      <c r="BC82" s="600">
        <f ca="1">SUMIF($Y$3:$Y$71,"410",$BC$3:$BC$65)</f>
        <v>0</v>
      </c>
      <c r="BD82" s="600">
        <f ca="1">SUMIF($Y$3:$Y$71,"410",$BD$3:$BD$65)</f>
        <v>0</v>
      </c>
      <c r="BE82" s="600">
        <f ca="1">SUMIF($Y$3:$Y$71,"410",$BE$3:$BE$65)</f>
        <v>0</v>
      </c>
      <c r="BF82" s="600" t="e">
        <f ca="1">SUMIF($Y$3:$Y$71,"410",$BF$3:$BF$65)</f>
        <v>#REF!</v>
      </c>
      <c r="BG82" s="600">
        <f ca="1">SUMIF($Y$3:$Y$71,"410",$BG$3:$BG$65)</f>
        <v>0</v>
      </c>
      <c r="BH82" s="600">
        <f ca="1">SUMIF($Y$3:$Y$71,"410",$BH$3:$BH$65)</f>
        <v>0</v>
      </c>
    </row>
    <row r="83" spans="1:60" x14ac:dyDescent="0.2">
      <c r="A83" s="419"/>
      <c r="B83" s="419"/>
      <c r="C83" s="419"/>
      <c r="D83" s="419"/>
      <c r="E83" s="419"/>
      <c r="F83" s="419"/>
      <c r="G83" s="419"/>
      <c r="H83" s="419"/>
      <c r="I83" s="419"/>
      <c r="J83" s="419"/>
      <c r="K83" s="419"/>
      <c r="L83" s="419"/>
      <c r="M83" s="419"/>
      <c r="N83" s="419"/>
      <c r="O83" s="419"/>
      <c r="P83" s="419"/>
      <c r="Q83" s="419"/>
      <c r="R83" s="419"/>
      <c r="S83" s="419"/>
      <c r="T83" s="419"/>
      <c r="U83" s="419"/>
      <c r="V83" s="434"/>
      <c r="W83" s="1378" t="s">
        <v>3755</v>
      </c>
      <c r="X83" s="1378"/>
      <c r="Y83" s="1378"/>
      <c r="Z83" s="558">
        <v>510</v>
      </c>
      <c r="AA83" s="445">
        <f>SUMIF($Y$3:$Y$71,$Z$83,AA$3:AA$71)</f>
        <v>525000000</v>
      </c>
      <c r="AB83" s="445">
        <f t="shared" ref="AB83:AL83" si="68">SUMIF($Y$3:$Y$71,$Z$83,AB$3:AB$71)</f>
        <v>0</v>
      </c>
      <c r="AC83" s="445">
        <f t="shared" si="68"/>
        <v>0</v>
      </c>
      <c r="AD83" s="445">
        <f t="shared" si="68"/>
        <v>0</v>
      </c>
      <c r="AE83" s="445">
        <f t="shared" si="68"/>
        <v>0</v>
      </c>
      <c r="AF83" s="445">
        <f t="shared" si="68"/>
        <v>0</v>
      </c>
      <c r="AG83" s="445">
        <f t="shared" si="68"/>
        <v>0</v>
      </c>
      <c r="AH83" s="445">
        <f t="shared" si="68"/>
        <v>380000000</v>
      </c>
      <c r="AI83" s="445">
        <f t="shared" si="68"/>
        <v>0</v>
      </c>
      <c r="AJ83" s="445">
        <f t="shared" si="68"/>
        <v>0</v>
      </c>
      <c r="AK83" s="445">
        <f t="shared" si="68"/>
        <v>0</v>
      </c>
      <c r="AL83" s="445">
        <f t="shared" si="68"/>
        <v>905000000</v>
      </c>
      <c r="AO83" s="8" t="s">
        <v>4035</v>
      </c>
      <c r="AP83" s="445" t="e">
        <f>+AP84+AP85+AR84</f>
        <v>#REF!</v>
      </c>
      <c r="AR83" s="445">
        <v>1097335117</v>
      </c>
      <c r="AS83" s="8" t="s">
        <v>4043</v>
      </c>
      <c r="BA83" s="600">
        <f ca="1">SUMIF($Y$3:$Y$71,"510",$BA$3:$BA$65)</f>
        <v>0</v>
      </c>
      <c r="BB83" s="600">
        <f ca="1">SUMIF($Y$3:$Y$71,"510",$BB$3:$BB$65)</f>
        <v>0</v>
      </c>
      <c r="BC83" s="600">
        <f ca="1">SUMIF($Y$3:$Y$71,"510",$BC$3:$BC$65)</f>
        <v>0</v>
      </c>
      <c r="BD83" s="600">
        <f ca="1">SUMIF($Y$3:$Y$71,"510",$BD$3:$BD$65)</f>
        <v>0</v>
      </c>
      <c r="BE83" s="600">
        <f ca="1">SUMIF($Y$3:$Y$71,"510",$BE$3:$BE$65)</f>
        <v>0</v>
      </c>
      <c r="BF83" s="600">
        <f ca="1">SUMIF($Y$3:$Y$71,"510",$BF$3:$BF$65)</f>
        <v>0</v>
      </c>
      <c r="BG83" s="600">
        <f ca="1">SUMIF($Y$3:$Y$71,"510",$BG$3:$BG$65)</f>
        <v>0</v>
      </c>
      <c r="BH83" s="600">
        <f ca="1">SUMIF($Y$3:$Y$71,"510",$BH$3:$BH$65)</f>
        <v>82777272</v>
      </c>
    </row>
    <row r="84" spans="1:60" x14ac:dyDescent="0.2">
      <c r="A84" s="419"/>
      <c r="B84" s="419"/>
      <c r="C84" s="419"/>
      <c r="D84" s="419"/>
      <c r="E84" s="419"/>
      <c r="F84" s="419"/>
      <c r="G84" s="419"/>
      <c r="H84" s="419"/>
      <c r="I84" s="419"/>
      <c r="J84" s="419"/>
      <c r="K84" s="419"/>
      <c r="L84" s="419"/>
      <c r="M84" s="419"/>
      <c r="N84" s="419"/>
      <c r="O84" s="419"/>
      <c r="P84" s="419"/>
      <c r="Q84" s="419"/>
      <c r="R84" s="419"/>
      <c r="S84" s="419"/>
      <c r="T84" s="419"/>
      <c r="U84" s="419"/>
      <c r="V84" s="434"/>
      <c r="W84" s="1378" t="s">
        <v>3306</v>
      </c>
      <c r="X84" s="1378"/>
      <c r="Y84" s="1378"/>
      <c r="Z84" s="558">
        <v>520</v>
      </c>
      <c r="AA84" s="445">
        <f>SUMIF($Y$3:$Y$71,$Z$84,AA$3:AA$71)</f>
        <v>215000000</v>
      </c>
      <c r="AB84" s="445">
        <f t="shared" ref="AB84:AL84" si="69">SUMIF($Y$3:$Y$71,$Z$84,AB$3:AB$71)</f>
        <v>0</v>
      </c>
      <c r="AC84" s="445">
        <f t="shared" si="69"/>
        <v>0</v>
      </c>
      <c r="AD84" s="445">
        <f t="shared" si="69"/>
        <v>0</v>
      </c>
      <c r="AE84" s="445">
        <f t="shared" si="69"/>
        <v>0</v>
      </c>
      <c r="AF84" s="445">
        <f t="shared" si="69"/>
        <v>0</v>
      </c>
      <c r="AG84" s="445">
        <f t="shared" si="69"/>
        <v>100000000</v>
      </c>
      <c r="AH84" s="445">
        <f t="shared" si="69"/>
        <v>105000000</v>
      </c>
      <c r="AI84" s="445">
        <f t="shared" si="69"/>
        <v>0</v>
      </c>
      <c r="AJ84" s="445">
        <f t="shared" si="69"/>
        <v>0</v>
      </c>
      <c r="AK84" s="445">
        <f t="shared" si="69"/>
        <v>0</v>
      </c>
      <c r="AL84" s="445">
        <f t="shared" si="69"/>
        <v>420000000</v>
      </c>
      <c r="AO84" s="8" t="s">
        <v>4035</v>
      </c>
      <c r="AP84" s="445" t="e">
        <f>+#REF!</f>
        <v>#REF!</v>
      </c>
      <c r="AQ84" s="8">
        <v>111</v>
      </c>
      <c r="AR84" s="445">
        <f>+AR83*0.6</f>
        <v>658401070.19999993</v>
      </c>
      <c r="AS84" s="445" t="e">
        <v>#REF!</v>
      </c>
      <c r="AT84" s="8" t="s">
        <v>4040</v>
      </c>
      <c r="BA84" s="600">
        <f ca="1">SUMIF($Y$3:$Y$71,"520",$BA$3:$BA$65)</f>
        <v>0</v>
      </c>
      <c r="BB84" s="600">
        <f ca="1">SUMIF($Y$3:$Y$71,"520",$BB$3:$BB$65)</f>
        <v>0</v>
      </c>
      <c r="BC84" s="600">
        <f ca="1">SUMIF($Y$3:$Y$71,"520",$BC$3:$BC$65)</f>
        <v>0</v>
      </c>
      <c r="BD84" s="600">
        <f ca="1">SUMIF($Y$3:$Y$71,"520",$BD$3:$BD$65)</f>
        <v>0</v>
      </c>
      <c r="BE84" s="600">
        <f ca="1">SUMIF($Y$3:$Y$71,"520",$BE$3:$BE$65)</f>
        <v>0</v>
      </c>
      <c r="BF84" s="600">
        <f ca="1">SUMIF($Y$3:$Y$71,"520",$BF$3:$BF$65)</f>
        <v>0</v>
      </c>
      <c r="BG84" s="600">
        <f ca="1">SUMIF($Y$3:$Y$71,"520",$BG$3:$BG$65)</f>
        <v>0</v>
      </c>
      <c r="BH84" s="600">
        <f ca="1">SUMIF($Y$3:$Y$71,"520",$BH$3:$BH$65)</f>
        <v>15000000</v>
      </c>
    </row>
    <row r="85" spans="1:60" x14ac:dyDescent="0.2">
      <c r="A85" s="419"/>
      <c r="B85" s="419"/>
      <c r="C85" s="419"/>
      <c r="D85" s="419"/>
      <c r="E85" s="419"/>
      <c r="F85" s="419"/>
      <c r="G85" s="419"/>
      <c r="H85" s="419"/>
      <c r="I85" s="419"/>
      <c r="J85" s="419"/>
      <c r="K85" s="419"/>
      <c r="L85" s="419"/>
      <c r="M85" s="419"/>
      <c r="N85" s="419"/>
      <c r="O85" s="419"/>
      <c r="P85" s="419"/>
      <c r="Q85" s="419"/>
      <c r="R85" s="419"/>
      <c r="S85" s="419"/>
      <c r="T85" s="419"/>
      <c r="U85" s="419"/>
      <c r="V85" s="434"/>
      <c r="W85" s="1378" t="s">
        <v>695</v>
      </c>
      <c r="X85" s="1378"/>
      <c r="Y85" s="1378"/>
      <c r="AA85" s="445">
        <f>SUM(AA78:AA84)</f>
        <v>2475902120</v>
      </c>
      <c r="AB85" s="445">
        <f t="shared" ref="AB85:AL85" si="70">SUM(AB78:AB84)</f>
        <v>1325201794</v>
      </c>
      <c r="AC85" s="445">
        <f t="shared" si="70"/>
        <v>177821516</v>
      </c>
      <c r="AD85" s="445">
        <f t="shared" si="70"/>
        <v>73270400</v>
      </c>
      <c r="AE85" s="445">
        <f t="shared" si="70"/>
        <v>20000000</v>
      </c>
      <c r="AF85" s="445">
        <f t="shared" si="70"/>
        <v>47000740</v>
      </c>
      <c r="AG85" s="445">
        <f t="shared" si="70"/>
        <v>2816800000</v>
      </c>
      <c r="AH85" s="445">
        <f t="shared" si="70"/>
        <v>881000000</v>
      </c>
      <c r="AI85" s="445">
        <f t="shared" si="70"/>
        <v>0</v>
      </c>
      <c r="AJ85" s="445">
        <f t="shared" si="70"/>
        <v>1355000000</v>
      </c>
      <c r="AK85" s="445">
        <f t="shared" si="70"/>
        <v>0</v>
      </c>
      <c r="AL85" s="445">
        <f t="shared" si="70"/>
        <v>9171996570</v>
      </c>
      <c r="AO85" s="8" t="s">
        <v>4039</v>
      </c>
      <c r="AP85" s="445">
        <v>642607943</v>
      </c>
      <c r="AQ85" s="8">
        <v>211</v>
      </c>
      <c r="AR85" s="445">
        <f>+AS91</f>
        <v>201201060</v>
      </c>
      <c r="BA85" s="607" t="e">
        <f t="shared" ref="BA85:BH85" ca="1" si="71">SUM(BA78:BA84)</f>
        <v>#REF!</v>
      </c>
      <c r="BB85" s="607" t="e">
        <f t="shared" ca="1" si="71"/>
        <v>#REF!</v>
      </c>
      <c r="BC85" s="607" t="e">
        <f t="shared" ca="1" si="71"/>
        <v>#REF!</v>
      </c>
      <c r="BD85" s="607" t="e">
        <f t="shared" ca="1" si="71"/>
        <v>#REF!</v>
      </c>
      <c r="BE85" s="607" t="e">
        <f t="shared" ca="1" si="71"/>
        <v>#REF!</v>
      </c>
      <c r="BF85" s="607" t="e">
        <f t="shared" ca="1" si="71"/>
        <v>#REF!</v>
      </c>
      <c r="BG85" s="607">
        <f t="shared" ca="1" si="71"/>
        <v>0</v>
      </c>
      <c r="BH85" s="607" t="e">
        <f t="shared" ca="1" si="71"/>
        <v>#REF!</v>
      </c>
    </row>
    <row r="86" spans="1:60" x14ac:dyDescent="0.2">
      <c r="A86" s="419"/>
      <c r="B86" s="419"/>
      <c r="C86" s="419"/>
      <c r="D86" s="419"/>
      <c r="E86" s="419"/>
      <c r="F86" s="419"/>
      <c r="G86" s="419"/>
      <c r="H86" s="419"/>
      <c r="I86" s="419"/>
      <c r="J86" s="419"/>
      <c r="K86" s="419"/>
      <c r="L86" s="419"/>
      <c r="M86" s="419"/>
      <c r="N86" s="419"/>
      <c r="O86" s="419"/>
      <c r="P86" s="419"/>
      <c r="Q86" s="419"/>
      <c r="R86" s="419"/>
      <c r="S86" s="419"/>
      <c r="T86" s="419"/>
      <c r="U86" s="419"/>
      <c r="V86" s="434"/>
      <c r="X86" s="575"/>
      <c r="AB86" s="445"/>
      <c r="AC86" s="445"/>
      <c r="AD86" s="445"/>
      <c r="AE86" s="445"/>
      <c r="AF86" s="445"/>
      <c r="AG86" s="445"/>
      <c r="AH86" s="445"/>
      <c r="AI86" s="445"/>
      <c r="AJ86" s="445"/>
      <c r="AK86" s="445"/>
      <c r="AL86" s="445"/>
      <c r="AO86" s="8" t="s">
        <v>4036</v>
      </c>
      <c r="AP86" s="445">
        <v>40485650</v>
      </c>
      <c r="AQ86" s="8">
        <v>410</v>
      </c>
      <c r="AR86" s="445">
        <f>+AR83-AR84-AR85</f>
        <v>237732986.80000007</v>
      </c>
    </row>
    <row r="87" spans="1:60" x14ac:dyDescent="0.2">
      <c r="A87" s="419"/>
      <c r="B87" s="419"/>
      <c r="C87" s="419"/>
      <c r="D87" s="419"/>
      <c r="E87" s="419"/>
      <c r="F87" s="419"/>
      <c r="G87" s="419"/>
      <c r="H87" s="419"/>
      <c r="I87" s="419"/>
      <c r="J87" s="419"/>
      <c r="K87" s="419"/>
      <c r="L87" s="419"/>
      <c r="M87" s="419"/>
      <c r="N87" s="419"/>
      <c r="O87" s="419"/>
      <c r="P87" s="419"/>
      <c r="Q87" s="419"/>
      <c r="R87" s="419"/>
      <c r="S87" s="419"/>
      <c r="T87" s="419"/>
      <c r="U87" s="419"/>
      <c r="V87" s="434"/>
      <c r="X87" s="575"/>
      <c r="AO87" s="8" t="s">
        <v>4038</v>
      </c>
      <c r="AP87" s="445">
        <v>48344173</v>
      </c>
    </row>
    <row r="88" spans="1:60" x14ac:dyDescent="0.2">
      <c r="A88" s="419"/>
      <c r="B88" s="419"/>
      <c r="C88" s="419"/>
      <c r="D88" s="419"/>
      <c r="E88" s="419"/>
      <c r="F88" s="419"/>
      <c r="G88" s="419"/>
      <c r="H88" s="419"/>
      <c r="I88" s="419"/>
      <c r="J88" s="419"/>
      <c r="K88" s="419"/>
      <c r="L88" s="419"/>
      <c r="M88" s="419"/>
      <c r="N88" s="419"/>
      <c r="O88" s="419"/>
      <c r="P88" s="419"/>
      <c r="Q88" s="419"/>
      <c r="R88" s="419"/>
      <c r="S88" s="419"/>
      <c r="T88" s="419"/>
      <c r="U88" s="419"/>
      <c r="V88" s="434"/>
      <c r="X88" s="575"/>
      <c r="AO88" s="8" t="s">
        <v>4037</v>
      </c>
      <c r="AP88" s="445">
        <v>26794249</v>
      </c>
    </row>
    <row r="89" spans="1:60" x14ac:dyDescent="0.2">
      <c r="A89" s="419"/>
      <c r="B89" s="419"/>
      <c r="C89" s="419"/>
      <c r="D89" s="419"/>
      <c r="E89" s="419"/>
      <c r="F89" s="419"/>
      <c r="G89" s="419"/>
      <c r="H89" s="419"/>
      <c r="I89" s="419"/>
      <c r="J89" s="419"/>
      <c r="K89" s="419"/>
      <c r="L89" s="419"/>
      <c r="M89" s="419"/>
      <c r="N89" s="419"/>
      <c r="O89" s="419"/>
      <c r="P89" s="419"/>
      <c r="Q89" s="419"/>
      <c r="R89" s="419"/>
      <c r="S89" s="419"/>
      <c r="T89" s="419"/>
      <c r="U89" s="419"/>
      <c r="V89" s="434"/>
      <c r="X89" s="575"/>
      <c r="AS89" s="445"/>
    </row>
    <row r="90" spans="1:60" x14ac:dyDescent="0.2">
      <c r="X90" s="1379" t="s">
        <v>3671</v>
      </c>
      <c r="Y90" s="1379"/>
      <c r="AP90" s="445">
        <f>+'[3]PLANINVERSIONES DIC'!$X$165</f>
        <v>20399850.333333254</v>
      </c>
      <c r="AQ90" s="590">
        <v>111</v>
      </c>
      <c r="AR90" s="591">
        <f>SUMIF($Y$3:$Y$71,"111",$AR$3:$AR$71)</f>
        <v>2958222037</v>
      </c>
      <c r="AS90" s="445">
        <f>+AR91-398500313</f>
        <v>110134781</v>
      </c>
      <c r="AU90" s="591">
        <v>3068356818.1999998</v>
      </c>
      <c r="AV90" s="591"/>
    </row>
    <row r="91" spans="1:60" x14ac:dyDescent="0.2">
      <c r="M91" s="1368" t="s">
        <v>3659</v>
      </c>
      <c r="N91" s="1368"/>
      <c r="O91" s="1368"/>
      <c r="P91" s="1368"/>
      <c r="Q91" s="1368"/>
      <c r="R91" s="1368"/>
      <c r="S91" s="1368"/>
      <c r="T91" s="1368"/>
      <c r="V91" s="1369">
        <v>900000000</v>
      </c>
      <c r="W91" s="1370"/>
      <c r="X91" s="576">
        <f>SUMIF($Y$3:$Y$71,"111",$X$3:$X$71)</f>
        <v>470133160</v>
      </c>
      <c r="Y91" s="577">
        <v>111</v>
      </c>
      <c r="Z91" s="448">
        <f>SUMIF($Y$3:$Y$71,"111",$S$3:$S$71)</f>
        <v>3700</v>
      </c>
      <c r="AA91" s="8" t="s">
        <v>3680</v>
      </c>
      <c r="AP91" s="445">
        <f>+'[3]PLANINVERSIONES DIC'!$X$166</f>
        <v>197299253</v>
      </c>
      <c r="AQ91" s="590">
        <v>211</v>
      </c>
      <c r="AR91" s="591">
        <f>SUMIF($Y$3:$Y$71,"211",$AR$3:$AR$71)</f>
        <v>508635094</v>
      </c>
      <c r="AS91" s="445">
        <f>+AR91-AP91-AS90</f>
        <v>201201060</v>
      </c>
      <c r="AT91" s="445"/>
      <c r="AU91" s="591">
        <v>398500313</v>
      </c>
      <c r="AV91" s="591"/>
      <c r="AW91" s="445">
        <f>+AR91-AU91</f>
        <v>110134781</v>
      </c>
    </row>
    <row r="92" spans="1:60" ht="15" customHeight="1" x14ac:dyDescent="0.2">
      <c r="M92" s="1368" t="s">
        <v>3751</v>
      </c>
      <c r="N92" s="1368"/>
      <c r="O92" s="1368"/>
      <c r="P92" s="1368"/>
      <c r="Q92" s="1368"/>
      <c r="R92" s="1368"/>
      <c r="S92" s="1368"/>
      <c r="T92" s="1368"/>
      <c r="V92" s="1369">
        <v>616800000</v>
      </c>
      <c r="W92" s="1370"/>
      <c r="X92" s="576"/>
      <c r="Y92" s="577"/>
      <c r="Z92" s="448"/>
      <c r="AQ92" s="590">
        <v>310</v>
      </c>
      <c r="AR92" s="591">
        <f>SUMIF($Y$3:$Y$71,"310",$AR$3:$AR$71)</f>
        <v>0</v>
      </c>
      <c r="AU92" s="590"/>
      <c r="AV92" s="591"/>
    </row>
    <row r="93" spans="1:60" ht="15" customHeight="1" x14ac:dyDescent="0.2">
      <c r="M93" s="1368" t="s">
        <v>3752</v>
      </c>
      <c r="N93" s="1368"/>
      <c r="O93" s="1368"/>
      <c r="P93" s="1368"/>
      <c r="Q93" s="1368"/>
      <c r="R93" s="1368"/>
      <c r="S93" s="1368"/>
      <c r="T93" s="1368"/>
      <c r="V93" s="1369">
        <v>1300000000</v>
      </c>
      <c r="W93" s="1370"/>
      <c r="X93" s="576"/>
      <c r="Y93" s="577"/>
      <c r="Z93" s="448"/>
      <c r="AO93" s="445">
        <f>+AP93+AS93-25000000+AT93</f>
        <v>316473265.80000007</v>
      </c>
      <c r="AP93" s="445">
        <f>+'[3]PLANINVERSIONES DIC'!$X$167</f>
        <v>50740516</v>
      </c>
      <c r="AQ93" s="590">
        <v>410</v>
      </c>
      <c r="AR93" s="591">
        <f>SUMIF($Y$3:$Y$71,"410",$AR$3:$AR$71)</f>
        <v>1190732750</v>
      </c>
      <c r="AS93" s="445">
        <f>+AR86</f>
        <v>237732986.80000007</v>
      </c>
      <c r="AT93" s="445">
        <v>52999763</v>
      </c>
      <c r="AU93" s="591">
        <v>290732749.80000007</v>
      </c>
      <c r="AV93" s="591">
        <v>900000000</v>
      </c>
      <c r="AW93" s="445">
        <f>+AR93-AU93-AV93</f>
        <v>0.19999992847442627</v>
      </c>
    </row>
    <row r="94" spans="1:60" x14ac:dyDescent="0.2">
      <c r="M94" s="1368" t="s">
        <v>3660</v>
      </c>
      <c r="N94" s="1368"/>
      <c r="O94" s="1368"/>
      <c r="P94" s="1368"/>
      <c r="Q94" s="1386"/>
      <c r="R94" s="1386"/>
      <c r="S94" s="1386"/>
      <c r="T94" s="1386"/>
      <c r="V94" s="1369">
        <v>1325201794</v>
      </c>
      <c r="W94" s="1369"/>
      <c r="X94" s="576">
        <f>SUMIF($Y$3:$Y$71,"211",$X$3:$X$71)</f>
        <v>1993092656</v>
      </c>
      <c r="Y94" s="577">
        <v>211</v>
      </c>
      <c r="Z94" s="448">
        <f>SUMIF($Y$3:$Y$71,"211",$S$3:$S$71)</f>
        <v>3650</v>
      </c>
      <c r="AA94" s="454">
        <f>+Z94-(X94/1000000)</f>
        <v>1656.907344</v>
      </c>
      <c r="AP94" s="8" t="s">
        <v>4041</v>
      </c>
      <c r="AQ94" s="590">
        <v>510</v>
      </c>
      <c r="AR94" s="591">
        <f>SUMIF($Y$3:$Y$71,"510",$AR$3:$AR$71)</f>
        <v>82777272</v>
      </c>
      <c r="AT94" s="8" t="s">
        <v>4042</v>
      </c>
      <c r="AU94" s="591">
        <v>82777272</v>
      </c>
      <c r="AV94" s="590"/>
      <c r="AW94" s="445">
        <f>+AR94-AU94</f>
        <v>0</v>
      </c>
    </row>
    <row r="95" spans="1:60" ht="46.5" customHeight="1" x14ac:dyDescent="0.2">
      <c r="M95" s="1387" t="s">
        <v>3661</v>
      </c>
      <c r="N95" s="1387"/>
      <c r="O95" s="1387"/>
      <c r="P95" s="1391" t="s">
        <v>3668</v>
      </c>
      <c r="Q95" s="1391"/>
      <c r="R95" s="1391"/>
      <c r="S95" s="1391"/>
      <c r="T95" s="1391"/>
      <c r="U95" s="447"/>
      <c r="V95" s="1383">
        <v>177821516</v>
      </c>
      <c r="W95" s="1383"/>
      <c r="X95" s="578">
        <f>SUMIF($Y$3:$Y$71,"310",$X$3:$X$71)</f>
        <v>1566970754</v>
      </c>
      <c r="Y95" s="550">
        <v>310</v>
      </c>
      <c r="Z95" s="449">
        <f>SUMIF($Y$3:$Y$71,"310",$S$3:$S$71)</f>
        <v>1656.44</v>
      </c>
      <c r="AA95" s="454">
        <f>+Z95-(X95/1000000)</f>
        <v>89.469246000000112</v>
      </c>
      <c r="AQ95" s="590">
        <v>520</v>
      </c>
      <c r="AR95" s="591">
        <f>SUMIF($Y$3:$Y$71,"520",$AR$3:$AR$71)</f>
        <v>15000000</v>
      </c>
      <c r="AU95" s="591">
        <v>15000000</v>
      </c>
      <c r="AV95" s="590"/>
    </row>
    <row r="96" spans="1:60" x14ac:dyDescent="0.2">
      <c r="M96" s="1368" t="s">
        <v>3662</v>
      </c>
      <c r="N96" s="1368"/>
      <c r="O96" s="1368"/>
      <c r="P96" s="1368"/>
      <c r="Q96" s="1368"/>
      <c r="R96" s="1368"/>
      <c r="S96" s="1368"/>
      <c r="T96" s="1368"/>
      <c r="V96" s="1369">
        <v>73270400</v>
      </c>
      <c r="W96" s="1369"/>
      <c r="X96" s="576">
        <f>SUMIF($Y$3:$Y$71,"410",$X$3:$X$71)</f>
        <v>2461800000</v>
      </c>
      <c r="Y96" s="577">
        <v>410</v>
      </c>
      <c r="Z96" s="448">
        <f>SUMIF($Y$3:$Y$71,"410",$S$3:$S$71)</f>
        <v>2080</v>
      </c>
      <c r="AA96" s="454">
        <f>+Z96-(X96/1000000)</f>
        <v>-381.80000000000018</v>
      </c>
      <c r="AQ96" s="590"/>
      <c r="AR96" s="591">
        <f>SUM(AR90:AR95)</f>
        <v>4755367153</v>
      </c>
      <c r="AU96" s="591">
        <f>SUM(AU90:AU95)</f>
        <v>3855367153</v>
      </c>
      <c r="AV96" s="591">
        <f>SUM(AV90:AV95)</f>
        <v>900000000</v>
      </c>
    </row>
    <row r="97" spans="13:47" x14ac:dyDescent="0.2">
      <c r="M97" s="1368" t="s">
        <v>3663</v>
      </c>
      <c r="N97" s="1368"/>
      <c r="O97" s="1368"/>
      <c r="P97" s="1368"/>
      <c r="Q97" s="1368"/>
      <c r="R97" s="1368"/>
      <c r="S97" s="1368"/>
      <c r="T97" s="1368"/>
      <c r="V97" s="1369">
        <v>20000000</v>
      </c>
      <c r="W97" s="1369"/>
      <c r="X97" s="576">
        <f>SUMIF($Y$3:$Y$71,"510",$X$3:$X$71)</f>
        <v>905000000</v>
      </c>
      <c r="Y97" s="577">
        <v>510</v>
      </c>
      <c r="Z97" s="448">
        <f>SUMIF($Y$3:$Y$71,"510",$S$3:$S$71)</f>
        <v>1444</v>
      </c>
      <c r="AA97" s="454">
        <f>+Z97-(X97/1000000)</f>
        <v>539</v>
      </c>
      <c r="AR97" s="445">
        <f>+AR79-AR96</f>
        <v>0</v>
      </c>
      <c r="AU97" s="445">
        <f>+AR96-AU96-AV96</f>
        <v>0</v>
      </c>
    </row>
    <row r="98" spans="13:47" x14ac:dyDescent="0.2">
      <c r="M98" s="1368" t="s">
        <v>3664</v>
      </c>
      <c r="N98" s="1368"/>
      <c r="O98" s="1368"/>
      <c r="P98" s="1368"/>
      <c r="Q98" s="1368"/>
      <c r="R98" s="1368"/>
      <c r="S98" s="1368"/>
      <c r="T98" s="1368"/>
      <c r="V98" s="1369">
        <v>47000740</v>
      </c>
      <c r="W98" s="1369"/>
      <c r="X98" s="576">
        <f>SUMIF($Y$3:$Y$71,"520",$X$3:$X$71)</f>
        <v>420000000</v>
      </c>
      <c r="Y98" s="577">
        <v>520</v>
      </c>
      <c r="Z98" s="448">
        <f>SUMIF($Y$3:$Y$71,"520",$S$3:$S$71)</f>
        <v>455</v>
      </c>
      <c r="AA98" s="454">
        <f>+Z98-(X98/1000000)</f>
        <v>35</v>
      </c>
    </row>
    <row r="99" spans="13:47" x14ac:dyDescent="0.2">
      <c r="M99" s="1368" t="s">
        <v>3665</v>
      </c>
      <c r="N99" s="1368"/>
      <c r="O99" s="1368"/>
      <c r="P99" s="1368"/>
      <c r="Q99" s="1368"/>
      <c r="R99" s="1368"/>
      <c r="S99" s="1368"/>
      <c r="T99" s="1368"/>
      <c r="V99" s="1369">
        <v>881000000</v>
      </c>
      <c r="W99" s="1369"/>
      <c r="X99" s="450">
        <f>SUM(X91:X98)</f>
        <v>7816996570</v>
      </c>
      <c r="Y99" s="577"/>
      <c r="Z99" s="450">
        <f>SUM(Z91:Z98)</f>
        <v>12985.44</v>
      </c>
    </row>
    <row r="100" spans="13:47" x14ac:dyDescent="0.2">
      <c r="M100" s="1368" t="s">
        <v>3666</v>
      </c>
      <c r="N100" s="1368"/>
      <c r="O100" s="1368"/>
      <c r="P100" s="1368"/>
      <c r="Q100" s="1368"/>
      <c r="R100" s="1368"/>
      <c r="S100" s="1368"/>
      <c r="T100" s="1368"/>
      <c r="V100" s="1369">
        <v>1355000000</v>
      </c>
      <c r="W100" s="1369"/>
      <c r="X100" s="576">
        <f>SUMIF($Y$3:$Y$71,"301",$X$3:$X$71)</f>
        <v>1355000000</v>
      </c>
      <c r="Y100" s="577">
        <v>301</v>
      </c>
      <c r="Z100" s="448">
        <f>SUMIF($Y$3:$Y$71,"301",$S$3:$S$71)</f>
        <v>1155</v>
      </c>
      <c r="AA100" s="454">
        <f>+Z100-(X100/1000000)</f>
        <v>-200</v>
      </c>
    </row>
    <row r="101" spans="13:47" x14ac:dyDescent="0.2">
      <c r="M101" s="1368" t="s">
        <v>3672</v>
      </c>
      <c r="N101" s="1368"/>
      <c r="O101" s="1368"/>
      <c r="P101" s="1368"/>
      <c r="Q101" s="1368"/>
      <c r="R101" s="1368"/>
      <c r="S101" s="1368"/>
      <c r="T101" s="1368"/>
      <c r="V101" s="1369">
        <v>2475902120</v>
      </c>
      <c r="W101" s="1369"/>
      <c r="X101" s="450">
        <f>+X99+X100</f>
        <v>9171996570</v>
      </c>
      <c r="Y101" s="577" t="s">
        <v>622</v>
      </c>
      <c r="Z101" s="450">
        <f>+Z99+Z100</f>
        <v>14140.44</v>
      </c>
    </row>
    <row r="102" spans="13:47" x14ac:dyDescent="0.2">
      <c r="M102" s="1384" t="s">
        <v>3673</v>
      </c>
      <c r="N102" s="1384"/>
      <c r="O102" s="1384"/>
      <c r="P102" s="1384"/>
      <c r="Q102" s="1384"/>
      <c r="R102" s="1384"/>
      <c r="S102" s="1384"/>
      <c r="T102" s="1384"/>
      <c r="U102" s="419"/>
      <c r="V102" s="1388">
        <f>SUM(V91:V101)</f>
        <v>9171996570</v>
      </c>
      <c r="W102" s="1388"/>
      <c r="X102" s="575"/>
    </row>
    <row r="103" spans="13:47" x14ac:dyDescent="0.2">
      <c r="X103" s="575"/>
    </row>
    <row r="104" spans="13:47" x14ac:dyDescent="0.2">
      <c r="X104" s="575"/>
    </row>
  </sheetData>
  <mergeCells count="190">
    <mergeCell ref="BM1:BM2"/>
    <mergeCell ref="AT1:AT2"/>
    <mergeCell ref="AU1:AU2"/>
    <mergeCell ref="W78:Y78"/>
    <mergeCell ref="W1:W2"/>
    <mergeCell ref="B25:B35"/>
    <mergeCell ref="C25:C35"/>
    <mergeCell ref="D25:D35"/>
    <mergeCell ref="D36:D37"/>
    <mergeCell ref="E48:E50"/>
    <mergeCell ref="F48:F50"/>
    <mergeCell ref="B8:B13"/>
    <mergeCell ref="C8:C13"/>
    <mergeCell ref="D8:D13"/>
    <mergeCell ref="H55:H60"/>
    <mergeCell ref="H62:H63"/>
    <mergeCell ref="G19:G24"/>
    <mergeCell ref="H19:H24"/>
    <mergeCell ref="G15:G18"/>
    <mergeCell ref="H15:H18"/>
    <mergeCell ref="G3:G6"/>
    <mergeCell ref="H3:H6"/>
    <mergeCell ref="G8:G13"/>
    <mergeCell ref="AZ1:BL1"/>
    <mergeCell ref="A15:A18"/>
    <mergeCell ref="B19:B24"/>
    <mergeCell ref="A19:A24"/>
    <mergeCell ref="A25:A35"/>
    <mergeCell ref="A36:A37"/>
    <mergeCell ref="D19:D24"/>
    <mergeCell ref="A48:A50"/>
    <mergeCell ref="B48:B50"/>
    <mergeCell ref="C48:C50"/>
    <mergeCell ref="D48:D50"/>
    <mergeCell ref="A40:A45"/>
    <mergeCell ref="B40:B46"/>
    <mergeCell ref="C15:C18"/>
    <mergeCell ref="D15:D18"/>
    <mergeCell ref="C40:C46"/>
    <mergeCell ref="D40:D41"/>
    <mergeCell ref="D42:D46"/>
    <mergeCell ref="A66:A71"/>
    <mergeCell ref="B66:B71"/>
    <mergeCell ref="C66:C71"/>
    <mergeCell ref="D66:D67"/>
    <mergeCell ref="E66:E67"/>
    <mergeCell ref="F66:F67"/>
    <mergeCell ref="E40:E41"/>
    <mergeCell ref="F40:F41"/>
    <mergeCell ref="A53:A60"/>
    <mergeCell ref="B53:B60"/>
    <mergeCell ref="C53:C60"/>
    <mergeCell ref="A62:A63"/>
    <mergeCell ref="B62:B63"/>
    <mergeCell ref="C62:C63"/>
    <mergeCell ref="D55:D60"/>
    <mergeCell ref="D62:D63"/>
    <mergeCell ref="E55:E60"/>
    <mergeCell ref="E62:E63"/>
    <mergeCell ref="F55:F60"/>
    <mergeCell ref="F62:F63"/>
    <mergeCell ref="D68:D71"/>
    <mergeCell ref="E68:E71"/>
    <mergeCell ref="F68:F71"/>
    <mergeCell ref="E42:E46"/>
    <mergeCell ref="M102:T102"/>
    <mergeCell ref="Z1:Z2"/>
    <mergeCell ref="M94:P94"/>
    <mergeCell ref="Q94:T94"/>
    <mergeCell ref="M91:T91"/>
    <mergeCell ref="M95:O95"/>
    <mergeCell ref="M96:T96"/>
    <mergeCell ref="M97:T97"/>
    <mergeCell ref="M98:T98"/>
    <mergeCell ref="M99:T99"/>
    <mergeCell ref="M100:T100"/>
    <mergeCell ref="M101:T101"/>
    <mergeCell ref="V101:W101"/>
    <mergeCell ref="V102:W102"/>
    <mergeCell ref="Y1:Y2"/>
    <mergeCell ref="V91:W91"/>
    <mergeCell ref="V94:W94"/>
    <mergeCell ref="Q1:V1"/>
    <mergeCell ref="M1:P1"/>
    <mergeCell ref="M6:P6"/>
    <mergeCell ref="P95:T95"/>
    <mergeCell ref="M76:P76"/>
    <mergeCell ref="M75:P75"/>
    <mergeCell ref="M73:X73"/>
    <mergeCell ref="V96:W96"/>
    <mergeCell ref="V97:W97"/>
    <mergeCell ref="V98:W98"/>
    <mergeCell ref="V99:W99"/>
    <mergeCell ref="V100:W100"/>
    <mergeCell ref="G66:G67"/>
    <mergeCell ref="H66:H67"/>
    <mergeCell ref="G55:G60"/>
    <mergeCell ref="G62:G63"/>
    <mergeCell ref="M72:P72"/>
    <mergeCell ref="W79:Y79"/>
    <mergeCell ref="W80:Y80"/>
    <mergeCell ref="W81:Y81"/>
    <mergeCell ref="W82:Y82"/>
    <mergeCell ref="W83:Y83"/>
    <mergeCell ref="W84:Y84"/>
    <mergeCell ref="W85:Y85"/>
    <mergeCell ref="X90:Y90"/>
    <mergeCell ref="I55:I60"/>
    <mergeCell ref="I62:I63"/>
    <mergeCell ref="I66:I67"/>
    <mergeCell ref="I68:I70"/>
    <mergeCell ref="M74:P74"/>
    <mergeCell ref="V95:W95"/>
    <mergeCell ref="X1:X2"/>
    <mergeCell ref="C19:C24"/>
    <mergeCell ref="B15:B18"/>
    <mergeCell ref="E25:E35"/>
    <mergeCell ref="F25:F35"/>
    <mergeCell ref="G25:G35"/>
    <mergeCell ref="H25:H35"/>
    <mergeCell ref="B36:B37"/>
    <mergeCell ref="C36:C37"/>
    <mergeCell ref="E36:E37"/>
    <mergeCell ref="F36:F37"/>
    <mergeCell ref="G36:G37"/>
    <mergeCell ref="H36:H37"/>
    <mergeCell ref="E15:E18"/>
    <mergeCell ref="F15:F18"/>
    <mergeCell ref="E19:E24"/>
    <mergeCell ref="F19:F24"/>
    <mergeCell ref="G68:G71"/>
    <mergeCell ref="H68:H71"/>
    <mergeCell ref="M64:P64"/>
    <mergeCell ref="M92:T92"/>
    <mergeCell ref="M93:T93"/>
    <mergeCell ref="V92:W92"/>
    <mergeCell ref="V93:W93"/>
    <mergeCell ref="G40:G41"/>
    <mergeCell ref="H40:H41"/>
    <mergeCell ref="F42:F46"/>
    <mergeCell ref="G42:G46"/>
    <mergeCell ref="H42:H46"/>
    <mergeCell ref="D53:D54"/>
    <mergeCell ref="E53:E54"/>
    <mergeCell ref="F53:F54"/>
    <mergeCell ref="G53:G54"/>
    <mergeCell ref="H53:H54"/>
    <mergeCell ref="G48:G50"/>
    <mergeCell ref="H48:H50"/>
    <mergeCell ref="A1:A2"/>
    <mergeCell ref="B1:B2"/>
    <mergeCell ref="C1:C2"/>
    <mergeCell ref="D1:D2"/>
    <mergeCell ref="E1:E2"/>
    <mergeCell ref="F1:F2"/>
    <mergeCell ref="G1:G2"/>
    <mergeCell ref="H1:H2"/>
    <mergeCell ref="E8:E13"/>
    <mergeCell ref="F8:F13"/>
    <mergeCell ref="E3:E6"/>
    <mergeCell ref="F3:F6"/>
    <mergeCell ref="A8:A13"/>
    <mergeCell ref="A3:A6"/>
    <mergeCell ref="B3:B6"/>
    <mergeCell ref="C3:C6"/>
    <mergeCell ref="D3:D6"/>
    <mergeCell ref="AY1:AY2"/>
    <mergeCell ref="M79:N79"/>
    <mergeCell ref="M38:P38"/>
    <mergeCell ref="M46:P46"/>
    <mergeCell ref="H8:H12"/>
    <mergeCell ref="AA1:AL1"/>
    <mergeCell ref="I26:I28"/>
    <mergeCell ref="I29:I30"/>
    <mergeCell ref="I31:I32"/>
    <mergeCell ref="K1:K2"/>
    <mergeCell ref="L1:L2"/>
    <mergeCell ref="J1:J2"/>
    <mergeCell ref="M13:P13"/>
    <mergeCell ref="I1:I2"/>
    <mergeCell ref="I15:I16"/>
    <mergeCell ref="I20:I22"/>
    <mergeCell ref="I9:I12"/>
    <mergeCell ref="AN1:AN2"/>
    <mergeCell ref="AV1:AW1"/>
    <mergeCell ref="AO1:AP1"/>
    <mergeCell ref="AQ1:AQ2"/>
    <mergeCell ref="AR1:AR2"/>
    <mergeCell ref="AS1:AS2"/>
    <mergeCell ref="M51:P51"/>
  </mergeCells>
  <printOptions horizontalCentered="1" verticalCentered="1"/>
  <pageMargins left="0.19685039370078741" right="0.55118110236220474" top="0.86614173228346458" bottom="0.43307086614173229" header="0.62992125984251968" footer="0"/>
  <pageSetup scale="55" orientation="landscape" horizontalDpi="4294967293" verticalDpi="4294967293" r:id="rId1"/>
  <headerFooter alignWithMargins="0">
    <oddHeader>&amp;C&amp;"-,Negrita"&amp;20PLAN INDICATIVO 2009 - 2012</oddHeader>
    <oddFooter>&amp;LUnidad de Planeamiento Económico y Administrativo&amp;COficina de Planeación&amp;RPágina &amp;P de &amp;N</oddFooter>
  </headerFooter>
  <rowBreaks count="2" manualBreakCount="2">
    <brk id="14" max="16383" man="1"/>
    <brk id="47"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
  <dimension ref="A1:CY207"/>
  <sheetViews>
    <sheetView topLeftCell="N181" zoomScale="80" zoomScaleNormal="80" zoomScalePageLayoutView="50" workbookViewId="0">
      <selection activeCell="U194" sqref="U194"/>
    </sheetView>
  </sheetViews>
  <sheetFormatPr baseColWidth="10" defaultColWidth="11.42578125" defaultRowHeight="15" x14ac:dyDescent="0.25"/>
  <cols>
    <col min="1" max="1" width="7.28515625" hidden="1" customWidth="1"/>
    <col min="2" max="2" width="12" hidden="1" customWidth="1"/>
    <col min="3" max="3" width="6.7109375" hidden="1" customWidth="1"/>
    <col min="4" max="4" width="15.28515625" hidden="1" customWidth="1"/>
    <col min="5" max="5" width="7.5703125" hidden="1" customWidth="1"/>
    <col min="6" max="6" width="18.85546875" hidden="1" customWidth="1"/>
    <col min="7" max="7" width="14.7109375" hidden="1" customWidth="1"/>
    <col min="8" max="8" width="14.85546875" hidden="1" customWidth="1"/>
    <col min="9" max="9" width="14.7109375" hidden="1" customWidth="1"/>
    <col min="10" max="10" width="12.42578125" hidden="1" customWidth="1"/>
    <col min="11" max="11" width="15.85546875" hidden="1" customWidth="1"/>
    <col min="12" max="12" width="6.140625" hidden="1" customWidth="1"/>
    <col min="13" max="13" width="14.140625" hidden="1" customWidth="1"/>
    <col min="14" max="14" width="14.42578125" customWidth="1"/>
    <col min="15" max="15" width="15" customWidth="1"/>
    <col min="16" max="17" width="14.7109375" hidden="1" customWidth="1"/>
    <col min="18" max="18" width="6.5703125" customWidth="1"/>
    <col min="19" max="19" width="14.7109375" hidden="1" customWidth="1"/>
    <col min="20" max="20" width="8" customWidth="1"/>
    <col min="21" max="21" width="14.5703125" customWidth="1"/>
    <col min="22" max="23" width="14.140625" customWidth="1"/>
    <col min="24" max="24" width="13.5703125" customWidth="1"/>
    <col min="25" max="25" width="12.7109375" customWidth="1"/>
    <col min="26" max="26" width="11.42578125" customWidth="1"/>
    <col min="27" max="27" width="11.28515625" customWidth="1"/>
    <col min="28" max="28" width="14.140625" customWidth="1"/>
    <col min="29" max="30" width="12.7109375" customWidth="1"/>
    <col min="31" max="31" width="13.5703125" customWidth="1"/>
    <col min="32" max="32" width="14.28515625" customWidth="1"/>
    <col min="33" max="33" width="13.5703125" customWidth="1"/>
    <col min="34" max="34" width="4" hidden="1" customWidth="1"/>
    <col min="35" max="38" width="12.85546875" hidden="1" customWidth="1"/>
    <col min="39" max="39" width="13.7109375" hidden="1" customWidth="1"/>
    <col min="40" max="42" width="12.85546875" hidden="1" customWidth="1"/>
    <col min="43" max="43" width="9.5703125" customWidth="1"/>
    <col min="44" max="44" width="14.85546875" customWidth="1"/>
    <col min="45" max="45" width="14" customWidth="1"/>
    <col min="46" max="46" width="14.140625" customWidth="1"/>
    <col min="47" max="47" width="11.7109375" customWidth="1"/>
    <col min="48" max="48" width="13.28515625" customWidth="1"/>
    <col min="49" max="49" width="12.5703125" customWidth="1"/>
    <col min="50" max="50" width="11.42578125" customWidth="1"/>
    <col min="51" max="51" width="14.140625" customWidth="1"/>
    <col min="52" max="52" width="12" customWidth="1"/>
    <col min="53" max="54" width="13.5703125" customWidth="1"/>
    <col min="55" max="55" width="12.85546875" customWidth="1"/>
    <col min="56" max="56" width="13" customWidth="1"/>
    <col min="57" max="57" width="8.85546875" customWidth="1"/>
    <col min="58" max="58" width="13.28515625" customWidth="1"/>
    <col min="59" max="59" width="13.5703125" customWidth="1"/>
    <col min="60" max="60" width="13.85546875" customWidth="1"/>
    <col min="61" max="62" width="12.28515625" customWidth="1"/>
    <col min="63" max="64" width="11.140625" customWidth="1"/>
    <col min="65" max="65" width="14" customWidth="1"/>
    <col min="66" max="66" width="12.28515625" customWidth="1"/>
    <col min="67" max="67" width="13.85546875" customWidth="1"/>
    <col min="68" max="68" width="13" customWidth="1"/>
    <col min="69" max="69" width="12.28515625" customWidth="1"/>
    <col min="70" max="70" width="13.85546875" customWidth="1"/>
    <col min="71" max="71" width="9" customWidth="1"/>
    <col min="72" max="72" width="13.5703125" customWidth="1"/>
    <col min="73" max="73" width="14" customWidth="1"/>
    <col min="74" max="74" width="13.5703125" customWidth="1"/>
    <col min="75" max="75" width="11.7109375" customWidth="1"/>
    <col min="76" max="76" width="13.42578125" customWidth="1"/>
    <col min="77" max="78" width="11.42578125" customWidth="1"/>
    <col min="79" max="79" width="13.5703125" customWidth="1"/>
    <col min="80" max="80" width="12.85546875" customWidth="1"/>
    <col min="81" max="81" width="13.5703125" customWidth="1"/>
    <col min="82" max="82" width="13" customWidth="1"/>
    <col min="83" max="84" width="12" customWidth="1"/>
    <col min="85" max="85" width="10.5703125" customWidth="1"/>
    <col min="86" max="86" width="14.5703125" customWidth="1"/>
    <col min="87" max="88" width="13.5703125" customWidth="1"/>
    <col min="89" max="90" width="13.85546875" customWidth="1"/>
    <col min="91" max="92" width="11.42578125" customWidth="1"/>
    <col min="93" max="93" width="13.85546875" customWidth="1"/>
    <col min="94" max="94" width="12.28515625" customWidth="1"/>
    <col min="95" max="95" width="13.85546875" customWidth="1"/>
    <col min="96" max="96" width="13" customWidth="1"/>
    <col min="97" max="97" width="12.85546875" customWidth="1"/>
    <col min="98" max="98" width="13.5703125" customWidth="1"/>
    <col min="99" max="99" width="11.5703125" customWidth="1"/>
    <col min="103" max="103" width="13.5703125" bestFit="1" customWidth="1"/>
  </cols>
  <sheetData>
    <row r="1" spans="1:98" ht="15.6" customHeight="1" x14ac:dyDescent="0.3">
      <c r="A1" s="1411" t="s">
        <v>3338</v>
      </c>
      <c r="B1" s="1411"/>
      <c r="C1" s="1411"/>
      <c r="D1" s="1411"/>
      <c r="E1" s="1411"/>
      <c r="F1" s="1411"/>
      <c r="G1" s="1411"/>
      <c r="H1" s="1411"/>
      <c r="I1" s="1411"/>
      <c r="J1" s="1411"/>
      <c r="K1" s="1411"/>
      <c r="L1" s="1411"/>
      <c r="N1" s="1412" t="s">
        <v>4020</v>
      </c>
      <c r="O1" s="1413"/>
      <c r="P1" s="1413"/>
      <c r="Q1" s="1413"/>
      <c r="R1" s="1414"/>
      <c r="T1" s="1316" t="s">
        <v>3347</v>
      </c>
      <c r="U1" s="1415" t="s">
        <v>3425</v>
      </c>
      <c r="V1" s="1416"/>
      <c r="W1" s="1416"/>
      <c r="X1" s="1416"/>
      <c r="Y1" s="1416"/>
      <c r="Z1" s="1416"/>
      <c r="AA1" s="1416"/>
      <c r="AB1" s="1416"/>
      <c r="AC1" s="1416"/>
      <c r="AD1" s="1416"/>
      <c r="AE1" s="1416"/>
      <c r="AF1" s="1416"/>
      <c r="AG1" s="1417"/>
      <c r="AR1" s="1407" t="s">
        <v>3404</v>
      </c>
      <c r="AS1" s="1408"/>
      <c r="AT1" s="1408"/>
      <c r="AU1" s="1408"/>
      <c r="AV1" s="1408"/>
      <c r="AW1" s="1408"/>
      <c r="AX1" s="1408"/>
      <c r="AY1" s="1408"/>
      <c r="AZ1" s="1408"/>
      <c r="BA1" s="1408"/>
      <c r="BB1" s="1408"/>
      <c r="BC1" s="1408"/>
      <c r="BD1" s="1408"/>
      <c r="BF1" s="1407" t="s">
        <v>3400</v>
      </c>
      <c r="BG1" s="1408"/>
      <c r="BH1" s="1408"/>
      <c r="BI1" s="1408"/>
      <c r="BJ1" s="1408"/>
      <c r="BK1" s="1408"/>
      <c r="BL1" s="1408"/>
      <c r="BM1" s="1408"/>
      <c r="BN1" s="1408"/>
      <c r="BO1" s="1408"/>
      <c r="BP1" s="1408"/>
      <c r="BQ1" s="1408"/>
      <c r="BR1" s="1408"/>
      <c r="BT1" s="1407" t="s">
        <v>3403</v>
      </c>
      <c r="BU1" s="1408"/>
      <c r="BV1" s="1408"/>
      <c r="BW1" s="1408"/>
      <c r="BX1" s="1408"/>
      <c r="BY1" s="1408"/>
      <c r="BZ1" s="1408"/>
      <c r="CA1" s="1408"/>
      <c r="CB1" s="1408"/>
      <c r="CC1" s="1408"/>
      <c r="CD1" s="1408"/>
      <c r="CE1" s="1408"/>
      <c r="CF1" s="1408"/>
      <c r="CH1" s="1407" t="s">
        <v>3400</v>
      </c>
      <c r="CI1" s="1408"/>
      <c r="CJ1" s="1408"/>
      <c r="CK1" s="1408"/>
      <c r="CL1" s="1408"/>
      <c r="CM1" s="1408"/>
      <c r="CN1" s="1408"/>
      <c r="CO1" s="1408"/>
      <c r="CP1" s="1408"/>
      <c r="CQ1" s="1408"/>
      <c r="CR1" s="1408"/>
      <c r="CS1" s="1408"/>
      <c r="CT1" s="1408"/>
    </row>
    <row r="2" spans="1:98" ht="15.6" customHeight="1" x14ac:dyDescent="0.25">
      <c r="A2" s="1235" t="s">
        <v>3137</v>
      </c>
      <c r="B2" s="1236"/>
      <c r="C2" s="1235" t="s">
        <v>3283</v>
      </c>
      <c r="D2" s="1236"/>
      <c r="E2" s="1235" t="s">
        <v>3139</v>
      </c>
      <c r="F2" s="1236"/>
      <c r="G2" s="1409" t="s">
        <v>3414</v>
      </c>
      <c r="H2" s="1409" t="s">
        <v>3415</v>
      </c>
      <c r="I2" s="1293" t="s">
        <v>3284</v>
      </c>
      <c r="J2" s="1310" t="s">
        <v>457</v>
      </c>
      <c r="K2" s="1310"/>
      <c r="L2" s="1310"/>
      <c r="M2" s="1315"/>
      <c r="N2" s="1232" t="s">
        <v>461</v>
      </c>
      <c r="O2" s="1232"/>
      <c r="P2" s="1232"/>
      <c r="Q2" s="1232"/>
      <c r="R2" s="1418" t="s">
        <v>447</v>
      </c>
      <c r="S2" s="1319" t="s">
        <v>3320</v>
      </c>
      <c r="T2" s="1317"/>
      <c r="U2" s="1419" t="s">
        <v>3333</v>
      </c>
      <c r="V2" s="1420"/>
      <c r="W2" s="1420"/>
      <c r="X2" s="1420"/>
      <c r="Y2" s="1420"/>
      <c r="Z2" s="1420"/>
      <c r="AA2" s="1420"/>
      <c r="AB2" s="1420"/>
      <c r="AC2" s="1420"/>
      <c r="AD2" s="1420"/>
      <c r="AE2" s="1420"/>
      <c r="AF2" s="1420"/>
      <c r="AG2" s="1421"/>
      <c r="AI2" s="1422" t="s">
        <v>3334</v>
      </c>
      <c r="AJ2" s="1422"/>
      <c r="AK2" s="1422"/>
      <c r="AL2" s="1422"/>
      <c r="AM2" s="1422"/>
      <c r="AN2" s="1422"/>
      <c r="AO2" s="1422"/>
      <c r="AP2" s="1422"/>
      <c r="AR2" s="1405" t="s">
        <v>3401</v>
      </c>
      <c r="AS2" s="1406"/>
      <c r="AT2" s="1406"/>
      <c r="AU2" s="1406"/>
      <c r="AV2" s="1406"/>
      <c r="AW2" s="1406"/>
      <c r="AX2" s="1406" t="s">
        <v>3401</v>
      </c>
      <c r="AY2" s="1406"/>
      <c r="AZ2" s="1406"/>
      <c r="BA2" s="1406"/>
      <c r="BB2" s="1406"/>
      <c r="BC2" s="1406"/>
      <c r="BD2" s="1424"/>
      <c r="BF2" s="1403" t="s">
        <v>3402</v>
      </c>
      <c r="BG2" s="1404"/>
      <c r="BH2" s="1404"/>
      <c r="BI2" s="1404"/>
      <c r="BJ2" s="1404"/>
      <c r="BK2" s="1404"/>
      <c r="BL2" s="1404" t="s">
        <v>3402</v>
      </c>
      <c r="BM2" s="1404"/>
      <c r="BN2" s="1404"/>
      <c r="BO2" s="1404"/>
      <c r="BP2" s="1404"/>
      <c r="BQ2" s="1404"/>
      <c r="BR2" s="1423"/>
      <c r="BT2" s="1405" t="s">
        <v>3401</v>
      </c>
      <c r="BU2" s="1406"/>
      <c r="BV2" s="1406"/>
      <c r="BW2" s="1406"/>
      <c r="BX2" s="1406"/>
      <c r="BY2" s="1406"/>
      <c r="BZ2" s="1406" t="s">
        <v>3401</v>
      </c>
      <c r="CA2" s="1406"/>
      <c r="CB2" s="1406"/>
      <c r="CC2" s="1406"/>
      <c r="CD2" s="1406"/>
      <c r="CE2" s="1406"/>
      <c r="CF2" s="1424"/>
      <c r="CH2" s="1403" t="s">
        <v>3402</v>
      </c>
      <c r="CI2" s="1404"/>
      <c r="CJ2" s="1404"/>
      <c r="CK2" s="1404"/>
      <c r="CL2" s="1404"/>
      <c r="CM2" s="1404"/>
      <c r="CN2" s="1404" t="s">
        <v>3402</v>
      </c>
      <c r="CO2" s="1404"/>
      <c r="CP2" s="1404"/>
      <c r="CQ2" s="1404"/>
      <c r="CR2" s="1404"/>
      <c r="CS2" s="1404"/>
      <c r="CT2" s="1423"/>
    </row>
    <row r="3" spans="1:98" ht="43.9" customHeight="1" x14ac:dyDescent="0.25">
      <c r="A3" s="1237"/>
      <c r="B3" s="1238"/>
      <c r="C3" s="1237"/>
      <c r="D3" s="1238"/>
      <c r="E3" s="1237"/>
      <c r="F3" s="1238"/>
      <c r="G3" s="1410"/>
      <c r="H3" s="1410"/>
      <c r="I3" s="1294"/>
      <c r="J3" s="712" t="s">
        <v>1</v>
      </c>
      <c r="K3" s="712" t="s">
        <v>458</v>
      </c>
      <c r="L3" s="712" t="s">
        <v>459</v>
      </c>
      <c r="M3" s="712" t="s">
        <v>460</v>
      </c>
      <c r="N3" s="713" t="s">
        <v>1</v>
      </c>
      <c r="O3" s="713" t="s">
        <v>2</v>
      </c>
      <c r="P3" s="713" t="s">
        <v>460</v>
      </c>
      <c r="Q3" s="713" t="s">
        <v>462</v>
      </c>
      <c r="R3" s="1418"/>
      <c r="S3" s="1320"/>
      <c r="T3" s="1318"/>
      <c r="U3" s="175" t="s">
        <v>695</v>
      </c>
      <c r="V3" s="175" t="s">
        <v>3310</v>
      </c>
      <c r="W3" s="175" t="s">
        <v>3311</v>
      </c>
      <c r="X3" s="175" t="s">
        <v>3312</v>
      </c>
      <c r="Y3" s="175" t="s">
        <v>3313</v>
      </c>
      <c r="Z3" s="175" t="s">
        <v>3314</v>
      </c>
      <c r="AA3" s="175" t="s">
        <v>3315</v>
      </c>
      <c r="AB3" s="175" t="s">
        <v>3316</v>
      </c>
      <c r="AC3" s="175" t="s">
        <v>3317</v>
      </c>
      <c r="AD3" s="175" t="s">
        <v>3346</v>
      </c>
      <c r="AE3" s="175" t="s">
        <v>3756</v>
      </c>
      <c r="AF3" s="175" t="s">
        <v>3318</v>
      </c>
      <c r="AG3" s="175" t="s">
        <v>3319</v>
      </c>
      <c r="AI3" s="745" t="s">
        <v>695</v>
      </c>
      <c r="AJ3" s="745" t="s">
        <v>3322</v>
      </c>
      <c r="AK3" s="745" t="s">
        <v>3323</v>
      </c>
      <c r="AL3" s="745" t="s">
        <v>3335</v>
      </c>
      <c r="AM3" s="745" t="s">
        <v>3324</v>
      </c>
      <c r="AN3" s="745" t="s">
        <v>3336</v>
      </c>
      <c r="AO3" s="745" t="s">
        <v>3321</v>
      </c>
      <c r="AP3" s="745" t="s">
        <v>3337</v>
      </c>
      <c r="AR3" s="209" t="s">
        <v>695</v>
      </c>
      <c r="AS3" s="209" t="s">
        <v>3310</v>
      </c>
      <c r="AT3" s="209" t="s">
        <v>3311</v>
      </c>
      <c r="AU3" s="209" t="s">
        <v>3312</v>
      </c>
      <c r="AV3" s="209" t="s">
        <v>3313</v>
      </c>
      <c r="AW3" s="209" t="s">
        <v>3314</v>
      </c>
      <c r="AX3" s="209" t="s">
        <v>3315</v>
      </c>
      <c r="AY3" s="209" t="s">
        <v>3316</v>
      </c>
      <c r="AZ3" s="209" t="s">
        <v>3317</v>
      </c>
      <c r="BA3" s="209" t="s">
        <v>3346</v>
      </c>
      <c r="BB3" s="209" t="str">
        <f>+AE3</f>
        <v>EXCED. RECURSOS COMUNES</v>
      </c>
      <c r="BC3" s="209" t="s">
        <v>3318</v>
      </c>
      <c r="BD3" s="209" t="s">
        <v>3319</v>
      </c>
      <c r="BF3" s="210" t="s">
        <v>695</v>
      </c>
      <c r="BG3" s="210" t="s">
        <v>3310</v>
      </c>
      <c r="BH3" s="210" t="s">
        <v>3311</v>
      </c>
      <c r="BI3" s="210" t="s">
        <v>3312</v>
      </c>
      <c r="BJ3" s="210" t="s">
        <v>3313</v>
      </c>
      <c r="BK3" s="210" t="s">
        <v>3314</v>
      </c>
      <c r="BL3" s="210" t="s">
        <v>3315</v>
      </c>
      <c r="BM3" s="210" t="s">
        <v>3316</v>
      </c>
      <c r="BN3" s="210" t="s">
        <v>3317</v>
      </c>
      <c r="BO3" s="210" t="s">
        <v>3346</v>
      </c>
      <c r="BP3" s="210" t="str">
        <f>+BB3</f>
        <v>EXCED. RECURSOS COMUNES</v>
      </c>
      <c r="BQ3" s="210" t="s">
        <v>3318</v>
      </c>
      <c r="BR3" s="210" t="s">
        <v>3319</v>
      </c>
      <c r="BT3" s="209" t="s">
        <v>695</v>
      </c>
      <c r="BU3" s="209" t="s">
        <v>3310</v>
      </c>
      <c r="BV3" s="209" t="s">
        <v>3311</v>
      </c>
      <c r="BW3" s="209" t="s">
        <v>3312</v>
      </c>
      <c r="BX3" s="209" t="s">
        <v>3313</v>
      </c>
      <c r="BY3" s="209" t="s">
        <v>3314</v>
      </c>
      <c r="BZ3" s="209" t="s">
        <v>3315</v>
      </c>
      <c r="CA3" s="209" t="s">
        <v>3316</v>
      </c>
      <c r="CB3" s="209" t="s">
        <v>3317</v>
      </c>
      <c r="CC3" s="209" t="s">
        <v>3346</v>
      </c>
      <c r="CD3" s="209" t="str">
        <f>+BP3</f>
        <v>EXCED. RECURSOS COMUNES</v>
      </c>
      <c r="CE3" s="209" t="s">
        <v>3318</v>
      </c>
      <c r="CF3" s="209" t="s">
        <v>3319</v>
      </c>
      <c r="CH3" s="210" t="s">
        <v>695</v>
      </c>
      <c r="CI3" s="210" t="s">
        <v>3310</v>
      </c>
      <c r="CJ3" s="210" t="s">
        <v>3311</v>
      </c>
      <c r="CK3" s="210" t="s">
        <v>3312</v>
      </c>
      <c r="CL3" s="210" t="s">
        <v>3313</v>
      </c>
      <c r="CM3" s="210" t="s">
        <v>3314</v>
      </c>
      <c r="CN3" s="210" t="s">
        <v>3315</v>
      </c>
      <c r="CO3" s="210" t="s">
        <v>3316</v>
      </c>
      <c r="CP3" s="210" t="s">
        <v>3317</v>
      </c>
      <c r="CQ3" s="210" t="s">
        <v>3346</v>
      </c>
      <c r="CR3" s="210" t="str">
        <f>+CD3</f>
        <v>EXCED. RECURSOS COMUNES</v>
      </c>
      <c r="CS3" s="210" t="s">
        <v>3318</v>
      </c>
      <c r="CT3" s="210" t="s">
        <v>3319</v>
      </c>
    </row>
    <row r="4" spans="1:98" ht="46.15" customHeight="1" x14ac:dyDescent="0.25">
      <c r="A4" s="1243" t="s">
        <v>3079</v>
      </c>
      <c r="B4" s="1243" t="s">
        <v>3080</v>
      </c>
      <c r="C4" s="1243" t="s">
        <v>3081</v>
      </c>
      <c r="D4" s="1243" t="s">
        <v>3260</v>
      </c>
      <c r="E4" s="2" t="s">
        <v>3087</v>
      </c>
      <c r="F4" s="100" t="s">
        <v>3194</v>
      </c>
      <c r="G4" s="107">
        <v>200000000</v>
      </c>
      <c r="H4" s="107">
        <v>200000000</v>
      </c>
      <c r="I4" s="107">
        <v>200000000</v>
      </c>
      <c r="J4" s="714" t="s">
        <v>3089</v>
      </c>
      <c r="K4" s="721" t="s">
        <v>3275</v>
      </c>
      <c r="L4" s="110">
        <v>0.5</v>
      </c>
      <c r="M4" s="105">
        <v>0</v>
      </c>
      <c r="N4" s="709" t="s">
        <v>3758</v>
      </c>
      <c r="O4" s="174" t="s">
        <v>3759</v>
      </c>
      <c r="P4" s="155">
        <v>200000000</v>
      </c>
      <c r="Q4" s="156">
        <v>0</v>
      </c>
      <c r="R4" s="151">
        <v>510</v>
      </c>
      <c r="S4" s="157">
        <f t="shared" ref="S4:S9" si="0">+Q4-U4</f>
        <v>-500000</v>
      </c>
      <c r="T4" s="730" t="s">
        <v>3348</v>
      </c>
      <c r="U4" s="149">
        <f>SUM(V4:AG4)</f>
        <v>500000</v>
      </c>
      <c r="V4" s="149">
        <f>+'PLANINDICATIVO PD'!AA3</f>
        <v>0</v>
      </c>
      <c r="W4" s="149">
        <f>+'PLANINDICATIVO PD'!AB3</f>
        <v>0</v>
      </c>
      <c r="X4" s="149">
        <f>+'PLANINDICATIVO PD'!AC3</f>
        <v>0</v>
      </c>
      <c r="Y4" s="149">
        <f>+'PLANINDICATIVO PD'!AD3</f>
        <v>0</v>
      </c>
      <c r="Z4" s="149">
        <f>+'PLANINDICATIVO PD'!AE3</f>
        <v>0</v>
      </c>
      <c r="AA4" s="149">
        <f>+'PLANINDICATIVO PD'!AF3</f>
        <v>0</v>
      </c>
      <c r="AB4" s="149">
        <f>+'PLANINDICATIVO PD'!AG3</f>
        <v>0</v>
      </c>
      <c r="AC4" s="149">
        <v>500000</v>
      </c>
      <c r="AD4" s="149"/>
      <c r="AE4" s="149">
        <f>+'PLANINDICATIVO PD'!AI3</f>
        <v>0</v>
      </c>
      <c r="AF4" s="149">
        <f>+'PLANINDICATIVO PD'!AJ3</f>
        <v>0</v>
      </c>
      <c r="AG4" s="149">
        <f>+'PLANINDICATIVO PD'!AK3</f>
        <v>0</v>
      </c>
      <c r="AI4" s="739" t="e">
        <f>SUM(AJ4:AP4)</f>
        <v>#REF!</v>
      </c>
      <c r="AJ4" s="739" t="e">
        <f>+#REF!</f>
        <v>#REF!</v>
      </c>
      <c r="AK4" s="739" t="e">
        <f>+#REF!</f>
        <v>#REF!</v>
      </c>
      <c r="AL4" s="739" t="e">
        <f>+#REF!</f>
        <v>#REF!</v>
      </c>
      <c r="AM4" s="739" t="e">
        <f>+#REF!</f>
        <v>#REF!</v>
      </c>
      <c r="AN4" s="739" t="e">
        <f>+#REF!</f>
        <v>#REF!</v>
      </c>
      <c r="AO4" s="739" t="e">
        <f>+#REF!</f>
        <v>#REF!</v>
      </c>
      <c r="AP4" s="739" t="e">
        <f>+#REF!</f>
        <v>#REF!</v>
      </c>
      <c r="AQ4" s="238">
        <f t="shared" ref="AQ4:AQ10" si="1">+AR4/U4</f>
        <v>0</v>
      </c>
      <c r="AR4" s="218">
        <f t="shared" ref="AR4:AR9" si="2">SUM(AS4:BD4)</f>
        <v>0</v>
      </c>
      <c r="AS4" s="149"/>
      <c r="AT4" s="149"/>
      <c r="AU4" s="149"/>
      <c r="AV4" s="149"/>
      <c r="AW4" s="149"/>
      <c r="AX4" s="149"/>
      <c r="AY4" s="149"/>
      <c r="AZ4" s="149"/>
      <c r="BA4" s="149"/>
      <c r="BB4" s="149"/>
      <c r="BC4" s="149"/>
      <c r="BD4" s="149"/>
      <c r="BE4" s="238">
        <f t="shared" ref="BE4:BE10" si="3">1-AQ4</f>
        <v>1</v>
      </c>
      <c r="BF4" s="218">
        <f t="shared" ref="BF4:BF9" si="4">SUM(BG4:BR4)</f>
        <v>500000</v>
      </c>
      <c r="BG4" s="205">
        <f t="shared" ref="BG4:BG9" si="5">+V4-AS4</f>
        <v>0</v>
      </c>
      <c r="BH4" s="205">
        <f t="shared" ref="BH4:BR9" si="6">+W4-AT4</f>
        <v>0</v>
      </c>
      <c r="BI4" s="205">
        <f t="shared" si="6"/>
        <v>0</v>
      </c>
      <c r="BJ4" s="205">
        <f t="shared" si="6"/>
        <v>0</v>
      </c>
      <c r="BK4" s="205">
        <f t="shared" si="6"/>
        <v>0</v>
      </c>
      <c r="BL4" s="205">
        <f t="shared" si="6"/>
        <v>0</v>
      </c>
      <c r="BM4" s="205">
        <f t="shared" si="6"/>
        <v>0</v>
      </c>
      <c r="BN4" s="205">
        <f t="shared" si="6"/>
        <v>500000</v>
      </c>
      <c r="BO4" s="205">
        <f>+AD4-BA4</f>
        <v>0</v>
      </c>
      <c r="BP4" s="205">
        <f t="shared" si="6"/>
        <v>0</v>
      </c>
      <c r="BQ4" s="205">
        <f t="shared" si="6"/>
        <v>0</v>
      </c>
      <c r="BR4" s="205">
        <f t="shared" si="6"/>
        <v>0</v>
      </c>
      <c r="BS4" s="238">
        <f t="shared" ref="BS4:BS10" si="7">+BT4/U4</f>
        <v>0</v>
      </c>
      <c r="BT4" s="218">
        <f t="shared" ref="BT4:BT9" si="8">SUM(BU4:CF4)</f>
        <v>0</v>
      </c>
      <c r="BU4" s="149"/>
      <c r="BV4" s="149"/>
      <c r="BW4" s="149"/>
      <c r="BX4" s="149"/>
      <c r="BY4" s="149"/>
      <c r="BZ4" s="149"/>
      <c r="CA4" s="149"/>
      <c r="CB4" s="149"/>
      <c r="CC4" s="149"/>
      <c r="CD4" s="149"/>
      <c r="CE4" s="149"/>
      <c r="CF4" s="149"/>
      <c r="CG4" s="238">
        <f t="shared" ref="CG4:CG10" si="9">1-BS4</f>
        <v>1</v>
      </c>
      <c r="CH4" s="218">
        <f t="shared" ref="CH4:CH9" si="10">SUM(CI4:CT4)</f>
        <v>500000</v>
      </c>
      <c r="CI4" s="205">
        <f t="shared" ref="CI4:CI9" si="11">+V4-BU4</f>
        <v>0</v>
      </c>
      <c r="CJ4" s="205">
        <f t="shared" ref="CJ4:CT9" si="12">+W4-BV4</f>
        <v>0</v>
      </c>
      <c r="CK4" s="205">
        <f t="shared" si="12"/>
        <v>0</v>
      </c>
      <c r="CL4" s="205">
        <f t="shared" si="12"/>
        <v>0</v>
      </c>
      <c r="CM4" s="205">
        <f t="shared" si="12"/>
        <v>0</v>
      </c>
      <c r="CN4" s="205">
        <f t="shared" si="12"/>
        <v>0</v>
      </c>
      <c r="CO4" s="205">
        <f t="shared" si="12"/>
        <v>0</v>
      </c>
      <c r="CP4" s="205">
        <f t="shared" si="12"/>
        <v>500000</v>
      </c>
      <c r="CQ4" s="205">
        <f t="shared" si="12"/>
        <v>0</v>
      </c>
      <c r="CR4" s="205">
        <f t="shared" si="12"/>
        <v>0</v>
      </c>
      <c r="CS4" s="205">
        <f t="shared" si="12"/>
        <v>0</v>
      </c>
      <c r="CT4" s="205">
        <f t="shared" si="12"/>
        <v>0</v>
      </c>
    </row>
    <row r="5" spans="1:98" ht="42" customHeight="1" x14ac:dyDescent="0.25">
      <c r="A5" s="1244"/>
      <c r="B5" s="1244"/>
      <c r="C5" s="1244"/>
      <c r="D5" s="1244"/>
      <c r="E5" s="2"/>
      <c r="F5" s="100"/>
      <c r="G5" s="107"/>
      <c r="H5" s="107"/>
      <c r="I5" s="107"/>
      <c r="J5" s="714"/>
      <c r="K5" s="721"/>
      <c r="L5" s="110"/>
      <c r="M5" s="105"/>
      <c r="N5" s="709" t="s">
        <v>3760</v>
      </c>
      <c r="O5" s="174" t="s">
        <v>3761</v>
      </c>
      <c r="P5" s="155">
        <v>200000000</v>
      </c>
      <c r="Q5" s="156">
        <v>0</v>
      </c>
      <c r="R5" s="151">
        <v>510</v>
      </c>
      <c r="S5" s="157">
        <f t="shared" si="0"/>
        <v>-4500000</v>
      </c>
      <c r="T5" s="730" t="s">
        <v>3762</v>
      </c>
      <c r="U5" s="149">
        <f>SUM(V5:AG5)</f>
        <v>4500000</v>
      </c>
      <c r="V5" s="149">
        <f>+'PLANINDICATIVO PD'!AA4</f>
        <v>0</v>
      </c>
      <c r="W5" s="149">
        <f>+'PLANINDICATIVO PD'!AB4</f>
        <v>0</v>
      </c>
      <c r="X5" s="149">
        <f>+'PLANINDICATIVO PD'!AC4</f>
        <v>0</v>
      </c>
      <c r="Y5" s="149">
        <f>+'PLANINDICATIVO PD'!AD4</f>
        <v>0</v>
      </c>
      <c r="Z5" s="149">
        <f>+'PLANINDICATIVO PD'!AE4</f>
        <v>0</v>
      </c>
      <c r="AA5" s="149">
        <f>+'PLANINDICATIVO PD'!AF4</f>
        <v>0</v>
      </c>
      <c r="AB5" s="149">
        <f>+'PLANINDICATIVO PD'!AG4</f>
        <v>0</v>
      </c>
      <c r="AC5" s="149">
        <v>4500000</v>
      </c>
      <c r="AD5" s="149"/>
      <c r="AE5" s="149">
        <f>+'PLANINDICATIVO PD'!AI4</f>
        <v>0</v>
      </c>
      <c r="AF5" s="149">
        <f>+'PLANINDICATIVO PD'!AJ4</f>
        <v>0</v>
      </c>
      <c r="AG5" s="149">
        <f>+'PLANINDICATIVO PD'!AK4</f>
        <v>0</v>
      </c>
      <c r="AI5" s="739"/>
      <c r="AJ5" s="739"/>
      <c r="AK5" s="739"/>
      <c r="AL5" s="739"/>
      <c r="AM5" s="739"/>
      <c r="AN5" s="739"/>
      <c r="AO5" s="739"/>
      <c r="AP5" s="739"/>
      <c r="AQ5" s="238">
        <f t="shared" si="1"/>
        <v>0</v>
      </c>
      <c r="AR5" s="218">
        <f t="shared" si="2"/>
        <v>0</v>
      </c>
      <c r="AS5" s="149"/>
      <c r="AT5" s="149"/>
      <c r="AU5" s="149"/>
      <c r="AV5" s="149"/>
      <c r="AW5" s="149"/>
      <c r="AX5" s="149"/>
      <c r="AY5" s="149"/>
      <c r="AZ5" s="149"/>
      <c r="BA5" s="149"/>
      <c r="BB5" s="149"/>
      <c r="BC5" s="149"/>
      <c r="BD5" s="149"/>
      <c r="BE5" s="238">
        <f t="shared" si="3"/>
        <v>1</v>
      </c>
      <c r="BF5" s="218">
        <f t="shared" si="4"/>
        <v>4500000</v>
      </c>
      <c r="BG5" s="205">
        <f t="shared" si="5"/>
        <v>0</v>
      </c>
      <c r="BH5" s="205">
        <f t="shared" si="6"/>
        <v>0</v>
      </c>
      <c r="BI5" s="205">
        <f t="shared" si="6"/>
        <v>0</v>
      </c>
      <c r="BJ5" s="205">
        <f t="shared" si="6"/>
        <v>0</v>
      </c>
      <c r="BK5" s="205">
        <f t="shared" si="6"/>
        <v>0</v>
      </c>
      <c r="BL5" s="205">
        <f t="shared" si="6"/>
        <v>0</v>
      </c>
      <c r="BM5" s="205">
        <f t="shared" si="6"/>
        <v>0</v>
      </c>
      <c r="BN5" s="205">
        <f t="shared" si="6"/>
        <v>4500000</v>
      </c>
      <c r="BO5" s="205">
        <f t="shared" si="6"/>
        <v>0</v>
      </c>
      <c r="BP5" s="205">
        <f t="shared" si="6"/>
        <v>0</v>
      </c>
      <c r="BQ5" s="205">
        <f t="shared" si="6"/>
        <v>0</v>
      </c>
      <c r="BR5" s="205">
        <f t="shared" si="6"/>
        <v>0</v>
      </c>
      <c r="BS5" s="238">
        <f t="shared" si="7"/>
        <v>0</v>
      </c>
      <c r="BT5" s="218">
        <f t="shared" si="8"/>
        <v>0</v>
      </c>
      <c r="BU5" s="149"/>
      <c r="BV5" s="149"/>
      <c r="BW5" s="149"/>
      <c r="BX5" s="149"/>
      <c r="BY5" s="149"/>
      <c r="BZ5" s="149"/>
      <c r="CA5" s="149"/>
      <c r="CB5" s="149"/>
      <c r="CC5" s="149"/>
      <c r="CD5" s="149"/>
      <c r="CE5" s="149"/>
      <c r="CF5" s="149"/>
      <c r="CG5" s="238">
        <f t="shared" si="9"/>
        <v>1</v>
      </c>
      <c r="CH5" s="218">
        <f t="shared" si="10"/>
        <v>4500000</v>
      </c>
      <c r="CI5" s="205">
        <f t="shared" si="11"/>
        <v>0</v>
      </c>
      <c r="CJ5" s="205">
        <f t="shared" si="12"/>
        <v>0</v>
      </c>
      <c r="CK5" s="205">
        <f t="shared" si="12"/>
        <v>0</v>
      </c>
      <c r="CL5" s="205">
        <f t="shared" si="12"/>
        <v>0</v>
      </c>
      <c r="CM5" s="205">
        <f t="shared" si="12"/>
        <v>0</v>
      </c>
      <c r="CN5" s="205">
        <f t="shared" si="12"/>
        <v>0</v>
      </c>
      <c r="CO5" s="205">
        <f t="shared" si="12"/>
        <v>0</v>
      </c>
      <c r="CP5" s="205">
        <f t="shared" si="12"/>
        <v>4500000</v>
      </c>
      <c r="CQ5" s="205">
        <f t="shared" si="12"/>
        <v>0</v>
      </c>
      <c r="CR5" s="205">
        <f t="shared" si="12"/>
        <v>0</v>
      </c>
      <c r="CS5" s="205">
        <f t="shared" si="12"/>
        <v>0</v>
      </c>
      <c r="CT5" s="205">
        <f t="shared" si="12"/>
        <v>0</v>
      </c>
    </row>
    <row r="6" spans="1:98" ht="41.45" customHeight="1" x14ac:dyDescent="0.25">
      <c r="A6" s="1244"/>
      <c r="B6" s="1244"/>
      <c r="C6" s="1244"/>
      <c r="D6" s="1244"/>
      <c r="E6" s="1243" t="s">
        <v>3091</v>
      </c>
      <c r="F6" s="1243" t="s">
        <v>3092</v>
      </c>
      <c r="G6" s="1262">
        <v>75000000</v>
      </c>
      <c r="H6" s="1262">
        <v>25000000</v>
      </c>
      <c r="I6" s="1279">
        <v>25000000</v>
      </c>
      <c r="J6" s="1311" t="s">
        <v>3093</v>
      </c>
      <c r="K6" s="1311" t="s">
        <v>3276</v>
      </c>
      <c r="L6" s="1312">
        <v>0.2</v>
      </c>
      <c r="M6" s="695"/>
      <c r="N6" s="709" t="s">
        <v>3766</v>
      </c>
      <c r="O6" s="174" t="s">
        <v>3763</v>
      </c>
      <c r="P6" s="155">
        <v>5000000</v>
      </c>
      <c r="Q6" s="156">
        <v>0</v>
      </c>
      <c r="R6" s="151">
        <v>510</v>
      </c>
      <c r="S6" s="157">
        <f t="shared" si="0"/>
        <v>-91690000</v>
      </c>
      <c r="T6" s="730" t="s">
        <v>3349</v>
      </c>
      <c r="U6" s="149">
        <f t="shared" ref="U6:U112" si="13">SUM(V6:AG6)</f>
        <v>91690000</v>
      </c>
      <c r="V6" s="149">
        <v>41690000</v>
      </c>
      <c r="W6" s="149">
        <f>+'PLANINDICATIVO PD'!AB5</f>
        <v>0</v>
      </c>
      <c r="X6" s="149">
        <f>+'PLANINDICATIVO PD'!AC5</f>
        <v>0</v>
      </c>
      <c r="Y6" s="149">
        <f>+'PLANINDICATIVO PD'!AD5</f>
        <v>0</v>
      </c>
      <c r="Z6" s="149">
        <f>+'PLANINDICATIVO PD'!AE5</f>
        <v>0</v>
      </c>
      <c r="AA6" s="149">
        <f>+'PLANINDICATIVO PD'!AF5</f>
        <v>0</v>
      </c>
      <c r="AB6" s="149">
        <f>+'PLANINDICATIVO PD'!AG5</f>
        <v>0</v>
      </c>
      <c r="AC6" s="149">
        <v>50000000</v>
      </c>
      <c r="AD6" s="149"/>
      <c r="AE6" s="149">
        <f>+'PLANINDICATIVO PD'!AI5</f>
        <v>0</v>
      </c>
      <c r="AF6" s="149">
        <f>+'PLANINDICATIVO PD'!AJ5</f>
        <v>0</v>
      </c>
      <c r="AG6" s="149">
        <f>+'PLANINDICATIVO PD'!AK5</f>
        <v>0</v>
      </c>
      <c r="AI6" s="739" t="e">
        <f>SUM(AJ6:AP6)</f>
        <v>#REF!</v>
      </c>
      <c r="AJ6" s="739" t="e">
        <f>+#REF!</f>
        <v>#REF!</v>
      </c>
      <c r="AK6" s="739" t="e">
        <f>+#REF!</f>
        <v>#REF!</v>
      </c>
      <c r="AL6" s="739" t="e">
        <f>+#REF!</f>
        <v>#REF!</v>
      </c>
      <c r="AM6" s="739" t="e">
        <f>+#REF!</f>
        <v>#REF!</v>
      </c>
      <c r="AN6" s="739" t="e">
        <f>+#REF!</f>
        <v>#REF!</v>
      </c>
      <c r="AO6" s="739" t="e">
        <f>+#REF!</f>
        <v>#REF!</v>
      </c>
      <c r="AP6" s="739" t="e">
        <f>+#REF!</f>
        <v>#REF!</v>
      </c>
      <c r="AQ6" s="238" t="e">
        <f t="shared" si="1"/>
        <v>#REF!</v>
      </c>
      <c r="AR6" s="218" t="e">
        <f t="shared" si="2"/>
        <v>#REF!</v>
      </c>
      <c r="AS6" s="149" t="e">
        <v>#REF!</v>
      </c>
      <c r="AT6" s="149"/>
      <c r="AU6" s="149"/>
      <c r="AV6" s="149"/>
      <c r="AW6" s="149"/>
      <c r="AX6" s="149"/>
      <c r="AY6" s="149"/>
      <c r="AZ6" s="149">
        <v>50000000</v>
      </c>
      <c r="BA6" s="149"/>
      <c r="BB6" s="149"/>
      <c r="BC6" s="149"/>
      <c r="BD6" s="149"/>
      <c r="BE6" s="238" t="e">
        <f t="shared" si="3"/>
        <v>#REF!</v>
      </c>
      <c r="BF6" s="218" t="e">
        <f t="shared" si="4"/>
        <v>#REF!</v>
      </c>
      <c r="BG6" s="205" t="e">
        <f t="shared" si="5"/>
        <v>#REF!</v>
      </c>
      <c r="BH6" s="205">
        <f t="shared" si="6"/>
        <v>0</v>
      </c>
      <c r="BI6" s="205">
        <f t="shared" si="6"/>
        <v>0</v>
      </c>
      <c r="BJ6" s="205">
        <f t="shared" si="6"/>
        <v>0</v>
      </c>
      <c r="BK6" s="205">
        <f t="shared" si="6"/>
        <v>0</v>
      </c>
      <c r="BL6" s="205">
        <f t="shared" si="6"/>
        <v>0</v>
      </c>
      <c r="BM6" s="205">
        <f t="shared" si="6"/>
        <v>0</v>
      </c>
      <c r="BN6" s="205">
        <f t="shared" si="6"/>
        <v>0</v>
      </c>
      <c r="BO6" s="205">
        <f t="shared" si="6"/>
        <v>0</v>
      </c>
      <c r="BP6" s="205">
        <f t="shared" si="6"/>
        <v>0</v>
      </c>
      <c r="BQ6" s="205">
        <f t="shared" si="6"/>
        <v>0</v>
      </c>
      <c r="BR6" s="205">
        <f t="shared" si="6"/>
        <v>0</v>
      </c>
      <c r="BS6" s="238">
        <f t="shared" si="7"/>
        <v>0.73303522739666271</v>
      </c>
      <c r="BT6" s="218">
        <f t="shared" si="8"/>
        <v>67212000</v>
      </c>
      <c r="BU6" s="149">
        <v>27782000</v>
      </c>
      <c r="BV6" s="149"/>
      <c r="BW6" s="149"/>
      <c r="BX6" s="149"/>
      <c r="BY6" s="149"/>
      <c r="BZ6" s="149"/>
      <c r="CA6" s="149"/>
      <c r="CB6" s="149">
        <v>39430000</v>
      </c>
      <c r="CC6" s="149"/>
      <c r="CD6" s="149"/>
      <c r="CE6" s="149"/>
      <c r="CF6" s="149"/>
      <c r="CG6" s="238">
        <f t="shared" si="9"/>
        <v>0.26696477260333729</v>
      </c>
      <c r="CH6" s="218">
        <f t="shared" si="10"/>
        <v>24478000</v>
      </c>
      <c r="CI6" s="205">
        <f t="shared" si="11"/>
        <v>13908000</v>
      </c>
      <c r="CJ6" s="205">
        <f t="shared" si="12"/>
        <v>0</v>
      </c>
      <c r="CK6" s="205">
        <f t="shared" si="12"/>
        <v>0</v>
      </c>
      <c r="CL6" s="205">
        <f t="shared" si="12"/>
        <v>0</v>
      </c>
      <c r="CM6" s="205">
        <f t="shared" si="12"/>
        <v>0</v>
      </c>
      <c r="CN6" s="205">
        <f t="shared" si="12"/>
        <v>0</v>
      </c>
      <c r="CO6" s="205">
        <f t="shared" si="12"/>
        <v>0</v>
      </c>
      <c r="CP6" s="205">
        <f t="shared" si="12"/>
        <v>10570000</v>
      </c>
      <c r="CQ6" s="205">
        <f t="shared" si="12"/>
        <v>0</v>
      </c>
      <c r="CR6" s="205">
        <f t="shared" si="12"/>
        <v>0</v>
      </c>
      <c r="CS6" s="205">
        <f t="shared" si="12"/>
        <v>0</v>
      </c>
      <c r="CT6" s="205">
        <f t="shared" si="12"/>
        <v>0</v>
      </c>
    </row>
    <row r="7" spans="1:98" ht="55.9" customHeight="1" x14ac:dyDescent="0.25">
      <c r="A7" s="1244"/>
      <c r="B7" s="1244"/>
      <c r="C7" s="1244"/>
      <c r="D7" s="1244"/>
      <c r="E7" s="1244"/>
      <c r="F7" s="1244"/>
      <c r="G7" s="1277"/>
      <c r="H7" s="1277"/>
      <c r="I7" s="1280"/>
      <c r="J7" s="1204"/>
      <c r="K7" s="1204"/>
      <c r="L7" s="1313"/>
      <c r="M7" s="182"/>
      <c r="N7" s="709" t="s">
        <v>3767</v>
      </c>
      <c r="O7" s="696" t="s">
        <v>3764</v>
      </c>
      <c r="P7" s="160">
        <v>10000000</v>
      </c>
      <c r="Q7" s="161">
        <v>0</v>
      </c>
      <c r="R7" s="151">
        <v>510</v>
      </c>
      <c r="S7" s="157">
        <f t="shared" si="0"/>
        <v>-34837500</v>
      </c>
      <c r="T7" s="730" t="s">
        <v>3349</v>
      </c>
      <c r="U7" s="149">
        <f t="shared" si="13"/>
        <v>34837500</v>
      </c>
      <c r="V7" s="149">
        <v>14837500</v>
      </c>
      <c r="W7" s="149">
        <f>+'PLANINDICATIVO PD'!AB6</f>
        <v>0</v>
      </c>
      <c r="X7" s="149">
        <f>+'PLANINDICATIVO PD'!AC6</f>
        <v>0</v>
      </c>
      <c r="Y7" s="149">
        <f>+'PLANINDICATIVO PD'!AD6</f>
        <v>0</v>
      </c>
      <c r="Z7" s="149">
        <f>+'PLANINDICATIVO PD'!AE6</f>
        <v>0</v>
      </c>
      <c r="AA7" s="149">
        <f>+'PLANINDICATIVO PD'!AF6</f>
        <v>0</v>
      </c>
      <c r="AB7" s="149">
        <f>+'PLANINDICATIVO PD'!AG6</f>
        <v>0</v>
      </c>
      <c r="AC7" s="149">
        <v>20000000</v>
      </c>
      <c r="AD7" s="149"/>
      <c r="AE7" s="149">
        <f>+'PLANINDICATIVO PD'!AI6</f>
        <v>0</v>
      </c>
      <c r="AF7" s="149">
        <f>+'PLANINDICATIVO PD'!AJ6</f>
        <v>0</v>
      </c>
      <c r="AG7" s="149">
        <f>+'PLANINDICATIVO PD'!AK6</f>
        <v>0</v>
      </c>
      <c r="AI7" s="739" t="e">
        <f>SUM(AJ7:AP7)</f>
        <v>#REF!</v>
      </c>
      <c r="AJ7" s="739" t="e">
        <f>+#REF!</f>
        <v>#REF!</v>
      </c>
      <c r="AK7" s="739" t="e">
        <f>+#REF!</f>
        <v>#REF!</v>
      </c>
      <c r="AL7" s="739" t="e">
        <f>+#REF!</f>
        <v>#REF!</v>
      </c>
      <c r="AM7" s="739" t="e">
        <f>+#REF!</f>
        <v>#REF!</v>
      </c>
      <c r="AN7" s="739" t="e">
        <f>+#REF!</f>
        <v>#REF!</v>
      </c>
      <c r="AO7" s="739" t="e">
        <f>+#REF!</f>
        <v>#REF!</v>
      </c>
      <c r="AP7" s="739" t="e">
        <f>+#REF!</f>
        <v>#REF!</v>
      </c>
      <c r="AQ7" s="238">
        <f t="shared" si="1"/>
        <v>0</v>
      </c>
      <c r="AR7" s="218">
        <f t="shared" si="2"/>
        <v>0</v>
      </c>
      <c r="AS7" s="149"/>
      <c r="AT7" s="149"/>
      <c r="AU7" s="149"/>
      <c r="AV7" s="149"/>
      <c r="AW7" s="149"/>
      <c r="AX7" s="149"/>
      <c r="AY7" s="149"/>
      <c r="AZ7" s="149"/>
      <c r="BA7" s="149"/>
      <c r="BB7" s="149"/>
      <c r="BC7" s="149"/>
      <c r="BD7" s="149"/>
      <c r="BE7" s="238">
        <f t="shared" si="3"/>
        <v>1</v>
      </c>
      <c r="BF7" s="218">
        <f t="shared" si="4"/>
        <v>34837500</v>
      </c>
      <c r="BG7" s="205">
        <f t="shared" si="5"/>
        <v>14837500</v>
      </c>
      <c r="BH7" s="205">
        <f t="shared" si="6"/>
        <v>0</v>
      </c>
      <c r="BI7" s="205">
        <f t="shared" si="6"/>
        <v>0</v>
      </c>
      <c r="BJ7" s="205">
        <f t="shared" si="6"/>
        <v>0</v>
      </c>
      <c r="BK7" s="205">
        <f t="shared" si="6"/>
        <v>0</v>
      </c>
      <c r="BL7" s="205">
        <f t="shared" si="6"/>
        <v>0</v>
      </c>
      <c r="BM7" s="205">
        <f t="shared" si="6"/>
        <v>0</v>
      </c>
      <c r="BN7" s="205">
        <f t="shared" si="6"/>
        <v>20000000</v>
      </c>
      <c r="BO7" s="205">
        <f t="shared" si="6"/>
        <v>0</v>
      </c>
      <c r="BP7" s="205">
        <f t="shared" si="6"/>
        <v>0</v>
      </c>
      <c r="BQ7" s="205">
        <f t="shared" si="6"/>
        <v>0</v>
      </c>
      <c r="BR7" s="205">
        <f t="shared" si="6"/>
        <v>0</v>
      </c>
      <c r="BS7" s="238">
        <f t="shared" si="7"/>
        <v>0</v>
      </c>
      <c r="BT7" s="218">
        <f t="shared" si="8"/>
        <v>0</v>
      </c>
      <c r="BU7" s="149"/>
      <c r="BV7" s="149"/>
      <c r="BW7" s="149"/>
      <c r="BX7" s="149"/>
      <c r="BY7" s="149"/>
      <c r="BZ7" s="149"/>
      <c r="CA7" s="149"/>
      <c r="CB7" s="149"/>
      <c r="CC7" s="149"/>
      <c r="CD7" s="149"/>
      <c r="CE7" s="149"/>
      <c r="CF7" s="149"/>
      <c r="CG7" s="238">
        <f t="shared" si="9"/>
        <v>1</v>
      </c>
      <c r="CH7" s="218">
        <f t="shared" si="10"/>
        <v>34837500</v>
      </c>
      <c r="CI7" s="205">
        <f t="shared" si="11"/>
        <v>14837500</v>
      </c>
      <c r="CJ7" s="205">
        <f t="shared" si="12"/>
        <v>0</v>
      </c>
      <c r="CK7" s="205">
        <f t="shared" si="12"/>
        <v>0</v>
      </c>
      <c r="CL7" s="205">
        <f t="shared" si="12"/>
        <v>0</v>
      </c>
      <c r="CM7" s="205">
        <f t="shared" si="12"/>
        <v>0</v>
      </c>
      <c r="CN7" s="205">
        <f t="shared" si="12"/>
        <v>0</v>
      </c>
      <c r="CO7" s="205">
        <f t="shared" si="12"/>
        <v>0</v>
      </c>
      <c r="CP7" s="205">
        <f t="shared" si="12"/>
        <v>20000000</v>
      </c>
      <c r="CQ7" s="205">
        <f t="shared" si="12"/>
        <v>0</v>
      </c>
      <c r="CR7" s="205">
        <f t="shared" si="12"/>
        <v>0</v>
      </c>
      <c r="CS7" s="205">
        <f t="shared" si="12"/>
        <v>0</v>
      </c>
      <c r="CT7" s="205">
        <f t="shared" si="12"/>
        <v>0</v>
      </c>
    </row>
    <row r="8" spans="1:98" ht="46.5" customHeight="1" x14ac:dyDescent="0.25">
      <c r="A8" s="1244"/>
      <c r="B8" s="1244"/>
      <c r="C8" s="1244"/>
      <c r="D8" s="1244"/>
      <c r="E8" s="1244"/>
      <c r="F8" s="1244"/>
      <c r="G8" s="1426"/>
      <c r="H8" s="1426"/>
      <c r="I8" s="1321"/>
      <c r="J8" s="1210"/>
      <c r="K8" s="1210"/>
      <c r="L8" s="1314"/>
      <c r="M8" s="182"/>
      <c r="N8" s="709" t="s">
        <v>3768</v>
      </c>
      <c r="O8" s="697" t="s">
        <v>3765</v>
      </c>
      <c r="P8" s="172">
        <v>10000000</v>
      </c>
      <c r="Q8" s="173">
        <v>10000000</v>
      </c>
      <c r="R8" s="561">
        <v>510</v>
      </c>
      <c r="S8" s="232">
        <f t="shared" si="0"/>
        <v>-93472500</v>
      </c>
      <c r="T8" s="730" t="s">
        <v>3349</v>
      </c>
      <c r="U8" s="149">
        <f>SUM(V8:AG8)</f>
        <v>103472500</v>
      </c>
      <c r="V8" s="149">
        <v>53472500</v>
      </c>
      <c r="W8" s="149">
        <f>+'PLANINDICATIVO PD'!AB7</f>
        <v>0</v>
      </c>
      <c r="X8" s="149">
        <f>+'PLANINDICATIVO PD'!AC7</f>
        <v>0</v>
      </c>
      <c r="Y8" s="149">
        <f>+'PLANINDICATIVO PD'!AD7</f>
        <v>0</v>
      </c>
      <c r="Z8" s="149">
        <f>+'PLANINDICATIVO PD'!AE7</f>
        <v>0</v>
      </c>
      <c r="AA8" s="149">
        <f>+'PLANINDICATIVO PD'!AF7</f>
        <v>0</v>
      </c>
      <c r="AB8" s="149">
        <f>+'PLANINDICATIVO PD'!AG7</f>
        <v>0</v>
      </c>
      <c r="AC8" s="149">
        <v>50000000</v>
      </c>
      <c r="AD8" s="149"/>
      <c r="AE8" s="149">
        <f>+'PLANINDICATIVO PD'!AI7</f>
        <v>0</v>
      </c>
      <c r="AF8" s="149">
        <f>+'PLANINDICATIVO PD'!AJ7</f>
        <v>0</v>
      </c>
      <c r="AG8" s="149">
        <f>+'PLANINDICATIVO PD'!AK7</f>
        <v>0</v>
      </c>
      <c r="AI8" s="739" t="e">
        <f>SUM(AJ8:AP8)</f>
        <v>#REF!</v>
      </c>
      <c r="AJ8" s="739" t="e">
        <f>+#REF!</f>
        <v>#REF!</v>
      </c>
      <c r="AK8" s="739" t="e">
        <f>+#REF!</f>
        <v>#REF!</v>
      </c>
      <c r="AL8" s="739" t="e">
        <f>+#REF!</f>
        <v>#REF!</v>
      </c>
      <c r="AM8" s="739" t="e">
        <f>+#REF!</f>
        <v>#REF!</v>
      </c>
      <c r="AN8" s="739" t="e">
        <f>+#REF!</f>
        <v>#REF!</v>
      </c>
      <c r="AO8" s="739" t="e">
        <f>+#REF!</f>
        <v>#REF!</v>
      </c>
      <c r="AP8" s="739" t="e">
        <f>+#REF!</f>
        <v>#REF!</v>
      </c>
      <c r="AQ8" s="238" t="e">
        <f t="shared" si="1"/>
        <v>#REF!</v>
      </c>
      <c r="AR8" s="218" t="e">
        <f t="shared" si="2"/>
        <v>#REF!</v>
      </c>
      <c r="AS8" s="149" t="e">
        <v>#REF!</v>
      </c>
      <c r="AT8" s="149"/>
      <c r="AU8" s="149"/>
      <c r="AV8" s="149"/>
      <c r="AW8" s="149"/>
      <c r="AX8" s="149"/>
      <c r="AY8" s="149"/>
      <c r="AZ8" s="149">
        <v>50000000</v>
      </c>
      <c r="BA8" s="149"/>
      <c r="BB8" s="149"/>
      <c r="BC8" s="149"/>
      <c r="BD8" s="149"/>
      <c r="BE8" s="238" t="e">
        <f t="shared" si="3"/>
        <v>#REF!</v>
      </c>
      <c r="BF8" s="218" t="e">
        <f t="shared" si="4"/>
        <v>#REF!</v>
      </c>
      <c r="BG8" s="205" t="e">
        <f t="shared" si="5"/>
        <v>#REF!</v>
      </c>
      <c r="BH8" s="205">
        <f t="shared" si="6"/>
        <v>0</v>
      </c>
      <c r="BI8" s="205">
        <f t="shared" si="6"/>
        <v>0</v>
      </c>
      <c r="BJ8" s="205">
        <f t="shared" si="6"/>
        <v>0</v>
      </c>
      <c r="BK8" s="205">
        <f t="shared" si="6"/>
        <v>0</v>
      </c>
      <c r="BL8" s="205">
        <f t="shared" si="6"/>
        <v>0</v>
      </c>
      <c r="BM8" s="205">
        <f t="shared" si="6"/>
        <v>0</v>
      </c>
      <c r="BN8" s="205">
        <f t="shared" si="6"/>
        <v>0</v>
      </c>
      <c r="BO8" s="205">
        <f t="shared" si="6"/>
        <v>0</v>
      </c>
      <c r="BP8" s="205">
        <f t="shared" si="6"/>
        <v>0</v>
      </c>
      <c r="BQ8" s="205">
        <f t="shared" si="6"/>
        <v>0</v>
      </c>
      <c r="BR8" s="205">
        <f t="shared" si="6"/>
        <v>0</v>
      </c>
      <c r="BS8" s="238" t="e">
        <f t="shared" si="7"/>
        <v>#REF!</v>
      </c>
      <c r="BT8" s="218" t="e">
        <f t="shared" si="8"/>
        <v>#REF!</v>
      </c>
      <c r="BU8" s="149" t="e">
        <v>#REF!</v>
      </c>
      <c r="BV8" s="149"/>
      <c r="BW8" s="149"/>
      <c r="BX8" s="149"/>
      <c r="BY8" s="149"/>
      <c r="BZ8" s="149"/>
      <c r="CA8" s="149"/>
      <c r="CB8" s="149">
        <v>45944000</v>
      </c>
      <c r="CC8" s="149"/>
      <c r="CD8" s="149"/>
      <c r="CE8" s="149"/>
      <c r="CF8" s="149"/>
      <c r="CG8" s="238" t="e">
        <f t="shared" si="9"/>
        <v>#REF!</v>
      </c>
      <c r="CH8" s="218" t="e">
        <f t="shared" si="10"/>
        <v>#REF!</v>
      </c>
      <c r="CI8" s="205" t="e">
        <f t="shared" si="11"/>
        <v>#REF!</v>
      </c>
      <c r="CJ8" s="205">
        <f t="shared" si="12"/>
        <v>0</v>
      </c>
      <c r="CK8" s="205">
        <f t="shared" si="12"/>
        <v>0</v>
      </c>
      <c r="CL8" s="205">
        <f t="shared" si="12"/>
        <v>0</v>
      </c>
      <c r="CM8" s="205">
        <f t="shared" si="12"/>
        <v>0</v>
      </c>
      <c r="CN8" s="205">
        <f t="shared" si="12"/>
        <v>0</v>
      </c>
      <c r="CO8" s="205">
        <f t="shared" si="12"/>
        <v>0</v>
      </c>
      <c r="CP8" s="205">
        <f t="shared" si="12"/>
        <v>4056000</v>
      </c>
      <c r="CQ8" s="205">
        <f t="shared" si="12"/>
        <v>0</v>
      </c>
      <c r="CR8" s="205">
        <f t="shared" si="12"/>
        <v>0</v>
      </c>
      <c r="CS8" s="205">
        <f t="shared" si="12"/>
        <v>0</v>
      </c>
      <c r="CT8" s="205">
        <f t="shared" si="12"/>
        <v>0</v>
      </c>
    </row>
    <row r="9" spans="1:98" ht="34.9" customHeight="1" x14ac:dyDescent="0.25">
      <c r="A9" s="718"/>
      <c r="B9" s="718"/>
      <c r="C9" s="718"/>
      <c r="D9" s="718"/>
      <c r="E9" s="718"/>
      <c r="F9" s="718"/>
      <c r="G9" s="221"/>
      <c r="H9" s="221"/>
      <c r="I9" s="748"/>
      <c r="J9" s="559"/>
      <c r="K9" s="720"/>
      <c r="L9" s="560"/>
      <c r="M9" s="182"/>
      <c r="N9" s="709" t="s">
        <v>3769</v>
      </c>
      <c r="O9" s="697" t="s">
        <v>390</v>
      </c>
      <c r="P9" s="172">
        <v>10000000</v>
      </c>
      <c r="Q9" s="173">
        <v>10000000</v>
      </c>
      <c r="R9" s="561">
        <v>510</v>
      </c>
      <c r="S9" s="232">
        <f t="shared" si="0"/>
        <v>0</v>
      </c>
      <c r="T9" s="740" t="s">
        <v>3348</v>
      </c>
      <c r="U9" s="149">
        <f>SUM(V9:AG9)</f>
        <v>10000000</v>
      </c>
      <c r="V9" s="149">
        <v>10000000</v>
      </c>
      <c r="W9" s="149">
        <f>+'PLANINDICATIVO PD'!AB8</f>
        <v>0</v>
      </c>
      <c r="X9" s="149">
        <f>+'PLANINDICATIVO PD'!AC8</f>
        <v>0</v>
      </c>
      <c r="Y9" s="149">
        <f>+'PLANINDICATIVO PD'!AD8</f>
        <v>0</v>
      </c>
      <c r="Z9" s="149">
        <f>+'PLANINDICATIVO PD'!AE8</f>
        <v>0</v>
      </c>
      <c r="AA9" s="149">
        <f>+'PLANINDICATIVO PD'!AF8</f>
        <v>0</v>
      </c>
      <c r="AB9" s="149">
        <f>+'PLANINDICATIVO PD'!AG8</f>
        <v>0</v>
      </c>
      <c r="AC9" s="149"/>
      <c r="AD9" s="149"/>
      <c r="AE9" s="149">
        <f>+'PLANINDICATIVO PD'!AI8</f>
        <v>0</v>
      </c>
      <c r="AF9" s="149">
        <f>+'PLANINDICATIVO PD'!AJ8</f>
        <v>0</v>
      </c>
      <c r="AG9" s="149">
        <f>+'PLANINDICATIVO PD'!AK8</f>
        <v>0</v>
      </c>
      <c r="AI9" s="739"/>
      <c r="AJ9" s="739"/>
      <c r="AK9" s="739"/>
      <c r="AL9" s="739"/>
      <c r="AM9" s="739"/>
      <c r="AN9" s="739"/>
      <c r="AO9" s="739"/>
      <c r="AP9" s="739"/>
      <c r="AQ9" s="238">
        <f t="shared" si="1"/>
        <v>0</v>
      </c>
      <c r="AR9" s="218">
        <f t="shared" si="2"/>
        <v>0</v>
      </c>
      <c r="AS9" s="149"/>
      <c r="AT9" s="149"/>
      <c r="AU9" s="149"/>
      <c r="AV9" s="149"/>
      <c r="AW9" s="149"/>
      <c r="AX9" s="149"/>
      <c r="AY9" s="149"/>
      <c r="AZ9" s="149"/>
      <c r="BA9" s="149"/>
      <c r="BB9" s="149"/>
      <c r="BC9" s="149"/>
      <c r="BD9" s="219"/>
      <c r="BE9" s="238">
        <f t="shared" si="3"/>
        <v>1</v>
      </c>
      <c r="BF9" s="218">
        <f t="shared" si="4"/>
        <v>10000000</v>
      </c>
      <c r="BG9" s="205">
        <f t="shared" si="5"/>
        <v>10000000</v>
      </c>
      <c r="BH9" s="205">
        <f t="shared" si="6"/>
        <v>0</v>
      </c>
      <c r="BI9" s="205">
        <f t="shared" si="6"/>
        <v>0</v>
      </c>
      <c r="BJ9" s="205">
        <f t="shared" si="6"/>
        <v>0</v>
      </c>
      <c r="BK9" s="205">
        <f t="shared" si="6"/>
        <v>0</v>
      </c>
      <c r="BL9" s="205">
        <f t="shared" si="6"/>
        <v>0</v>
      </c>
      <c r="BM9" s="205">
        <f t="shared" si="6"/>
        <v>0</v>
      </c>
      <c r="BN9" s="205">
        <f t="shared" si="6"/>
        <v>0</v>
      </c>
      <c r="BO9" s="205">
        <f t="shared" si="6"/>
        <v>0</v>
      </c>
      <c r="BP9" s="205">
        <f t="shared" si="6"/>
        <v>0</v>
      </c>
      <c r="BQ9" s="205">
        <f t="shared" si="6"/>
        <v>0</v>
      </c>
      <c r="BR9" s="205">
        <f t="shared" si="6"/>
        <v>0</v>
      </c>
      <c r="BS9" s="238">
        <f t="shared" si="7"/>
        <v>0</v>
      </c>
      <c r="BT9" s="218">
        <f t="shared" si="8"/>
        <v>0</v>
      </c>
      <c r="BU9" s="149"/>
      <c r="BV9" s="149"/>
      <c r="BW9" s="149"/>
      <c r="BX9" s="149"/>
      <c r="BY9" s="149"/>
      <c r="BZ9" s="149"/>
      <c r="CA9" s="149"/>
      <c r="CB9" s="149"/>
      <c r="CC9" s="149"/>
      <c r="CD9" s="149"/>
      <c r="CE9" s="149"/>
      <c r="CF9" s="149"/>
      <c r="CG9" s="238">
        <f t="shared" si="9"/>
        <v>1</v>
      </c>
      <c r="CH9" s="218">
        <f t="shared" si="10"/>
        <v>10000000</v>
      </c>
      <c r="CI9" s="205">
        <f t="shared" si="11"/>
        <v>10000000</v>
      </c>
      <c r="CJ9" s="205">
        <f t="shared" si="12"/>
        <v>0</v>
      </c>
      <c r="CK9" s="205">
        <f t="shared" si="12"/>
        <v>0</v>
      </c>
      <c r="CL9" s="205">
        <f t="shared" si="12"/>
        <v>0</v>
      </c>
      <c r="CM9" s="205">
        <f t="shared" si="12"/>
        <v>0</v>
      </c>
      <c r="CN9" s="205">
        <f t="shared" si="12"/>
        <v>0</v>
      </c>
      <c r="CO9" s="205">
        <f t="shared" si="12"/>
        <v>0</v>
      </c>
      <c r="CP9" s="205">
        <f t="shared" si="12"/>
        <v>0</v>
      </c>
      <c r="CQ9" s="205">
        <f t="shared" si="12"/>
        <v>0</v>
      </c>
      <c r="CR9" s="205">
        <f t="shared" si="12"/>
        <v>0</v>
      </c>
      <c r="CS9" s="205">
        <f t="shared" si="12"/>
        <v>0</v>
      </c>
      <c r="CT9" s="205">
        <f t="shared" si="12"/>
        <v>0</v>
      </c>
    </row>
    <row r="10" spans="1:98" ht="24.75" customHeight="1" x14ac:dyDescent="0.25">
      <c r="A10" s="1209" t="s">
        <v>3405</v>
      </c>
      <c r="B10" s="1209"/>
      <c r="C10" s="1209"/>
      <c r="D10" s="1209"/>
      <c r="E10" s="1209"/>
      <c r="F10" s="1209"/>
      <c r="G10" s="728">
        <f>SUM(G4:G8)</f>
        <v>275000000</v>
      </c>
      <c r="H10" s="728">
        <f>SUM(H4:H8)</f>
        <v>225000000</v>
      </c>
      <c r="I10" s="728">
        <f>SUM(I4:I8)</f>
        <v>225000000</v>
      </c>
      <c r="J10" s="1207"/>
      <c r="K10" s="1208"/>
      <c r="L10" s="1208"/>
      <c r="M10" s="1217"/>
      <c r="N10" s="1209" t="s">
        <v>3405</v>
      </c>
      <c r="O10" s="1209"/>
      <c r="P10" s="1209"/>
      <c r="Q10" s="1209"/>
      <c r="R10" s="1209"/>
      <c r="S10" s="1209"/>
      <c r="T10" s="1209"/>
      <c r="U10" s="149">
        <f>SUM(U4:U9)</f>
        <v>245000000</v>
      </c>
      <c r="V10" s="149">
        <f>SUM(V4:V9)</f>
        <v>120000000</v>
      </c>
      <c r="W10" s="149">
        <f t="shared" ref="W10:AG10" si="14">SUM(W4:W9)</f>
        <v>0</v>
      </c>
      <c r="X10" s="149">
        <f t="shared" si="14"/>
        <v>0</v>
      </c>
      <c r="Y10" s="149">
        <f t="shared" si="14"/>
        <v>0</v>
      </c>
      <c r="Z10" s="149">
        <f t="shared" si="14"/>
        <v>0</v>
      </c>
      <c r="AA10" s="149">
        <f t="shared" si="14"/>
        <v>0</v>
      </c>
      <c r="AB10" s="149">
        <f t="shared" si="14"/>
        <v>0</v>
      </c>
      <c r="AC10" s="149">
        <f t="shared" si="14"/>
        <v>125000000</v>
      </c>
      <c r="AD10" s="149">
        <f t="shared" si="14"/>
        <v>0</v>
      </c>
      <c r="AE10" s="149">
        <f t="shared" si="14"/>
        <v>0</v>
      </c>
      <c r="AF10" s="149">
        <f t="shared" si="14"/>
        <v>0</v>
      </c>
      <c r="AG10" s="149">
        <f t="shared" si="14"/>
        <v>0</v>
      </c>
      <c r="AI10" s="149" t="e">
        <f>SUM(AI4:AI8)</f>
        <v>#REF!</v>
      </c>
      <c r="AJ10" s="739" t="e">
        <f>+#REF!</f>
        <v>#REF!</v>
      </c>
      <c r="AK10" s="739" t="e">
        <f>+#REF!</f>
        <v>#REF!</v>
      </c>
      <c r="AL10" s="739" t="e">
        <f>+#REF!</f>
        <v>#REF!</v>
      </c>
      <c r="AM10" s="739" t="e">
        <f>+#REF!</f>
        <v>#REF!</v>
      </c>
      <c r="AN10" s="739" t="e">
        <f>+#REF!</f>
        <v>#REF!</v>
      </c>
      <c r="AO10" s="739" t="e">
        <f>+#REF!</f>
        <v>#REF!</v>
      </c>
      <c r="AP10" s="739" t="e">
        <f>+#REF!</f>
        <v>#REF!</v>
      </c>
      <c r="AQ10" s="238" t="e">
        <f t="shared" si="1"/>
        <v>#REF!</v>
      </c>
      <c r="AR10" s="218" t="e">
        <f>SUM(AR4:AR9)</f>
        <v>#REF!</v>
      </c>
      <c r="AS10" s="218" t="e">
        <f t="shared" ref="AS10:BD10" si="15">SUM(AS4:AS9)</f>
        <v>#REF!</v>
      </c>
      <c r="AT10" s="218">
        <f t="shared" si="15"/>
        <v>0</v>
      </c>
      <c r="AU10" s="218">
        <f t="shared" si="15"/>
        <v>0</v>
      </c>
      <c r="AV10" s="218">
        <f t="shared" si="15"/>
        <v>0</v>
      </c>
      <c r="AW10" s="218">
        <f t="shared" si="15"/>
        <v>0</v>
      </c>
      <c r="AX10" s="218">
        <f t="shared" si="15"/>
        <v>0</v>
      </c>
      <c r="AY10" s="218">
        <f t="shared" si="15"/>
        <v>0</v>
      </c>
      <c r="AZ10" s="218">
        <f t="shared" si="15"/>
        <v>100000000</v>
      </c>
      <c r="BA10" s="218">
        <f t="shared" si="15"/>
        <v>0</v>
      </c>
      <c r="BB10" s="218">
        <f t="shared" si="15"/>
        <v>0</v>
      </c>
      <c r="BC10" s="218">
        <f t="shared" si="15"/>
        <v>0</v>
      </c>
      <c r="BD10" s="218">
        <f t="shared" si="15"/>
        <v>0</v>
      </c>
      <c r="BE10" s="238" t="e">
        <f t="shared" si="3"/>
        <v>#REF!</v>
      </c>
      <c r="BF10" s="218" t="e">
        <f>SUM(BF4:BF9)</f>
        <v>#REF!</v>
      </c>
      <c r="BG10" s="218" t="e">
        <f t="shared" ref="BG10:BR10" si="16">SUM(BG4:BG9)</f>
        <v>#REF!</v>
      </c>
      <c r="BH10" s="218">
        <f t="shared" si="16"/>
        <v>0</v>
      </c>
      <c r="BI10" s="218">
        <f t="shared" si="16"/>
        <v>0</v>
      </c>
      <c r="BJ10" s="218">
        <f t="shared" si="16"/>
        <v>0</v>
      </c>
      <c r="BK10" s="218">
        <f t="shared" si="16"/>
        <v>0</v>
      </c>
      <c r="BL10" s="218">
        <f t="shared" si="16"/>
        <v>0</v>
      </c>
      <c r="BM10" s="218">
        <f t="shared" si="16"/>
        <v>0</v>
      </c>
      <c r="BN10" s="218">
        <f t="shared" si="16"/>
        <v>25000000</v>
      </c>
      <c r="BO10" s="218">
        <f t="shared" si="16"/>
        <v>0</v>
      </c>
      <c r="BP10" s="218">
        <f t="shared" si="16"/>
        <v>0</v>
      </c>
      <c r="BQ10" s="218">
        <f t="shared" si="16"/>
        <v>0</v>
      </c>
      <c r="BR10" s="218">
        <f t="shared" si="16"/>
        <v>0</v>
      </c>
      <c r="BS10" s="238" t="e">
        <f t="shared" si="7"/>
        <v>#REF!</v>
      </c>
      <c r="BT10" s="149" t="e">
        <f>SUM(BT4:BT9)</f>
        <v>#REF!</v>
      </c>
      <c r="BU10" s="149" t="e">
        <f t="shared" ref="BU10:CF10" si="17">SUM(BU4:BU9)</f>
        <v>#REF!</v>
      </c>
      <c r="BV10" s="149">
        <f t="shared" si="17"/>
        <v>0</v>
      </c>
      <c r="BW10" s="149">
        <f t="shared" si="17"/>
        <v>0</v>
      </c>
      <c r="BX10" s="149">
        <f t="shared" si="17"/>
        <v>0</v>
      </c>
      <c r="BY10" s="149">
        <f t="shared" si="17"/>
        <v>0</v>
      </c>
      <c r="BZ10" s="149">
        <f t="shared" si="17"/>
        <v>0</v>
      </c>
      <c r="CA10" s="149">
        <f t="shared" si="17"/>
        <v>0</v>
      </c>
      <c r="CB10" s="149">
        <f t="shared" si="17"/>
        <v>85374000</v>
      </c>
      <c r="CC10" s="149">
        <f t="shared" si="17"/>
        <v>0</v>
      </c>
      <c r="CD10" s="149">
        <f t="shared" si="17"/>
        <v>0</v>
      </c>
      <c r="CE10" s="149">
        <f t="shared" si="17"/>
        <v>0</v>
      </c>
      <c r="CF10" s="149">
        <f t="shared" si="17"/>
        <v>0</v>
      </c>
      <c r="CG10" s="238" t="e">
        <f t="shared" si="9"/>
        <v>#REF!</v>
      </c>
      <c r="CH10" s="149" t="e">
        <f>SUM(CH4:CH9)</f>
        <v>#REF!</v>
      </c>
      <c r="CI10" s="149" t="e">
        <f t="shared" ref="CI10:CT10" si="18">SUM(CI4:CI9)</f>
        <v>#REF!</v>
      </c>
      <c r="CJ10" s="149">
        <f t="shared" si="18"/>
        <v>0</v>
      </c>
      <c r="CK10" s="149">
        <f t="shared" si="18"/>
        <v>0</v>
      </c>
      <c r="CL10" s="149">
        <f t="shared" si="18"/>
        <v>0</v>
      </c>
      <c r="CM10" s="149">
        <f t="shared" si="18"/>
        <v>0</v>
      </c>
      <c r="CN10" s="149">
        <f t="shared" si="18"/>
        <v>0</v>
      </c>
      <c r="CO10" s="149">
        <f t="shared" si="18"/>
        <v>0</v>
      </c>
      <c r="CP10" s="149">
        <f t="shared" si="18"/>
        <v>39626000</v>
      </c>
      <c r="CQ10" s="149">
        <f t="shared" si="18"/>
        <v>0</v>
      </c>
      <c r="CR10" s="149">
        <f t="shared" si="18"/>
        <v>0</v>
      </c>
      <c r="CS10" s="149">
        <f t="shared" si="18"/>
        <v>0</v>
      </c>
      <c r="CT10" s="149">
        <f t="shared" si="18"/>
        <v>0</v>
      </c>
    </row>
    <row r="11" spans="1:98" ht="17.25" customHeight="1" x14ac:dyDescent="0.25">
      <c r="A11" s="747"/>
      <c r="B11" s="747"/>
      <c r="C11" s="747"/>
      <c r="D11" s="747"/>
      <c r="E11" s="747"/>
      <c r="F11" s="118"/>
      <c r="G11" s="119"/>
      <c r="H11" s="119"/>
      <c r="I11" s="119"/>
      <c r="J11" s="747"/>
      <c r="K11" s="747"/>
      <c r="L11" s="120"/>
      <c r="M11" s="121"/>
      <c r="N11" s="233"/>
      <c r="O11" s="685"/>
      <c r="P11" s="686"/>
      <c r="Q11" s="687"/>
      <c r="R11" s="688"/>
      <c r="S11" s="688"/>
      <c r="T11" s="689"/>
      <c r="U11" s="690">
        <f>+U10-AG10</f>
        <v>245000000</v>
      </c>
      <c r="V11" s="687"/>
      <c r="W11" s="687"/>
      <c r="X11" s="687"/>
      <c r="Y11" s="687"/>
      <c r="Z11" s="687"/>
      <c r="AA11" s="687"/>
      <c r="AB11" s="687"/>
      <c r="AC11" s="687"/>
      <c r="AD11" s="687"/>
      <c r="AE11" s="687"/>
      <c r="AF11" s="687"/>
      <c r="AG11" s="687"/>
      <c r="AI11" s="122"/>
      <c r="AJ11" s="122"/>
      <c r="AK11" s="122"/>
      <c r="AL11" s="122"/>
      <c r="AM11" s="122"/>
      <c r="AN11" s="122"/>
      <c r="AO11" s="122"/>
      <c r="AP11" s="122"/>
      <c r="AQ11" s="239"/>
      <c r="AR11" s="150"/>
      <c r="AS11" s="226"/>
      <c r="AT11" s="226"/>
      <c r="AU11" s="226"/>
      <c r="AV11" s="226"/>
      <c r="AW11" s="226"/>
      <c r="AX11" s="226"/>
      <c r="AY11" s="226"/>
      <c r="AZ11" s="226"/>
      <c r="BA11" s="226"/>
      <c r="BB11" s="226"/>
      <c r="BC11" s="226"/>
      <c r="BD11" s="226"/>
      <c r="BE11" s="239"/>
      <c r="BF11" s="150"/>
      <c r="BG11" s="227"/>
      <c r="BH11" s="227"/>
      <c r="BI11" s="227"/>
      <c r="BJ11" s="227"/>
      <c r="BK11" s="227"/>
      <c r="BL11" s="227"/>
      <c r="BM11" s="227"/>
      <c r="BN11" s="227"/>
      <c r="BO11" s="227"/>
      <c r="BP11" s="227"/>
      <c r="BQ11" s="227"/>
      <c r="BR11" s="227"/>
      <c r="BS11" s="239"/>
      <c r="BT11" s="150"/>
      <c r="BU11" s="163"/>
      <c r="BV11" s="163"/>
      <c r="BW11" s="163"/>
      <c r="BX11" s="163"/>
      <c r="BY11" s="163"/>
      <c r="BZ11" s="163"/>
      <c r="CA11" s="163"/>
      <c r="CB11" s="163"/>
      <c r="CC11" s="163"/>
      <c r="CD11" s="163"/>
      <c r="CE11" s="163"/>
      <c r="CF11" s="163"/>
      <c r="CG11" s="239"/>
      <c r="CH11" s="150"/>
      <c r="CI11" s="206"/>
      <c r="CJ11" s="206"/>
      <c r="CK11" s="206"/>
      <c r="CL11" s="206"/>
      <c r="CM11" s="206"/>
      <c r="CN11" s="206"/>
      <c r="CO11" s="206"/>
      <c r="CP11" s="206"/>
      <c r="CQ11" s="206"/>
      <c r="CR11" s="206"/>
      <c r="CS11" s="206"/>
      <c r="CT11" s="206"/>
    </row>
    <row r="12" spans="1:98" ht="69.75" customHeight="1" x14ac:dyDescent="0.25">
      <c r="A12" s="1244"/>
      <c r="B12" s="1244"/>
      <c r="C12" s="1244"/>
      <c r="D12" s="1244"/>
      <c r="E12" s="707"/>
      <c r="F12" s="731"/>
      <c r="G12" s="717"/>
      <c r="H12" s="717"/>
      <c r="I12" s="717"/>
      <c r="J12" s="707"/>
      <c r="K12" s="731"/>
      <c r="L12" s="707"/>
      <c r="M12" s="733"/>
      <c r="N12" s="707" t="s">
        <v>3771</v>
      </c>
      <c r="O12" s="165" t="s">
        <v>3770</v>
      </c>
      <c r="P12" s="166"/>
      <c r="Q12" s="167"/>
      <c r="R12" s="561">
        <v>520</v>
      </c>
      <c r="S12" s="157"/>
      <c r="T12" s="1288" t="s">
        <v>3426</v>
      </c>
      <c r="U12" s="149">
        <f t="shared" si="13"/>
        <v>5000000</v>
      </c>
      <c r="V12" s="149"/>
      <c r="W12" s="149"/>
      <c r="X12" s="149"/>
      <c r="Y12" s="149"/>
      <c r="Z12" s="149"/>
      <c r="AA12" s="149"/>
      <c r="AB12" s="149"/>
      <c r="AC12" s="149">
        <f>6000000-1000000</f>
        <v>5000000</v>
      </c>
      <c r="AD12" s="149"/>
      <c r="AE12" s="149"/>
      <c r="AF12" s="149"/>
      <c r="AG12" s="149"/>
      <c r="AI12" s="739"/>
      <c r="AJ12" s="739"/>
      <c r="AK12" s="739"/>
      <c r="AL12" s="739"/>
      <c r="AM12" s="739"/>
      <c r="AN12" s="739"/>
      <c r="AO12" s="739"/>
      <c r="AP12" s="739"/>
      <c r="AQ12" s="238">
        <f t="shared" ref="AQ12:AQ21" si="19">+AR12/U12</f>
        <v>0</v>
      </c>
      <c r="AR12" s="218">
        <f t="shared" ref="AR12:AR20" si="20">SUM(AS12:BD12)</f>
        <v>0</v>
      </c>
      <c r="AS12" s="149"/>
      <c r="AT12" s="149"/>
      <c r="AU12" s="149"/>
      <c r="AV12" s="149"/>
      <c r="AW12" s="149"/>
      <c r="AX12" s="149"/>
      <c r="AY12" s="149"/>
      <c r="AZ12" s="149"/>
      <c r="BA12" s="149"/>
      <c r="BB12" s="149"/>
      <c r="BC12" s="149"/>
      <c r="BD12" s="149"/>
      <c r="BE12" s="238">
        <f>1-AQ12</f>
        <v>1</v>
      </c>
      <c r="BF12" s="218">
        <f>SUM(BG12:BR12)</f>
        <v>5000000</v>
      </c>
      <c r="BG12" s="205">
        <f t="shared" ref="BG12:BR20" si="21">+V12-AS12</f>
        <v>0</v>
      </c>
      <c r="BH12" s="205">
        <f t="shared" si="21"/>
        <v>0</v>
      </c>
      <c r="BI12" s="205">
        <f t="shared" si="21"/>
        <v>0</v>
      </c>
      <c r="BJ12" s="205">
        <f t="shared" si="21"/>
        <v>0</v>
      </c>
      <c r="BK12" s="205">
        <f t="shared" si="21"/>
        <v>0</v>
      </c>
      <c r="BL12" s="205">
        <f t="shared" si="21"/>
        <v>0</v>
      </c>
      <c r="BM12" s="205">
        <f t="shared" si="21"/>
        <v>0</v>
      </c>
      <c r="BN12" s="205">
        <f t="shared" si="21"/>
        <v>5000000</v>
      </c>
      <c r="BO12" s="205">
        <f t="shared" si="21"/>
        <v>0</v>
      </c>
      <c r="BP12" s="205">
        <f t="shared" si="21"/>
        <v>0</v>
      </c>
      <c r="BQ12" s="205">
        <f t="shared" si="21"/>
        <v>0</v>
      </c>
      <c r="BR12" s="205">
        <f t="shared" si="21"/>
        <v>0</v>
      </c>
      <c r="BS12" s="238">
        <f>+BT12/U12</f>
        <v>0</v>
      </c>
      <c r="BT12" s="218">
        <f>SUM(BU12:CF12)</f>
        <v>0</v>
      </c>
      <c r="BU12" s="149"/>
      <c r="BV12" s="149"/>
      <c r="BW12" s="149"/>
      <c r="BX12" s="149"/>
      <c r="BY12" s="149"/>
      <c r="BZ12" s="149"/>
      <c r="CA12" s="149"/>
      <c r="CB12" s="149"/>
      <c r="CC12" s="149"/>
      <c r="CD12" s="149"/>
      <c r="CE12" s="149"/>
      <c r="CF12" s="149"/>
      <c r="CG12" s="238">
        <f>1-BS12</f>
        <v>1</v>
      </c>
      <c r="CH12" s="218">
        <f>SUM(CI12:CT12)</f>
        <v>5000000</v>
      </c>
      <c r="CI12" s="205">
        <f t="shared" ref="CI12:CT20" si="22">+V12-BU12</f>
        <v>0</v>
      </c>
      <c r="CJ12" s="205">
        <f t="shared" si="22"/>
        <v>0</v>
      </c>
      <c r="CK12" s="205">
        <f t="shared" si="22"/>
        <v>0</v>
      </c>
      <c r="CL12" s="205">
        <f t="shared" si="22"/>
        <v>0</v>
      </c>
      <c r="CM12" s="205">
        <f t="shared" si="22"/>
        <v>0</v>
      </c>
      <c r="CN12" s="205">
        <f t="shared" si="22"/>
        <v>0</v>
      </c>
      <c r="CO12" s="205">
        <f t="shared" si="22"/>
        <v>0</v>
      </c>
      <c r="CP12" s="205">
        <f t="shared" si="22"/>
        <v>5000000</v>
      </c>
      <c r="CQ12" s="205">
        <f t="shared" si="22"/>
        <v>0</v>
      </c>
      <c r="CR12" s="205">
        <f t="shared" si="22"/>
        <v>0</v>
      </c>
      <c r="CS12" s="205">
        <f t="shared" si="22"/>
        <v>0</v>
      </c>
      <c r="CT12" s="205">
        <f t="shared" si="22"/>
        <v>0</v>
      </c>
    </row>
    <row r="13" spans="1:98" ht="72" customHeight="1" x14ac:dyDescent="0.25">
      <c r="A13" s="1244"/>
      <c r="B13" s="1244"/>
      <c r="C13" s="1244"/>
      <c r="D13" s="1244"/>
      <c r="E13" s="707"/>
      <c r="F13" s="731"/>
      <c r="G13" s="717"/>
      <c r="H13" s="717"/>
      <c r="I13" s="717"/>
      <c r="J13" s="707"/>
      <c r="K13" s="731"/>
      <c r="L13" s="707"/>
      <c r="M13" s="733"/>
      <c r="N13" s="707" t="s">
        <v>3772</v>
      </c>
      <c r="O13" s="165" t="s">
        <v>3774</v>
      </c>
      <c r="P13" s="166"/>
      <c r="Q13" s="167"/>
      <c r="R13" s="561">
        <v>520</v>
      </c>
      <c r="S13" s="157"/>
      <c r="T13" s="1288"/>
      <c r="U13" s="149">
        <f t="shared" si="13"/>
        <v>31400000</v>
      </c>
      <c r="V13" s="149">
        <v>600000</v>
      </c>
      <c r="W13" s="149"/>
      <c r="X13" s="149"/>
      <c r="Y13" s="149"/>
      <c r="Z13" s="149"/>
      <c r="AA13" s="149"/>
      <c r="AB13" s="149"/>
      <c r="AC13" s="149">
        <f>19000000+1000000</f>
        <v>20000000</v>
      </c>
      <c r="AD13" s="149">
        <v>10800000</v>
      </c>
      <c r="AE13" s="149"/>
      <c r="AF13" s="149"/>
      <c r="AG13" s="149"/>
      <c r="AI13" s="739"/>
      <c r="AJ13" s="739"/>
      <c r="AK13" s="739"/>
      <c r="AL13" s="739"/>
      <c r="AM13" s="739"/>
      <c r="AN13" s="739"/>
      <c r="AO13" s="739"/>
      <c r="AP13" s="739"/>
      <c r="AQ13" s="238">
        <f t="shared" si="19"/>
        <v>0</v>
      </c>
      <c r="AR13" s="218">
        <f t="shared" si="20"/>
        <v>0</v>
      </c>
      <c r="AS13" s="149"/>
      <c r="AT13" s="149"/>
      <c r="AU13" s="149"/>
      <c r="AV13" s="149"/>
      <c r="AW13" s="149"/>
      <c r="AX13" s="149"/>
      <c r="AY13" s="149"/>
      <c r="AZ13" s="149"/>
      <c r="BA13" s="149"/>
      <c r="BB13" s="149"/>
      <c r="BC13" s="149"/>
      <c r="BD13" s="149"/>
      <c r="BE13" s="238">
        <f t="shared" ref="BE13:BE20" si="23">1-AQ13</f>
        <v>1</v>
      </c>
      <c r="BF13" s="218">
        <f t="shared" ref="BF13:BF20" si="24">SUM(BG13:BR13)</f>
        <v>31400000</v>
      </c>
      <c r="BG13" s="205">
        <f t="shared" si="21"/>
        <v>600000</v>
      </c>
      <c r="BH13" s="205">
        <f t="shared" si="21"/>
        <v>0</v>
      </c>
      <c r="BI13" s="205">
        <f t="shared" si="21"/>
        <v>0</v>
      </c>
      <c r="BJ13" s="205">
        <f t="shared" si="21"/>
        <v>0</v>
      </c>
      <c r="BK13" s="205">
        <f t="shared" si="21"/>
        <v>0</v>
      </c>
      <c r="BL13" s="205">
        <f t="shared" si="21"/>
        <v>0</v>
      </c>
      <c r="BM13" s="205">
        <f t="shared" si="21"/>
        <v>0</v>
      </c>
      <c r="BN13" s="205">
        <f t="shared" si="21"/>
        <v>20000000</v>
      </c>
      <c r="BO13" s="205">
        <f t="shared" si="21"/>
        <v>10800000</v>
      </c>
      <c r="BP13" s="205">
        <f t="shared" si="21"/>
        <v>0</v>
      </c>
      <c r="BQ13" s="205">
        <f t="shared" si="21"/>
        <v>0</v>
      </c>
      <c r="BR13" s="205">
        <f t="shared" si="21"/>
        <v>0</v>
      </c>
      <c r="BS13" s="238">
        <f t="shared" ref="BS13:BS20" si="25">+BT13/U13</f>
        <v>0</v>
      </c>
      <c r="BT13" s="218">
        <f t="shared" ref="BT13:BT20" si="26">SUM(BU13:CF13)</f>
        <v>0</v>
      </c>
      <c r="BU13" s="149"/>
      <c r="BV13" s="149"/>
      <c r="BW13" s="149"/>
      <c r="BX13" s="149"/>
      <c r="BY13" s="149"/>
      <c r="BZ13" s="149"/>
      <c r="CA13" s="149"/>
      <c r="CB13" s="149"/>
      <c r="CC13" s="149"/>
      <c r="CD13" s="149"/>
      <c r="CE13" s="149"/>
      <c r="CF13" s="149"/>
      <c r="CG13" s="238">
        <f t="shared" ref="CG13:CG20" si="27">1-BS13</f>
        <v>1</v>
      </c>
      <c r="CH13" s="218">
        <f t="shared" ref="CH13:CH20" si="28">SUM(CI13:CT13)</f>
        <v>31400000</v>
      </c>
      <c r="CI13" s="205">
        <f t="shared" si="22"/>
        <v>600000</v>
      </c>
      <c r="CJ13" s="205">
        <f t="shared" si="22"/>
        <v>0</v>
      </c>
      <c r="CK13" s="205">
        <f t="shared" si="22"/>
        <v>0</v>
      </c>
      <c r="CL13" s="205">
        <f t="shared" si="22"/>
        <v>0</v>
      </c>
      <c r="CM13" s="205">
        <f t="shared" si="22"/>
        <v>0</v>
      </c>
      <c r="CN13" s="205">
        <f t="shared" si="22"/>
        <v>0</v>
      </c>
      <c r="CO13" s="205">
        <f t="shared" si="22"/>
        <v>0</v>
      </c>
      <c r="CP13" s="205">
        <f t="shared" si="22"/>
        <v>20000000</v>
      </c>
      <c r="CQ13" s="205">
        <f t="shared" si="22"/>
        <v>10800000</v>
      </c>
      <c r="CR13" s="205">
        <f t="shared" si="22"/>
        <v>0</v>
      </c>
      <c r="CS13" s="205">
        <f t="shared" si="22"/>
        <v>0</v>
      </c>
      <c r="CT13" s="205">
        <f t="shared" si="22"/>
        <v>0</v>
      </c>
    </row>
    <row r="14" spans="1:98" ht="44.25" customHeight="1" x14ac:dyDescent="0.25">
      <c r="A14" s="1244"/>
      <c r="B14" s="1244"/>
      <c r="C14" s="1244"/>
      <c r="D14" s="1244"/>
      <c r="E14" s="707"/>
      <c r="F14" s="731"/>
      <c r="G14" s="717"/>
      <c r="H14" s="717"/>
      <c r="I14" s="717"/>
      <c r="J14" s="707"/>
      <c r="K14" s="731"/>
      <c r="L14" s="707"/>
      <c r="M14" s="733"/>
      <c r="N14" s="707" t="s">
        <v>3773</v>
      </c>
      <c r="O14" s="165" t="s">
        <v>3416</v>
      </c>
      <c r="P14" s="166"/>
      <c r="Q14" s="167"/>
      <c r="R14" s="561">
        <v>520</v>
      </c>
      <c r="S14" s="157"/>
      <c r="T14" s="1288"/>
      <c r="U14" s="149">
        <f t="shared" si="13"/>
        <v>17000000</v>
      </c>
      <c r="V14" s="149">
        <v>14400000</v>
      </c>
      <c r="W14" s="149"/>
      <c r="X14" s="149"/>
      <c r="Y14" s="149"/>
      <c r="Z14" s="149"/>
      <c r="AA14" s="149"/>
      <c r="AB14" s="149"/>
      <c r="AC14" s="149"/>
      <c r="AD14" s="149">
        <v>2600000</v>
      </c>
      <c r="AE14" s="149"/>
      <c r="AF14" s="149"/>
      <c r="AG14" s="149"/>
      <c r="AI14" s="739"/>
      <c r="AJ14" s="739"/>
      <c r="AK14" s="739"/>
      <c r="AL14" s="739"/>
      <c r="AM14" s="739"/>
      <c r="AN14" s="739"/>
      <c r="AO14" s="739"/>
      <c r="AP14" s="739"/>
      <c r="AQ14" s="238">
        <f t="shared" si="19"/>
        <v>0</v>
      </c>
      <c r="AR14" s="218">
        <f t="shared" si="20"/>
        <v>0</v>
      </c>
      <c r="AS14" s="149"/>
      <c r="AT14" s="149"/>
      <c r="AU14" s="149"/>
      <c r="AV14" s="149"/>
      <c r="AW14" s="149"/>
      <c r="AX14" s="149"/>
      <c r="AY14" s="149"/>
      <c r="AZ14" s="149"/>
      <c r="BA14" s="149"/>
      <c r="BB14" s="149"/>
      <c r="BC14" s="149"/>
      <c r="BD14" s="149"/>
      <c r="BE14" s="238">
        <f t="shared" si="23"/>
        <v>1</v>
      </c>
      <c r="BF14" s="218">
        <f t="shared" si="24"/>
        <v>17000000</v>
      </c>
      <c r="BG14" s="205">
        <f t="shared" si="21"/>
        <v>14400000</v>
      </c>
      <c r="BH14" s="205">
        <f t="shared" si="21"/>
        <v>0</v>
      </c>
      <c r="BI14" s="205">
        <f t="shared" si="21"/>
        <v>0</v>
      </c>
      <c r="BJ14" s="205">
        <f t="shared" si="21"/>
        <v>0</v>
      </c>
      <c r="BK14" s="205">
        <f t="shared" si="21"/>
        <v>0</v>
      </c>
      <c r="BL14" s="205">
        <f t="shared" si="21"/>
        <v>0</v>
      </c>
      <c r="BM14" s="205">
        <f t="shared" si="21"/>
        <v>0</v>
      </c>
      <c r="BN14" s="205">
        <f t="shared" si="21"/>
        <v>0</v>
      </c>
      <c r="BO14" s="205">
        <f t="shared" si="21"/>
        <v>2600000</v>
      </c>
      <c r="BP14" s="205">
        <f t="shared" si="21"/>
        <v>0</v>
      </c>
      <c r="BQ14" s="205">
        <f t="shared" si="21"/>
        <v>0</v>
      </c>
      <c r="BR14" s="205">
        <f t="shared" si="21"/>
        <v>0</v>
      </c>
      <c r="BS14" s="238">
        <f t="shared" si="25"/>
        <v>0</v>
      </c>
      <c r="BT14" s="218">
        <f t="shared" si="26"/>
        <v>0</v>
      </c>
      <c r="BU14" s="149"/>
      <c r="BV14" s="149"/>
      <c r="BW14" s="149"/>
      <c r="BX14" s="149"/>
      <c r="BY14" s="149"/>
      <c r="BZ14" s="149"/>
      <c r="CA14" s="149"/>
      <c r="CB14" s="149"/>
      <c r="CC14" s="149"/>
      <c r="CD14" s="149"/>
      <c r="CE14" s="149"/>
      <c r="CF14" s="149"/>
      <c r="CG14" s="238">
        <f t="shared" si="27"/>
        <v>1</v>
      </c>
      <c r="CH14" s="218">
        <f t="shared" si="28"/>
        <v>17000000</v>
      </c>
      <c r="CI14" s="205">
        <f t="shared" si="22"/>
        <v>14400000</v>
      </c>
      <c r="CJ14" s="205">
        <f t="shared" si="22"/>
        <v>0</v>
      </c>
      <c r="CK14" s="205">
        <f t="shared" si="22"/>
        <v>0</v>
      </c>
      <c r="CL14" s="205">
        <f t="shared" si="22"/>
        <v>0</v>
      </c>
      <c r="CM14" s="205">
        <f t="shared" si="22"/>
        <v>0</v>
      </c>
      <c r="CN14" s="205">
        <f t="shared" si="22"/>
        <v>0</v>
      </c>
      <c r="CO14" s="205">
        <f t="shared" si="22"/>
        <v>0</v>
      </c>
      <c r="CP14" s="205">
        <f t="shared" si="22"/>
        <v>0</v>
      </c>
      <c r="CQ14" s="205">
        <f t="shared" si="22"/>
        <v>2600000</v>
      </c>
      <c r="CR14" s="205">
        <f t="shared" si="22"/>
        <v>0</v>
      </c>
      <c r="CS14" s="205">
        <f t="shared" si="22"/>
        <v>0</v>
      </c>
      <c r="CT14" s="205">
        <f t="shared" si="22"/>
        <v>0</v>
      </c>
    </row>
    <row r="15" spans="1:98" ht="44.25" customHeight="1" x14ac:dyDescent="0.25">
      <c r="A15" s="1244"/>
      <c r="B15" s="1244"/>
      <c r="C15" s="1244"/>
      <c r="D15" s="1244"/>
      <c r="E15" s="707"/>
      <c r="F15" s="731"/>
      <c r="G15" s="717"/>
      <c r="H15" s="717"/>
      <c r="I15" s="717"/>
      <c r="J15" s="707"/>
      <c r="K15" s="731"/>
      <c r="L15" s="707"/>
      <c r="M15" s="733"/>
      <c r="N15" s="707" t="s">
        <v>3775</v>
      </c>
      <c r="O15" s="165" t="s">
        <v>3776</v>
      </c>
      <c r="P15" s="166"/>
      <c r="Q15" s="167"/>
      <c r="R15" s="561">
        <v>520</v>
      </c>
      <c r="S15" s="157"/>
      <c r="T15" s="1288"/>
      <c r="U15" s="149">
        <f t="shared" si="13"/>
        <v>4600000</v>
      </c>
      <c r="V15" s="149">
        <v>4500000</v>
      </c>
      <c r="W15" s="149"/>
      <c r="X15" s="149"/>
      <c r="Y15" s="149"/>
      <c r="Z15" s="149"/>
      <c r="AA15" s="149"/>
      <c r="AB15" s="149"/>
      <c r="AC15" s="149"/>
      <c r="AD15" s="149">
        <v>100000</v>
      </c>
      <c r="AE15" s="149"/>
      <c r="AF15" s="149"/>
      <c r="AG15" s="149"/>
      <c r="AI15" s="739"/>
      <c r="AJ15" s="739"/>
      <c r="AK15" s="739"/>
      <c r="AL15" s="739"/>
      <c r="AM15" s="739"/>
      <c r="AN15" s="739"/>
      <c r="AO15" s="739"/>
      <c r="AP15" s="739"/>
      <c r="AQ15" s="238">
        <f t="shared" si="19"/>
        <v>0</v>
      </c>
      <c r="AR15" s="218">
        <f t="shared" si="20"/>
        <v>0</v>
      </c>
      <c r="AS15" s="149"/>
      <c r="AT15" s="149"/>
      <c r="AU15" s="149"/>
      <c r="AV15" s="149"/>
      <c r="AW15" s="149"/>
      <c r="AX15" s="149"/>
      <c r="AY15" s="149"/>
      <c r="AZ15" s="149"/>
      <c r="BA15" s="149"/>
      <c r="BB15" s="149"/>
      <c r="BC15" s="149"/>
      <c r="BD15" s="149"/>
      <c r="BE15" s="238">
        <f t="shared" si="23"/>
        <v>1</v>
      </c>
      <c r="BF15" s="218">
        <f t="shared" si="24"/>
        <v>4600000</v>
      </c>
      <c r="BG15" s="205">
        <f t="shared" si="21"/>
        <v>4500000</v>
      </c>
      <c r="BH15" s="205">
        <f t="shared" si="21"/>
        <v>0</v>
      </c>
      <c r="BI15" s="205">
        <f t="shared" si="21"/>
        <v>0</v>
      </c>
      <c r="BJ15" s="205">
        <f t="shared" si="21"/>
        <v>0</v>
      </c>
      <c r="BK15" s="205">
        <f t="shared" si="21"/>
        <v>0</v>
      </c>
      <c r="BL15" s="205">
        <f t="shared" si="21"/>
        <v>0</v>
      </c>
      <c r="BM15" s="205">
        <f t="shared" si="21"/>
        <v>0</v>
      </c>
      <c r="BN15" s="205">
        <f t="shared" si="21"/>
        <v>0</v>
      </c>
      <c r="BO15" s="205">
        <f t="shared" si="21"/>
        <v>100000</v>
      </c>
      <c r="BP15" s="205">
        <f t="shared" si="21"/>
        <v>0</v>
      </c>
      <c r="BQ15" s="205">
        <f t="shared" si="21"/>
        <v>0</v>
      </c>
      <c r="BR15" s="205">
        <f t="shared" si="21"/>
        <v>0</v>
      </c>
      <c r="BS15" s="238">
        <f t="shared" si="25"/>
        <v>0</v>
      </c>
      <c r="BT15" s="218">
        <f t="shared" si="26"/>
        <v>0</v>
      </c>
      <c r="BU15" s="149"/>
      <c r="BV15" s="149"/>
      <c r="BW15" s="149"/>
      <c r="BX15" s="149"/>
      <c r="BY15" s="149"/>
      <c r="BZ15" s="149"/>
      <c r="CA15" s="149"/>
      <c r="CB15" s="149"/>
      <c r="CC15" s="149"/>
      <c r="CD15" s="149"/>
      <c r="CE15" s="149"/>
      <c r="CF15" s="149"/>
      <c r="CG15" s="238">
        <f t="shared" si="27"/>
        <v>1</v>
      </c>
      <c r="CH15" s="218">
        <f t="shared" si="28"/>
        <v>4600000</v>
      </c>
      <c r="CI15" s="205">
        <f t="shared" si="22"/>
        <v>4500000</v>
      </c>
      <c r="CJ15" s="205">
        <f t="shared" si="22"/>
        <v>0</v>
      </c>
      <c r="CK15" s="205">
        <f t="shared" si="22"/>
        <v>0</v>
      </c>
      <c r="CL15" s="205">
        <f t="shared" si="22"/>
        <v>0</v>
      </c>
      <c r="CM15" s="205">
        <f t="shared" si="22"/>
        <v>0</v>
      </c>
      <c r="CN15" s="205">
        <f t="shared" si="22"/>
        <v>0</v>
      </c>
      <c r="CO15" s="205">
        <f t="shared" si="22"/>
        <v>0</v>
      </c>
      <c r="CP15" s="205">
        <f t="shared" si="22"/>
        <v>0</v>
      </c>
      <c r="CQ15" s="205">
        <f t="shared" si="22"/>
        <v>100000</v>
      </c>
      <c r="CR15" s="205">
        <f t="shared" si="22"/>
        <v>0</v>
      </c>
      <c r="CS15" s="205">
        <f t="shared" si="22"/>
        <v>0</v>
      </c>
      <c r="CT15" s="205">
        <f t="shared" si="22"/>
        <v>0</v>
      </c>
    </row>
    <row r="16" spans="1:98" ht="57" customHeight="1" x14ac:dyDescent="0.25">
      <c r="A16" s="1244"/>
      <c r="B16" s="1244"/>
      <c r="C16" s="1244"/>
      <c r="D16" s="1244"/>
      <c r="E16" s="707"/>
      <c r="F16" s="731"/>
      <c r="G16" s="717"/>
      <c r="H16" s="717"/>
      <c r="I16" s="717"/>
      <c r="J16" s="707"/>
      <c r="K16" s="731"/>
      <c r="L16" s="707"/>
      <c r="M16" s="733"/>
      <c r="N16" s="707" t="s">
        <v>3778</v>
      </c>
      <c r="O16" s="165" t="s">
        <v>3777</v>
      </c>
      <c r="P16" s="166"/>
      <c r="Q16" s="167"/>
      <c r="R16" s="561">
        <v>520</v>
      </c>
      <c r="S16" s="157"/>
      <c r="T16" s="1288"/>
      <c r="U16" s="149">
        <f t="shared" si="13"/>
        <v>2000000</v>
      </c>
      <c r="V16" s="149">
        <v>2000000</v>
      </c>
      <c r="W16" s="149"/>
      <c r="X16" s="149"/>
      <c r="Y16" s="149"/>
      <c r="Z16" s="149"/>
      <c r="AA16" s="149"/>
      <c r="AB16" s="149"/>
      <c r="AC16" s="149"/>
      <c r="AD16" s="149"/>
      <c r="AE16" s="149"/>
      <c r="AF16" s="149"/>
      <c r="AG16" s="149"/>
      <c r="AI16" s="739"/>
      <c r="AJ16" s="739"/>
      <c r="AK16" s="739"/>
      <c r="AL16" s="739"/>
      <c r="AM16" s="739"/>
      <c r="AN16" s="739"/>
      <c r="AO16" s="739"/>
      <c r="AP16" s="739"/>
      <c r="AQ16" s="238">
        <f t="shared" si="19"/>
        <v>0</v>
      </c>
      <c r="AR16" s="218">
        <f t="shared" si="20"/>
        <v>0</v>
      </c>
      <c r="AS16" s="149"/>
      <c r="AT16" s="149"/>
      <c r="AU16" s="149"/>
      <c r="AV16" s="149"/>
      <c r="AW16" s="149"/>
      <c r="AX16" s="149"/>
      <c r="AY16" s="149"/>
      <c r="AZ16" s="149"/>
      <c r="BA16" s="149"/>
      <c r="BB16" s="149"/>
      <c r="BC16" s="149"/>
      <c r="BD16" s="149"/>
      <c r="BE16" s="238">
        <f t="shared" si="23"/>
        <v>1</v>
      </c>
      <c r="BF16" s="218">
        <f t="shared" si="24"/>
        <v>2000000</v>
      </c>
      <c r="BG16" s="205">
        <f t="shared" si="21"/>
        <v>2000000</v>
      </c>
      <c r="BH16" s="205">
        <f t="shared" si="21"/>
        <v>0</v>
      </c>
      <c r="BI16" s="205">
        <f t="shared" si="21"/>
        <v>0</v>
      </c>
      <c r="BJ16" s="205">
        <f t="shared" si="21"/>
        <v>0</v>
      </c>
      <c r="BK16" s="205">
        <f t="shared" si="21"/>
        <v>0</v>
      </c>
      <c r="BL16" s="205">
        <f t="shared" si="21"/>
        <v>0</v>
      </c>
      <c r="BM16" s="205">
        <f t="shared" si="21"/>
        <v>0</v>
      </c>
      <c r="BN16" s="205">
        <f t="shared" si="21"/>
        <v>0</v>
      </c>
      <c r="BO16" s="205">
        <f t="shared" si="21"/>
        <v>0</v>
      </c>
      <c r="BP16" s="205">
        <f t="shared" si="21"/>
        <v>0</v>
      </c>
      <c r="BQ16" s="205">
        <f t="shared" si="21"/>
        <v>0</v>
      </c>
      <c r="BR16" s="205">
        <f t="shared" si="21"/>
        <v>0</v>
      </c>
      <c r="BS16" s="238">
        <f t="shared" si="25"/>
        <v>0</v>
      </c>
      <c r="BT16" s="218">
        <f t="shared" si="26"/>
        <v>0</v>
      </c>
      <c r="BU16" s="149"/>
      <c r="BV16" s="149"/>
      <c r="BW16" s="149"/>
      <c r="BX16" s="149"/>
      <c r="BY16" s="149"/>
      <c r="BZ16" s="149"/>
      <c r="CA16" s="149"/>
      <c r="CB16" s="149"/>
      <c r="CC16" s="149"/>
      <c r="CD16" s="149"/>
      <c r="CE16" s="149"/>
      <c r="CF16" s="149"/>
      <c r="CG16" s="238">
        <f t="shared" si="27"/>
        <v>1</v>
      </c>
      <c r="CH16" s="218">
        <f t="shared" si="28"/>
        <v>2000000</v>
      </c>
      <c r="CI16" s="205">
        <f t="shared" si="22"/>
        <v>2000000</v>
      </c>
      <c r="CJ16" s="205">
        <f t="shared" si="22"/>
        <v>0</v>
      </c>
      <c r="CK16" s="205">
        <f t="shared" si="22"/>
        <v>0</v>
      </c>
      <c r="CL16" s="205">
        <f t="shared" si="22"/>
        <v>0</v>
      </c>
      <c r="CM16" s="205">
        <f t="shared" si="22"/>
        <v>0</v>
      </c>
      <c r="CN16" s="205">
        <f t="shared" si="22"/>
        <v>0</v>
      </c>
      <c r="CO16" s="205">
        <f t="shared" si="22"/>
        <v>0</v>
      </c>
      <c r="CP16" s="205">
        <f t="shared" si="22"/>
        <v>0</v>
      </c>
      <c r="CQ16" s="205">
        <f t="shared" si="22"/>
        <v>0</v>
      </c>
      <c r="CR16" s="205">
        <f t="shared" si="22"/>
        <v>0</v>
      </c>
      <c r="CS16" s="205">
        <f t="shared" si="22"/>
        <v>0</v>
      </c>
      <c r="CT16" s="205">
        <f t="shared" si="22"/>
        <v>0</v>
      </c>
    </row>
    <row r="17" spans="1:98" ht="51.75" customHeight="1" x14ac:dyDescent="0.25">
      <c r="A17" s="1244"/>
      <c r="B17" s="1244"/>
      <c r="C17" s="1244"/>
      <c r="D17" s="1244"/>
      <c r="E17" s="707"/>
      <c r="F17" s="731"/>
      <c r="G17" s="717"/>
      <c r="H17" s="717"/>
      <c r="I17" s="717"/>
      <c r="J17" s="707"/>
      <c r="K17" s="731"/>
      <c r="L17" s="707"/>
      <c r="M17" s="733"/>
      <c r="N17" s="707" t="s">
        <v>3779</v>
      </c>
      <c r="O17" s="165" t="s">
        <v>3780</v>
      </c>
      <c r="P17" s="166"/>
      <c r="Q17" s="167"/>
      <c r="R17" s="561">
        <v>520</v>
      </c>
      <c r="S17" s="157"/>
      <c r="T17" s="1289"/>
      <c r="U17" s="149">
        <f t="shared" si="13"/>
        <v>5000000</v>
      </c>
      <c r="V17" s="149">
        <v>3500000</v>
      </c>
      <c r="W17" s="149"/>
      <c r="X17" s="149"/>
      <c r="Y17" s="149"/>
      <c r="Z17" s="149"/>
      <c r="AA17" s="149"/>
      <c r="AB17" s="149"/>
      <c r="AC17" s="149"/>
      <c r="AD17" s="149">
        <v>1500000</v>
      </c>
      <c r="AE17" s="149"/>
      <c r="AF17" s="149"/>
      <c r="AG17" s="149"/>
      <c r="AI17" s="739"/>
      <c r="AJ17" s="739"/>
      <c r="AK17" s="739"/>
      <c r="AL17" s="739"/>
      <c r="AM17" s="739"/>
      <c r="AN17" s="739"/>
      <c r="AO17" s="739"/>
      <c r="AP17" s="739"/>
      <c r="AQ17" s="238">
        <f t="shared" si="19"/>
        <v>0</v>
      </c>
      <c r="AR17" s="218">
        <f t="shared" si="20"/>
        <v>0</v>
      </c>
      <c r="AS17" s="149"/>
      <c r="AT17" s="149"/>
      <c r="AU17" s="149"/>
      <c r="AV17" s="149"/>
      <c r="AW17" s="149"/>
      <c r="AX17" s="149"/>
      <c r="AY17" s="149"/>
      <c r="AZ17" s="149"/>
      <c r="BA17" s="149"/>
      <c r="BB17" s="149"/>
      <c r="BC17" s="149"/>
      <c r="BD17" s="149"/>
      <c r="BE17" s="238">
        <f t="shared" si="23"/>
        <v>1</v>
      </c>
      <c r="BF17" s="218">
        <f t="shared" si="24"/>
        <v>5000000</v>
      </c>
      <c r="BG17" s="205">
        <f t="shared" si="21"/>
        <v>3500000</v>
      </c>
      <c r="BH17" s="205">
        <f t="shared" si="21"/>
        <v>0</v>
      </c>
      <c r="BI17" s="205">
        <f t="shared" si="21"/>
        <v>0</v>
      </c>
      <c r="BJ17" s="205">
        <f t="shared" si="21"/>
        <v>0</v>
      </c>
      <c r="BK17" s="205">
        <f t="shared" si="21"/>
        <v>0</v>
      </c>
      <c r="BL17" s="205">
        <f t="shared" si="21"/>
        <v>0</v>
      </c>
      <c r="BM17" s="205">
        <f t="shared" si="21"/>
        <v>0</v>
      </c>
      <c r="BN17" s="205">
        <f t="shared" si="21"/>
        <v>0</v>
      </c>
      <c r="BO17" s="205">
        <f t="shared" si="21"/>
        <v>1500000</v>
      </c>
      <c r="BP17" s="205">
        <f t="shared" si="21"/>
        <v>0</v>
      </c>
      <c r="BQ17" s="205">
        <f t="shared" si="21"/>
        <v>0</v>
      </c>
      <c r="BR17" s="205">
        <f t="shared" si="21"/>
        <v>0</v>
      </c>
      <c r="BS17" s="238">
        <f t="shared" si="25"/>
        <v>0</v>
      </c>
      <c r="BT17" s="218">
        <f t="shared" si="26"/>
        <v>0</v>
      </c>
      <c r="BU17" s="149"/>
      <c r="BV17" s="149"/>
      <c r="BW17" s="149"/>
      <c r="BX17" s="149"/>
      <c r="BY17" s="149"/>
      <c r="BZ17" s="149"/>
      <c r="CA17" s="149"/>
      <c r="CB17" s="149"/>
      <c r="CC17" s="149"/>
      <c r="CD17" s="149"/>
      <c r="CE17" s="149"/>
      <c r="CF17" s="149"/>
      <c r="CG17" s="238">
        <f t="shared" si="27"/>
        <v>1</v>
      </c>
      <c r="CH17" s="218">
        <f t="shared" si="28"/>
        <v>5000000</v>
      </c>
      <c r="CI17" s="205">
        <f t="shared" si="22"/>
        <v>3500000</v>
      </c>
      <c r="CJ17" s="205">
        <f t="shared" si="22"/>
        <v>0</v>
      </c>
      <c r="CK17" s="205">
        <f t="shared" si="22"/>
        <v>0</v>
      </c>
      <c r="CL17" s="205">
        <f t="shared" si="22"/>
        <v>0</v>
      </c>
      <c r="CM17" s="205">
        <f t="shared" si="22"/>
        <v>0</v>
      </c>
      <c r="CN17" s="205">
        <f t="shared" si="22"/>
        <v>0</v>
      </c>
      <c r="CO17" s="205">
        <f t="shared" si="22"/>
        <v>0</v>
      </c>
      <c r="CP17" s="205">
        <f t="shared" si="22"/>
        <v>0</v>
      </c>
      <c r="CQ17" s="205">
        <f t="shared" si="22"/>
        <v>1500000</v>
      </c>
      <c r="CR17" s="205">
        <f t="shared" si="22"/>
        <v>0</v>
      </c>
      <c r="CS17" s="205">
        <f t="shared" si="22"/>
        <v>0</v>
      </c>
      <c r="CT17" s="205">
        <f t="shared" si="22"/>
        <v>0</v>
      </c>
    </row>
    <row r="18" spans="1:98" ht="42" customHeight="1" x14ac:dyDescent="0.25">
      <c r="A18" s="1244"/>
      <c r="B18" s="1244"/>
      <c r="C18" s="1244"/>
      <c r="D18" s="1244"/>
      <c r="E18" s="2" t="s">
        <v>3099</v>
      </c>
      <c r="F18" s="100" t="s">
        <v>3198</v>
      </c>
      <c r="G18" s="107">
        <v>100000000</v>
      </c>
      <c r="H18" s="107">
        <v>100000000</v>
      </c>
      <c r="I18" s="107">
        <v>100000000</v>
      </c>
      <c r="J18" s="2" t="s">
        <v>3104</v>
      </c>
      <c r="K18" s="100" t="s">
        <v>3287</v>
      </c>
      <c r="L18" s="2">
        <v>111</v>
      </c>
      <c r="M18" s="104"/>
      <c r="N18" s="2" t="s">
        <v>3781</v>
      </c>
      <c r="O18" s="154" t="s">
        <v>19</v>
      </c>
      <c r="P18" s="155">
        <v>100000000</v>
      </c>
      <c r="Q18" s="158">
        <v>100000000</v>
      </c>
      <c r="R18" s="561">
        <v>520</v>
      </c>
      <c r="S18" s="157">
        <f>+Q18-U18</f>
        <v>0</v>
      </c>
      <c r="T18" s="1287" t="s">
        <v>3426</v>
      </c>
      <c r="U18" s="149">
        <f t="shared" si="13"/>
        <v>100000000</v>
      </c>
      <c r="V18" s="149"/>
      <c r="W18" s="149"/>
      <c r="X18" s="149"/>
      <c r="Y18" s="149"/>
      <c r="Z18" s="149"/>
      <c r="AA18" s="149"/>
      <c r="AB18" s="149">
        <v>100000000</v>
      </c>
      <c r="AC18" s="149"/>
      <c r="AD18" s="149"/>
      <c r="AE18" s="149"/>
      <c r="AF18" s="149"/>
      <c r="AG18" s="149"/>
      <c r="AI18" s="739" t="e">
        <f>SUM(AJ18:AP18)</f>
        <v>#REF!</v>
      </c>
      <c r="AJ18" s="739" t="e">
        <f>+#REF!</f>
        <v>#REF!</v>
      </c>
      <c r="AK18" s="739" t="e">
        <f>+#REF!</f>
        <v>#REF!</v>
      </c>
      <c r="AL18" s="739" t="e">
        <f>+#REF!</f>
        <v>#REF!</v>
      </c>
      <c r="AM18" s="739" t="e">
        <f>+#REF!</f>
        <v>#REF!</v>
      </c>
      <c r="AN18" s="739" t="e">
        <f>+#REF!</f>
        <v>#REF!</v>
      </c>
      <c r="AO18" s="739" t="e">
        <f>+#REF!</f>
        <v>#REF!</v>
      </c>
      <c r="AP18" s="739" t="e">
        <f>+#REF!</f>
        <v>#REF!</v>
      </c>
      <c r="AQ18" s="238">
        <f t="shared" si="19"/>
        <v>0</v>
      </c>
      <c r="AR18" s="218">
        <f t="shared" si="20"/>
        <v>0</v>
      </c>
      <c r="AS18" s="149"/>
      <c r="AT18" s="149"/>
      <c r="AU18" s="149"/>
      <c r="AV18" s="149"/>
      <c r="AW18" s="149"/>
      <c r="AX18" s="149"/>
      <c r="AY18" s="149"/>
      <c r="AZ18" s="149"/>
      <c r="BA18" s="149"/>
      <c r="BB18" s="149"/>
      <c r="BC18" s="149"/>
      <c r="BD18" s="149"/>
      <c r="BE18" s="238">
        <f t="shared" si="23"/>
        <v>1</v>
      </c>
      <c r="BF18" s="218">
        <f t="shared" si="24"/>
        <v>100000000</v>
      </c>
      <c r="BG18" s="205">
        <f t="shared" si="21"/>
        <v>0</v>
      </c>
      <c r="BH18" s="205">
        <f t="shared" si="21"/>
        <v>0</v>
      </c>
      <c r="BI18" s="205">
        <f t="shared" si="21"/>
        <v>0</v>
      </c>
      <c r="BJ18" s="205">
        <f t="shared" si="21"/>
        <v>0</v>
      </c>
      <c r="BK18" s="205">
        <f t="shared" si="21"/>
        <v>0</v>
      </c>
      <c r="BL18" s="205">
        <f t="shared" si="21"/>
        <v>0</v>
      </c>
      <c r="BM18" s="205">
        <f t="shared" si="21"/>
        <v>100000000</v>
      </c>
      <c r="BN18" s="205">
        <f t="shared" si="21"/>
        <v>0</v>
      </c>
      <c r="BO18" s="205">
        <f t="shared" si="21"/>
        <v>0</v>
      </c>
      <c r="BP18" s="205">
        <f t="shared" si="21"/>
        <v>0</v>
      </c>
      <c r="BQ18" s="205">
        <f t="shared" si="21"/>
        <v>0</v>
      </c>
      <c r="BR18" s="205">
        <f t="shared" si="21"/>
        <v>0</v>
      </c>
      <c r="BS18" s="238">
        <f t="shared" si="25"/>
        <v>0</v>
      </c>
      <c r="BT18" s="218">
        <f t="shared" si="26"/>
        <v>0</v>
      </c>
      <c r="BU18" s="149"/>
      <c r="BV18" s="149"/>
      <c r="BW18" s="149"/>
      <c r="BX18" s="149"/>
      <c r="BY18" s="149"/>
      <c r="BZ18" s="149"/>
      <c r="CA18" s="149"/>
      <c r="CB18" s="149"/>
      <c r="CC18" s="149"/>
      <c r="CD18" s="149"/>
      <c r="CE18" s="149"/>
      <c r="CF18" s="149"/>
      <c r="CG18" s="238">
        <f t="shared" si="27"/>
        <v>1</v>
      </c>
      <c r="CH18" s="218">
        <f t="shared" si="28"/>
        <v>100000000</v>
      </c>
      <c r="CI18" s="205">
        <f t="shared" si="22"/>
        <v>0</v>
      </c>
      <c r="CJ18" s="205">
        <f t="shared" si="22"/>
        <v>0</v>
      </c>
      <c r="CK18" s="205">
        <f t="shared" si="22"/>
        <v>0</v>
      </c>
      <c r="CL18" s="205">
        <f t="shared" si="22"/>
        <v>0</v>
      </c>
      <c r="CM18" s="205">
        <f t="shared" si="22"/>
        <v>0</v>
      </c>
      <c r="CN18" s="205">
        <f t="shared" si="22"/>
        <v>0</v>
      </c>
      <c r="CO18" s="205">
        <f t="shared" si="22"/>
        <v>100000000</v>
      </c>
      <c r="CP18" s="205">
        <f t="shared" si="22"/>
        <v>0</v>
      </c>
      <c r="CQ18" s="205">
        <f t="shared" si="22"/>
        <v>0</v>
      </c>
      <c r="CR18" s="205">
        <f t="shared" si="22"/>
        <v>0</v>
      </c>
      <c r="CS18" s="205">
        <f t="shared" si="22"/>
        <v>0</v>
      </c>
      <c r="CT18" s="205">
        <f t="shared" si="22"/>
        <v>0</v>
      </c>
    </row>
    <row r="19" spans="1:98" ht="47.25" customHeight="1" x14ac:dyDescent="0.25">
      <c r="A19" s="1244"/>
      <c r="B19" s="1244"/>
      <c r="C19" s="1244"/>
      <c r="D19" s="1244"/>
      <c r="E19" s="2" t="s">
        <v>3099</v>
      </c>
      <c r="F19" s="100" t="s">
        <v>3199</v>
      </c>
      <c r="G19" s="107">
        <v>150000000</v>
      </c>
      <c r="H19" s="107">
        <v>165000000</v>
      </c>
      <c r="I19" s="107">
        <v>165000000</v>
      </c>
      <c r="J19" s="2" t="s">
        <v>3285</v>
      </c>
      <c r="K19" s="100" t="s">
        <v>3288</v>
      </c>
      <c r="L19" s="2">
        <v>11</v>
      </c>
      <c r="M19" s="104"/>
      <c r="N19" s="2" t="s">
        <v>3782</v>
      </c>
      <c r="O19" s="154" t="s">
        <v>3200</v>
      </c>
      <c r="P19" s="155">
        <v>165000000</v>
      </c>
      <c r="Q19" s="158">
        <v>165000000</v>
      </c>
      <c r="R19" s="561">
        <v>520</v>
      </c>
      <c r="S19" s="157">
        <f>+Q19-U19</f>
        <v>-25000000</v>
      </c>
      <c r="T19" s="1288"/>
      <c r="U19" s="149">
        <f t="shared" si="13"/>
        <v>190000000</v>
      </c>
      <c r="V19" s="149">
        <v>190000000</v>
      </c>
      <c r="W19" s="149"/>
      <c r="X19" s="149"/>
      <c r="Y19" s="149"/>
      <c r="Z19" s="149"/>
      <c r="AA19" s="149"/>
      <c r="AB19" s="149"/>
      <c r="AC19" s="149"/>
      <c r="AD19" s="149"/>
      <c r="AE19" s="149"/>
      <c r="AF19" s="149"/>
      <c r="AG19" s="149"/>
      <c r="AI19" s="739" t="e">
        <f>SUM(AJ19:AP19)</f>
        <v>#REF!</v>
      </c>
      <c r="AJ19" s="739" t="e">
        <f>+#REF!</f>
        <v>#REF!</v>
      </c>
      <c r="AK19" s="739" t="e">
        <f>+#REF!</f>
        <v>#REF!</v>
      </c>
      <c r="AL19" s="739" t="e">
        <f>+#REF!</f>
        <v>#REF!</v>
      </c>
      <c r="AM19" s="739" t="e">
        <f>+#REF!</f>
        <v>#REF!</v>
      </c>
      <c r="AN19" s="739" t="e">
        <f>+#REF!</f>
        <v>#REF!</v>
      </c>
      <c r="AO19" s="739" t="e">
        <f>+#REF!</f>
        <v>#REF!</v>
      </c>
      <c r="AP19" s="739" t="e">
        <f>+#REF!</f>
        <v>#REF!</v>
      </c>
      <c r="AQ19" s="238">
        <f t="shared" si="19"/>
        <v>0.11172867368421052</v>
      </c>
      <c r="AR19" s="218">
        <f t="shared" si="20"/>
        <v>21228448</v>
      </c>
      <c r="AS19" s="149">
        <v>21228448</v>
      </c>
      <c r="AT19" s="149"/>
      <c r="AU19" s="149"/>
      <c r="AV19" s="149"/>
      <c r="AW19" s="149"/>
      <c r="AX19" s="149"/>
      <c r="AY19" s="149"/>
      <c r="AZ19" s="149"/>
      <c r="BA19" s="149"/>
      <c r="BB19" s="149"/>
      <c r="BC19" s="149"/>
      <c r="BD19" s="149"/>
      <c r="BE19" s="238">
        <f t="shared" si="23"/>
        <v>0.88827132631578953</v>
      </c>
      <c r="BF19" s="218">
        <f t="shared" si="24"/>
        <v>168771552</v>
      </c>
      <c r="BG19" s="205">
        <f t="shared" si="21"/>
        <v>168771552</v>
      </c>
      <c r="BH19" s="205">
        <f t="shared" si="21"/>
        <v>0</v>
      </c>
      <c r="BI19" s="205">
        <f t="shared" si="21"/>
        <v>0</v>
      </c>
      <c r="BJ19" s="205">
        <f t="shared" si="21"/>
        <v>0</v>
      </c>
      <c r="BK19" s="205">
        <f t="shared" si="21"/>
        <v>0</v>
      </c>
      <c r="BL19" s="205">
        <f t="shared" si="21"/>
        <v>0</v>
      </c>
      <c r="BM19" s="205">
        <f t="shared" si="21"/>
        <v>0</v>
      </c>
      <c r="BN19" s="205">
        <f t="shared" si="21"/>
        <v>0</v>
      </c>
      <c r="BO19" s="205">
        <f t="shared" si="21"/>
        <v>0</v>
      </c>
      <c r="BP19" s="205">
        <f t="shared" si="21"/>
        <v>0</v>
      </c>
      <c r="BQ19" s="205">
        <f t="shared" si="21"/>
        <v>0</v>
      </c>
      <c r="BR19" s="205">
        <f t="shared" si="21"/>
        <v>0</v>
      </c>
      <c r="BS19" s="238">
        <f t="shared" si="25"/>
        <v>3.3307621052631582E-2</v>
      </c>
      <c r="BT19" s="218">
        <f t="shared" si="26"/>
        <v>6328448</v>
      </c>
      <c r="BU19" s="149">
        <v>6328448</v>
      </c>
      <c r="BV19" s="149"/>
      <c r="BW19" s="149"/>
      <c r="BX19" s="149"/>
      <c r="BY19" s="149"/>
      <c r="BZ19" s="149"/>
      <c r="CA19" s="149"/>
      <c r="CB19" s="149"/>
      <c r="CC19" s="149"/>
      <c r="CD19" s="149"/>
      <c r="CE19" s="149"/>
      <c r="CF19" s="149"/>
      <c r="CG19" s="238">
        <f t="shared" si="27"/>
        <v>0.96669237894736837</v>
      </c>
      <c r="CH19" s="218">
        <f t="shared" si="28"/>
        <v>183671552</v>
      </c>
      <c r="CI19" s="205">
        <f t="shared" si="22"/>
        <v>183671552</v>
      </c>
      <c r="CJ19" s="205">
        <f t="shared" si="22"/>
        <v>0</v>
      </c>
      <c r="CK19" s="205">
        <f t="shared" si="22"/>
        <v>0</v>
      </c>
      <c r="CL19" s="205">
        <f t="shared" si="22"/>
        <v>0</v>
      </c>
      <c r="CM19" s="205">
        <f t="shared" si="22"/>
        <v>0</v>
      </c>
      <c r="CN19" s="205">
        <f t="shared" si="22"/>
        <v>0</v>
      </c>
      <c r="CO19" s="205">
        <f t="shared" si="22"/>
        <v>0</v>
      </c>
      <c r="CP19" s="205">
        <f t="shared" si="22"/>
        <v>0</v>
      </c>
      <c r="CQ19" s="205">
        <f t="shared" si="22"/>
        <v>0</v>
      </c>
      <c r="CR19" s="205">
        <f t="shared" si="22"/>
        <v>0</v>
      </c>
      <c r="CS19" s="205">
        <f t="shared" si="22"/>
        <v>0</v>
      </c>
      <c r="CT19" s="205">
        <f t="shared" si="22"/>
        <v>0</v>
      </c>
    </row>
    <row r="20" spans="1:98" ht="98.45" customHeight="1" x14ac:dyDescent="0.25">
      <c r="A20" s="1425"/>
      <c r="B20" s="1425"/>
      <c r="C20" s="1425"/>
      <c r="D20" s="1425"/>
      <c r="E20" s="111" t="s">
        <v>3099</v>
      </c>
      <c r="F20" s="112" t="s">
        <v>3290</v>
      </c>
      <c r="G20" s="113">
        <v>25000000</v>
      </c>
      <c r="H20" s="113">
        <v>25000000</v>
      </c>
      <c r="I20" s="113">
        <v>25000000</v>
      </c>
      <c r="J20" s="111" t="s">
        <v>3286</v>
      </c>
      <c r="K20" s="112" t="s">
        <v>3228</v>
      </c>
      <c r="L20" s="111">
        <v>5</v>
      </c>
      <c r="M20" s="114">
        <v>0</v>
      </c>
      <c r="N20" s="2" t="s">
        <v>3783</v>
      </c>
      <c r="O20" s="159" t="s">
        <v>3784</v>
      </c>
      <c r="P20" s="160">
        <v>25000000</v>
      </c>
      <c r="Q20" s="168">
        <v>25000000</v>
      </c>
      <c r="R20" s="561">
        <v>520</v>
      </c>
      <c r="S20" s="157">
        <f>+Q20-U20</f>
        <v>-55000000</v>
      </c>
      <c r="T20" s="1288"/>
      <c r="U20" s="149">
        <f t="shared" si="13"/>
        <v>80000000</v>
      </c>
      <c r="V20" s="149"/>
      <c r="W20" s="149"/>
      <c r="X20" s="149"/>
      <c r="Y20" s="149"/>
      <c r="Z20" s="149"/>
      <c r="AA20" s="149"/>
      <c r="AB20" s="149"/>
      <c r="AC20" s="149">
        <v>80000000</v>
      </c>
      <c r="AD20" s="149"/>
      <c r="AE20" s="149"/>
      <c r="AF20" s="149"/>
      <c r="AG20" s="149"/>
      <c r="AI20" s="739" t="e">
        <f>SUM(AJ20:AP20)</f>
        <v>#REF!</v>
      </c>
      <c r="AJ20" s="739" t="e">
        <f>+#REF!</f>
        <v>#REF!</v>
      </c>
      <c r="AK20" s="739" t="e">
        <f>+#REF!</f>
        <v>#REF!</v>
      </c>
      <c r="AL20" s="739" t="e">
        <f>+#REF!</f>
        <v>#REF!</v>
      </c>
      <c r="AM20" s="739" t="e">
        <f>+#REF!</f>
        <v>#REF!</v>
      </c>
      <c r="AN20" s="739" t="e">
        <f>+#REF!</f>
        <v>#REF!</v>
      </c>
      <c r="AO20" s="739" t="e">
        <f>+#REF!</f>
        <v>#REF!</v>
      </c>
      <c r="AP20" s="739" t="e">
        <f>+#REF!</f>
        <v>#REF!</v>
      </c>
      <c r="AQ20" s="238">
        <f t="shared" si="19"/>
        <v>6.3750000000000001E-2</v>
      </c>
      <c r="AR20" s="218">
        <f t="shared" si="20"/>
        <v>5100000</v>
      </c>
      <c r="AS20" s="149"/>
      <c r="AT20" s="149"/>
      <c r="AU20" s="149"/>
      <c r="AV20" s="149"/>
      <c r="AW20" s="149"/>
      <c r="AX20" s="149"/>
      <c r="AY20" s="149"/>
      <c r="AZ20" s="149">
        <v>5100000</v>
      </c>
      <c r="BA20" s="149"/>
      <c r="BB20" s="149"/>
      <c r="BC20" s="149"/>
      <c r="BD20" s="149"/>
      <c r="BE20" s="238">
        <f t="shared" si="23"/>
        <v>0.93625000000000003</v>
      </c>
      <c r="BF20" s="218">
        <f t="shared" si="24"/>
        <v>74900000</v>
      </c>
      <c r="BG20" s="205">
        <f t="shared" si="21"/>
        <v>0</v>
      </c>
      <c r="BH20" s="205">
        <f t="shared" si="21"/>
        <v>0</v>
      </c>
      <c r="BI20" s="205">
        <f t="shared" si="21"/>
        <v>0</v>
      </c>
      <c r="BJ20" s="205">
        <f t="shared" si="21"/>
        <v>0</v>
      </c>
      <c r="BK20" s="205">
        <f t="shared" si="21"/>
        <v>0</v>
      </c>
      <c r="BL20" s="205">
        <f t="shared" si="21"/>
        <v>0</v>
      </c>
      <c r="BM20" s="205">
        <f t="shared" si="21"/>
        <v>0</v>
      </c>
      <c r="BN20" s="205">
        <f t="shared" si="21"/>
        <v>74900000</v>
      </c>
      <c r="BO20" s="205">
        <f t="shared" si="21"/>
        <v>0</v>
      </c>
      <c r="BP20" s="205">
        <f t="shared" si="21"/>
        <v>0</v>
      </c>
      <c r="BQ20" s="205">
        <f t="shared" si="21"/>
        <v>0</v>
      </c>
      <c r="BR20" s="205">
        <f t="shared" si="21"/>
        <v>0</v>
      </c>
      <c r="BS20" s="238">
        <f t="shared" si="25"/>
        <v>6.3750000000000001E-2</v>
      </c>
      <c r="BT20" s="218">
        <f t="shared" si="26"/>
        <v>5100000</v>
      </c>
      <c r="BU20" s="149"/>
      <c r="BV20" s="149"/>
      <c r="BW20" s="149"/>
      <c r="BX20" s="149"/>
      <c r="BY20" s="149"/>
      <c r="BZ20" s="149"/>
      <c r="CA20" s="149"/>
      <c r="CB20" s="149">
        <v>5100000</v>
      </c>
      <c r="CC20" s="149"/>
      <c r="CD20" s="149"/>
      <c r="CE20" s="149"/>
      <c r="CF20" s="149"/>
      <c r="CG20" s="238">
        <f t="shared" si="27"/>
        <v>0.93625000000000003</v>
      </c>
      <c r="CH20" s="218">
        <f t="shared" si="28"/>
        <v>74900000</v>
      </c>
      <c r="CI20" s="205">
        <f t="shared" si="22"/>
        <v>0</v>
      </c>
      <c r="CJ20" s="205">
        <f t="shared" si="22"/>
        <v>0</v>
      </c>
      <c r="CK20" s="205">
        <f t="shared" si="22"/>
        <v>0</v>
      </c>
      <c r="CL20" s="205">
        <f t="shared" si="22"/>
        <v>0</v>
      </c>
      <c r="CM20" s="205">
        <f t="shared" si="22"/>
        <v>0</v>
      </c>
      <c r="CN20" s="205">
        <f t="shared" si="22"/>
        <v>0</v>
      </c>
      <c r="CO20" s="205">
        <f t="shared" si="22"/>
        <v>0</v>
      </c>
      <c r="CP20" s="205">
        <f t="shared" si="22"/>
        <v>74900000</v>
      </c>
      <c r="CQ20" s="205">
        <f t="shared" si="22"/>
        <v>0</v>
      </c>
      <c r="CR20" s="205">
        <f t="shared" si="22"/>
        <v>0</v>
      </c>
      <c r="CS20" s="205">
        <f t="shared" si="22"/>
        <v>0</v>
      </c>
      <c r="CT20" s="205">
        <f t="shared" si="22"/>
        <v>0</v>
      </c>
    </row>
    <row r="21" spans="1:98" ht="24" customHeight="1" x14ac:dyDescent="0.25">
      <c r="A21" s="1209" t="s">
        <v>3406</v>
      </c>
      <c r="B21" s="1209"/>
      <c r="C21" s="1209"/>
      <c r="D21" s="1209"/>
      <c r="E21" s="1209"/>
      <c r="F21" s="1209"/>
      <c r="G21" s="728">
        <f>SUM(G12:G20)</f>
        <v>275000000</v>
      </c>
      <c r="H21" s="728">
        <f>SUM(H12:H20)</f>
        <v>290000000</v>
      </c>
      <c r="I21" s="728">
        <f>SUM(I12:I20)</f>
        <v>290000000</v>
      </c>
      <c r="J21" s="1207"/>
      <c r="K21" s="1208"/>
      <c r="L21" s="1208"/>
      <c r="M21" s="1217"/>
      <c r="N21" s="1209" t="s">
        <v>3406</v>
      </c>
      <c r="O21" s="1209"/>
      <c r="P21" s="1209"/>
      <c r="Q21" s="1209"/>
      <c r="R21" s="1209"/>
      <c r="S21" s="1209"/>
      <c r="T21" s="1209"/>
      <c r="U21" s="149">
        <f>SUM(U12:U20)</f>
        <v>435000000</v>
      </c>
      <c r="V21" s="149">
        <f t="shared" ref="V21:AG21" si="29">SUM(V12:V20)</f>
        <v>215000000</v>
      </c>
      <c r="W21" s="149">
        <f t="shared" si="29"/>
        <v>0</v>
      </c>
      <c r="X21" s="149">
        <f t="shared" si="29"/>
        <v>0</v>
      </c>
      <c r="Y21" s="149">
        <f t="shared" si="29"/>
        <v>0</v>
      </c>
      <c r="Z21" s="149">
        <f t="shared" si="29"/>
        <v>0</v>
      </c>
      <c r="AA21" s="149">
        <f t="shared" si="29"/>
        <v>0</v>
      </c>
      <c r="AB21" s="149">
        <f t="shared" si="29"/>
        <v>100000000</v>
      </c>
      <c r="AC21" s="149">
        <f t="shared" si="29"/>
        <v>105000000</v>
      </c>
      <c r="AD21" s="149">
        <f t="shared" si="29"/>
        <v>15000000</v>
      </c>
      <c r="AE21" s="149">
        <f t="shared" si="29"/>
        <v>0</v>
      </c>
      <c r="AF21" s="149">
        <f t="shared" si="29"/>
        <v>0</v>
      </c>
      <c r="AG21" s="149">
        <f t="shared" si="29"/>
        <v>0</v>
      </c>
      <c r="AI21" s="149" t="e">
        <f>SUM(AI12:AI20)</f>
        <v>#REF!</v>
      </c>
      <c r="AJ21" s="739" t="e">
        <f>+#REF!</f>
        <v>#REF!</v>
      </c>
      <c r="AK21" s="739" t="e">
        <f>+#REF!</f>
        <v>#REF!</v>
      </c>
      <c r="AL21" s="739" t="e">
        <f>+#REF!</f>
        <v>#REF!</v>
      </c>
      <c r="AM21" s="739" t="e">
        <f>+#REF!</f>
        <v>#REF!</v>
      </c>
      <c r="AN21" s="739" t="e">
        <f>+#REF!</f>
        <v>#REF!</v>
      </c>
      <c r="AO21" s="739" t="e">
        <f>+#REF!</f>
        <v>#REF!</v>
      </c>
      <c r="AP21" s="739" t="e">
        <f>+#REF!</f>
        <v>#REF!</v>
      </c>
      <c r="AQ21" s="238">
        <f t="shared" si="19"/>
        <v>6.0525167816091956E-2</v>
      </c>
      <c r="AR21" s="149">
        <f t="shared" ref="AR21:BD21" si="30">SUM(AR12:AR20)</f>
        <v>26328448</v>
      </c>
      <c r="AS21" s="149">
        <f t="shared" si="30"/>
        <v>21228448</v>
      </c>
      <c r="AT21" s="149">
        <f t="shared" si="30"/>
        <v>0</v>
      </c>
      <c r="AU21" s="149">
        <f t="shared" si="30"/>
        <v>0</v>
      </c>
      <c r="AV21" s="149">
        <f t="shared" si="30"/>
        <v>0</v>
      </c>
      <c r="AW21" s="149">
        <f t="shared" si="30"/>
        <v>0</v>
      </c>
      <c r="AX21" s="149">
        <f t="shared" si="30"/>
        <v>0</v>
      </c>
      <c r="AY21" s="149">
        <f t="shared" si="30"/>
        <v>0</v>
      </c>
      <c r="AZ21" s="149">
        <f t="shared" si="30"/>
        <v>5100000</v>
      </c>
      <c r="BA21" s="149">
        <f t="shared" si="30"/>
        <v>0</v>
      </c>
      <c r="BB21" s="149">
        <f t="shared" si="30"/>
        <v>0</v>
      </c>
      <c r="BC21" s="149">
        <f t="shared" si="30"/>
        <v>0</v>
      </c>
      <c r="BD21" s="149">
        <f t="shared" si="30"/>
        <v>0</v>
      </c>
      <c r="BE21" s="238">
        <f>1-AQ21</f>
        <v>0.93947483218390804</v>
      </c>
      <c r="BF21" s="149">
        <f t="shared" ref="BF21:BR21" si="31">SUM(BF12:BF20)</f>
        <v>408671552</v>
      </c>
      <c r="BG21" s="149">
        <f t="shared" si="31"/>
        <v>193771552</v>
      </c>
      <c r="BH21" s="149">
        <f t="shared" si="31"/>
        <v>0</v>
      </c>
      <c r="BI21" s="149">
        <f t="shared" si="31"/>
        <v>0</v>
      </c>
      <c r="BJ21" s="149">
        <f t="shared" si="31"/>
        <v>0</v>
      </c>
      <c r="BK21" s="149">
        <f t="shared" si="31"/>
        <v>0</v>
      </c>
      <c r="BL21" s="149">
        <f t="shared" si="31"/>
        <v>0</v>
      </c>
      <c r="BM21" s="149">
        <f t="shared" si="31"/>
        <v>100000000</v>
      </c>
      <c r="BN21" s="149">
        <f t="shared" si="31"/>
        <v>99900000</v>
      </c>
      <c r="BO21" s="149">
        <f t="shared" si="31"/>
        <v>15000000</v>
      </c>
      <c r="BP21" s="149">
        <f t="shared" si="31"/>
        <v>0</v>
      </c>
      <c r="BQ21" s="149">
        <f t="shared" si="31"/>
        <v>0</v>
      </c>
      <c r="BR21" s="149">
        <f t="shared" si="31"/>
        <v>0</v>
      </c>
      <c r="BS21" s="238">
        <f>+BT21/U21</f>
        <v>2.6272294252873564E-2</v>
      </c>
      <c r="BT21" s="149">
        <f t="shared" ref="BT21:CF21" si="32">SUM(BT12:BT20)</f>
        <v>11428448</v>
      </c>
      <c r="BU21" s="149">
        <f t="shared" si="32"/>
        <v>6328448</v>
      </c>
      <c r="BV21" s="149">
        <f t="shared" si="32"/>
        <v>0</v>
      </c>
      <c r="BW21" s="149">
        <f t="shared" si="32"/>
        <v>0</v>
      </c>
      <c r="BX21" s="149">
        <f t="shared" si="32"/>
        <v>0</v>
      </c>
      <c r="BY21" s="149">
        <f t="shared" si="32"/>
        <v>0</v>
      </c>
      <c r="BZ21" s="149">
        <f t="shared" si="32"/>
        <v>0</v>
      </c>
      <c r="CA21" s="149">
        <f t="shared" si="32"/>
        <v>0</v>
      </c>
      <c r="CB21" s="149">
        <f t="shared" si="32"/>
        <v>5100000</v>
      </c>
      <c r="CC21" s="149">
        <f t="shared" si="32"/>
        <v>0</v>
      </c>
      <c r="CD21" s="149">
        <f t="shared" si="32"/>
        <v>0</v>
      </c>
      <c r="CE21" s="149">
        <f t="shared" si="32"/>
        <v>0</v>
      </c>
      <c r="CF21" s="149">
        <f t="shared" si="32"/>
        <v>0</v>
      </c>
      <c r="CG21" s="238">
        <f>1-BS21</f>
        <v>0.97372770574712642</v>
      </c>
      <c r="CH21" s="149">
        <f t="shared" ref="CH21:CT21" si="33">SUM(CH12:CH20)</f>
        <v>423571552</v>
      </c>
      <c r="CI21" s="149">
        <f t="shared" si="33"/>
        <v>208671552</v>
      </c>
      <c r="CJ21" s="149">
        <f t="shared" si="33"/>
        <v>0</v>
      </c>
      <c r="CK21" s="149">
        <f t="shared" si="33"/>
        <v>0</v>
      </c>
      <c r="CL21" s="149">
        <f t="shared" si="33"/>
        <v>0</v>
      </c>
      <c r="CM21" s="149">
        <f t="shared" si="33"/>
        <v>0</v>
      </c>
      <c r="CN21" s="149">
        <f t="shared" si="33"/>
        <v>0</v>
      </c>
      <c r="CO21" s="149">
        <f t="shared" si="33"/>
        <v>100000000</v>
      </c>
      <c r="CP21" s="149">
        <f t="shared" si="33"/>
        <v>99900000</v>
      </c>
      <c r="CQ21" s="149">
        <f t="shared" si="33"/>
        <v>15000000</v>
      </c>
      <c r="CR21" s="149">
        <f t="shared" si="33"/>
        <v>0</v>
      </c>
      <c r="CS21" s="149">
        <f t="shared" si="33"/>
        <v>0</v>
      </c>
      <c r="CT21" s="149">
        <f t="shared" si="33"/>
        <v>0</v>
      </c>
    </row>
    <row r="22" spans="1:98" ht="15.75" customHeight="1" x14ac:dyDescent="0.25">
      <c r="A22" s="123"/>
      <c r="B22" s="123"/>
      <c r="C22" s="123"/>
      <c r="D22" s="123"/>
      <c r="E22" s="123"/>
      <c r="F22" s="123"/>
      <c r="G22" s="123"/>
      <c r="H22" s="123"/>
      <c r="I22" s="123"/>
      <c r="J22" s="123"/>
      <c r="K22" s="123"/>
      <c r="L22" s="123"/>
      <c r="M22" s="123"/>
      <c r="N22" s="230"/>
      <c r="O22" s="691"/>
      <c r="P22" s="691"/>
      <c r="Q22" s="691"/>
      <c r="R22" s="688"/>
      <c r="S22" s="688"/>
      <c r="T22" s="692"/>
      <c r="U22" s="690">
        <f>+U21-AG21</f>
        <v>435000000</v>
      </c>
      <c r="V22" s="691"/>
      <c r="W22" s="691"/>
      <c r="X22" s="691"/>
      <c r="Y22" s="691"/>
      <c r="Z22" s="691"/>
      <c r="AA22" s="691"/>
      <c r="AB22" s="691"/>
      <c r="AC22" s="691"/>
      <c r="AD22" s="691"/>
      <c r="AE22" s="691"/>
      <c r="AF22" s="691"/>
      <c r="AG22" s="691"/>
      <c r="AI22" s="143"/>
      <c r="AJ22" s="143"/>
      <c r="AK22" s="143"/>
      <c r="AL22" s="143"/>
      <c r="AM22" s="143"/>
      <c r="AN22" s="143"/>
      <c r="AO22" s="143"/>
      <c r="AP22" s="143"/>
      <c r="AQ22" s="239"/>
      <c r="AR22" s="150"/>
      <c r="AS22" s="231"/>
      <c r="AT22" s="231"/>
      <c r="AU22" s="231"/>
      <c r="AV22" s="231"/>
      <c r="AW22" s="231"/>
      <c r="AX22" s="231"/>
      <c r="AY22" s="231"/>
      <c r="AZ22" s="231"/>
      <c r="BA22" s="231"/>
      <c r="BB22" s="231"/>
      <c r="BC22" s="231"/>
      <c r="BD22" s="231"/>
      <c r="BE22" s="239"/>
      <c r="BF22" s="150"/>
      <c r="BG22" s="234"/>
      <c r="BH22" s="234"/>
      <c r="BI22" s="234"/>
      <c r="BJ22" s="234"/>
      <c r="BK22" s="234"/>
      <c r="BL22" s="234"/>
      <c r="BM22" s="234"/>
      <c r="BN22" s="234"/>
      <c r="BO22" s="234"/>
      <c r="BP22" s="234"/>
      <c r="BQ22" s="234"/>
      <c r="BR22" s="234"/>
      <c r="BS22" s="239"/>
      <c r="BT22" s="150"/>
      <c r="BU22" s="231"/>
      <c r="BV22" s="231"/>
      <c r="BW22" s="231"/>
      <c r="BX22" s="231"/>
      <c r="BY22" s="231"/>
      <c r="BZ22" s="231"/>
      <c r="CA22" s="231"/>
      <c r="CB22" s="231"/>
      <c r="CC22" s="231"/>
      <c r="CD22" s="231"/>
      <c r="CE22" s="231"/>
      <c r="CF22" s="231"/>
      <c r="CG22" s="239"/>
      <c r="CH22" s="150"/>
      <c r="CI22" s="234"/>
      <c r="CJ22" s="234"/>
      <c r="CK22" s="234"/>
      <c r="CL22" s="234"/>
      <c r="CM22" s="234"/>
      <c r="CN22" s="234"/>
      <c r="CO22" s="234"/>
      <c r="CP22" s="234"/>
      <c r="CQ22" s="234"/>
      <c r="CR22" s="234"/>
      <c r="CS22" s="234"/>
      <c r="CT22" s="234"/>
    </row>
    <row r="23" spans="1:98" ht="45" customHeight="1" x14ac:dyDescent="0.25">
      <c r="A23" s="1244" t="s">
        <v>2923</v>
      </c>
      <c r="B23" s="1244" t="s">
        <v>3162</v>
      </c>
      <c r="C23" s="1244" t="s">
        <v>2925</v>
      </c>
      <c r="D23" s="1244" t="s">
        <v>3163</v>
      </c>
      <c r="E23" s="1244" t="s">
        <v>2927</v>
      </c>
      <c r="F23" s="1244" t="s">
        <v>3164</v>
      </c>
      <c r="G23" s="717">
        <v>50000000</v>
      </c>
      <c r="H23" s="717">
        <v>50000000</v>
      </c>
      <c r="I23" s="717">
        <v>200000000</v>
      </c>
      <c r="J23" s="707" t="s">
        <v>2929</v>
      </c>
      <c r="K23" s="731" t="s">
        <v>3217</v>
      </c>
      <c r="L23" s="707">
        <v>2</v>
      </c>
      <c r="M23" s="732">
        <v>0</v>
      </c>
      <c r="N23" s="707" t="s">
        <v>3786</v>
      </c>
      <c r="O23" s="165" t="s">
        <v>3785</v>
      </c>
      <c r="P23" s="166">
        <v>50000000</v>
      </c>
      <c r="Q23" s="166">
        <v>51737900</v>
      </c>
      <c r="R23" s="561">
        <v>510</v>
      </c>
      <c r="S23" s="157">
        <f>+Q23-U23</f>
        <v>36737900</v>
      </c>
      <c r="T23" s="1427" t="s">
        <v>3351</v>
      </c>
      <c r="U23" s="149">
        <f t="shared" si="13"/>
        <v>15000000</v>
      </c>
      <c r="V23" s="149">
        <v>15000000</v>
      </c>
      <c r="W23" s="149"/>
      <c r="X23" s="149"/>
      <c r="Y23" s="149"/>
      <c r="Z23" s="149"/>
      <c r="AA23" s="149"/>
      <c r="AB23" s="149"/>
      <c r="AC23" s="149"/>
      <c r="AD23" s="149"/>
      <c r="AE23" s="149"/>
      <c r="AF23" s="149"/>
      <c r="AG23" s="149"/>
      <c r="AI23" s="739">
        <f>SUM(AJ23:AP23)</f>
        <v>3000000</v>
      </c>
      <c r="AJ23" s="728">
        <v>1000000</v>
      </c>
      <c r="AK23" s="728"/>
      <c r="AL23" s="728"/>
      <c r="AM23" s="728"/>
      <c r="AN23" s="728"/>
      <c r="AO23" s="728">
        <v>2000000</v>
      </c>
      <c r="AP23" s="212"/>
      <c r="AQ23" s="238">
        <f t="shared" ref="AQ23:AQ86" si="34">+AR23/U23</f>
        <v>0.95946200000000004</v>
      </c>
      <c r="AR23" s="218">
        <f t="shared" ref="AR23:AR85" si="35">SUM(AS23:BD23)</f>
        <v>14391930</v>
      </c>
      <c r="AS23" s="149">
        <v>14391930</v>
      </c>
      <c r="AT23" s="149"/>
      <c r="AU23" s="149"/>
      <c r="AV23" s="149"/>
      <c r="AW23" s="149"/>
      <c r="AX23" s="149"/>
      <c r="AY23" s="149"/>
      <c r="AZ23" s="149"/>
      <c r="BA23" s="149"/>
      <c r="BB23" s="149"/>
      <c r="BC23" s="149"/>
      <c r="BD23" s="149"/>
      <c r="BE23" s="238">
        <f>1-AQ23</f>
        <v>4.0537999999999963E-2</v>
      </c>
      <c r="BF23" s="218">
        <f>SUM(BG23:BR23)</f>
        <v>608070</v>
      </c>
      <c r="BG23" s="205">
        <f t="shared" ref="BG23:BR44" si="36">+V23-AS23</f>
        <v>608070</v>
      </c>
      <c r="BH23" s="205">
        <f t="shared" si="36"/>
        <v>0</v>
      </c>
      <c r="BI23" s="205">
        <f t="shared" si="36"/>
        <v>0</v>
      </c>
      <c r="BJ23" s="205">
        <f t="shared" si="36"/>
        <v>0</v>
      </c>
      <c r="BK23" s="205">
        <f t="shared" si="36"/>
        <v>0</v>
      </c>
      <c r="BL23" s="205">
        <f t="shared" si="36"/>
        <v>0</v>
      </c>
      <c r="BM23" s="205">
        <f t="shared" si="36"/>
        <v>0</v>
      </c>
      <c r="BN23" s="205">
        <f t="shared" si="36"/>
        <v>0</v>
      </c>
      <c r="BO23" s="205">
        <f t="shared" si="36"/>
        <v>0</v>
      </c>
      <c r="BP23" s="205">
        <f t="shared" si="36"/>
        <v>0</v>
      </c>
      <c r="BQ23" s="205">
        <f t="shared" si="36"/>
        <v>0</v>
      </c>
      <c r="BR23" s="205">
        <f t="shared" si="36"/>
        <v>0</v>
      </c>
      <c r="BS23" s="238">
        <f>+BT23/U23</f>
        <v>0</v>
      </c>
      <c r="BT23" s="218">
        <f>SUM(BU23:CF23)</f>
        <v>0</v>
      </c>
      <c r="BU23" s="149"/>
      <c r="BV23" s="149"/>
      <c r="BW23" s="149"/>
      <c r="BX23" s="149"/>
      <c r="BY23" s="149"/>
      <c r="BZ23" s="149"/>
      <c r="CA23" s="149"/>
      <c r="CB23" s="149"/>
      <c r="CC23" s="149"/>
      <c r="CD23" s="149"/>
      <c r="CE23" s="149"/>
      <c r="CF23" s="149"/>
      <c r="CG23" s="238">
        <f>1-BS23</f>
        <v>1</v>
      </c>
      <c r="CH23" s="218">
        <f>SUM(CI23:CT23)</f>
        <v>15000000</v>
      </c>
      <c r="CI23" s="205">
        <f t="shared" ref="CI23:CT38" si="37">+V23-BU23</f>
        <v>15000000</v>
      </c>
      <c r="CJ23" s="205">
        <f t="shared" si="37"/>
        <v>0</v>
      </c>
      <c r="CK23" s="205">
        <f t="shared" si="37"/>
        <v>0</v>
      </c>
      <c r="CL23" s="205">
        <f t="shared" si="37"/>
        <v>0</v>
      </c>
      <c r="CM23" s="205">
        <f t="shared" si="37"/>
        <v>0</v>
      </c>
      <c r="CN23" s="205">
        <f t="shared" si="37"/>
        <v>0</v>
      </c>
      <c r="CO23" s="205">
        <f t="shared" si="37"/>
        <v>0</v>
      </c>
      <c r="CP23" s="205">
        <f t="shared" si="37"/>
        <v>0</v>
      </c>
      <c r="CQ23" s="205">
        <f t="shared" si="37"/>
        <v>0</v>
      </c>
      <c r="CR23" s="205">
        <f t="shared" si="37"/>
        <v>0</v>
      </c>
      <c r="CS23" s="205">
        <f t="shared" si="37"/>
        <v>0</v>
      </c>
      <c r="CT23" s="205">
        <f t="shared" si="37"/>
        <v>0</v>
      </c>
    </row>
    <row r="24" spans="1:98" ht="69.599999999999994" customHeight="1" x14ac:dyDescent="0.25">
      <c r="A24" s="1244"/>
      <c r="B24" s="1244"/>
      <c r="C24" s="1244"/>
      <c r="D24" s="1244"/>
      <c r="E24" s="1260"/>
      <c r="F24" s="1260"/>
      <c r="G24" s="717">
        <v>30000000</v>
      </c>
      <c r="H24" s="101">
        <v>0</v>
      </c>
      <c r="I24" s="101">
        <v>0</v>
      </c>
      <c r="J24" s="2" t="s">
        <v>2933</v>
      </c>
      <c r="K24" s="100" t="s">
        <v>3218</v>
      </c>
      <c r="L24" s="2">
        <v>0</v>
      </c>
      <c r="M24" s="101">
        <v>0</v>
      </c>
      <c r="N24" s="707" t="s">
        <v>3787</v>
      </c>
      <c r="O24" s="154" t="s">
        <v>3797</v>
      </c>
      <c r="P24" s="170">
        <v>0</v>
      </c>
      <c r="Q24" s="155">
        <v>18000000</v>
      </c>
      <c r="R24" s="561">
        <v>510</v>
      </c>
      <c r="S24" s="157">
        <f>+Q24-U24</f>
        <v>3000000</v>
      </c>
      <c r="T24" s="1427"/>
      <c r="U24" s="149">
        <f t="shared" si="13"/>
        <v>15000000</v>
      </c>
      <c r="V24" s="149">
        <v>15000000</v>
      </c>
      <c r="W24" s="149"/>
      <c r="X24" s="149"/>
      <c r="Y24" s="149"/>
      <c r="Z24" s="149"/>
      <c r="AA24" s="149"/>
      <c r="AB24" s="149"/>
      <c r="AC24" s="149"/>
      <c r="AD24" s="149"/>
      <c r="AE24" s="149"/>
      <c r="AF24" s="149"/>
      <c r="AG24" s="149"/>
      <c r="AI24" s="739">
        <f>SUM(AJ24:AP24)</f>
        <v>39000000</v>
      </c>
      <c r="AJ24" s="728">
        <v>9000000</v>
      </c>
      <c r="AK24" s="728"/>
      <c r="AL24" s="728">
        <f>15000000+15000000</f>
        <v>30000000</v>
      </c>
      <c r="AM24" s="728"/>
      <c r="AN24" s="728"/>
      <c r="AO24" s="728"/>
      <c r="AP24" s="212"/>
      <c r="AQ24" s="238">
        <f t="shared" si="34"/>
        <v>3.1097066666666666E-2</v>
      </c>
      <c r="AR24" s="218">
        <f t="shared" si="35"/>
        <v>466456</v>
      </c>
      <c r="AS24" s="149">
        <v>466456</v>
      </c>
      <c r="AT24" s="149"/>
      <c r="AU24" s="149"/>
      <c r="AV24" s="149"/>
      <c r="AW24" s="149"/>
      <c r="AX24" s="149"/>
      <c r="AY24" s="149"/>
      <c r="AZ24" s="149"/>
      <c r="BA24" s="149"/>
      <c r="BB24" s="149"/>
      <c r="BC24" s="149"/>
      <c r="BD24" s="149"/>
      <c r="BE24" s="238">
        <f t="shared" ref="BE24:BE85" si="38">1-AQ24</f>
        <v>0.96890293333333333</v>
      </c>
      <c r="BF24" s="218">
        <f t="shared" ref="BF24:BF85" si="39">SUM(BG24:BR24)</f>
        <v>14533544</v>
      </c>
      <c r="BG24" s="205">
        <f t="shared" si="36"/>
        <v>14533544</v>
      </c>
      <c r="BH24" s="205">
        <f t="shared" si="36"/>
        <v>0</v>
      </c>
      <c r="BI24" s="205">
        <f t="shared" si="36"/>
        <v>0</v>
      </c>
      <c r="BJ24" s="205">
        <f t="shared" si="36"/>
        <v>0</v>
      </c>
      <c r="BK24" s="205">
        <f t="shared" si="36"/>
        <v>0</v>
      </c>
      <c r="BL24" s="205">
        <f t="shared" si="36"/>
        <v>0</v>
      </c>
      <c r="BM24" s="205">
        <f t="shared" si="36"/>
        <v>0</v>
      </c>
      <c r="BN24" s="205">
        <f t="shared" si="36"/>
        <v>0</v>
      </c>
      <c r="BO24" s="205">
        <f t="shared" si="36"/>
        <v>0</v>
      </c>
      <c r="BP24" s="205">
        <f t="shared" si="36"/>
        <v>0</v>
      </c>
      <c r="BQ24" s="205">
        <f t="shared" si="36"/>
        <v>0</v>
      </c>
      <c r="BR24" s="205">
        <f t="shared" si="36"/>
        <v>0</v>
      </c>
      <c r="BS24" s="238">
        <f t="shared" ref="BS24:BS85" si="40">+BT24/U24</f>
        <v>3.1096933333333333E-2</v>
      </c>
      <c r="BT24" s="218">
        <f t="shared" ref="BT24:BT85" si="41">SUM(BU24:CF24)</f>
        <v>466454</v>
      </c>
      <c r="BU24" s="149">
        <v>466454</v>
      </c>
      <c r="BV24" s="149"/>
      <c r="BW24" s="149"/>
      <c r="BX24" s="149"/>
      <c r="BY24" s="149"/>
      <c r="BZ24" s="149"/>
      <c r="CA24" s="149"/>
      <c r="CB24" s="149"/>
      <c r="CC24" s="149"/>
      <c r="CD24" s="149"/>
      <c r="CE24" s="149"/>
      <c r="CF24" s="149"/>
      <c r="CG24" s="238">
        <f t="shared" ref="CG24:CG85" si="42">1-BS24</f>
        <v>0.9689030666666667</v>
      </c>
      <c r="CH24" s="218">
        <f t="shared" ref="CH24:CH85" si="43">SUM(CI24:CT24)</f>
        <v>14533546</v>
      </c>
      <c r="CI24" s="205">
        <f t="shared" si="37"/>
        <v>14533546</v>
      </c>
      <c r="CJ24" s="205">
        <f t="shared" si="37"/>
        <v>0</v>
      </c>
      <c r="CK24" s="205">
        <f t="shared" si="37"/>
        <v>0</v>
      </c>
      <c r="CL24" s="205">
        <f t="shared" si="37"/>
        <v>0</v>
      </c>
      <c r="CM24" s="205">
        <f t="shared" si="37"/>
        <v>0</v>
      </c>
      <c r="CN24" s="205">
        <f t="shared" si="37"/>
        <v>0</v>
      </c>
      <c r="CO24" s="205">
        <f t="shared" si="37"/>
        <v>0</v>
      </c>
      <c r="CP24" s="205">
        <f t="shared" si="37"/>
        <v>0</v>
      </c>
      <c r="CQ24" s="205">
        <f t="shared" si="37"/>
        <v>0</v>
      </c>
      <c r="CR24" s="205">
        <f t="shared" si="37"/>
        <v>0</v>
      </c>
      <c r="CS24" s="205">
        <f t="shared" si="37"/>
        <v>0</v>
      </c>
      <c r="CT24" s="205">
        <f t="shared" si="37"/>
        <v>0</v>
      </c>
    </row>
    <row r="25" spans="1:98" ht="38.25" x14ac:dyDescent="0.25">
      <c r="A25" s="1244"/>
      <c r="B25" s="1244"/>
      <c r="C25" s="1244"/>
      <c r="D25" s="1244"/>
      <c r="E25" s="707"/>
      <c r="F25" s="707"/>
      <c r="G25" s="717"/>
      <c r="H25" s="101"/>
      <c r="I25" s="101"/>
      <c r="J25" s="2"/>
      <c r="K25" s="100"/>
      <c r="L25" s="2"/>
      <c r="M25" s="101"/>
      <c r="N25" s="707" t="s">
        <v>3788</v>
      </c>
      <c r="O25" s="154" t="s">
        <v>3798</v>
      </c>
      <c r="P25" s="170"/>
      <c r="Q25" s="155"/>
      <c r="R25" s="561">
        <v>510</v>
      </c>
      <c r="S25" s="157"/>
      <c r="T25" s="1427"/>
      <c r="U25" s="149">
        <f t="shared" si="13"/>
        <v>15000000</v>
      </c>
      <c r="V25" s="149">
        <v>15000000</v>
      </c>
      <c r="W25" s="149"/>
      <c r="X25" s="149"/>
      <c r="Y25" s="149"/>
      <c r="Z25" s="149"/>
      <c r="AA25" s="149"/>
      <c r="AB25" s="149"/>
      <c r="AC25" s="149"/>
      <c r="AD25" s="149"/>
      <c r="AE25" s="149"/>
      <c r="AF25" s="149"/>
      <c r="AG25" s="149"/>
      <c r="AI25" s="739"/>
      <c r="AJ25" s="728"/>
      <c r="AK25" s="728"/>
      <c r="AL25" s="728"/>
      <c r="AM25" s="728"/>
      <c r="AN25" s="728"/>
      <c r="AO25" s="728"/>
      <c r="AP25" s="212"/>
      <c r="AQ25" s="238">
        <f t="shared" si="34"/>
        <v>6.5507999999999997E-2</v>
      </c>
      <c r="AR25" s="218">
        <f t="shared" si="35"/>
        <v>982620</v>
      </c>
      <c r="AS25" s="149">
        <v>982620</v>
      </c>
      <c r="AT25" s="149"/>
      <c r="AU25" s="149"/>
      <c r="AV25" s="149"/>
      <c r="AW25" s="149"/>
      <c r="AX25" s="149"/>
      <c r="AY25" s="149"/>
      <c r="AZ25" s="149"/>
      <c r="BA25" s="149"/>
      <c r="BB25" s="149"/>
      <c r="BC25" s="149"/>
      <c r="BD25" s="149"/>
      <c r="BE25" s="238">
        <f t="shared" si="38"/>
        <v>0.93449199999999999</v>
      </c>
      <c r="BF25" s="218">
        <f t="shared" si="39"/>
        <v>14017380</v>
      </c>
      <c r="BG25" s="205">
        <f t="shared" si="36"/>
        <v>14017380</v>
      </c>
      <c r="BH25" s="205">
        <f t="shared" si="36"/>
        <v>0</v>
      </c>
      <c r="BI25" s="205">
        <f t="shared" si="36"/>
        <v>0</v>
      </c>
      <c r="BJ25" s="205">
        <f t="shared" si="36"/>
        <v>0</v>
      </c>
      <c r="BK25" s="205">
        <f t="shared" si="36"/>
        <v>0</v>
      </c>
      <c r="BL25" s="205">
        <f t="shared" si="36"/>
        <v>0</v>
      </c>
      <c r="BM25" s="205">
        <f t="shared" si="36"/>
        <v>0</v>
      </c>
      <c r="BN25" s="205">
        <f t="shared" si="36"/>
        <v>0</v>
      </c>
      <c r="BO25" s="205">
        <f t="shared" si="36"/>
        <v>0</v>
      </c>
      <c r="BP25" s="205">
        <f t="shared" si="36"/>
        <v>0</v>
      </c>
      <c r="BQ25" s="205">
        <f t="shared" si="36"/>
        <v>0</v>
      </c>
      <c r="BR25" s="205">
        <f t="shared" si="36"/>
        <v>0</v>
      </c>
      <c r="BS25" s="238">
        <f t="shared" si="40"/>
        <v>0</v>
      </c>
      <c r="BT25" s="218">
        <f t="shared" si="41"/>
        <v>0</v>
      </c>
      <c r="BU25" s="149"/>
      <c r="BV25" s="149"/>
      <c r="BW25" s="149"/>
      <c r="BX25" s="149"/>
      <c r="BY25" s="149"/>
      <c r="BZ25" s="149"/>
      <c r="CA25" s="149"/>
      <c r="CB25" s="149"/>
      <c r="CC25" s="149"/>
      <c r="CD25" s="149"/>
      <c r="CE25" s="149"/>
      <c r="CF25" s="149"/>
      <c r="CG25" s="238">
        <f t="shared" si="42"/>
        <v>1</v>
      </c>
      <c r="CH25" s="218">
        <f t="shared" si="43"/>
        <v>15000000</v>
      </c>
      <c r="CI25" s="205">
        <f t="shared" si="37"/>
        <v>15000000</v>
      </c>
      <c r="CJ25" s="205">
        <f t="shared" si="37"/>
        <v>0</v>
      </c>
      <c r="CK25" s="205">
        <f t="shared" si="37"/>
        <v>0</v>
      </c>
      <c r="CL25" s="205">
        <f t="shared" si="37"/>
        <v>0</v>
      </c>
      <c r="CM25" s="205">
        <f t="shared" si="37"/>
        <v>0</v>
      </c>
      <c r="CN25" s="205">
        <f t="shared" si="37"/>
        <v>0</v>
      </c>
      <c r="CO25" s="205">
        <f t="shared" si="37"/>
        <v>0</v>
      </c>
      <c r="CP25" s="205">
        <f t="shared" si="37"/>
        <v>0</v>
      </c>
      <c r="CQ25" s="205">
        <f t="shared" si="37"/>
        <v>0</v>
      </c>
      <c r="CR25" s="205">
        <f t="shared" si="37"/>
        <v>0</v>
      </c>
      <c r="CS25" s="205">
        <f t="shared" si="37"/>
        <v>0</v>
      </c>
      <c r="CT25" s="205">
        <f t="shared" si="37"/>
        <v>0</v>
      </c>
    </row>
    <row r="26" spans="1:98" ht="38.25" x14ac:dyDescent="0.25">
      <c r="A26" s="1244"/>
      <c r="B26" s="1244"/>
      <c r="C26" s="1244"/>
      <c r="D26" s="1244"/>
      <c r="E26" s="707"/>
      <c r="F26" s="707"/>
      <c r="G26" s="717"/>
      <c r="H26" s="101"/>
      <c r="I26" s="101"/>
      <c r="J26" s="2"/>
      <c r="K26" s="100"/>
      <c r="L26" s="2"/>
      <c r="M26" s="101"/>
      <c r="N26" s="707" t="s">
        <v>3789</v>
      </c>
      <c r="O26" s="154" t="s">
        <v>3799</v>
      </c>
      <c r="P26" s="170"/>
      <c r="Q26" s="155"/>
      <c r="R26" s="561">
        <v>510</v>
      </c>
      <c r="S26" s="157"/>
      <c r="T26" s="1427"/>
      <c r="U26" s="149">
        <f t="shared" si="13"/>
        <v>15000000</v>
      </c>
      <c r="V26" s="149">
        <v>15000000</v>
      </c>
      <c r="W26" s="149"/>
      <c r="X26" s="149"/>
      <c r="Y26" s="149"/>
      <c r="Z26" s="149"/>
      <c r="AA26" s="149"/>
      <c r="AB26" s="149"/>
      <c r="AC26" s="149"/>
      <c r="AD26" s="149"/>
      <c r="AE26" s="149"/>
      <c r="AF26" s="149"/>
      <c r="AG26" s="149"/>
      <c r="AI26" s="739"/>
      <c r="AJ26" s="728"/>
      <c r="AK26" s="728"/>
      <c r="AL26" s="728"/>
      <c r="AM26" s="728"/>
      <c r="AN26" s="728"/>
      <c r="AO26" s="728"/>
      <c r="AP26" s="212"/>
      <c r="AQ26" s="238">
        <f t="shared" si="34"/>
        <v>0</v>
      </c>
      <c r="AR26" s="218">
        <f t="shared" si="35"/>
        <v>0</v>
      </c>
      <c r="AS26" s="149"/>
      <c r="AT26" s="149"/>
      <c r="AU26" s="149"/>
      <c r="AV26" s="149"/>
      <c r="AW26" s="149"/>
      <c r="AX26" s="149"/>
      <c r="AY26" s="149"/>
      <c r="AZ26" s="149"/>
      <c r="BA26" s="149"/>
      <c r="BB26" s="149"/>
      <c r="BC26" s="149"/>
      <c r="BD26" s="149"/>
      <c r="BE26" s="238">
        <f t="shared" si="38"/>
        <v>1</v>
      </c>
      <c r="BF26" s="218">
        <f t="shared" si="39"/>
        <v>15000000</v>
      </c>
      <c r="BG26" s="205">
        <f t="shared" si="36"/>
        <v>15000000</v>
      </c>
      <c r="BH26" s="205">
        <f t="shared" si="36"/>
        <v>0</v>
      </c>
      <c r="BI26" s="205">
        <f t="shared" si="36"/>
        <v>0</v>
      </c>
      <c r="BJ26" s="205">
        <f t="shared" si="36"/>
        <v>0</v>
      </c>
      <c r="BK26" s="205">
        <f t="shared" si="36"/>
        <v>0</v>
      </c>
      <c r="BL26" s="205">
        <f t="shared" si="36"/>
        <v>0</v>
      </c>
      <c r="BM26" s="205">
        <f t="shared" si="36"/>
        <v>0</v>
      </c>
      <c r="BN26" s="205">
        <f t="shared" si="36"/>
        <v>0</v>
      </c>
      <c r="BO26" s="205">
        <f t="shared" si="36"/>
        <v>0</v>
      </c>
      <c r="BP26" s="205">
        <f t="shared" si="36"/>
        <v>0</v>
      </c>
      <c r="BQ26" s="205">
        <f t="shared" si="36"/>
        <v>0</v>
      </c>
      <c r="BR26" s="205">
        <f t="shared" si="36"/>
        <v>0</v>
      </c>
      <c r="BS26" s="238">
        <f t="shared" si="40"/>
        <v>0</v>
      </c>
      <c r="BT26" s="218">
        <f t="shared" si="41"/>
        <v>0</v>
      </c>
      <c r="BU26" s="149"/>
      <c r="BV26" s="149"/>
      <c r="BW26" s="149"/>
      <c r="BX26" s="149"/>
      <c r="BY26" s="149"/>
      <c r="BZ26" s="149"/>
      <c r="CA26" s="149"/>
      <c r="CB26" s="149"/>
      <c r="CC26" s="149"/>
      <c r="CD26" s="149"/>
      <c r="CE26" s="149"/>
      <c r="CF26" s="149"/>
      <c r="CG26" s="238">
        <f t="shared" si="42"/>
        <v>1</v>
      </c>
      <c r="CH26" s="218">
        <f t="shared" si="43"/>
        <v>15000000</v>
      </c>
      <c r="CI26" s="205">
        <f t="shared" si="37"/>
        <v>15000000</v>
      </c>
      <c r="CJ26" s="205">
        <f t="shared" si="37"/>
        <v>0</v>
      </c>
      <c r="CK26" s="205">
        <f t="shared" si="37"/>
        <v>0</v>
      </c>
      <c r="CL26" s="205">
        <f t="shared" si="37"/>
        <v>0</v>
      </c>
      <c r="CM26" s="205">
        <f t="shared" si="37"/>
        <v>0</v>
      </c>
      <c r="CN26" s="205">
        <f t="shared" si="37"/>
        <v>0</v>
      </c>
      <c r="CO26" s="205">
        <f t="shared" si="37"/>
        <v>0</v>
      </c>
      <c r="CP26" s="205">
        <f t="shared" si="37"/>
        <v>0</v>
      </c>
      <c r="CQ26" s="205">
        <f t="shared" si="37"/>
        <v>0</v>
      </c>
      <c r="CR26" s="205">
        <f t="shared" si="37"/>
        <v>0</v>
      </c>
      <c r="CS26" s="205">
        <f t="shared" si="37"/>
        <v>0</v>
      </c>
      <c r="CT26" s="205">
        <f t="shared" si="37"/>
        <v>0</v>
      </c>
    </row>
    <row r="27" spans="1:98" ht="38.25" x14ac:dyDescent="0.25">
      <c r="A27" s="1244"/>
      <c r="B27" s="1244"/>
      <c r="C27" s="1244"/>
      <c r="D27" s="1244"/>
      <c r="E27" s="707"/>
      <c r="F27" s="707"/>
      <c r="G27" s="717"/>
      <c r="H27" s="101"/>
      <c r="I27" s="101"/>
      <c r="J27" s="2"/>
      <c r="K27" s="100"/>
      <c r="L27" s="2"/>
      <c r="M27" s="101"/>
      <c r="N27" s="707" t="s">
        <v>3790</v>
      </c>
      <c r="O27" s="154" t="s">
        <v>3824</v>
      </c>
      <c r="P27" s="170"/>
      <c r="Q27" s="155"/>
      <c r="R27" s="561">
        <v>510</v>
      </c>
      <c r="S27" s="157"/>
      <c r="T27" s="1427"/>
      <c r="U27" s="149">
        <f t="shared" si="13"/>
        <v>15000000</v>
      </c>
      <c r="V27" s="149">
        <v>15000000</v>
      </c>
      <c r="W27" s="149"/>
      <c r="X27" s="149"/>
      <c r="Y27" s="149"/>
      <c r="Z27" s="149"/>
      <c r="AA27" s="149"/>
      <c r="AB27" s="149"/>
      <c r="AC27" s="149"/>
      <c r="AD27" s="149"/>
      <c r="AE27" s="149"/>
      <c r="AF27" s="149"/>
      <c r="AG27" s="149"/>
      <c r="AI27" s="739"/>
      <c r="AJ27" s="728"/>
      <c r="AK27" s="728"/>
      <c r="AL27" s="728"/>
      <c r="AM27" s="728"/>
      <c r="AN27" s="728"/>
      <c r="AO27" s="728"/>
      <c r="AP27" s="212"/>
      <c r="AQ27" s="238">
        <f t="shared" si="34"/>
        <v>0</v>
      </c>
      <c r="AR27" s="218">
        <f t="shared" si="35"/>
        <v>0</v>
      </c>
      <c r="AS27" s="149"/>
      <c r="AT27" s="149"/>
      <c r="AU27" s="149"/>
      <c r="AV27" s="149"/>
      <c r="AW27" s="149"/>
      <c r="AX27" s="149"/>
      <c r="AY27" s="149"/>
      <c r="AZ27" s="149"/>
      <c r="BA27" s="149"/>
      <c r="BB27" s="149"/>
      <c r="BC27" s="149"/>
      <c r="BD27" s="149"/>
      <c r="BE27" s="238">
        <f t="shared" si="38"/>
        <v>1</v>
      </c>
      <c r="BF27" s="218">
        <f t="shared" si="39"/>
        <v>15000000</v>
      </c>
      <c r="BG27" s="205">
        <f t="shared" si="36"/>
        <v>15000000</v>
      </c>
      <c r="BH27" s="205">
        <f t="shared" si="36"/>
        <v>0</v>
      </c>
      <c r="BI27" s="205">
        <f t="shared" si="36"/>
        <v>0</v>
      </c>
      <c r="BJ27" s="205">
        <f t="shared" si="36"/>
        <v>0</v>
      </c>
      <c r="BK27" s="205">
        <f t="shared" si="36"/>
        <v>0</v>
      </c>
      <c r="BL27" s="205">
        <f t="shared" si="36"/>
        <v>0</v>
      </c>
      <c r="BM27" s="205">
        <f t="shared" si="36"/>
        <v>0</v>
      </c>
      <c r="BN27" s="205">
        <f t="shared" si="36"/>
        <v>0</v>
      </c>
      <c r="BO27" s="205">
        <f t="shared" si="36"/>
        <v>0</v>
      </c>
      <c r="BP27" s="205">
        <f t="shared" si="36"/>
        <v>0</v>
      </c>
      <c r="BQ27" s="205">
        <f t="shared" si="36"/>
        <v>0</v>
      </c>
      <c r="BR27" s="205">
        <f t="shared" si="36"/>
        <v>0</v>
      </c>
      <c r="BS27" s="238">
        <f t="shared" si="40"/>
        <v>0</v>
      </c>
      <c r="BT27" s="218">
        <f t="shared" si="41"/>
        <v>0</v>
      </c>
      <c r="BU27" s="149"/>
      <c r="BV27" s="149"/>
      <c r="BW27" s="149"/>
      <c r="BX27" s="149"/>
      <c r="BY27" s="149"/>
      <c r="BZ27" s="149"/>
      <c r="CA27" s="149"/>
      <c r="CB27" s="149"/>
      <c r="CC27" s="149"/>
      <c r="CD27" s="149"/>
      <c r="CE27" s="149"/>
      <c r="CF27" s="149"/>
      <c r="CG27" s="238">
        <f t="shared" si="42"/>
        <v>1</v>
      </c>
      <c r="CH27" s="218">
        <f t="shared" si="43"/>
        <v>15000000</v>
      </c>
      <c r="CI27" s="205">
        <f t="shared" si="37"/>
        <v>15000000</v>
      </c>
      <c r="CJ27" s="205">
        <f t="shared" si="37"/>
        <v>0</v>
      </c>
      <c r="CK27" s="205">
        <f t="shared" si="37"/>
        <v>0</v>
      </c>
      <c r="CL27" s="205">
        <f t="shared" si="37"/>
        <v>0</v>
      </c>
      <c r="CM27" s="205">
        <f t="shared" si="37"/>
        <v>0</v>
      </c>
      <c r="CN27" s="205">
        <f t="shared" si="37"/>
        <v>0</v>
      </c>
      <c r="CO27" s="205">
        <f t="shared" si="37"/>
        <v>0</v>
      </c>
      <c r="CP27" s="205">
        <f t="shared" si="37"/>
        <v>0</v>
      </c>
      <c r="CQ27" s="205">
        <f t="shared" si="37"/>
        <v>0</v>
      </c>
      <c r="CR27" s="205">
        <f t="shared" si="37"/>
        <v>0</v>
      </c>
      <c r="CS27" s="205">
        <f t="shared" si="37"/>
        <v>0</v>
      </c>
      <c r="CT27" s="205">
        <f t="shared" si="37"/>
        <v>0</v>
      </c>
    </row>
    <row r="28" spans="1:98" ht="51" x14ac:dyDescent="0.25">
      <c r="A28" s="1244"/>
      <c r="B28" s="1244"/>
      <c r="C28" s="1244"/>
      <c r="D28" s="1244"/>
      <c r="E28" s="707"/>
      <c r="F28" s="707"/>
      <c r="G28" s="717"/>
      <c r="H28" s="101"/>
      <c r="I28" s="101"/>
      <c r="J28" s="2"/>
      <c r="K28" s="100"/>
      <c r="L28" s="2"/>
      <c r="M28" s="101"/>
      <c r="N28" s="707" t="s">
        <v>3791</v>
      </c>
      <c r="O28" s="154" t="s">
        <v>3800</v>
      </c>
      <c r="P28" s="170"/>
      <c r="Q28" s="155"/>
      <c r="R28" s="561">
        <v>510</v>
      </c>
      <c r="S28" s="157"/>
      <c r="T28" s="1427"/>
      <c r="U28" s="149">
        <f t="shared" si="13"/>
        <v>15000000</v>
      </c>
      <c r="V28" s="149">
        <v>15000000</v>
      </c>
      <c r="W28" s="149"/>
      <c r="X28" s="149"/>
      <c r="Y28" s="149"/>
      <c r="Z28" s="149"/>
      <c r="AA28" s="149"/>
      <c r="AB28" s="149"/>
      <c r="AC28" s="149"/>
      <c r="AD28" s="149"/>
      <c r="AE28" s="149"/>
      <c r="AF28" s="149"/>
      <c r="AG28" s="149"/>
      <c r="AI28" s="739"/>
      <c r="AJ28" s="728"/>
      <c r="AK28" s="728"/>
      <c r="AL28" s="728"/>
      <c r="AM28" s="728"/>
      <c r="AN28" s="728"/>
      <c r="AO28" s="728"/>
      <c r="AP28" s="212"/>
      <c r="AQ28" s="238">
        <f t="shared" si="34"/>
        <v>3.3983466666666663E-2</v>
      </c>
      <c r="AR28" s="218">
        <f t="shared" si="35"/>
        <v>509752</v>
      </c>
      <c r="AS28" s="149">
        <v>509752</v>
      </c>
      <c r="AT28" s="149"/>
      <c r="AU28" s="149"/>
      <c r="AV28" s="149"/>
      <c r="AW28" s="149"/>
      <c r="AX28" s="149"/>
      <c r="AY28" s="149"/>
      <c r="AZ28" s="149"/>
      <c r="BA28" s="149"/>
      <c r="BB28" s="149"/>
      <c r="BC28" s="149"/>
      <c r="BD28" s="149"/>
      <c r="BE28" s="238">
        <f t="shared" si="38"/>
        <v>0.96601653333333337</v>
      </c>
      <c r="BF28" s="218">
        <f t="shared" si="39"/>
        <v>14490248</v>
      </c>
      <c r="BG28" s="205">
        <f t="shared" si="36"/>
        <v>14490248</v>
      </c>
      <c r="BH28" s="205">
        <f t="shared" si="36"/>
        <v>0</v>
      </c>
      <c r="BI28" s="205">
        <f t="shared" si="36"/>
        <v>0</v>
      </c>
      <c r="BJ28" s="205">
        <f t="shared" si="36"/>
        <v>0</v>
      </c>
      <c r="BK28" s="205">
        <f t="shared" si="36"/>
        <v>0</v>
      </c>
      <c r="BL28" s="205">
        <f t="shared" si="36"/>
        <v>0</v>
      </c>
      <c r="BM28" s="205">
        <f t="shared" si="36"/>
        <v>0</v>
      </c>
      <c r="BN28" s="205">
        <f t="shared" si="36"/>
        <v>0</v>
      </c>
      <c r="BO28" s="205">
        <f t="shared" si="36"/>
        <v>0</v>
      </c>
      <c r="BP28" s="205">
        <f t="shared" si="36"/>
        <v>0</v>
      </c>
      <c r="BQ28" s="205">
        <f t="shared" si="36"/>
        <v>0</v>
      </c>
      <c r="BR28" s="205">
        <f t="shared" si="36"/>
        <v>0</v>
      </c>
      <c r="BS28" s="238">
        <f t="shared" si="40"/>
        <v>3.3983466666666663E-2</v>
      </c>
      <c r="BT28" s="218">
        <f t="shared" si="41"/>
        <v>509752</v>
      </c>
      <c r="BU28" s="149">
        <v>509752</v>
      </c>
      <c r="BV28" s="149"/>
      <c r="BW28" s="149"/>
      <c r="BX28" s="149"/>
      <c r="BY28" s="149"/>
      <c r="BZ28" s="149"/>
      <c r="CA28" s="149"/>
      <c r="CB28" s="149"/>
      <c r="CC28" s="149"/>
      <c r="CD28" s="149"/>
      <c r="CE28" s="149"/>
      <c r="CF28" s="149"/>
      <c r="CG28" s="238">
        <f t="shared" si="42"/>
        <v>0.96601653333333337</v>
      </c>
      <c r="CH28" s="218">
        <f t="shared" si="43"/>
        <v>14490248</v>
      </c>
      <c r="CI28" s="205">
        <f t="shared" si="37"/>
        <v>14490248</v>
      </c>
      <c r="CJ28" s="205">
        <f t="shared" si="37"/>
        <v>0</v>
      </c>
      <c r="CK28" s="205">
        <f t="shared" si="37"/>
        <v>0</v>
      </c>
      <c r="CL28" s="205">
        <f t="shared" si="37"/>
        <v>0</v>
      </c>
      <c r="CM28" s="205">
        <f t="shared" si="37"/>
        <v>0</v>
      </c>
      <c r="CN28" s="205">
        <f t="shared" si="37"/>
        <v>0</v>
      </c>
      <c r="CO28" s="205">
        <f t="shared" si="37"/>
        <v>0</v>
      </c>
      <c r="CP28" s="205">
        <f t="shared" si="37"/>
        <v>0</v>
      </c>
      <c r="CQ28" s="205">
        <f t="shared" si="37"/>
        <v>0</v>
      </c>
      <c r="CR28" s="205">
        <f t="shared" si="37"/>
        <v>0</v>
      </c>
      <c r="CS28" s="205">
        <f t="shared" si="37"/>
        <v>0</v>
      </c>
      <c r="CT28" s="205">
        <f t="shared" si="37"/>
        <v>0</v>
      </c>
    </row>
    <row r="29" spans="1:98" ht="51" x14ac:dyDescent="0.25">
      <c r="A29" s="1244"/>
      <c r="B29" s="1244"/>
      <c r="C29" s="1244"/>
      <c r="D29" s="1244"/>
      <c r="E29" s="707"/>
      <c r="F29" s="707"/>
      <c r="G29" s="717"/>
      <c r="H29" s="101"/>
      <c r="I29" s="101"/>
      <c r="J29" s="2"/>
      <c r="K29" s="100"/>
      <c r="L29" s="2"/>
      <c r="M29" s="101"/>
      <c r="N29" s="707" t="s">
        <v>3792</v>
      </c>
      <c r="O29" s="154" t="s">
        <v>3801</v>
      </c>
      <c r="P29" s="170"/>
      <c r="Q29" s="155"/>
      <c r="R29" s="561">
        <v>510</v>
      </c>
      <c r="S29" s="157"/>
      <c r="T29" s="1427"/>
      <c r="U29" s="149">
        <f t="shared" si="13"/>
        <v>15000000</v>
      </c>
      <c r="V29" s="149">
        <v>15000000</v>
      </c>
      <c r="W29" s="149"/>
      <c r="X29" s="149"/>
      <c r="Y29" s="149"/>
      <c r="Z29" s="149"/>
      <c r="AA29" s="149"/>
      <c r="AB29" s="149"/>
      <c r="AC29" s="149"/>
      <c r="AD29" s="149"/>
      <c r="AE29" s="149"/>
      <c r="AF29" s="149"/>
      <c r="AG29" s="149"/>
      <c r="AI29" s="739"/>
      <c r="AJ29" s="728"/>
      <c r="AK29" s="728"/>
      <c r="AL29" s="728"/>
      <c r="AM29" s="728"/>
      <c r="AN29" s="728"/>
      <c r="AO29" s="728"/>
      <c r="AP29" s="212"/>
      <c r="AQ29" s="238">
        <f t="shared" si="34"/>
        <v>0</v>
      </c>
      <c r="AR29" s="218">
        <f t="shared" si="35"/>
        <v>0</v>
      </c>
      <c r="AS29" s="149"/>
      <c r="AT29" s="149"/>
      <c r="AU29" s="149"/>
      <c r="AV29" s="149"/>
      <c r="AW29" s="149"/>
      <c r="AX29" s="149"/>
      <c r="AY29" s="149"/>
      <c r="AZ29" s="149"/>
      <c r="BA29" s="149"/>
      <c r="BB29" s="149"/>
      <c r="BC29" s="149"/>
      <c r="BD29" s="149"/>
      <c r="BE29" s="238">
        <f t="shared" si="38"/>
        <v>1</v>
      </c>
      <c r="BF29" s="218">
        <f t="shared" si="39"/>
        <v>15000000</v>
      </c>
      <c r="BG29" s="205">
        <f t="shared" si="36"/>
        <v>15000000</v>
      </c>
      <c r="BH29" s="205">
        <f t="shared" si="36"/>
        <v>0</v>
      </c>
      <c r="BI29" s="205">
        <f t="shared" si="36"/>
        <v>0</v>
      </c>
      <c r="BJ29" s="205">
        <f t="shared" si="36"/>
        <v>0</v>
      </c>
      <c r="BK29" s="205">
        <f t="shared" si="36"/>
        <v>0</v>
      </c>
      <c r="BL29" s="205">
        <f t="shared" si="36"/>
        <v>0</v>
      </c>
      <c r="BM29" s="205">
        <f t="shared" si="36"/>
        <v>0</v>
      </c>
      <c r="BN29" s="205">
        <f t="shared" si="36"/>
        <v>0</v>
      </c>
      <c r="BO29" s="205">
        <f t="shared" si="36"/>
        <v>0</v>
      </c>
      <c r="BP29" s="205">
        <f t="shared" si="36"/>
        <v>0</v>
      </c>
      <c r="BQ29" s="205">
        <f t="shared" si="36"/>
        <v>0</v>
      </c>
      <c r="BR29" s="205">
        <f t="shared" si="36"/>
        <v>0</v>
      </c>
      <c r="BS29" s="238">
        <f t="shared" si="40"/>
        <v>0</v>
      </c>
      <c r="BT29" s="218">
        <f t="shared" si="41"/>
        <v>0</v>
      </c>
      <c r="BU29" s="149"/>
      <c r="BV29" s="149"/>
      <c r="BW29" s="149"/>
      <c r="BX29" s="149"/>
      <c r="BY29" s="149"/>
      <c r="BZ29" s="149"/>
      <c r="CA29" s="149"/>
      <c r="CB29" s="149"/>
      <c r="CC29" s="149"/>
      <c r="CD29" s="149"/>
      <c r="CE29" s="149"/>
      <c r="CF29" s="149"/>
      <c r="CG29" s="238">
        <f t="shared" si="42"/>
        <v>1</v>
      </c>
      <c r="CH29" s="218">
        <f t="shared" si="43"/>
        <v>15000000</v>
      </c>
      <c r="CI29" s="205">
        <f t="shared" si="37"/>
        <v>15000000</v>
      </c>
      <c r="CJ29" s="205">
        <f t="shared" si="37"/>
        <v>0</v>
      </c>
      <c r="CK29" s="205">
        <f t="shared" si="37"/>
        <v>0</v>
      </c>
      <c r="CL29" s="205">
        <f t="shared" si="37"/>
        <v>0</v>
      </c>
      <c r="CM29" s="205">
        <f t="shared" si="37"/>
        <v>0</v>
      </c>
      <c r="CN29" s="205">
        <f t="shared" si="37"/>
        <v>0</v>
      </c>
      <c r="CO29" s="205">
        <f t="shared" si="37"/>
        <v>0</v>
      </c>
      <c r="CP29" s="205">
        <f t="shared" si="37"/>
        <v>0</v>
      </c>
      <c r="CQ29" s="205">
        <f t="shared" si="37"/>
        <v>0</v>
      </c>
      <c r="CR29" s="205">
        <f t="shared" si="37"/>
        <v>0</v>
      </c>
      <c r="CS29" s="205">
        <f t="shared" si="37"/>
        <v>0</v>
      </c>
      <c r="CT29" s="205">
        <f t="shared" si="37"/>
        <v>0</v>
      </c>
    </row>
    <row r="30" spans="1:98" ht="50.45" customHeight="1" x14ac:dyDescent="0.25">
      <c r="A30" s="1244"/>
      <c r="B30" s="1244"/>
      <c r="C30" s="1244"/>
      <c r="D30" s="1244"/>
      <c r="E30" s="707"/>
      <c r="F30" s="707"/>
      <c r="G30" s="717"/>
      <c r="H30" s="101"/>
      <c r="I30" s="101"/>
      <c r="J30" s="2"/>
      <c r="K30" s="100"/>
      <c r="L30" s="2"/>
      <c r="M30" s="101"/>
      <c r="N30" s="707" t="s">
        <v>3793</v>
      </c>
      <c r="O30" s="154" t="s">
        <v>3802</v>
      </c>
      <c r="P30" s="170"/>
      <c r="Q30" s="155"/>
      <c r="R30" s="561">
        <v>510</v>
      </c>
      <c r="S30" s="157"/>
      <c r="T30" s="1427" t="s">
        <v>3351</v>
      </c>
      <c r="U30" s="149">
        <f t="shared" si="13"/>
        <v>15000000</v>
      </c>
      <c r="V30" s="149">
        <v>15000000</v>
      </c>
      <c r="W30" s="149"/>
      <c r="X30" s="149"/>
      <c r="Y30" s="149"/>
      <c r="Z30" s="149"/>
      <c r="AA30" s="149"/>
      <c r="AB30" s="149"/>
      <c r="AC30" s="149"/>
      <c r="AD30" s="149"/>
      <c r="AE30" s="149"/>
      <c r="AF30" s="149"/>
      <c r="AG30" s="149"/>
      <c r="AI30" s="739"/>
      <c r="AJ30" s="728"/>
      <c r="AK30" s="728"/>
      <c r="AL30" s="728"/>
      <c r="AM30" s="728"/>
      <c r="AN30" s="728"/>
      <c r="AO30" s="728"/>
      <c r="AP30" s="212"/>
      <c r="AQ30" s="238">
        <f t="shared" si="34"/>
        <v>0</v>
      </c>
      <c r="AR30" s="218">
        <f t="shared" si="35"/>
        <v>0</v>
      </c>
      <c r="AS30" s="149"/>
      <c r="AT30" s="149"/>
      <c r="AU30" s="149"/>
      <c r="AV30" s="149"/>
      <c r="AW30" s="149"/>
      <c r="AX30" s="149"/>
      <c r="AY30" s="149"/>
      <c r="AZ30" s="149"/>
      <c r="BA30" s="149"/>
      <c r="BB30" s="149"/>
      <c r="BC30" s="149"/>
      <c r="BD30" s="149"/>
      <c r="BE30" s="238">
        <f t="shared" si="38"/>
        <v>1</v>
      </c>
      <c r="BF30" s="218">
        <f t="shared" si="39"/>
        <v>15000000</v>
      </c>
      <c r="BG30" s="205">
        <f t="shared" si="36"/>
        <v>15000000</v>
      </c>
      <c r="BH30" s="205">
        <f t="shared" si="36"/>
        <v>0</v>
      </c>
      <c r="BI30" s="205">
        <f t="shared" si="36"/>
        <v>0</v>
      </c>
      <c r="BJ30" s="205">
        <f t="shared" si="36"/>
        <v>0</v>
      </c>
      <c r="BK30" s="205">
        <f t="shared" si="36"/>
        <v>0</v>
      </c>
      <c r="BL30" s="205">
        <f t="shared" si="36"/>
        <v>0</v>
      </c>
      <c r="BM30" s="205">
        <f t="shared" si="36"/>
        <v>0</v>
      </c>
      <c r="BN30" s="205">
        <f t="shared" si="36"/>
        <v>0</v>
      </c>
      <c r="BO30" s="205">
        <f t="shared" si="36"/>
        <v>0</v>
      </c>
      <c r="BP30" s="205">
        <f t="shared" si="36"/>
        <v>0</v>
      </c>
      <c r="BQ30" s="205">
        <f t="shared" si="36"/>
        <v>0</v>
      </c>
      <c r="BR30" s="205">
        <f t="shared" si="36"/>
        <v>0</v>
      </c>
      <c r="BS30" s="238">
        <f t="shared" si="40"/>
        <v>0</v>
      </c>
      <c r="BT30" s="218">
        <f t="shared" si="41"/>
        <v>0</v>
      </c>
      <c r="BU30" s="149"/>
      <c r="BV30" s="149"/>
      <c r="BW30" s="149"/>
      <c r="BX30" s="149"/>
      <c r="BY30" s="149"/>
      <c r="BZ30" s="149"/>
      <c r="CA30" s="149"/>
      <c r="CB30" s="149"/>
      <c r="CC30" s="149"/>
      <c r="CD30" s="149"/>
      <c r="CE30" s="149"/>
      <c r="CF30" s="149"/>
      <c r="CG30" s="238">
        <f t="shared" si="42"/>
        <v>1</v>
      </c>
      <c r="CH30" s="218">
        <f t="shared" si="43"/>
        <v>15000000</v>
      </c>
      <c r="CI30" s="205">
        <f t="shared" si="37"/>
        <v>15000000</v>
      </c>
      <c r="CJ30" s="205">
        <f t="shared" si="37"/>
        <v>0</v>
      </c>
      <c r="CK30" s="205">
        <f t="shared" si="37"/>
        <v>0</v>
      </c>
      <c r="CL30" s="205">
        <f t="shared" si="37"/>
        <v>0</v>
      </c>
      <c r="CM30" s="205">
        <f t="shared" si="37"/>
        <v>0</v>
      </c>
      <c r="CN30" s="205">
        <f t="shared" si="37"/>
        <v>0</v>
      </c>
      <c r="CO30" s="205">
        <f t="shared" si="37"/>
        <v>0</v>
      </c>
      <c r="CP30" s="205">
        <f t="shared" si="37"/>
        <v>0</v>
      </c>
      <c r="CQ30" s="205">
        <f t="shared" si="37"/>
        <v>0</v>
      </c>
      <c r="CR30" s="205">
        <f t="shared" si="37"/>
        <v>0</v>
      </c>
      <c r="CS30" s="205">
        <f t="shared" si="37"/>
        <v>0</v>
      </c>
      <c r="CT30" s="205">
        <f t="shared" si="37"/>
        <v>0</v>
      </c>
    </row>
    <row r="31" spans="1:98" ht="51" x14ac:dyDescent="0.25">
      <c r="A31" s="1244"/>
      <c r="B31" s="1244"/>
      <c r="C31" s="1244"/>
      <c r="D31" s="1244"/>
      <c r="E31" s="707"/>
      <c r="F31" s="707"/>
      <c r="G31" s="717"/>
      <c r="H31" s="101"/>
      <c r="I31" s="101"/>
      <c r="J31" s="2"/>
      <c r="K31" s="100"/>
      <c r="L31" s="2"/>
      <c r="M31" s="101"/>
      <c r="N31" s="707" t="s">
        <v>3794</v>
      </c>
      <c r="O31" s="154" t="s">
        <v>3803</v>
      </c>
      <c r="P31" s="170"/>
      <c r="Q31" s="155"/>
      <c r="R31" s="561">
        <v>510</v>
      </c>
      <c r="S31" s="157"/>
      <c r="T31" s="1427"/>
      <c r="U31" s="149">
        <f t="shared" si="13"/>
        <v>15000000</v>
      </c>
      <c r="V31" s="149">
        <v>15000000</v>
      </c>
      <c r="W31" s="149"/>
      <c r="X31" s="149"/>
      <c r="Y31" s="149"/>
      <c r="Z31" s="149"/>
      <c r="AA31" s="149"/>
      <c r="AB31" s="149"/>
      <c r="AC31" s="149"/>
      <c r="AD31" s="149"/>
      <c r="AE31" s="149"/>
      <c r="AF31" s="149"/>
      <c r="AG31" s="149"/>
      <c r="AI31" s="739"/>
      <c r="AJ31" s="728"/>
      <c r="AK31" s="728"/>
      <c r="AL31" s="728"/>
      <c r="AM31" s="728"/>
      <c r="AN31" s="728"/>
      <c r="AO31" s="728"/>
      <c r="AP31" s="212"/>
      <c r="AQ31" s="238">
        <f t="shared" si="34"/>
        <v>0.22762093333333333</v>
      </c>
      <c r="AR31" s="218">
        <f t="shared" si="35"/>
        <v>3414314</v>
      </c>
      <c r="AS31" s="149">
        <v>3414314</v>
      </c>
      <c r="AT31" s="149"/>
      <c r="AU31" s="149"/>
      <c r="AV31" s="149"/>
      <c r="AW31" s="149"/>
      <c r="AX31" s="149"/>
      <c r="AY31" s="149"/>
      <c r="AZ31" s="149"/>
      <c r="BA31" s="149"/>
      <c r="BB31" s="149"/>
      <c r="BC31" s="149"/>
      <c r="BD31" s="149"/>
      <c r="BE31" s="238">
        <f t="shared" si="38"/>
        <v>0.77237906666666667</v>
      </c>
      <c r="BF31" s="218">
        <f t="shared" si="39"/>
        <v>11585686</v>
      </c>
      <c r="BG31" s="205">
        <f t="shared" si="36"/>
        <v>11585686</v>
      </c>
      <c r="BH31" s="205">
        <f t="shared" si="36"/>
        <v>0</v>
      </c>
      <c r="BI31" s="205">
        <f t="shared" si="36"/>
        <v>0</v>
      </c>
      <c r="BJ31" s="205">
        <f t="shared" si="36"/>
        <v>0</v>
      </c>
      <c r="BK31" s="205">
        <f t="shared" si="36"/>
        <v>0</v>
      </c>
      <c r="BL31" s="205">
        <f t="shared" si="36"/>
        <v>0</v>
      </c>
      <c r="BM31" s="205">
        <f t="shared" si="36"/>
        <v>0</v>
      </c>
      <c r="BN31" s="205">
        <f t="shared" si="36"/>
        <v>0</v>
      </c>
      <c r="BO31" s="205">
        <f t="shared" si="36"/>
        <v>0</v>
      </c>
      <c r="BP31" s="205">
        <f t="shared" si="36"/>
        <v>0</v>
      </c>
      <c r="BQ31" s="205">
        <f t="shared" si="36"/>
        <v>0</v>
      </c>
      <c r="BR31" s="205">
        <f t="shared" si="36"/>
        <v>0</v>
      </c>
      <c r="BS31" s="238">
        <f t="shared" si="40"/>
        <v>3.1096933333333333E-2</v>
      </c>
      <c r="BT31" s="218">
        <f t="shared" si="41"/>
        <v>466454</v>
      </c>
      <c r="BU31" s="149">
        <v>466454</v>
      </c>
      <c r="BV31" s="149"/>
      <c r="BW31" s="149"/>
      <c r="BX31" s="149"/>
      <c r="BY31" s="149"/>
      <c r="BZ31" s="149"/>
      <c r="CA31" s="149"/>
      <c r="CB31" s="149"/>
      <c r="CC31" s="149"/>
      <c r="CD31" s="149"/>
      <c r="CE31" s="149"/>
      <c r="CF31" s="149"/>
      <c r="CG31" s="238">
        <f t="shared" si="42"/>
        <v>0.9689030666666667</v>
      </c>
      <c r="CH31" s="218">
        <f t="shared" si="43"/>
        <v>14533546</v>
      </c>
      <c r="CI31" s="205">
        <f t="shared" si="37"/>
        <v>14533546</v>
      </c>
      <c r="CJ31" s="205">
        <f t="shared" si="37"/>
        <v>0</v>
      </c>
      <c r="CK31" s="205">
        <f t="shared" si="37"/>
        <v>0</v>
      </c>
      <c r="CL31" s="205">
        <f t="shared" si="37"/>
        <v>0</v>
      </c>
      <c r="CM31" s="205">
        <f t="shared" si="37"/>
        <v>0</v>
      </c>
      <c r="CN31" s="205">
        <f t="shared" si="37"/>
        <v>0</v>
      </c>
      <c r="CO31" s="205">
        <f t="shared" si="37"/>
        <v>0</v>
      </c>
      <c r="CP31" s="205">
        <f t="shared" si="37"/>
        <v>0</v>
      </c>
      <c r="CQ31" s="205">
        <f t="shared" si="37"/>
        <v>0</v>
      </c>
      <c r="CR31" s="205">
        <f t="shared" si="37"/>
        <v>0</v>
      </c>
      <c r="CS31" s="205">
        <f t="shared" si="37"/>
        <v>0</v>
      </c>
      <c r="CT31" s="205">
        <f t="shared" si="37"/>
        <v>0</v>
      </c>
    </row>
    <row r="32" spans="1:98" ht="38.25" x14ac:dyDescent="0.25">
      <c r="A32" s="1244"/>
      <c r="B32" s="1244"/>
      <c r="C32" s="1244"/>
      <c r="D32" s="1244"/>
      <c r="E32" s="707"/>
      <c r="F32" s="707"/>
      <c r="G32" s="717"/>
      <c r="H32" s="101"/>
      <c r="I32" s="101"/>
      <c r="J32" s="2"/>
      <c r="K32" s="100"/>
      <c r="L32" s="2"/>
      <c r="M32" s="101"/>
      <c r="N32" s="707" t="s">
        <v>3795</v>
      </c>
      <c r="O32" s="154" t="s">
        <v>3804</v>
      </c>
      <c r="P32" s="170"/>
      <c r="Q32" s="155"/>
      <c r="R32" s="561">
        <v>510</v>
      </c>
      <c r="S32" s="157"/>
      <c r="T32" s="1427"/>
      <c r="U32" s="149">
        <f t="shared" si="13"/>
        <v>15000000</v>
      </c>
      <c r="V32" s="149">
        <v>15000000</v>
      </c>
      <c r="W32" s="149"/>
      <c r="X32" s="149"/>
      <c r="Y32" s="149"/>
      <c r="Z32" s="149"/>
      <c r="AA32" s="149"/>
      <c r="AB32" s="149"/>
      <c r="AC32" s="149"/>
      <c r="AD32" s="149"/>
      <c r="AE32" s="149"/>
      <c r="AF32" s="149"/>
      <c r="AG32" s="149"/>
      <c r="AI32" s="739"/>
      <c r="AJ32" s="728"/>
      <c r="AK32" s="728"/>
      <c r="AL32" s="728"/>
      <c r="AM32" s="728"/>
      <c r="AN32" s="728"/>
      <c r="AO32" s="728"/>
      <c r="AP32" s="212"/>
      <c r="AQ32" s="238">
        <f t="shared" si="34"/>
        <v>0</v>
      </c>
      <c r="AR32" s="218">
        <f t="shared" si="35"/>
        <v>0</v>
      </c>
      <c r="AS32" s="149"/>
      <c r="AT32" s="149"/>
      <c r="AU32" s="149"/>
      <c r="AV32" s="149"/>
      <c r="AW32" s="149"/>
      <c r="AX32" s="149"/>
      <c r="AY32" s="149"/>
      <c r="AZ32" s="149"/>
      <c r="BA32" s="149"/>
      <c r="BB32" s="149"/>
      <c r="BC32" s="149"/>
      <c r="BD32" s="149"/>
      <c r="BE32" s="238">
        <f t="shared" si="38"/>
        <v>1</v>
      </c>
      <c r="BF32" s="218">
        <f t="shared" si="39"/>
        <v>15000000</v>
      </c>
      <c r="BG32" s="205">
        <f t="shared" si="36"/>
        <v>15000000</v>
      </c>
      <c r="BH32" s="205">
        <f t="shared" si="36"/>
        <v>0</v>
      </c>
      <c r="BI32" s="205">
        <f t="shared" si="36"/>
        <v>0</v>
      </c>
      <c r="BJ32" s="205">
        <f t="shared" si="36"/>
        <v>0</v>
      </c>
      <c r="BK32" s="205">
        <f t="shared" si="36"/>
        <v>0</v>
      </c>
      <c r="BL32" s="205">
        <f t="shared" si="36"/>
        <v>0</v>
      </c>
      <c r="BM32" s="205">
        <f t="shared" si="36"/>
        <v>0</v>
      </c>
      <c r="BN32" s="205">
        <f t="shared" si="36"/>
        <v>0</v>
      </c>
      <c r="BO32" s="205">
        <f t="shared" si="36"/>
        <v>0</v>
      </c>
      <c r="BP32" s="205">
        <f t="shared" si="36"/>
        <v>0</v>
      </c>
      <c r="BQ32" s="205">
        <f t="shared" si="36"/>
        <v>0</v>
      </c>
      <c r="BR32" s="205">
        <f t="shared" si="36"/>
        <v>0</v>
      </c>
      <c r="BS32" s="238">
        <f t="shared" si="40"/>
        <v>0</v>
      </c>
      <c r="BT32" s="218">
        <f t="shared" si="41"/>
        <v>0</v>
      </c>
      <c r="BU32" s="149"/>
      <c r="BV32" s="149"/>
      <c r="BW32" s="149"/>
      <c r="BX32" s="149"/>
      <c r="BY32" s="149"/>
      <c r="BZ32" s="149"/>
      <c r="CA32" s="149"/>
      <c r="CB32" s="149"/>
      <c r="CC32" s="149"/>
      <c r="CD32" s="149"/>
      <c r="CE32" s="149"/>
      <c r="CF32" s="149"/>
      <c r="CG32" s="238">
        <f t="shared" si="42"/>
        <v>1</v>
      </c>
      <c r="CH32" s="218">
        <f t="shared" si="43"/>
        <v>15000000</v>
      </c>
      <c r="CI32" s="205">
        <f t="shared" si="37"/>
        <v>15000000</v>
      </c>
      <c r="CJ32" s="205">
        <f t="shared" si="37"/>
        <v>0</v>
      </c>
      <c r="CK32" s="205">
        <f t="shared" si="37"/>
        <v>0</v>
      </c>
      <c r="CL32" s="205">
        <f t="shared" si="37"/>
        <v>0</v>
      </c>
      <c r="CM32" s="205">
        <f t="shared" si="37"/>
        <v>0</v>
      </c>
      <c r="CN32" s="205">
        <f t="shared" si="37"/>
        <v>0</v>
      </c>
      <c r="CO32" s="205">
        <f t="shared" si="37"/>
        <v>0</v>
      </c>
      <c r="CP32" s="205">
        <f t="shared" si="37"/>
        <v>0</v>
      </c>
      <c r="CQ32" s="205">
        <f t="shared" si="37"/>
        <v>0</v>
      </c>
      <c r="CR32" s="205">
        <f t="shared" si="37"/>
        <v>0</v>
      </c>
      <c r="CS32" s="205">
        <f t="shared" si="37"/>
        <v>0</v>
      </c>
      <c r="CT32" s="205">
        <f t="shared" si="37"/>
        <v>0</v>
      </c>
    </row>
    <row r="33" spans="1:98" ht="60" customHeight="1" x14ac:dyDescent="0.25">
      <c r="A33" s="1244"/>
      <c r="B33" s="1244"/>
      <c r="C33" s="1244"/>
      <c r="D33" s="1244"/>
      <c r="E33" s="707"/>
      <c r="F33" s="707"/>
      <c r="G33" s="717"/>
      <c r="H33" s="101"/>
      <c r="I33" s="101"/>
      <c r="J33" s="2"/>
      <c r="K33" s="100"/>
      <c r="L33" s="2"/>
      <c r="M33" s="101"/>
      <c r="N33" s="707" t="s">
        <v>3796</v>
      </c>
      <c r="O33" s="154" t="s">
        <v>3805</v>
      </c>
      <c r="P33" s="170"/>
      <c r="Q33" s="155"/>
      <c r="R33" s="561">
        <v>510</v>
      </c>
      <c r="S33" s="157"/>
      <c r="T33" s="1427" t="s">
        <v>3351</v>
      </c>
      <c r="U33" s="149">
        <f t="shared" si="13"/>
        <v>15000000</v>
      </c>
      <c r="V33" s="149">
        <v>15000000</v>
      </c>
      <c r="W33" s="149"/>
      <c r="X33" s="149"/>
      <c r="Y33" s="149"/>
      <c r="Z33" s="149"/>
      <c r="AA33" s="149"/>
      <c r="AB33" s="149"/>
      <c r="AC33" s="149"/>
      <c r="AD33" s="149"/>
      <c r="AE33" s="149"/>
      <c r="AF33" s="149"/>
      <c r="AG33" s="149"/>
      <c r="AI33" s="739"/>
      <c r="AJ33" s="728"/>
      <c r="AK33" s="728"/>
      <c r="AL33" s="728"/>
      <c r="AM33" s="728"/>
      <c r="AN33" s="728"/>
      <c r="AO33" s="728"/>
      <c r="AP33" s="212"/>
      <c r="AQ33" s="238">
        <f t="shared" si="34"/>
        <v>0</v>
      </c>
      <c r="AR33" s="218">
        <f t="shared" si="35"/>
        <v>0</v>
      </c>
      <c r="AS33" s="149"/>
      <c r="AT33" s="149"/>
      <c r="AU33" s="149"/>
      <c r="AV33" s="149"/>
      <c r="AW33" s="149"/>
      <c r="AX33" s="149"/>
      <c r="AY33" s="149"/>
      <c r="AZ33" s="149"/>
      <c r="BA33" s="149"/>
      <c r="BB33" s="149"/>
      <c r="BC33" s="149"/>
      <c r="BD33" s="149"/>
      <c r="BE33" s="238">
        <f t="shared" si="38"/>
        <v>1</v>
      </c>
      <c r="BF33" s="218">
        <f t="shared" si="39"/>
        <v>15000000</v>
      </c>
      <c r="BG33" s="205">
        <f t="shared" si="36"/>
        <v>15000000</v>
      </c>
      <c r="BH33" s="205">
        <f t="shared" si="36"/>
        <v>0</v>
      </c>
      <c r="BI33" s="205">
        <f t="shared" si="36"/>
        <v>0</v>
      </c>
      <c r="BJ33" s="205">
        <f t="shared" si="36"/>
        <v>0</v>
      </c>
      <c r="BK33" s="205">
        <f t="shared" si="36"/>
        <v>0</v>
      </c>
      <c r="BL33" s="205">
        <f t="shared" si="36"/>
        <v>0</v>
      </c>
      <c r="BM33" s="205">
        <f t="shared" si="36"/>
        <v>0</v>
      </c>
      <c r="BN33" s="205">
        <f t="shared" si="36"/>
        <v>0</v>
      </c>
      <c r="BO33" s="205">
        <f t="shared" si="36"/>
        <v>0</v>
      </c>
      <c r="BP33" s="205">
        <f t="shared" si="36"/>
        <v>0</v>
      </c>
      <c r="BQ33" s="205">
        <f t="shared" si="36"/>
        <v>0</v>
      </c>
      <c r="BR33" s="205">
        <f t="shared" si="36"/>
        <v>0</v>
      </c>
      <c r="BS33" s="238">
        <f t="shared" si="40"/>
        <v>0</v>
      </c>
      <c r="BT33" s="218">
        <f t="shared" si="41"/>
        <v>0</v>
      </c>
      <c r="BU33" s="149"/>
      <c r="BV33" s="149"/>
      <c r="BW33" s="149"/>
      <c r="BX33" s="149"/>
      <c r="BY33" s="149"/>
      <c r="BZ33" s="149"/>
      <c r="CA33" s="149"/>
      <c r="CB33" s="149"/>
      <c r="CC33" s="149"/>
      <c r="CD33" s="149"/>
      <c r="CE33" s="149"/>
      <c r="CF33" s="149"/>
      <c r="CG33" s="238">
        <f t="shared" si="42"/>
        <v>1</v>
      </c>
      <c r="CH33" s="218">
        <f t="shared" si="43"/>
        <v>15000000</v>
      </c>
      <c r="CI33" s="205">
        <f t="shared" si="37"/>
        <v>15000000</v>
      </c>
      <c r="CJ33" s="205">
        <f t="shared" si="37"/>
        <v>0</v>
      </c>
      <c r="CK33" s="205">
        <f t="shared" si="37"/>
        <v>0</v>
      </c>
      <c r="CL33" s="205">
        <f t="shared" si="37"/>
        <v>0</v>
      </c>
      <c r="CM33" s="205">
        <f t="shared" si="37"/>
        <v>0</v>
      </c>
      <c r="CN33" s="205">
        <f t="shared" si="37"/>
        <v>0</v>
      </c>
      <c r="CO33" s="205">
        <f t="shared" si="37"/>
        <v>0</v>
      </c>
      <c r="CP33" s="205">
        <f t="shared" si="37"/>
        <v>0</v>
      </c>
      <c r="CQ33" s="205">
        <f t="shared" si="37"/>
        <v>0</v>
      </c>
      <c r="CR33" s="205">
        <f t="shared" si="37"/>
        <v>0</v>
      </c>
      <c r="CS33" s="205">
        <f t="shared" si="37"/>
        <v>0</v>
      </c>
      <c r="CT33" s="205">
        <f t="shared" si="37"/>
        <v>0</v>
      </c>
    </row>
    <row r="34" spans="1:98" ht="63.75" x14ac:dyDescent="0.25">
      <c r="A34" s="1244"/>
      <c r="B34" s="1244"/>
      <c r="C34" s="1244"/>
      <c r="D34" s="1244"/>
      <c r="E34" s="707"/>
      <c r="F34" s="707"/>
      <c r="G34" s="717"/>
      <c r="H34" s="101"/>
      <c r="I34" s="101"/>
      <c r="J34" s="2"/>
      <c r="K34" s="100"/>
      <c r="L34" s="2"/>
      <c r="M34" s="101"/>
      <c r="N34" s="707" t="s">
        <v>4074</v>
      </c>
      <c r="O34" s="154" t="s">
        <v>4075</v>
      </c>
      <c r="P34" s="170"/>
      <c r="Q34" s="155"/>
      <c r="R34" s="561">
        <v>510</v>
      </c>
      <c r="S34" s="157"/>
      <c r="T34" s="1427"/>
      <c r="U34" s="149">
        <f t="shared" si="13"/>
        <v>20000000</v>
      </c>
      <c r="V34" s="149"/>
      <c r="W34" s="149"/>
      <c r="X34" s="149"/>
      <c r="Y34" s="149"/>
      <c r="Z34" s="149"/>
      <c r="AA34" s="149"/>
      <c r="AB34" s="149"/>
      <c r="AC34" s="149">
        <v>20000000</v>
      </c>
      <c r="AD34" s="149"/>
      <c r="AE34" s="149"/>
      <c r="AF34" s="149"/>
      <c r="AG34" s="149"/>
      <c r="AI34" s="739"/>
      <c r="AJ34" s="728"/>
      <c r="AK34" s="728"/>
      <c r="AL34" s="728"/>
      <c r="AM34" s="728"/>
      <c r="AN34" s="728"/>
      <c r="AO34" s="728"/>
      <c r="AP34" s="212"/>
      <c r="AQ34" s="238">
        <f t="shared" si="34"/>
        <v>0</v>
      </c>
      <c r="AR34" s="218">
        <f t="shared" si="35"/>
        <v>0</v>
      </c>
      <c r="AS34" s="149"/>
      <c r="AT34" s="149"/>
      <c r="AU34" s="149"/>
      <c r="AV34" s="149"/>
      <c r="AW34" s="149"/>
      <c r="AX34" s="149"/>
      <c r="AY34" s="149"/>
      <c r="AZ34" s="149"/>
      <c r="BA34" s="149"/>
      <c r="BB34" s="149"/>
      <c r="BC34" s="149"/>
      <c r="BD34" s="149"/>
      <c r="BE34" s="238">
        <f t="shared" si="38"/>
        <v>1</v>
      </c>
      <c r="BF34" s="218">
        <f t="shared" si="39"/>
        <v>20000000</v>
      </c>
      <c r="BG34" s="205">
        <f t="shared" si="36"/>
        <v>0</v>
      </c>
      <c r="BH34" s="205">
        <f t="shared" si="36"/>
        <v>0</v>
      </c>
      <c r="BI34" s="205">
        <f t="shared" si="36"/>
        <v>0</v>
      </c>
      <c r="BJ34" s="205">
        <f t="shared" si="36"/>
        <v>0</v>
      </c>
      <c r="BK34" s="205">
        <f t="shared" si="36"/>
        <v>0</v>
      </c>
      <c r="BL34" s="205">
        <f t="shared" si="36"/>
        <v>0</v>
      </c>
      <c r="BM34" s="205">
        <f t="shared" si="36"/>
        <v>0</v>
      </c>
      <c r="BN34" s="205">
        <f t="shared" si="36"/>
        <v>20000000</v>
      </c>
      <c r="BO34" s="205">
        <f t="shared" si="36"/>
        <v>0</v>
      </c>
      <c r="BP34" s="205">
        <f t="shared" si="36"/>
        <v>0</v>
      </c>
      <c r="BQ34" s="205">
        <f t="shared" si="36"/>
        <v>0</v>
      </c>
      <c r="BR34" s="205">
        <f t="shared" si="36"/>
        <v>0</v>
      </c>
      <c r="BS34" s="238">
        <f t="shared" si="40"/>
        <v>0</v>
      </c>
      <c r="BT34" s="218">
        <f t="shared" si="41"/>
        <v>0</v>
      </c>
      <c r="BU34" s="149"/>
      <c r="BV34" s="149"/>
      <c r="BW34" s="149"/>
      <c r="BX34" s="149"/>
      <c r="BY34" s="149"/>
      <c r="BZ34" s="149"/>
      <c r="CA34" s="149"/>
      <c r="CB34" s="149"/>
      <c r="CC34" s="149"/>
      <c r="CD34" s="149"/>
      <c r="CE34" s="149"/>
      <c r="CF34" s="149"/>
      <c r="CG34" s="238">
        <f t="shared" si="42"/>
        <v>1</v>
      </c>
      <c r="CH34" s="218">
        <f t="shared" si="43"/>
        <v>20000000</v>
      </c>
      <c r="CI34" s="205">
        <f t="shared" si="37"/>
        <v>0</v>
      </c>
      <c r="CJ34" s="205">
        <f t="shared" si="37"/>
        <v>0</v>
      </c>
      <c r="CK34" s="205">
        <f t="shared" si="37"/>
        <v>0</v>
      </c>
      <c r="CL34" s="205">
        <f t="shared" si="37"/>
        <v>0</v>
      </c>
      <c r="CM34" s="205">
        <f t="shared" si="37"/>
        <v>0</v>
      </c>
      <c r="CN34" s="205">
        <f t="shared" si="37"/>
        <v>0</v>
      </c>
      <c r="CO34" s="205">
        <f t="shared" si="37"/>
        <v>0</v>
      </c>
      <c r="CP34" s="205">
        <f t="shared" si="37"/>
        <v>20000000</v>
      </c>
      <c r="CQ34" s="205">
        <f t="shared" si="37"/>
        <v>0</v>
      </c>
      <c r="CR34" s="205">
        <f t="shared" si="37"/>
        <v>0</v>
      </c>
      <c r="CS34" s="205">
        <f t="shared" si="37"/>
        <v>0</v>
      </c>
      <c r="CT34" s="205">
        <f t="shared" si="37"/>
        <v>0</v>
      </c>
    </row>
    <row r="35" spans="1:98" ht="51" x14ac:dyDescent="0.25">
      <c r="A35" s="1244"/>
      <c r="B35" s="1244"/>
      <c r="C35" s="1244"/>
      <c r="D35" s="1244"/>
      <c r="E35" s="707"/>
      <c r="F35" s="707"/>
      <c r="G35" s="717"/>
      <c r="H35" s="101"/>
      <c r="I35" s="101"/>
      <c r="J35" s="2"/>
      <c r="K35" s="100"/>
      <c r="L35" s="2"/>
      <c r="M35" s="101"/>
      <c r="N35" s="707" t="s">
        <v>3806</v>
      </c>
      <c r="O35" s="154" t="s">
        <v>3815</v>
      </c>
      <c r="P35" s="170"/>
      <c r="Q35" s="155"/>
      <c r="R35" s="561">
        <v>510</v>
      </c>
      <c r="S35" s="157"/>
      <c r="T35" s="1427"/>
      <c r="U35" s="149">
        <f t="shared" si="13"/>
        <v>15000000</v>
      </c>
      <c r="V35" s="149">
        <v>15000000</v>
      </c>
      <c r="W35" s="149"/>
      <c r="X35" s="149"/>
      <c r="Y35" s="149"/>
      <c r="Z35" s="149"/>
      <c r="AA35" s="149"/>
      <c r="AB35" s="149"/>
      <c r="AC35" s="149"/>
      <c r="AD35" s="149"/>
      <c r="AE35" s="149"/>
      <c r="AF35" s="149"/>
      <c r="AG35" s="149"/>
      <c r="AI35" s="739"/>
      <c r="AJ35" s="728"/>
      <c r="AK35" s="728"/>
      <c r="AL35" s="728"/>
      <c r="AM35" s="728"/>
      <c r="AN35" s="728"/>
      <c r="AO35" s="728"/>
      <c r="AP35" s="212"/>
      <c r="AQ35" s="238">
        <f t="shared" si="34"/>
        <v>3.7101066666666668E-2</v>
      </c>
      <c r="AR35" s="218">
        <f t="shared" si="35"/>
        <v>556516</v>
      </c>
      <c r="AS35" s="149">
        <v>556516</v>
      </c>
      <c r="AT35" s="149"/>
      <c r="AU35" s="149"/>
      <c r="AV35" s="149"/>
      <c r="AW35" s="149"/>
      <c r="AX35" s="149"/>
      <c r="AY35" s="149"/>
      <c r="AZ35" s="149"/>
      <c r="BA35" s="149"/>
      <c r="BB35" s="149"/>
      <c r="BC35" s="149"/>
      <c r="BD35" s="149"/>
      <c r="BE35" s="238">
        <f t="shared" si="38"/>
        <v>0.96289893333333332</v>
      </c>
      <c r="BF35" s="218">
        <f t="shared" si="39"/>
        <v>14443484</v>
      </c>
      <c r="BG35" s="205">
        <f t="shared" si="36"/>
        <v>14443484</v>
      </c>
      <c r="BH35" s="205">
        <f t="shared" si="36"/>
        <v>0</v>
      </c>
      <c r="BI35" s="205">
        <f t="shared" si="36"/>
        <v>0</v>
      </c>
      <c r="BJ35" s="205">
        <f t="shared" si="36"/>
        <v>0</v>
      </c>
      <c r="BK35" s="205">
        <f t="shared" si="36"/>
        <v>0</v>
      </c>
      <c r="BL35" s="205">
        <f t="shared" si="36"/>
        <v>0</v>
      </c>
      <c r="BM35" s="205">
        <f t="shared" si="36"/>
        <v>0</v>
      </c>
      <c r="BN35" s="205">
        <f t="shared" si="36"/>
        <v>0</v>
      </c>
      <c r="BO35" s="205">
        <f t="shared" si="36"/>
        <v>0</v>
      </c>
      <c r="BP35" s="205">
        <f t="shared" si="36"/>
        <v>0</v>
      </c>
      <c r="BQ35" s="205">
        <f t="shared" si="36"/>
        <v>0</v>
      </c>
      <c r="BR35" s="205">
        <f t="shared" si="36"/>
        <v>0</v>
      </c>
      <c r="BS35" s="238">
        <f t="shared" si="40"/>
        <v>3.7101066666666668E-2</v>
      </c>
      <c r="BT35" s="218">
        <f t="shared" si="41"/>
        <v>556516</v>
      </c>
      <c r="BU35" s="149">
        <v>556516</v>
      </c>
      <c r="BV35" s="149"/>
      <c r="BW35" s="149"/>
      <c r="BX35" s="149"/>
      <c r="BY35" s="149"/>
      <c r="BZ35" s="149"/>
      <c r="CA35" s="149"/>
      <c r="CB35" s="149"/>
      <c r="CC35" s="149"/>
      <c r="CD35" s="149"/>
      <c r="CE35" s="149"/>
      <c r="CF35" s="149"/>
      <c r="CG35" s="238">
        <f t="shared" si="42"/>
        <v>0.96289893333333332</v>
      </c>
      <c r="CH35" s="218">
        <f t="shared" si="43"/>
        <v>14443484</v>
      </c>
      <c r="CI35" s="205">
        <f t="shared" si="37"/>
        <v>14443484</v>
      </c>
      <c r="CJ35" s="205">
        <f t="shared" si="37"/>
        <v>0</v>
      </c>
      <c r="CK35" s="205">
        <f t="shared" si="37"/>
        <v>0</v>
      </c>
      <c r="CL35" s="205">
        <f t="shared" si="37"/>
        <v>0</v>
      </c>
      <c r="CM35" s="205">
        <f t="shared" si="37"/>
        <v>0</v>
      </c>
      <c r="CN35" s="205">
        <f t="shared" si="37"/>
        <v>0</v>
      </c>
      <c r="CO35" s="205">
        <f t="shared" si="37"/>
        <v>0</v>
      </c>
      <c r="CP35" s="205">
        <f t="shared" si="37"/>
        <v>0</v>
      </c>
      <c r="CQ35" s="205">
        <f t="shared" si="37"/>
        <v>0</v>
      </c>
      <c r="CR35" s="205">
        <f t="shared" si="37"/>
        <v>0</v>
      </c>
      <c r="CS35" s="205">
        <f t="shared" si="37"/>
        <v>0</v>
      </c>
      <c r="CT35" s="205">
        <f t="shared" si="37"/>
        <v>0</v>
      </c>
    </row>
    <row r="36" spans="1:98" ht="73.900000000000006" customHeight="1" x14ac:dyDescent="0.25">
      <c r="A36" s="1244"/>
      <c r="B36" s="1244"/>
      <c r="C36" s="1244"/>
      <c r="D36" s="1244"/>
      <c r="E36" s="707"/>
      <c r="F36" s="707"/>
      <c r="G36" s="717"/>
      <c r="H36" s="101"/>
      <c r="I36" s="101"/>
      <c r="J36" s="2"/>
      <c r="K36" s="100"/>
      <c r="L36" s="2"/>
      <c r="M36" s="101"/>
      <c r="N36" s="707" t="s">
        <v>3807</v>
      </c>
      <c r="O36" s="154" t="s">
        <v>3816</v>
      </c>
      <c r="P36" s="170"/>
      <c r="Q36" s="155"/>
      <c r="R36" s="561">
        <v>510</v>
      </c>
      <c r="S36" s="157"/>
      <c r="T36" s="1427" t="s">
        <v>3351</v>
      </c>
      <c r="U36" s="149">
        <f t="shared" si="13"/>
        <v>15000000</v>
      </c>
      <c r="V36" s="149">
        <v>15000000</v>
      </c>
      <c r="W36" s="149"/>
      <c r="X36" s="149"/>
      <c r="Y36" s="149"/>
      <c r="Z36" s="149"/>
      <c r="AA36" s="149"/>
      <c r="AB36" s="149"/>
      <c r="AC36" s="149"/>
      <c r="AD36" s="149"/>
      <c r="AE36" s="149"/>
      <c r="AF36" s="149"/>
      <c r="AG36" s="149"/>
      <c r="AI36" s="739"/>
      <c r="AJ36" s="728"/>
      <c r="AK36" s="728"/>
      <c r="AL36" s="728"/>
      <c r="AM36" s="728"/>
      <c r="AN36" s="728"/>
      <c r="AO36" s="728"/>
      <c r="AP36" s="212"/>
      <c r="AQ36" s="238">
        <f t="shared" si="34"/>
        <v>0.26149866666666666</v>
      </c>
      <c r="AR36" s="218">
        <f t="shared" si="35"/>
        <v>3922480</v>
      </c>
      <c r="AS36" s="149">
        <v>3922480</v>
      </c>
      <c r="AT36" s="149"/>
      <c r="AU36" s="149"/>
      <c r="AV36" s="149"/>
      <c r="AW36" s="149"/>
      <c r="AX36" s="149"/>
      <c r="AY36" s="149"/>
      <c r="AZ36" s="149"/>
      <c r="BA36" s="149"/>
      <c r="BB36" s="149"/>
      <c r="BC36" s="149"/>
      <c r="BD36" s="149"/>
      <c r="BE36" s="238">
        <f t="shared" si="38"/>
        <v>0.73850133333333334</v>
      </c>
      <c r="BF36" s="218">
        <f t="shared" si="39"/>
        <v>11077520</v>
      </c>
      <c r="BG36" s="205">
        <f t="shared" si="36"/>
        <v>11077520</v>
      </c>
      <c r="BH36" s="205">
        <f t="shared" si="36"/>
        <v>0</v>
      </c>
      <c r="BI36" s="205">
        <f t="shared" si="36"/>
        <v>0</v>
      </c>
      <c r="BJ36" s="205">
        <f t="shared" si="36"/>
        <v>0</v>
      </c>
      <c r="BK36" s="205">
        <f t="shared" si="36"/>
        <v>0</v>
      </c>
      <c r="BL36" s="205">
        <f t="shared" si="36"/>
        <v>0</v>
      </c>
      <c r="BM36" s="205">
        <f t="shared" si="36"/>
        <v>0</v>
      </c>
      <c r="BN36" s="205">
        <f t="shared" si="36"/>
        <v>0</v>
      </c>
      <c r="BO36" s="205">
        <f t="shared" si="36"/>
        <v>0</v>
      </c>
      <c r="BP36" s="205">
        <f t="shared" si="36"/>
        <v>0</v>
      </c>
      <c r="BQ36" s="205">
        <f t="shared" si="36"/>
        <v>0</v>
      </c>
      <c r="BR36" s="205">
        <f t="shared" si="36"/>
        <v>0</v>
      </c>
      <c r="BS36" s="238">
        <f t="shared" si="40"/>
        <v>0</v>
      </c>
      <c r="BT36" s="218">
        <f t="shared" si="41"/>
        <v>0</v>
      </c>
      <c r="BU36" s="149"/>
      <c r="BV36" s="149"/>
      <c r="BW36" s="149"/>
      <c r="BX36" s="149"/>
      <c r="BY36" s="149"/>
      <c r="BZ36" s="149"/>
      <c r="CA36" s="149"/>
      <c r="CB36" s="149"/>
      <c r="CC36" s="149"/>
      <c r="CD36" s="149"/>
      <c r="CE36" s="149"/>
      <c r="CF36" s="149"/>
      <c r="CG36" s="238">
        <f t="shared" si="42"/>
        <v>1</v>
      </c>
      <c r="CH36" s="218">
        <f t="shared" si="43"/>
        <v>15000000</v>
      </c>
      <c r="CI36" s="205">
        <f t="shared" si="37"/>
        <v>15000000</v>
      </c>
      <c r="CJ36" s="205">
        <f t="shared" si="37"/>
        <v>0</v>
      </c>
      <c r="CK36" s="205">
        <f t="shared" si="37"/>
        <v>0</v>
      </c>
      <c r="CL36" s="205">
        <f t="shared" si="37"/>
        <v>0</v>
      </c>
      <c r="CM36" s="205">
        <f t="shared" si="37"/>
        <v>0</v>
      </c>
      <c r="CN36" s="205">
        <f t="shared" si="37"/>
        <v>0</v>
      </c>
      <c r="CO36" s="205">
        <f t="shared" si="37"/>
        <v>0</v>
      </c>
      <c r="CP36" s="205">
        <f t="shared" si="37"/>
        <v>0</v>
      </c>
      <c r="CQ36" s="205">
        <f t="shared" si="37"/>
        <v>0</v>
      </c>
      <c r="CR36" s="205">
        <f t="shared" si="37"/>
        <v>0</v>
      </c>
      <c r="CS36" s="205">
        <f t="shared" si="37"/>
        <v>0</v>
      </c>
      <c r="CT36" s="205">
        <f t="shared" si="37"/>
        <v>0</v>
      </c>
    </row>
    <row r="37" spans="1:98" ht="51" x14ac:dyDescent="0.25">
      <c r="A37" s="1244"/>
      <c r="B37" s="1244"/>
      <c r="C37" s="1244"/>
      <c r="D37" s="1244"/>
      <c r="E37" s="707"/>
      <c r="F37" s="707"/>
      <c r="G37" s="717"/>
      <c r="H37" s="101"/>
      <c r="I37" s="101"/>
      <c r="J37" s="2"/>
      <c r="K37" s="100"/>
      <c r="L37" s="2"/>
      <c r="M37" s="101"/>
      <c r="N37" s="707" t="s">
        <v>3808</v>
      </c>
      <c r="O37" s="154" t="s">
        <v>3817</v>
      </c>
      <c r="P37" s="170"/>
      <c r="Q37" s="155"/>
      <c r="R37" s="561">
        <v>510</v>
      </c>
      <c r="S37" s="157"/>
      <c r="T37" s="1427"/>
      <c r="U37" s="149">
        <f t="shared" si="13"/>
        <v>15000000</v>
      </c>
      <c r="V37" s="149">
        <v>15000000</v>
      </c>
      <c r="W37" s="149"/>
      <c r="X37" s="149"/>
      <c r="Y37" s="149"/>
      <c r="Z37" s="149"/>
      <c r="AA37" s="149"/>
      <c r="AB37" s="149"/>
      <c r="AC37" s="149"/>
      <c r="AD37" s="149"/>
      <c r="AE37" s="149"/>
      <c r="AF37" s="149"/>
      <c r="AG37" s="149"/>
      <c r="AI37" s="739"/>
      <c r="AJ37" s="728"/>
      <c r="AK37" s="728"/>
      <c r="AL37" s="728"/>
      <c r="AM37" s="728"/>
      <c r="AN37" s="728"/>
      <c r="AO37" s="728"/>
      <c r="AP37" s="212"/>
      <c r="AQ37" s="238">
        <f t="shared" si="34"/>
        <v>0</v>
      </c>
      <c r="AR37" s="218">
        <f t="shared" si="35"/>
        <v>0</v>
      </c>
      <c r="AS37" s="149"/>
      <c r="AT37" s="149"/>
      <c r="AU37" s="149"/>
      <c r="AV37" s="149"/>
      <c r="AW37" s="149"/>
      <c r="AX37" s="149"/>
      <c r="AY37" s="149"/>
      <c r="AZ37" s="149"/>
      <c r="BA37" s="149"/>
      <c r="BB37" s="149"/>
      <c r="BC37" s="149"/>
      <c r="BD37" s="149"/>
      <c r="BE37" s="238">
        <f t="shared" si="38"/>
        <v>1</v>
      </c>
      <c r="BF37" s="218">
        <f t="shared" si="39"/>
        <v>15000000</v>
      </c>
      <c r="BG37" s="205">
        <f t="shared" si="36"/>
        <v>15000000</v>
      </c>
      <c r="BH37" s="205">
        <f t="shared" si="36"/>
        <v>0</v>
      </c>
      <c r="BI37" s="205">
        <f t="shared" si="36"/>
        <v>0</v>
      </c>
      <c r="BJ37" s="205">
        <f t="shared" si="36"/>
        <v>0</v>
      </c>
      <c r="BK37" s="205">
        <f t="shared" si="36"/>
        <v>0</v>
      </c>
      <c r="BL37" s="205">
        <f t="shared" si="36"/>
        <v>0</v>
      </c>
      <c r="BM37" s="205">
        <f t="shared" si="36"/>
        <v>0</v>
      </c>
      <c r="BN37" s="205">
        <f t="shared" si="36"/>
        <v>0</v>
      </c>
      <c r="BO37" s="205">
        <f t="shared" si="36"/>
        <v>0</v>
      </c>
      <c r="BP37" s="205">
        <f t="shared" si="36"/>
        <v>0</v>
      </c>
      <c r="BQ37" s="205">
        <f t="shared" si="36"/>
        <v>0</v>
      </c>
      <c r="BR37" s="205">
        <f t="shared" si="36"/>
        <v>0</v>
      </c>
      <c r="BS37" s="238">
        <f t="shared" si="40"/>
        <v>0</v>
      </c>
      <c r="BT37" s="218">
        <f t="shared" si="41"/>
        <v>0</v>
      </c>
      <c r="BU37" s="149"/>
      <c r="BV37" s="149"/>
      <c r="BW37" s="149"/>
      <c r="BX37" s="149"/>
      <c r="BY37" s="149"/>
      <c r="BZ37" s="149"/>
      <c r="CA37" s="149"/>
      <c r="CB37" s="149"/>
      <c r="CC37" s="149"/>
      <c r="CD37" s="149"/>
      <c r="CE37" s="149"/>
      <c r="CF37" s="149"/>
      <c r="CG37" s="238">
        <f t="shared" si="42"/>
        <v>1</v>
      </c>
      <c r="CH37" s="218">
        <f t="shared" si="43"/>
        <v>15000000</v>
      </c>
      <c r="CI37" s="205">
        <f t="shared" si="37"/>
        <v>15000000</v>
      </c>
      <c r="CJ37" s="205">
        <f t="shared" si="37"/>
        <v>0</v>
      </c>
      <c r="CK37" s="205">
        <f t="shared" si="37"/>
        <v>0</v>
      </c>
      <c r="CL37" s="205">
        <f t="shared" si="37"/>
        <v>0</v>
      </c>
      <c r="CM37" s="205">
        <f t="shared" si="37"/>
        <v>0</v>
      </c>
      <c r="CN37" s="205">
        <f t="shared" si="37"/>
        <v>0</v>
      </c>
      <c r="CO37" s="205">
        <f t="shared" si="37"/>
        <v>0</v>
      </c>
      <c r="CP37" s="205">
        <f t="shared" si="37"/>
        <v>0</v>
      </c>
      <c r="CQ37" s="205">
        <f t="shared" si="37"/>
        <v>0</v>
      </c>
      <c r="CR37" s="205">
        <f t="shared" si="37"/>
        <v>0</v>
      </c>
      <c r="CS37" s="205">
        <f t="shared" si="37"/>
        <v>0</v>
      </c>
      <c r="CT37" s="205">
        <f t="shared" si="37"/>
        <v>0</v>
      </c>
    </row>
    <row r="38" spans="1:98" ht="60.6" customHeight="1" x14ac:dyDescent="0.25">
      <c r="A38" s="1244"/>
      <c r="B38" s="1244"/>
      <c r="C38" s="1244"/>
      <c r="D38" s="1244"/>
      <c r="E38" s="707"/>
      <c r="F38" s="707"/>
      <c r="G38" s="717"/>
      <c r="H38" s="101"/>
      <c r="I38" s="101"/>
      <c r="J38" s="2"/>
      <c r="K38" s="100"/>
      <c r="L38" s="2"/>
      <c r="M38" s="101"/>
      <c r="N38" s="707" t="s">
        <v>3809</v>
      </c>
      <c r="O38" s="154" t="s">
        <v>3818</v>
      </c>
      <c r="P38" s="170"/>
      <c r="Q38" s="155"/>
      <c r="R38" s="561">
        <v>510</v>
      </c>
      <c r="S38" s="157"/>
      <c r="T38" s="1287" t="s">
        <v>3351</v>
      </c>
      <c r="U38" s="149">
        <f t="shared" si="13"/>
        <v>15000000</v>
      </c>
      <c r="V38" s="149">
        <v>15000000</v>
      </c>
      <c r="W38" s="149"/>
      <c r="X38" s="149"/>
      <c r="Y38" s="149"/>
      <c r="Z38" s="149"/>
      <c r="AA38" s="149"/>
      <c r="AB38" s="149"/>
      <c r="AC38" s="149"/>
      <c r="AD38" s="149"/>
      <c r="AE38" s="149"/>
      <c r="AF38" s="149"/>
      <c r="AG38" s="149"/>
      <c r="AI38" s="739"/>
      <c r="AJ38" s="728"/>
      <c r="AK38" s="728"/>
      <c r="AL38" s="728"/>
      <c r="AM38" s="728"/>
      <c r="AN38" s="728"/>
      <c r="AO38" s="728"/>
      <c r="AP38" s="212"/>
      <c r="AQ38" s="238">
        <f t="shared" si="34"/>
        <v>0.58957199999999998</v>
      </c>
      <c r="AR38" s="218">
        <f t="shared" si="35"/>
        <v>8843580</v>
      </c>
      <c r="AS38" s="149">
        <v>8843580</v>
      </c>
      <c r="AT38" s="149"/>
      <c r="AU38" s="149"/>
      <c r="AV38" s="149"/>
      <c r="AW38" s="149"/>
      <c r="AX38" s="149"/>
      <c r="AY38" s="149"/>
      <c r="AZ38" s="149"/>
      <c r="BA38" s="149"/>
      <c r="BB38" s="149"/>
      <c r="BC38" s="149"/>
      <c r="BD38" s="149"/>
      <c r="BE38" s="238">
        <f t="shared" si="38"/>
        <v>0.41042800000000002</v>
      </c>
      <c r="BF38" s="218">
        <f t="shared" si="39"/>
        <v>6156420</v>
      </c>
      <c r="BG38" s="205">
        <f t="shared" si="36"/>
        <v>6156420</v>
      </c>
      <c r="BH38" s="205">
        <f t="shared" si="36"/>
        <v>0</v>
      </c>
      <c r="BI38" s="205">
        <f t="shared" si="36"/>
        <v>0</v>
      </c>
      <c r="BJ38" s="205">
        <f t="shared" si="36"/>
        <v>0</v>
      </c>
      <c r="BK38" s="205">
        <f t="shared" si="36"/>
        <v>0</v>
      </c>
      <c r="BL38" s="205">
        <f t="shared" si="36"/>
        <v>0</v>
      </c>
      <c r="BM38" s="205">
        <f t="shared" si="36"/>
        <v>0</v>
      </c>
      <c r="BN38" s="205">
        <f t="shared" si="36"/>
        <v>0</v>
      </c>
      <c r="BO38" s="205">
        <f t="shared" si="36"/>
        <v>0</v>
      </c>
      <c r="BP38" s="205">
        <f t="shared" si="36"/>
        <v>0</v>
      </c>
      <c r="BQ38" s="205">
        <f t="shared" si="36"/>
        <v>0</v>
      </c>
      <c r="BR38" s="205">
        <f t="shared" si="36"/>
        <v>0</v>
      </c>
      <c r="BS38" s="238">
        <f t="shared" si="40"/>
        <v>0</v>
      </c>
      <c r="BT38" s="218">
        <f t="shared" si="41"/>
        <v>0</v>
      </c>
      <c r="BU38" s="149"/>
      <c r="BV38" s="149"/>
      <c r="BW38" s="149"/>
      <c r="BX38" s="149"/>
      <c r="BY38" s="149"/>
      <c r="BZ38" s="149"/>
      <c r="CA38" s="149"/>
      <c r="CB38" s="149"/>
      <c r="CC38" s="149"/>
      <c r="CD38" s="149"/>
      <c r="CE38" s="149"/>
      <c r="CF38" s="149"/>
      <c r="CG38" s="238">
        <f t="shared" si="42"/>
        <v>1</v>
      </c>
      <c r="CH38" s="218">
        <f t="shared" si="43"/>
        <v>15000000</v>
      </c>
      <c r="CI38" s="205">
        <f t="shared" si="37"/>
        <v>15000000</v>
      </c>
      <c r="CJ38" s="205">
        <f t="shared" si="37"/>
        <v>0</v>
      </c>
      <c r="CK38" s="205">
        <f t="shared" si="37"/>
        <v>0</v>
      </c>
      <c r="CL38" s="205">
        <f t="shared" si="37"/>
        <v>0</v>
      </c>
      <c r="CM38" s="205">
        <f t="shared" si="37"/>
        <v>0</v>
      </c>
      <c r="CN38" s="205">
        <f t="shared" si="37"/>
        <v>0</v>
      </c>
      <c r="CO38" s="205">
        <f t="shared" si="37"/>
        <v>0</v>
      </c>
      <c r="CP38" s="205">
        <f t="shared" si="37"/>
        <v>0</v>
      </c>
      <c r="CQ38" s="205">
        <f t="shared" si="37"/>
        <v>0</v>
      </c>
      <c r="CR38" s="205">
        <f t="shared" si="37"/>
        <v>0</v>
      </c>
      <c r="CS38" s="205">
        <f t="shared" si="37"/>
        <v>0</v>
      </c>
      <c r="CT38" s="205">
        <f t="shared" si="37"/>
        <v>0</v>
      </c>
    </row>
    <row r="39" spans="1:98" ht="51" x14ac:dyDescent="0.25">
      <c r="A39" s="1244"/>
      <c r="B39" s="1244"/>
      <c r="C39" s="1244"/>
      <c r="D39" s="1244"/>
      <c r="E39" s="707"/>
      <c r="F39" s="707"/>
      <c r="G39" s="717"/>
      <c r="H39" s="101"/>
      <c r="I39" s="101"/>
      <c r="J39" s="2"/>
      <c r="K39" s="100"/>
      <c r="L39" s="2"/>
      <c r="M39" s="101"/>
      <c r="N39" s="707" t="s">
        <v>3810</v>
      </c>
      <c r="O39" s="154" t="s">
        <v>3819</v>
      </c>
      <c r="P39" s="170"/>
      <c r="Q39" s="155"/>
      <c r="R39" s="561">
        <v>510</v>
      </c>
      <c r="S39" s="157"/>
      <c r="T39" s="1288"/>
      <c r="U39" s="149">
        <f t="shared" si="13"/>
        <v>15000000</v>
      </c>
      <c r="V39" s="149">
        <v>5000000</v>
      </c>
      <c r="W39" s="149"/>
      <c r="X39" s="149"/>
      <c r="Y39" s="149"/>
      <c r="Z39" s="149"/>
      <c r="AA39" s="149"/>
      <c r="AB39" s="149"/>
      <c r="AC39" s="149">
        <v>10000000</v>
      </c>
      <c r="AD39" s="149"/>
      <c r="AE39" s="149"/>
      <c r="AF39" s="149"/>
      <c r="AG39" s="149"/>
      <c r="AI39" s="739"/>
      <c r="AJ39" s="728"/>
      <c r="AK39" s="728"/>
      <c r="AL39" s="728"/>
      <c r="AM39" s="728"/>
      <c r="AN39" s="728"/>
      <c r="AO39" s="728"/>
      <c r="AP39" s="212"/>
      <c r="AQ39" s="238">
        <f t="shared" si="34"/>
        <v>0.39224799999999999</v>
      </c>
      <c r="AR39" s="218">
        <f t="shared" si="35"/>
        <v>5883720</v>
      </c>
      <c r="AS39" s="149"/>
      <c r="AT39" s="149"/>
      <c r="AU39" s="149"/>
      <c r="AV39" s="149"/>
      <c r="AW39" s="149"/>
      <c r="AX39" s="149"/>
      <c r="AY39" s="149"/>
      <c r="AZ39" s="149">
        <v>5883720</v>
      </c>
      <c r="BA39" s="149"/>
      <c r="BB39" s="149"/>
      <c r="BC39" s="149"/>
      <c r="BD39" s="149"/>
      <c r="BE39" s="238">
        <f t="shared" si="38"/>
        <v>0.60775200000000007</v>
      </c>
      <c r="BF39" s="218">
        <f t="shared" si="39"/>
        <v>9116280</v>
      </c>
      <c r="BG39" s="205">
        <f t="shared" si="36"/>
        <v>5000000</v>
      </c>
      <c r="BH39" s="205">
        <f t="shared" si="36"/>
        <v>0</v>
      </c>
      <c r="BI39" s="205">
        <f t="shared" si="36"/>
        <v>0</v>
      </c>
      <c r="BJ39" s="205">
        <f t="shared" si="36"/>
        <v>0</v>
      </c>
      <c r="BK39" s="205">
        <f t="shared" si="36"/>
        <v>0</v>
      </c>
      <c r="BL39" s="205">
        <f t="shared" si="36"/>
        <v>0</v>
      </c>
      <c r="BM39" s="205">
        <f t="shared" si="36"/>
        <v>0</v>
      </c>
      <c r="BN39" s="205">
        <f t="shared" si="36"/>
        <v>4116280</v>
      </c>
      <c r="BO39" s="205">
        <f t="shared" si="36"/>
        <v>0</v>
      </c>
      <c r="BP39" s="205">
        <f t="shared" si="36"/>
        <v>0</v>
      </c>
      <c r="BQ39" s="205">
        <f t="shared" si="36"/>
        <v>0</v>
      </c>
      <c r="BR39" s="205">
        <f t="shared" si="36"/>
        <v>0</v>
      </c>
      <c r="BS39" s="238">
        <f t="shared" si="40"/>
        <v>0</v>
      </c>
      <c r="BT39" s="218">
        <f t="shared" si="41"/>
        <v>0</v>
      </c>
      <c r="BU39" s="149"/>
      <c r="BV39" s="149"/>
      <c r="BW39" s="149"/>
      <c r="BX39" s="149"/>
      <c r="BY39" s="149"/>
      <c r="BZ39" s="149"/>
      <c r="CA39" s="149"/>
      <c r="CB39" s="149"/>
      <c r="CC39" s="149"/>
      <c r="CD39" s="149"/>
      <c r="CE39" s="149"/>
      <c r="CF39" s="149"/>
      <c r="CG39" s="238">
        <f t="shared" si="42"/>
        <v>1</v>
      </c>
      <c r="CH39" s="218">
        <f t="shared" si="43"/>
        <v>15000000</v>
      </c>
      <c r="CI39" s="205">
        <f t="shared" ref="CI39:CT60" si="44">+V39-BU39</f>
        <v>5000000</v>
      </c>
      <c r="CJ39" s="205">
        <f t="shared" si="44"/>
        <v>0</v>
      </c>
      <c r="CK39" s="205">
        <f t="shared" si="44"/>
        <v>0</v>
      </c>
      <c r="CL39" s="205">
        <f t="shared" si="44"/>
        <v>0</v>
      </c>
      <c r="CM39" s="205">
        <f t="shared" si="44"/>
        <v>0</v>
      </c>
      <c r="CN39" s="205">
        <f t="shared" si="44"/>
        <v>0</v>
      </c>
      <c r="CO39" s="205">
        <f t="shared" si="44"/>
        <v>0</v>
      </c>
      <c r="CP39" s="205">
        <f t="shared" si="44"/>
        <v>10000000</v>
      </c>
      <c r="CQ39" s="205">
        <f t="shared" si="44"/>
        <v>0</v>
      </c>
      <c r="CR39" s="205">
        <f t="shared" si="44"/>
        <v>0</v>
      </c>
      <c r="CS39" s="205">
        <f t="shared" si="44"/>
        <v>0</v>
      </c>
      <c r="CT39" s="205">
        <f t="shared" si="44"/>
        <v>0</v>
      </c>
    </row>
    <row r="40" spans="1:98" ht="51" x14ac:dyDescent="0.25">
      <c r="A40" s="1244"/>
      <c r="B40" s="1244"/>
      <c r="C40" s="1244"/>
      <c r="D40" s="1244"/>
      <c r="E40" s="707"/>
      <c r="F40" s="707"/>
      <c r="G40" s="717"/>
      <c r="H40" s="101"/>
      <c r="I40" s="101"/>
      <c r="J40" s="2"/>
      <c r="K40" s="100"/>
      <c r="L40" s="2"/>
      <c r="M40" s="101"/>
      <c r="N40" s="707" t="s">
        <v>3811</v>
      </c>
      <c r="O40" s="154" t="s">
        <v>3820</v>
      </c>
      <c r="P40" s="170"/>
      <c r="Q40" s="155"/>
      <c r="R40" s="561">
        <v>510</v>
      </c>
      <c r="S40" s="157"/>
      <c r="T40" s="1288"/>
      <c r="U40" s="149">
        <f t="shared" si="13"/>
        <v>15000000</v>
      </c>
      <c r="V40" s="149"/>
      <c r="W40" s="149"/>
      <c r="X40" s="149"/>
      <c r="Y40" s="149"/>
      <c r="Z40" s="149"/>
      <c r="AA40" s="149"/>
      <c r="AB40" s="149"/>
      <c r="AC40" s="149">
        <v>15000000</v>
      </c>
      <c r="AD40" s="149"/>
      <c r="AE40" s="149"/>
      <c r="AF40" s="149"/>
      <c r="AG40" s="149"/>
      <c r="AI40" s="739"/>
      <c r="AJ40" s="728"/>
      <c r="AK40" s="728"/>
      <c r="AL40" s="728"/>
      <c r="AM40" s="728"/>
      <c r="AN40" s="728"/>
      <c r="AO40" s="728"/>
      <c r="AP40" s="212"/>
      <c r="AQ40" s="238">
        <f t="shared" si="34"/>
        <v>0.5</v>
      </c>
      <c r="AR40" s="218">
        <f t="shared" si="35"/>
        <v>7500000</v>
      </c>
      <c r="AS40" s="149"/>
      <c r="AT40" s="149"/>
      <c r="AU40" s="149"/>
      <c r="AV40" s="149"/>
      <c r="AW40" s="149"/>
      <c r="AX40" s="149"/>
      <c r="AY40" s="149"/>
      <c r="AZ40" s="149">
        <v>7500000</v>
      </c>
      <c r="BA40" s="149"/>
      <c r="BB40" s="149"/>
      <c r="BC40" s="149"/>
      <c r="BD40" s="149"/>
      <c r="BE40" s="238">
        <f t="shared" si="38"/>
        <v>0.5</v>
      </c>
      <c r="BF40" s="218">
        <f t="shared" si="39"/>
        <v>7500000</v>
      </c>
      <c r="BG40" s="205">
        <f t="shared" si="36"/>
        <v>0</v>
      </c>
      <c r="BH40" s="205">
        <f t="shared" si="36"/>
        <v>0</v>
      </c>
      <c r="BI40" s="205">
        <f t="shared" si="36"/>
        <v>0</v>
      </c>
      <c r="BJ40" s="205">
        <f t="shared" si="36"/>
        <v>0</v>
      </c>
      <c r="BK40" s="205">
        <f t="shared" si="36"/>
        <v>0</v>
      </c>
      <c r="BL40" s="205">
        <f t="shared" si="36"/>
        <v>0</v>
      </c>
      <c r="BM40" s="205">
        <f t="shared" si="36"/>
        <v>0</v>
      </c>
      <c r="BN40" s="205">
        <f t="shared" si="36"/>
        <v>7500000</v>
      </c>
      <c r="BO40" s="205">
        <f t="shared" si="36"/>
        <v>0</v>
      </c>
      <c r="BP40" s="205">
        <f t="shared" si="36"/>
        <v>0</v>
      </c>
      <c r="BQ40" s="205">
        <f t="shared" si="36"/>
        <v>0</v>
      </c>
      <c r="BR40" s="205">
        <f t="shared" si="36"/>
        <v>0</v>
      </c>
      <c r="BS40" s="238">
        <f t="shared" si="40"/>
        <v>0.5</v>
      </c>
      <c r="BT40" s="218">
        <f t="shared" si="41"/>
        <v>7500000</v>
      </c>
      <c r="BU40" s="149"/>
      <c r="BV40" s="149"/>
      <c r="BW40" s="149"/>
      <c r="BX40" s="149"/>
      <c r="BY40" s="149"/>
      <c r="BZ40" s="149"/>
      <c r="CA40" s="149"/>
      <c r="CB40" s="149">
        <v>7500000</v>
      </c>
      <c r="CC40" s="149"/>
      <c r="CD40" s="149"/>
      <c r="CE40" s="149"/>
      <c r="CF40" s="149"/>
      <c r="CG40" s="238">
        <f t="shared" si="42"/>
        <v>0.5</v>
      </c>
      <c r="CH40" s="218">
        <f t="shared" si="43"/>
        <v>7500000</v>
      </c>
      <c r="CI40" s="205">
        <f t="shared" si="44"/>
        <v>0</v>
      </c>
      <c r="CJ40" s="205">
        <f t="shared" si="44"/>
        <v>0</v>
      </c>
      <c r="CK40" s="205">
        <f t="shared" si="44"/>
        <v>0</v>
      </c>
      <c r="CL40" s="205">
        <f t="shared" si="44"/>
        <v>0</v>
      </c>
      <c r="CM40" s="205">
        <f t="shared" si="44"/>
        <v>0</v>
      </c>
      <c r="CN40" s="205">
        <f t="shared" si="44"/>
        <v>0</v>
      </c>
      <c r="CO40" s="205">
        <f t="shared" si="44"/>
        <v>0</v>
      </c>
      <c r="CP40" s="205">
        <f t="shared" si="44"/>
        <v>7500000</v>
      </c>
      <c r="CQ40" s="205">
        <f t="shared" si="44"/>
        <v>0</v>
      </c>
      <c r="CR40" s="205">
        <f t="shared" si="44"/>
        <v>0</v>
      </c>
      <c r="CS40" s="205">
        <f t="shared" si="44"/>
        <v>0</v>
      </c>
      <c r="CT40" s="205">
        <f t="shared" si="44"/>
        <v>0</v>
      </c>
    </row>
    <row r="41" spans="1:98" ht="38.25" x14ac:dyDescent="0.25">
      <c r="A41" s="1244"/>
      <c r="B41" s="1244"/>
      <c r="C41" s="1244"/>
      <c r="D41" s="1244"/>
      <c r="E41" s="707"/>
      <c r="F41" s="707"/>
      <c r="G41" s="717"/>
      <c r="H41" s="101"/>
      <c r="I41" s="101"/>
      <c r="J41" s="2"/>
      <c r="K41" s="100"/>
      <c r="L41" s="2"/>
      <c r="M41" s="101"/>
      <c r="N41" s="707" t="s">
        <v>3812</v>
      </c>
      <c r="O41" s="154" t="s">
        <v>3821</v>
      </c>
      <c r="P41" s="170"/>
      <c r="Q41" s="155"/>
      <c r="R41" s="561">
        <v>510</v>
      </c>
      <c r="S41" s="157"/>
      <c r="T41" s="1288"/>
      <c r="U41" s="149">
        <f t="shared" si="13"/>
        <v>15000000</v>
      </c>
      <c r="V41" s="149"/>
      <c r="W41" s="149"/>
      <c r="X41" s="149"/>
      <c r="Y41" s="149"/>
      <c r="Z41" s="149"/>
      <c r="AA41" s="149"/>
      <c r="AB41" s="149"/>
      <c r="AC41" s="149">
        <v>15000000</v>
      </c>
      <c r="AD41" s="149"/>
      <c r="AE41" s="149"/>
      <c r="AF41" s="149"/>
      <c r="AG41" s="149"/>
      <c r="AI41" s="739"/>
      <c r="AJ41" s="728"/>
      <c r="AK41" s="728"/>
      <c r="AL41" s="728"/>
      <c r="AM41" s="728"/>
      <c r="AN41" s="728"/>
      <c r="AO41" s="728"/>
      <c r="AP41" s="212"/>
      <c r="AQ41" s="238">
        <f t="shared" si="34"/>
        <v>0.64052266666666668</v>
      </c>
      <c r="AR41" s="218">
        <f t="shared" si="35"/>
        <v>9607840</v>
      </c>
      <c r="AS41" s="149"/>
      <c r="AT41" s="149"/>
      <c r="AU41" s="149"/>
      <c r="AV41" s="149"/>
      <c r="AW41" s="149"/>
      <c r="AX41" s="149"/>
      <c r="AY41" s="149"/>
      <c r="AZ41" s="149">
        <v>9607840</v>
      </c>
      <c r="BA41" s="149"/>
      <c r="BB41" s="149"/>
      <c r="BC41" s="149"/>
      <c r="BD41" s="149"/>
      <c r="BE41" s="238">
        <f t="shared" si="38"/>
        <v>0.35947733333333332</v>
      </c>
      <c r="BF41" s="218">
        <f t="shared" si="39"/>
        <v>5392160</v>
      </c>
      <c r="BG41" s="205">
        <f t="shared" si="36"/>
        <v>0</v>
      </c>
      <c r="BH41" s="205">
        <f t="shared" si="36"/>
        <v>0</v>
      </c>
      <c r="BI41" s="205">
        <f t="shared" si="36"/>
        <v>0</v>
      </c>
      <c r="BJ41" s="205">
        <f t="shared" si="36"/>
        <v>0</v>
      </c>
      <c r="BK41" s="205">
        <f t="shared" si="36"/>
        <v>0</v>
      </c>
      <c r="BL41" s="205">
        <f t="shared" si="36"/>
        <v>0</v>
      </c>
      <c r="BM41" s="205">
        <f t="shared" si="36"/>
        <v>0</v>
      </c>
      <c r="BN41" s="205">
        <f t="shared" si="36"/>
        <v>5392160</v>
      </c>
      <c r="BO41" s="205">
        <f t="shared" si="36"/>
        <v>0</v>
      </c>
      <c r="BP41" s="205">
        <f t="shared" si="36"/>
        <v>0</v>
      </c>
      <c r="BQ41" s="205">
        <f t="shared" si="36"/>
        <v>0</v>
      </c>
      <c r="BR41" s="205">
        <f t="shared" si="36"/>
        <v>0</v>
      </c>
      <c r="BS41" s="238">
        <f t="shared" si="40"/>
        <v>0</v>
      </c>
      <c r="BT41" s="218">
        <f t="shared" si="41"/>
        <v>0</v>
      </c>
      <c r="BU41" s="149"/>
      <c r="BV41" s="149"/>
      <c r="BW41" s="149"/>
      <c r="BX41" s="149"/>
      <c r="BY41" s="149"/>
      <c r="BZ41" s="149"/>
      <c r="CA41" s="149"/>
      <c r="CB41" s="149"/>
      <c r="CC41" s="149"/>
      <c r="CD41" s="149"/>
      <c r="CE41" s="149"/>
      <c r="CF41" s="149"/>
      <c r="CG41" s="238">
        <f t="shared" si="42"/>
        <v>1</v>
      </c>
      <c r="CH41" s="218">
        <f t="shared" si="43"/>
        <v>15000000</v>
      </c>
      <c r="CI41" s="205">
        <f t="shared" si="44"/>
        <v>0</v>
      </c>
      <c r="CJ41" s="205">
        <f t="shared" si="44"/>
        <v>0</v>
      </c>
      <c r="CK41" s="205">
        <f t="shared" si="44"/>
        <v>0</v>
      </c>
      <c r="CL41" s="205">
        <f t="shared" si="44"/>
        <v>0</v>
      </c>
      <c r="CM41" s="205">
        <f t="shared" si="44"/>
        <v>0</v>
      </c>
      <c r="CN41" s="205">
        <f t="shared" si="44"/>
        <v>0</v>
      </c>
      <c r="CO41" s="205">
        <f t="shared" si="44"/>
        <v>0</v>
      </c>
      <c r="CP41" s="205">
        <f t="shared" si="44"/>
        <v>15000000</v>
      </c>
      <c r="CQ41" s="205">
        <f t="shared" si="44"/>
        <v>0</v>
      </c>
      <c r="CR41" s="205">
        <f t="shared" si="44"/>
        <v>0</v>
      </c>
      <c r="CS41" s="205">
        <f t="shared" si="44"/>
        <v>0</v>
      </c>
      <c r="CT41" s="205">
        <f t="shared" si="44"/>
        <v>0</v>
      </c>
    </row>
    <row r="42" spans="1:98" ht="38.25" x14ac:dyDescent="0.25">
      <c r="A42" s="1244"/>
      <c r="B42" s="1244"/>
      <c r="C42" s="1244"/>
      <c r="D42" s="1244"/>
      <c r="E42" s="707"/>
      <c r="F42" s="707"/>
      <c r="G42" s="717"/>
      <c r="H42" s="101"/>
      <c r="I42" s="101"/>
      <c r="J42" s="2"/>
      <c r="K42" s="100"/>
      <c r="L42" s="2"/>
      <c r="M42" s="101"/>
      <c r="N42" s="707" t="s">
        <v>3813</v>
      </c>
      <c r="O42" s="154" t="s">
        <v>3822</v>
      </c>
      <c r="P42" s="170"/>
      <c r="Q42" s="155"/>
      <c r="R42" s="561">
        <v>510</v>
      </c>
      <c r="S42" s="157"/>
      <c r="T42" s="1288"/>
      <c r="U42" s="149">
        <f t="shared" si="13"/>
        <v>15000000</v>
      </c>
      <c r="V42" s="149"/>
      <c r="W42" s="149"/>
      <c r="X42" s="149"/>
      <c r="Y42" s="149"/>
      <c r="Z42" s="149"/>
      <c r="AA42" s="149"/>
      <c r="AB42" s="149"/>
      <c r="AC42" s="149">
        <v>15000000</v>
      </c>
      <c r="AD42" s="149"/>
      <c r="AE42" s="149"/>
      <c r="AF42" s="149"/>
      <c r="AG42" s="149"/>
      <c r="AI42" s="739"/>
      <c r="AJ42" s="728"/>
      <c r="AK42" s="728"/>
      <c r="AL42" s="728"/>
      <c r="AM42" s="728"/>
      <c r="AN42" s="728"/>
      <c r="AO42" s="728"/>
      <c r="AP42" s="212"/>
      <c r="AQ42" s="238">
        <f t="shared" si="34"/>
        <v>0.57999999999999996</v>
      </c>
      <c r="AR42" s="218">
        <f t="shared" si="35"/>
        <v>8700000</v>
      </c>
      <c r="AS42" s="149"/>
      <c r="AT42" s="149"/>
      <c r="AU42" s="149"/>
      <c r="AV42" s="149"/>
      <c r="AW42" s="149"/>
      <c r="AX42" s="149"/>
      <c r="AY42" s="149"/>
      <c r="AZ42" s="149">
        <v>8700000</v>
      </c>
      <c r="BA42" s="149"/>
      <c r="BB42" s="149"/>
      <c r="BC42" s="149"/>
      <c r="BD42" s="149"/>
      <c r="BE42" s="238">
        <f t="shared" si="38"/>
        <v>0.42000000000000004</v>
      </c>
      <c r="BF42" s="218">
        <f t="shared" si="39"/>
        <v>6300000</v>
      </c>
      <c r="BG42" s="205">
        <f t="shared" si="36"/>
        <v>0</v>
      </c>
      <c r="BH42" s="205">
        <f t="shared" si="36"/>
        <v>0</v>
      </c>
      <c r="BI42" s="205">
        <f t="shared" si="36"/>
        <v>0</v>
      </c>
      <c r="BJ42" s="205">
        <f t="shared" si="36"/>
        <v>0</v>
      </c>
      <c r="BK42" s="205">
        <f t="shared" si="36"/>
        <v>0</v>
      </c>
      <c r="BL42" s="205">
        <f t="shared" si="36"/>
        <v>0</v>
      </c>
      <c r="BM42" s="205">
        <f t="shared" si="36"/>
        <v>0</v>
      </c>
      <c r="BN42" s="205">
        <f t="shared" si="36"/>
        <v>6300000</v>
      </c>
      <c r="BO42" s="205">
        <f t="shared" si="36"/>
        <v>0</v>
      </c>
      <c r="BP42" s="205">
        <f t="shared" si="36"/>
        <v>0</v>
      </c>
      <c r="BQ42" s="205">
        <f t="shared" si="36"/>
        <v>0</v>
      </c>
      <c r="BR42" s="205">
        <f t="shared" si="36"/>
        <v>0</v>
      </c>
      <c r="BS42" s="238">
        <f t="shared" si="40"/>
        <v>0.38</v>
      </c>
      <c r="BT42" s="218">
        <f t="shared" si="41"/>
        <v>5700000</v>
      </c>
      <c r="BU42" s="149"/>
      <c r="BV42" s="149"/>
      <c r="BW42" s="149"/>
      <c r="BX42" s="149"/>
      <c r="BY42" s="149"/>
      <c r="BZ42" s="149"/>
      <c r="CA42" s="149"/>
      <c r="CB42" s="149">
        <v>5700000</v>
      </c>
      <c r="CC42" s="149"/>
      <c r="CD42" s="149"/>
      <c r="CE42" s="149"/>
      <c r="CF42" s="149"/>
      <c r="CG42" s="238">
        <f t="shared" si="42"/>
        <v>0.62</v>
      </c>
      <c r="CH42" s="218">
        <f t="shared" si="43"/>
        <v>9300000</v>
      </c>
      <c r="CI42" s="205">
        <f t="shared" si="44"/>
        <v>0</v>
      </c>
      <c r="CJ42" s="205">
        <f t="shared" si="44"/>
        <v>0</v>
      </c>
      <c r="CK42" s="205">
        <f t="shared" si="44"/>
        <v>0</v>
      </c>
      <c r="CL42" s="205">
        <f t="shared" si="44"/>
        <v>0</v>
      </c>
      <c r="CM42" s="205">
        <f t="shared" si="44"/>
        <v>0</v>
      </c>
      <c r="CN42" s="205">
        <f t="shared" si="44"/>
        <v>0</v>
      </c>
      <c r="CO42" s="205">
        <f t="shared" si="44"/>
        <v>0</v>
      </c>
      <c r="CP42" s="205">
        <f t="shared" si="44"/>
        <v>9300000</v>
      </c>
      <c r="CQ42" s="205">
        <f t="shared" si="44"/>
        <v>0</v>
      </c>
      <c r="CR42" s="205">
        <f t="shared" si="44"/>
        <v>0</v>
      </c>
      <c r="CS42" s="205">
        <f t="shared" si="44"/>
        <v>0</v>
      </c>
      <c r="CT42" s="205">
        <f t="shared" si="44"/>
        <v>0</v>
      </c>
    </row>
    <row r="43" spans="1:98" ht="51" x14ac:dyDescent="0.25">
      <c r="A43" s="1244"/>
      <c r="B43" s="1244"/>
      <c r="C43" s="1244"/>
      <c r="D43" s="1244"/>
      <c r="E43" s="707"/>
      <c r="F43" s="707"/>
      <c r="G43" s="717"/>
      <c r="H43" s="101"/>
      <c r="I43" s="101"/>
      <c r="J43" s="2"/>
      <c r="K43" s="100"/>
      <c r="L43" s="2"/>
      <c r="M43" s="101"/>
      <c r="N43" s="707" t="s">
        <v>3814</v>
      </c>
      <c r="O43" s="154" t="s">
        <v>3823</v>
      </c>
      <c r="P43" s="170"/>
      <c r="Q43" s="155"/>
      <c r="R43" s="561">
        <v>510</v>
      </c>
      <c r="S43" s="157"/>
      <c r="T43" s="1289"/>
      <c r="U43" s="149">
        <f t="shared" si="13"/>
        <v>15000000</v>
      </c>
      <c r="V43" s="149"/>
      <c r="W43" s="149"/>
      <c r="X43" s="149"/>
      <c r="Y43" s="149"/>
      <c r="Z43" s="149"/>
      <c r="AA43" s="149"/>
      <c r="AB43" s="149"/>
      <c r="AC43" s="149">
        <v>15000000</v>
      </c>
      <c r="AD43" s="149"/>
      <c r="AE43" s="149"/>
      <c r="AF43" s="149"/>
      <c r="AG43" s="149"/>
      <c r="AI43" s="739"/>
      <c r="AJ43" s="728"/>
      <c r="AK43" s="728"/>
      <c r="AL43" s="728"/>
      <c r="AM43" s="728"/>
      <c r="AN43" s="728"/>
      <c r="AO43" s="728"/>
      <c r="AP43" s="212"/>
      <c r="AQ43" s="238">
        <f t="shared" si="34"/>
        <v>0.64052266666666668</v>
      </c>
      <c r="AR43" s="218">
        <f t="shared" si="35"/>
        <v>9607840</v>
      </c>
      <c r="AS43" s="149"/>
      <c r="AT43" s="149"/>
      <c r="AU43" s="149"/>
      <c r="AV43" s="149"/>
      <c r="AW43" s="149"/>
      <c r="AX43" s="149"/>
      <c r="AY43" s="149"/>
      <c r="AZ43" s="149">
        <v>9607840</v>
      </c>
      <c r="BA43" s="149"/>
      <c r="BB43" s="149"/>
      <c r="BC43" s="149"/>
      <c r="BD43" s="149"/>
      <c r="BE43" s="238">
        <f t="shared" si="38"/>
        <v>0.35947733333333332</v>
      </c>
      <c r="BF43" s="218">
        <f t="shared" si="39"/>
        <v>5392160</v>
      </c>
      <c r="BG43" s="205">
        <f t="shared" si="36"/>
        <v>0</v>
      </c>
      <c r="BH43" s="205">
        <f t="shared" si="36"/>
        <v>0</v>
      </c>
      <c r="BI43" s="205">
        <f t="shared" si="36"/>
        <v>0</v>
      </c>
      <c r="BJ43" s="205">
        <f t="shared" si="36"/>
        <v>0</v>
      </c>
      <c r="BK43" s="205">
        <f t="shared" si="36"/>
        <v>0</v>
      </c>
      <c r="BL43" s="205">
        <f t="shared" si="36"/>
        <v>0</v>
      </c>
      <c r="BM43" s="205">
        <f t="shared" si="36"/>
        <v>0</v>
      </c>
      <c r="BN43" s="205">
        <f t="shared" si="36"/>
        <v>5392160</v>
      </c>
      <c r="BO43" s="205">
        <f t="shared" si="36"/>
        <v>0</v>
      </c>
      <c r="BP43" s="205">
        <f t="shared" si="36"/>
        <v>0</v>
      </c>
      <c r="BQ43" s="205">
        <f t="shared" si="36"/>
        <v>0</v>
      </c>
      <c r="BR43" s="205">
        <f t="shared" si="36"/>
        <v>0</v>
      </c>
      <c r="BS43" s="238">
        <f t="shared" si="40"/>
        <v>0</v>
      </c>
      <c r="BT43" s="218">
        <f t="shared" si="41"/>
        <v>0</v>
      </c>
      <c r="BU43" s="149"/>
      <c r="BV43" s="149"/>
      <c r="BW43" s="149"/>
      <c r="BX43" s="149"/>
      <c r="BY43" s="149"/>
      <c r="BZ43" s="149"/>
      <c r="CA43" s="149"/>
      <c r="CB43" s="149"/>
      <c r="CC43" s="149"/>
      <c r="CD43" s="149"/>
      <c r="CE43" s="149"/>
      <c r="CF43" s="149"/>
      <c r="CG43" s="238">
        <f t="shared" si="42"/>
        <v>1</v>
      </c>
      <c r="CH43" s="218">
        <f t="shared" si="43"/>
        <v>15000000</v>
      </c>
      <c r="CI43" s="205">
        <f t="shared" si="44"/>
        <v>0</v>
      </c>
      <c r="CJ43" s="205">
        <f t="shared" si="44"/>
        <v>0</v>
      </c>
      <c r="CK43" s="205">
        <f t="shared" si="44"/>
        <v>0</v>
      </c>
      <c r="CL43" s="205">
        <f t="shared" si="44"/>
        <v>0</v>
      </c>
      <c r="CM43" s="205">
        <f t="shared" si="44"/>
        <v>0</v>
      </c>
      <c r="CN43" s="205">
        <f t="shared" si="44"/>
        <v>0</v>
      </c>
      <c r="CO43" s="205">
        <f t="shared" si="44"/>
        <v>0</v>
      </c>
      <c r="CP43" s="205">
        <f t="shared" si="44"/>
        <v>15000000</v>
      </c>
      <c r="CQ43" s="205">
        <f t="shared" si="44"/>
        <v>0</v>
      </c>
      <c r="CR43" s="205">
        <f t="shared" si="44"/>
        <v>0</v>
      </c>
      <c r="CS43" s="205">
        <f t="shared" si="44"/>
        <v>0</v>
      </c>
      <c r="CT43" s="205">
        <f t="shared" si="44"/>
        <v>0</v>
      </c>
    </row>
    <row r="44" spans="1:98" ht="89.25" x14ac:dyDescent="0.25">
      <c r="A44" s="1260"/>
      <c r="B44" s="1260"/>
      <c r="C44" s="1260"/>
      <c r="D44" s="1260"/>
      <c r="E44" s="2" t="s">
        <v>2939</v>
      </c>
      <c r="F44" s="100" t="s">
        <v>3169</v>
      </c>
      <c r="G44" s="107">
        <v>40000000</v>
      </c>
      <c r="H44" s="107">
        <v>40000000</v>
      </c>
      <c r="I44" s="107">
        <v>40000000</v>
      </c>
      <c r="J44" s="2" t="s">
        <v>2940</v>
      </c>
      <c r="K44" s="100" t="s">
        <v>3220</v>
      </c>
      <c r="L44" s="2">
        <v>1</v>
      </c>
      <c r="M44" s="101">
        <v>0</v>
      </c>
      <c r="N44" s="2" t="s">
        <v>3826</v>
      </c>
      <c r="O44" s="154" t="s">
        <v>3825</v>
      </c>
      <c r="P44" s="155">
        <v>20000000</v>
      </c>
      <c r="Q44" s="155">
        <v>660000000</v>
      </c>
      <c r="R44" s="561">
        <v>510</v>
      </c>
      <c r="S44" s="157">
        <f>+Q44-U44</f>
        <v>646000000</v>
      </c>
      <c r="T44" s="1428" t="s">
        <v>3353</v>
      </c>
      <c r="U44" s="149">
        <f t="shared" si="13"/>
        <v>14000000</v>
      </c>
      <c r="V44" s="149">
        <v>14000000</v>
      </c>
      <c r="W44" s="149"/>
      <c r="X44" s="149"/>
      <c r="Y44" s="149"/>
      <c r="Z44" s="149"/>
      <c r="AA44" s="149"/>
      <c r="AB44" s="149"/>
      <c r="AC44" s="149"/>
      <c r="AD44" s="149"/>
      <c r="AE44" s="149"/>
      <c r="AF44" s="149"/>
      <c r="AG44" s="149"/>
      <c r="AI44" s="204">
        <f>SUM(AJ44:AP44)</f>
        <v>9250000</v>
      </c>
      <c r="AJ44" s="147">
        <v>9250000</v>
      </c>
      <c r="AK44" s="147"/>
      <c r="AL44" s="147"/>
      <c r="AM44" s="147"/>
      <c r="AN44" s="147"/>
      <c r="AO44" s="147"/>
      <c r="AP44" s="213"/>
      <c r="AQ44" s="238">
        <f t="shared" si="34"/>
        <v>0</v>
      </c>
      <c r="AR44" s="218">
        <f t="shared" si="35"/>
        <v>0</v>
      </c>
      <c r="AS44" s="149"/>
      <c r="AT44" s="149"/>
      <c r="AU44" s="149"/>
      <c r="AV44" s="149"/>
      <c r="AW44" s="149"/>
      <c r="AX44" s="149"/>
      <c r="AY44" s="149"/>
      <c r="AZ44" s="149"/>
      <c r="BA44" s="149"/>
      <c r="BB44" s="149"/>
      <c r="BC44" s="149"/>
      <c r="BD44" s="149"/>
      <c r="BE44" s="238">
        <f t="shared" si="38"/>
        <v>1</v>
      </c>
      <c r="BF44" s="218">
        <f t="shared" si="39"/>
        <v>14000000</v>
      </c>
      <c r="BG44" s="205">
        <f t="shared" si="36"/>
        <v>14000000</v>
      </c>
      <c r="BH44" s="205">
        <f t="shared" si="36"/>
        <v>0</v>
      </c>
      <c r="BI44" s="205">
        <f t="shared" si="36"/>
        <v>0</v>
      </c>
      <c r="BJ44" s="205">
        <f t="shared" ref="BJ44:BR72" si="45">+Y44-AV44</f>
        <v>0</v>
      </c>
      <c r="BK44" s="205">
        <f t="shared" si="45"/>
        <v>0</v>
      </c>
      <c r="BL44" s="205">
        <f t="shared" si="45"/>
        <v>0</v>
      </c>
      <c r="BM44" s="205">
        <f t="shared" si="45"/>
        <v>0</v>
      </c>
      <c r="BN44" s="205">
        <f t="shared" si="45"/>
        <v>0</v>
      </c>
      <c r="BO44" s="205">
        <f t="shared" si="45"/>
        <v>0</v>
      </c>
      <c r="BP44" s="205">
        <f t="shared" si="45"/>
        <v>0</v>
      </c>
      <c r="BQ44" s="205">
        <f t="shared" si="45"/>
        <v>0</v>
      </c>
      <c r="BR44" s="205">
        <f t="shared" si="45"/>
        <v>0</v>
      </c>
      <c r="BS44" s="238">
        <f t="shared" si="40"/>
        <v>0</v>
      </c>
      <c r="BT44" s="218">
        <f t="shared" si="41"/>
        <v>0</v>
      </c>
      <c r="BU44" s="149"/>
      <c r="BV44" s="149"/>
      <c r="BW44" s="149"/>
      <c r="BX44" s="149"/>
      <c r="BY44" s="149"/>
      <c r="BZ44" s="149"/>
      <c r="CA44" s="149"/>
      <c r="CB44" s="149"/>
      <c r="CC44" s="149"/>
      <c r="CD44" s="149"/>
      <c r="CE44" s="149"/>
      <c r="CF44" s="149"/>
      <c r="CG44" s="238">
        <f t="shared" si="42"/>
        <v>1</v>
      </c>
      <c r="CH44" s="218">
        <f t="shared" si="43"/>
        <v>14000000</v>
      </c>
      <c r="CI44" s="205">
        <f t="shared" si="44"/>
        <v>14000000</v>
      </c>
      <c r="CJ44" s="205">
        <f t="shared" si="44"/>
        <v>0</v>
      </c>
      <c r="CK44" s="205">
        <f t="shared" si="44"/>
        <v>0</v>
      </c>
      <c r="CL44" s="205">
        <f t="shared" si="44"/>
        <v>0</v>
      </c>
      <c r="CM44" s="205">
        <f t="shared" si="44"/>
        <v>0</v>
      </c>
      <c r="CN44" s="205">
        <f t="shared" si="44"/>
        <v>0</v>
      </c>
      <c r="CO44" s="205">
        <f t="shared" si="44"/>
        <v>0</v>
      </c>
      <c r="CP44" s="205">
        <f t="shared" si="44"/>
        <v>0</v>
      </c>
      <c r="CQ44" s="205">
        <f t="shared" si="44"/>
        <v>0</v>
      </c>
      <c r="CR44" s="205">
        <f t="shared" si="44"/>
        <v>0</v>
      </c>
      <c r="CS44" s="205">
        <f t="shared" si="44"/>
        <v>0</v>
      </c>
      <c r="CT44" s="205">
        <f t="shared" si="44"/>
        <v>0</v>
      </c>
    </row>
    <row r="45" spans="1:98" ht="82.5" customHeight="1" x14ac:dyDescent="0.25">
      <c r="A45" s="706"/>
      <c r="B45" s="706"/>
      <c r="C45" s="706"/>
      <c r="D45" s="706"/>
      <c r="E45" s="2"/>
      <c r="F45" s="100"/>
      <c r="G45" s="107"/>
      <c r="H45" s="107"/>
      <c r="I45" s="107"/>
      <c r="J45" s="2"/>
      <c r="K45" s="100"/>
      <c r="L45" s="2"/>
      <c r="M45" s="101"/>
      <c r="N45" s="2" t="s">
        <v>3827</v>
      </c>
      <c r="O45" s="154" t="s">
        <v>3829</v>
      </c>
      <c r="P45" s="155"/>
      <c r="Q45" s="155"/>
      <c r="R45" s="561">
        <v>510</v>
      </c>
      <c r="S45" s="157"/>
      <c r="T45" s="1429"/>
      <c r="U45" s="149">
        <f t="shared" si="13"/>
        <v>13000000</v>
      </c>
      <c r="V45" s="149">
        <v>6000000</v>
      </c>
      <c r="W45" s="149"/>
      <c r="X45" s="149"/>
      <c r="Y45" s="149"/>
      <c r="Z45" s="149"/>
      <c r="AA45" s="149"/>
      <c r="AB45" s="149"/>
      <c r="AC45" s="149">
        <v>7000000</v>
      </c>
      <c r="AD45" s="149"/>
      <c r="AE45" s="149"/>
      <c r="AF45" s="149"/>
      <c r="AG45" s="149"/>
      <c r="AI45" s="204"/>
      <c r="AJ45" s="147"/>
      <c r="AK45" s="147"/>
      <c r="AL45" s="147"/>
      <c r="AM45" s="147"/>
      <c r="AN45" s="147"/>
      <c r="AO45" s="147"/>
      <c r="AP45" s="213"/>
      <c r="AQ45" s="238">
        <f t="shared" si="34"/>
        <v>0</v>
      </c>
      <c r="AR45" s="218">
        <f t="shared" si="35"/>
        <v>0</v>
      </c>
      <c r="AS45" s="149"/>
      <c r="AT45" s="149"/>
      <c r="AU45" s="149"/>
      <c r="AV45" s="149"/>
      <c r="AW45" s="149"/>
      <c r="AX45" s="149"/>
      <c r="AY45" s="149"/>
      <c r="AZ45" s="149"/>
      <c r="BA45" s="149"/>
      <c r="BB45" s="149"/>
      <c r="BC45" s="149"/>
      <c r="BD45" s="149"/>
      <c r="BE45" s="238">
        <f t="shared" si="38"/>
        <v>1</v>
      </c>
      <c r="BF45" s="218">
        <f t="shared" si="39"/>
        <v>13000000</v>
      </c>
      <c r="BG45" s="205">
        <f t="shared" ref="BG45:BL85" si="46">+V45-AS45</f>
        <v>6000000</v>
      </c>
      <c r="BH45" s="205">
        <f t="shared" si="46"/>
        <v>0</v>
      </c>
      <c r="BI45" s="205">
        <f t="shared" si="46"/>
        <v>0</v>
      </c>
      <c r="BJ45" s="205">
        <f t="shared" si="45"/>
        <v>0</v>
      </c>
      <c r="BK45" s="205">
        <f t="shared" si="45"/>
        <v>0</v>
      </c>
      <c r="BL45" s="205">
        <f t="shared" si="45"/>
        <v>0</v>
      </c>
      <c r="BM45" s="205">
        <f t="shared" si="45"/>
        <v>0</v>
      </c>
      <c r="BN45" s="205">
        <f t="shared" si="45"/>
        <v>7000000</v>
      </c>
      <c r="BO45" s="205">
        <f t="shared" si="45"/>
        <v>0</v>
      </c>
      <c r="BP45" s="205">
        <f t="shared" si="45"/>
        <v>0</v>
      </c>
      <c r="BQ45" s="205">
        <f t="shared" si="45"/>
        <v>0</v>
      </c>
      <c r="BR45" s="205">
        <f t="shared" si="45"/>
        <v>0</v>
      </c>
      <c r="BS45" s="238">
        <f t="shared" si="40"/>
        <v>0</v>
      </c>
      <c r="BT45" s="218">
        <f t="shared" si="41"/>
        <v>0</v>
      </c>
      <c r="BU45" s="149"/>
      <c r="BV45" s="149"/>
      <c r="BW45" s="149"/>
      <c r="BX45" s="149"/>
      <c r="BY45" s="149"/>
      <c r="BZ45" s="149"/>
      <c r="CA45" s="149"/>
      <c r="CB45" s="149"/>
      <c r="CC45" s="149"/>
      <c r="CD45" s="149"/>
      <c r="CE45" s="149"/>
      <c r="CF45" s="149"/>
      <c r="CG45" s="238">
        <f t="shared" si="42"/>
        <v>1</v>
      </c>
      <c r="CH45" s="218">
        <f t="shared" si="43"/>
        <v>13000000</v>
      </c>
      <c r="CI45" s="205">
        <f t="shared" si="44"/>
        <v>6000000</v>
      </c>
      <c r="CJ45" s="205">
        <f t="shared" si="44"/>
        <v>0</v>
      </c>
      <c r="CK45" s="205">
        <f t="shared" si="44"/>
        <v>0</v>
      </c>
      <c r="CL45" s="205">
        <f t="shared" si="44"/>
        <v>0</v>
      </c>
      <c r="CM45" s="205">
        <f t="shared" si="44"/>
        <v>0</v>
      </c>
      <c r="CN45" s="205">
        <f t="shared" si="44"/>
        <v>0</v>
      </c>
      <c r="CO45" s="205">
        <f t="shared" si="44"/>
        <v>0</v>
      </c>
      <c r="CP45" s="205">
        <f t="shared" si="44"/>
        <v>7000000</v>
      </c>
      <c r="CQ45" s="205">
        <f t="shared" si="44"/>
        <v>0</v>
      </c>
      <c r="CR45" s="205">
        <f t="shared" si="44"/>
        <v>0</v>
      </c>
      <c r="CS45" s="205">
        <f t="shared" si="44"/>
        <v>0</v>
      </c>
      <c r="CT45" s="205">
        <f t="shared" si="44"/>
        <v>0</v>
      </c>
    </row>
    <row r="46" spans="1:98" ht="97.15" customHeight="1" x14ac:dyDescent="0.25">
      <c r="A46" s="706"/>
      <c r="B46" s="706"/>
      <c r="C46" s="706"/>
      <c r="D46" s="706"/>
      <c r="E46" s="2"/>
      <c r="F46" s="100"/>
      <c r="G46" s="107"/>
      <c r="H46" s="107"/>
      <c r="I46" s="107"/>
      <c r="J46" s="2"/>
      <c r="K46" s="100"/>
      <c r="L46" s="2"/>
      <c r="M46" s="101"/>
      <c r="N46" s="2" t="s">
        <v>3828</v>
      </c>
      <c r="O46" s="154" t="s">
        <v>3830</v>
      </c>
      <c r="P46" s="155"/>
      <c r="Q46" s="155"/>
      <c r="R46" s="561">
        <v>510</v>
      </c>
      <c r="S46" s="157"/>
      <c r="T46" s="1430"/>
      <c r="U46" s="149">
        <f t="shared" si="13"/>
        <v>13000000</v>
      </c>
      <c r="V46" s="149"/>
      <c r="W46" s="149"/>
      <c r="X46" s="149"/>
      <c r="Y46" s="149"/>
      <c r="Z46" s="149"/>
      <c r="AA46" s="149"/>
      <c r="AB46" s="149"/>
      <c r="AC46" s="149">
        <v>13000000</v>
      </c>
      <c r="AD46" s="149"/>
      <c r="AE46" s="149"/>
      <c r="AF46" s="149"/>
      <c r="AG46" s="149"/>
      <c r="AI46" s="204"/>
      <c r="AJ46" s="147"/>
      <c r="AK46" s="147"/>
      <c r="AL46" s="147"/>
      <c r="AM46" s="147"/>
      <c r="AN46" s="147"/>
      <c r="AO46" s="147"/>
      <c r="AP46" s="213"/>
      <c r="AQ46" s="238">
        <f t="shared" si="34"/>
        <v>0</v>
      </c>
      <c r="AR46" s="218">
        <f t="shared" si="35"/>
        <v>0</v>
      </c>
      <c r="AS46" s="149"/>
      <c r="AT46" s="149"/>
      <c r="AU46" s="149"/>
      <c r="AV46" s="149"/>
      <c r="AW46" s="149"/>
      <c r="AX46" s="149"/>
      <c r="AY46" s="149"/>
      <c r="AZ46" s="149"/>
      <c r="BA46" s="149"/>
      <c r="BB46" s="149"/>
      <c r="BC46" s="149"/>
      <c r="BD46" s="149"/>
      <c r="BE46" s="238">
        <f t="shared" si="38"/>
        <v>1</v>
      </c>
      <c r="BF46" s="218">
        <f t="shared" si="39"/>
        <v>13000000</v>
      </c>
      <c r="BG46" s="205">
        <f t="shared" si="46"/>
        <v>0</v>
      </c>
      <c r="BH46" s="205">
        <f t="shared" si="46"/>
        <v>0</v>
      </c>
      <c r="BI46" s="205">
        <f t="shared" si="46"/>
        <v>0</v>
      </c>
      <c r="BJ46" s="205">
        <f t="shared" si="45"/>
        <v>0</v>
      </c>
      <c r="BK46" s="205">
        <f t="shared" si="45"/>
        <v>0</v>
      </c>
      <c r="BL46" s="205">
        <f t="shared" si="45"/>
        <v>0</v>
      </c>
      <c r="BM46" s="205">
        <f t="shared" si="45"/>
        <v>0</v>
      </c>
      <c r="BN46" s="205">
        <f t="shared" si="45"/>
        <v>13000000</v>
      </c>
      <c r="BO46" s="205">
        <f t="shared" si="45"/>
        <v>0</v>
      </c>
      <c r="BP46" s="205">
        <f t="shared" si="45"/>
        <v>0</v>
      </c>
      <c r="BQ46" s="205">
        <f t="shared" si="45"/>
        <v>0</v>
      </c>
      <c r="BR46" s="205">
        <f t="shared" si="45"/>
        <v>0</v>
      </c>
      <c r="BS46" s="238">
        <f t="shared" si="40"/>
        <v>0</v>
      </c>
      <c r="BT46" s="218">
        <f t="shared" si="41"/>
        <v>0</v>
      </c>
      <c r="BU46" s="149"/>
      <c r="BV46" s="149"/>
      <c r="BW46" s="149"/>
      <c r="BX46" s="149"/>
      <c r="BY46" s="149"/>
      <c r="BZ46" s="149"/>
      <c r="CA46" s="149"/>
      <c r="CB46" s="149"/>
      <c r="CC46" s="149"/>
      <c r="CD46" s="149"/>
      <c r="CE46" s="149"/>
      <c r="CF46" s="149"/>
      <c r="CG46" s="238">
        <f t="shared" si="42"/>
        <v>1</v>
      </c>
      <c r="CH46" s="218">
        <f t="shared" si="43"/>
        <v>13000000</v>
      </c>
      <c r="CI46" s="205">
        <f t="shared" si="44"/>
        <v>0</v>
      </c>
      <c r="CJ46" s="205">
        <f t="shared" si="44"/>
        <v>0</v>
      </c>
      <c r="CK46" s="205">
        <f t="shared" si="44"/>
        <v>0</v>
      </c>
      <c r="CL46" s="205">
        <f t="shared" si="44"/>
        <v>0</v>
      </c>
      <c r="CM46" s="205">
        <f t="shared" si="44"/>
        <v>0</v>
      </c>
      <c r="CN46" s="205">
        <f t="shared" si="44"/>
        <v>0</v>
      </c>
      <c r="CO46" s="205">
        <f t="shared" si="44"/>
        <v>0</v>
      </c>
      <c r="CP46" s="205">
        <f t="shared" si="44"/>
        <v>13000000</v>
      </c>
      <c r="CQ46" s="205">
        <f t="shared" si="44"/>
        <v>0</v>
      </c>
      <c r="CR46" s="205">
        <f t="shared" si="44"/>
        <v>0</v>
      </c>
      <c r="CS46" s="205">
        <f t="shared" si="44"/>
        <v>0</v>
      </c>
      <c r="CT46" s="205">
        <f t="shared" si="44"/>
        <v>0</v>
      </c>
    </row>
    <row r="47" spans="1:98" ht="55.9" customHeight="1" x14ac:dyDescent="0.25">
      <c r="A47" s="1243" t="s">
        <v>2923</v>
      </c>
      <c r="B47" s="1243" t="s">
        <v>3162</v>
      </c>
      <c r="C47" s="1243" t="s">
        <v>3003</v>
      </c>
      <c r="D47" s="1243" t="s">
        <v>3184</v>
      </c>
      <c r="E47" s="2" t="s">
        <v>3005</v>
      </c>
      <c r="F47" s="100" t="s">
        <v>3293</v>
      </c>
      <c r="G47" s="107">
        <v>10000000</v>
      </c>
      <c r="H47" s="107">
        <v>20000000</v>
      </c>
      <c r="I47" s="107">
        <v>20000000</v>
      </c>
      <c r="J47" s="2" t="s">
        <v>3007</v>
      </c>
      <c r="K47" s="100" t="s">
        <v>3239</v>
      </c>
      <c r="L47" s="2">
        <v>2</v>
      </c>
      <c r="M47" s="101">
        <v>0</v>
      </c>
      <c r="N47" s="2" t="s">
        <v>3831</v>
      </c>
      <c r="O47" s="154" t="s">
        <v>3833</v>
      </c>
      <c r="P47" s="155">
        <v>20000000</v>
      </c>
      <c r="Q47" s="155">
        <v>170000000</v>
      </c>
      <c r="R47" s="561">
        <v>510</v>
      </c>
      <c r="S47" s="157">
        <f>+Q47-U47</f>
        <v>160000000</v>
      </c>
      <c r="T47" s="1428" t="s">
        <v>3370</v>
      </c>
      <c r="U47" s="149">
        <f t="shared" si="13"/>
        <v>10000000</v>
      </c>
      <c r="V47" s="149"/>
      <c r="W47" s="149"/>
      <c r="X47" s="149"/>
      <c r="Y47" s="149"/>
      <c r="Z47" s="149"/>
      <c r="AA47" s="149"/>
      <c r="AB47" s="149"/>
      <c r="AC47" s="149">
        <v>10000000</v>
      </c>
      <c r="AD47" s="149"/>
      <c r="AE47" s="149"/>
      <c r="AF47" s="149"/>
      <c r="AG47" s="149"/>
      <c r="AI47" s="739">
        <f>SUM(AJ47:AP47)</f>
        <v>0</v>
      </c>
      <c r="AJ47" s="728"/>
      <c r="AK47" s="728"/>
      <c r="AL47" s="728"/>
      <c r="AM47" s="728"/>
      <c r="AN47" s="728"/>
      <c r="AO47" s="728"/>
      <c r="AP47" s="212"/>
      <c r="AQ47" s="238">
        <f t="shared" si="34"/>
        <v>7.8732300000000005E-2</v>
      </c>
      <c r="AR47" s="218">
        <f t="shared" si="35"/>
        <v>787323</v>
      </c>
      <c r="AS47" s="149"/>
      <c r="AT47" s="149"/>
      <c r="AU47" s="149"/>
      <c r="AV47" s="149"/>
      <c r="AW47" s="149"/>
      <c r="AX47" s="149"/>
      <c r="AY47" s="149"/>
      <c r="AZ47" s="149">
        <v>787323</v>
      </c>
      <c r="BA47" s="149"/>
      <c r="BB47" s="149"/>
      <c r="BC47" s="149"/>
      <c r="BD47" s="149"/>
      <c r="BE47" s="238">
        <f t="shared" si="38"/>
        <v>0.92126770000000002</v>
      </c>
      <c r="BF47" s="218">
        <f t="shared" si="39"/>
        <v>9212677</v>
      </c>
      <c r="BG47" s="205">
        <f t="shared" si="46"/>
        <v>0</v>
      </c>
      <c r="BH47" s="205">
        <f t="shared" si="46"/>
        <v>0</v>
      </c>
      <c r="BI47" s="205">
        <f t="shared" si="46"/>
        <v>0</v>
      </c>
      <c r="BJ47" s="205">
        <f t="shared" si="45"/>
        <v>0</v>
      </c>
      <c r="BK47" s="205">
        <f t="shared" si="45"/>
        <v>0</v>
      </c>
      <c r="BL47" s="205">
        <f t="shared" si="45"/>
        <v>0</v>
      </c>
      <c r="BM47" s="205">
        <f t="shared" si="45"/>
        <v>0</v>
      </c>
      <c r="BN47" s="205">
        <f t="shared" si="45"/>
        <v>9212677</v>
      </c>
      <c r="BO47" s="205">
        <f t="shared" si="45"/>
        <v>0</v>
      </c>
      <c r="BP47" s="205">
        <f t="shared" si="45"/>
        <v>0</v>
      </c>
      <c r="BQ47" s="205">
        <f t="shared" si="45"/>
        <v>0</v>
      </c>
      <c r="BR47" s="205">
        <f t="shared" si="45"/>
        <v>0</v>
      </c>
      <c r="BS47" s="238">
        <f t="shared" si="40"/>
        <v>7.8732300000000005E-2</v>
      </c>
      <c r="BT47" s="218">
        <f t="shared" si="41"/>
        <v>787323</v>
      </c>
      <c r="BU47" s="149"/>
      <c r="BV47" s="149"/>
      <c r="BW47" s="149"/>
      <c r="BX47" s="149"/>
      <c r="BY47" s="149"/>
      <c r="BZ47" s="149"/>
      <c r="CA47" s="149"/>
      <c r="CB47" s="149">
        <v>787323</v>
      </c>
      <c r="CC47" s="149"/>
      <c r="CD47" s="149"/>
      <c r="CE47" s="149"/>
      <c r="CF47" s="149"/>
      <c r="CG47" s="238">
        <f t="shared" si="42"/>
        <v>0.92126770000000002</v>
      </c>
      <c r="CH47" s="218">
        <f t="shared" si="43"/>
        <v>9212677</v>
      </c>
      <c r="CI47" s="205">
        <f t="shared" si="44"/>
        <v>0</v>
      </c>
      <c r="CJ47" s="205">
        <f t="shared" si="44"/>
        <v>0</v>
      </c>
      <c r="CK47" s="205">
        <f t="shared" si="44"/>
        <v>0</v>
      </c>
      <c r="CL47" s="205">
        <f t="shared" si="44"/>
        <v>0</v>
      </c>
      <c r="CM47" s="205">
        <f t="shared" si="44"/>
        <v>0</v>
      </c>
      <c r="CN47" s="205">
        <f t="shared" si="44"/>
        <v>0</v>
      </c>
      <c r="CO47" s="205">
        <f t="shared" si="44"/>
        <v>0</v>
      </c>
      <c r="CP47" s="205">
        <f t="shared" si="44"/>
        <v>9212677</v>
      </c>
      <c r="CQ47" s="205">
        <f t="shared" si="44"/>
        <v>0</v>
      </c>
      <c r="CR47" s="205">
        <f t="shared" si="44"/>
        <v>0</v>
      </c>
      <c r="CS47" s="205">
        <f t="shared" si="44"/>
        <v>0</v>
      </c>
      <c r="CT47" s="205">
        <f t="shared" si="44"/>
        <v>0</v>
      </c>
    </row>
    <row r="48" spans="1:98" ht="42" customHeight="1" x14ac:dyDescent="0.25">
      <c r="A48" s="1244"/>
      <c r="B48" s="1244"/>
      <c r="C48" s="1244"/>
      <c r="D48" s="1244"/>
      <c r="E48" s="714"/>
      <c r="F48" s="721"/>
      <c r="G48" s="107"/>
      <c r="H48" s="107"/>
      <c r="I48" s="107"/>
      <c r="J48" s="2"/>
      <c r="K48" s="100"/>
      <c r="L48" s="2"/>
      <c r="M48" s="101"/>
      <c r="N48" s="2" t="s">
        <v>3832</v>
      </c>
      <c r="O48" s="154" t="s">
        <v>3834</v>
      </c>
      <c r="P48" s="155"/>
      <c r="Q48" s="155"/>
      <c r="R48" s="561">
        <v>510</v>
      </c>
      <c r="S48" s="157"/>
      <c r="T48" s="1430"/>
      <c r="U48" s="149">
        <f t="shared" si="13"/>
        <v>10000000</v>
      </c>
      <c r="V48" s="149"/>
      <c r="W48" s="149"/>
      <c r="X48" s="149"/>
      <c r="Y48" s="149"/>
      <c r="Z48" s="149"/>
      <c r="AA48" s="149"/>
      <c r="AB48" s="149"/>
      <c r="AC48" s="149">
        <v>10000000</v>
      </c>
      <c r="AD48" s="149"/>
      <c r="AE48" s="149"/>
      <c r="AF48" s="149"/>
      <c r="AG48" s="149"/>
      <c r="AI48" s="739"/>
      <c r="AJ48" s="728"/>
      <c r="AK48" s="728"/>
      <c r="AL48" s="728"/>
      <c r="AM48" s="728"/>
      <c r="AN48" s="728"/>
      <c r="AO48" s="728"/>
      <c r="AP48" s="212"/>
      <c r="AQ48" s="238">
        <f t="shared" si="34"/>
        <v>0</v>
      </c>
      <c r="AR48" s="218">
        <f t="shared" si="35"/>
        <v>0</v>
      </c>
      <c r="AS48" s="149"/>
      <c r="AT48" s="149"/>
      <c r="AU48" s="149"/>
      <c r="AV48" s="149"/>
      <c r="AW48" s="149"/>
      <c r="AX48" s="149"/>
      <c r="AY48" s="149"/>
      <c r="AZ48" s="149"/>
      <c r="BA48" s="149"/>
      <c r="BB48" s="149"/>
      <c r="BC48" s="149"/>
      <c r="BD48" s="149"/>
      <c r="BE48" s="238">
        <f t="shared" si="38"/>
        <v>1</v>
      </c>
      <c r="BF48" s="218">
        <f t="shared" si="39"/>
        <v>10000000</v>
      </c>
      <c r="BG48" s="205">
        <f t="shared" si="46"/>
        <v>0</v>
      </c>
      <c r="BH48" s="205">
        <f t="shared" si="46"/>
        <v>0</v>
      </c>
      <c r="BI48" s="205">
        <f t="shared" si="46"/>
        <v>0</v>
      </c>
      <c r="BJ48" s="205">
        <f t="shared" si="45"/>
        <v>0</v>
      </c>
      <c r="BK48" s="205">
        <f t="shared" si="45"/>
        <v>0</v>
      </c>
      <c r="BL48" s="205">
        <f t="shared" si="45"/>
        <v>0</v>
      </c>
      <c r="BM48" s="205">
        <f t="shared" si="45"/>
        <v>0</v>
      </c>
      <c r="BN48" s="205">
        <f t="shared" si="45"/>
        <v>10000000</v>
      </c>
      <c r="BO48" s="205">
        <f t="shared" si="45"/>
        <v>0</v>
      </c>
      <c r="BP48" s="205">
        <f t="shared" si="45"/>
        <v>0</v>
      </c>
      <c r="BQ48" s="205">
        <f t="shared" si="45"/>
        <v>0</v>
      </c>
      <c r="BR48" s="205">
        <f t="shared" si="45"/>
        <v>0</v>
      </c>
      <c r="BS48" s="238">
        <f t="shared" si="40"/>
        <v>0</v>
      </c>
      <c r="BT48" s="218">
        <f t="shared" si="41"/>
        <v>0</v>
      </c>
      <c r="BU48" s="149"/>
      <c r="BV48" s="149"/>
      <c r="BW48" s="149"/>
      <c r="BX48" s="149"/>
      <c r="BY48" s="149"/>
      <c r="BZ48" s="149"/>
      <c r="CA48" s="149"/>
      <c r="CB48" s="149"/>
      <c r="CC48" s="149"/>
      <c r="CD48" s="149"/>
      <c r="CE48" s="149"/>
      <c r="CF48" s="149"/>
      <c r="CG48" s="238">
        <f t="shared" si="42"/>
        <v>1</v>
      </c>
      <c r="CH48" s="218">
        <f t="shared" si="43"/>
        <v>10000000</v>
      </c>
      <c r="CI48" s="205">
        <f t="shared" si="44"/>
        <v>0</v>
      </c>
      <c r="CJ48" s="205">
        <f t="shared" si="44"/>
        <v>0</v>
      </c>
      <c r="CK48" s="205">
        <f t="shared" si="44"/>
        <v>0</v>
      </c>
      <c r="CL48" s="205">
        <f t="shared" si="44"/>
        <v>0</v>
      </c>
      <c r="CM48" s="205">
        <f t="shared" si="44"/>
        <v>0</v>
      </c>
      <c r="CN48" s="205">
        <f t="shared" si="44"/>
        <v>0</v>
      </c>
      <c r="CO48" s="205">
        <f t="shared" si="44"/>
        <v>0</v>
      </c>
      <c r="CP48" s="205">
        <f t="shared" si="44"/>
        <v>10000000</v>
      </c>
      <c r="CQ48" s="205">
        <f t="shared" si="44"/>
        <v>0</v>
      </c>
      <c r="CR48" s="205">
        <f t="shared" si="44"/>
        <v>0</v>
      </c>
      <c r="CS48" s="205">
        <f t="shared" si="44"/>
        <v>0</v>
      </c>
      <c r="CT48" s="205">
        <f t="shared" si="44"/>
        <v>0</v>
      </c>
    </row>
    <row r="49" spans="1:98" ht="53.25" customHeight="1" x14ac:dyDescent="0.25">
      <c r="A49" s="1244"/>
      <c r="B49" s="1244"/>
      <c r="C49" s="1244"/>
      <c r="D49" s="1244"/>
      <c r="E49" s="1243" t="s">
        <v>3018</v>
      </c>
      <c r="F49" s="1243" t="s">
        <v>3292</v>
      </c>
      <c r="G49" s="107">
        <v>10000000</v>
      </c>
      <c r="H49" s="107">
        <v>10000000</v>
      </c>
      <c r="I49" s="107">
        <v>10000000</v>
      </c>
      <c r="J49" s="2" t="s">
        <v>3020</v>
      </c>
      <c r="K49" s="100" t="s">
        <v>3295</v>
      </c>
      <c r="L49" s="2">
        <v>1</v>
      </c>
      <c r="M49" s="101">
        <v>0</v>
      </c>
      <c r="N49" s="2" t="s">
        <v>3835</v>
      </c>
      <c r="O49" s="154" t="s">
        <v>3186</v>
      </c>
      <c r="P49" s="155">
        <v>10000000</v>
      </c>
      <c r="Q49" s="155">
        <v>21000000</v>
      </c>
      <c r="R49" s="561">
        <v>510</v>
      </c>
      <c r="S49" s="157">
        <f>+Q49-U49</f>
        <v>16000000</v>
      </c>
      <c r="T49" s="1427" t="s">
        <v>3351</v>
      </c>
      <c r="U49" s="149">
        <f t="shared" si="13"/>
        <v>5000000</v>
      </c>
      <c r="V49" s="149"/>
      <c r="W49" s="149"/>
      <c r="X49" s="149"/>
      <c r="Y49" s="149"/>
      <c r="Z49" s="149"/>
      <c r="AA49" s="149"/>
      <c r="AB49" s="149"/>
      <c r="AC49" s="149">
        <v>5000000</v>
      </c>
      <c r="AD49" s="149"/>
      <c r="AE49" s="149"/>
      <c r="AF49" s="149"/>
      <c r="AG49" s="149"/>
      <c r="AI49" s="739">
        <f>SUM(AJ49:AP49)</f>
        <v>0</v>
      </c>
      <c r="AJ49" s="728"/>
      <c r="AK49" s="728"/>
      <c r="AL49" s="728"/>
      <c r="AM49" s="728"/>
      <c r="AN49" s="728"/>
      <c r="AO49" s="728"/>
      <c r="AP49" s="212"/>
      <c r="AQ49" s="238">
        <f t="shared" si="34"/>
        <v>0.4</v>
      </c>
      <c r="AR49" s="218">
        <f t="shared" si="35"/>
        <v>2000000</v>
      </c>
      <c r="AS49" s="149"/>
      <c r="AT49" s="149"/>
      <c r="AU49" s="149"/>
      <c r="AV49" s="149"/>
      <c r="AW49" s="149"/>
      <c r="AX49" s="149"/>
      <c r="AY49" s="149"/>
      <c r="AZ49" s="149">
        <v>2000000</v>
      </c>
      <c r="BA49" s="149"/>
      <c r="BB49" s="149"/>
      <c r="BC49" s="149"/>
      <c r="BD49" s="149"/>
      <c r="BE49" s="238">
        <f t="shared" si="38"/>
        <v>0.6</v>
      </c>
      <c r="BF49" s="218">
        <f t="shared" si="39"/>
        <v>3000000</v>
      </c>
      <c r="BG49" s="205">
        <f t="shared" si="46"/>
        <v>0</v>
      </c>
      <c r="BH49" s="205">
        <f t="shared" si="46"/>
        <v>0</v>
      </c>
      <c r="BI49" s="205">
        <f t="shared" si="46"/>
        <v>0</v>
      </c>
      <c r="BJ49" s="205">
        <f t="shared" si="45"/>
        <v>0</v>
      </c>
      <c r="BK49" s="205">
        <f t="shared" si="45"/>
        <v>0</v>
      </c>
      <c r="BL49" s="205">
        <f t="shared" si="45"/>
        <v>0</v>
      </c>
      <c r="BM49" s="205">
        <f t="shared" si="45"/>
        <v>0</v>
      </c>
      <c r="BN49" s="205">
        <f t="shared" si="45"/>
        <v>3000000</v>
      </c>
      <c r="BO49" s="205">
        <f t="shared" si="45"/>
        <v>0</v>
      </c>
      <c r="BP49" s="205">
        <f t="shared" si="45"/>
        <v>0</v>
      </c>
      <c r="BQ49" s="205">
        <f t="shared" si="45"/>
        <v>0</v>
      </c>
      <c r="BR49" s="205">
        <f t="shared" si="45"/>
        <v>0</v>
      </c>
      <c r="BS49" s="238">
        <f t="shared" si="40"/>
        <v>0</v>
      </c>
      <c r="BT49" s="218">
        <f t="shared" si="41"/>
        <v>0</v>
      </c>
      <c r="BU49" s="149"/>
      <c r="BV49" s="149"/>
      <c r="BW49" s="149"/>
      <c r="BX49" s="149"/>
      <c r="BY49" s="149"/>
      <c r="BZ49" s="149"/>
      <c r="CA49" s="149"/>
      <c r="CB49" s="149"/>
      <c r="CC49" s="149"/>
      <c r="CD49" s="149"/>
      <c r="CE49" s="149"/>
      <c r="CF49" s="149"/>
      <c r="CG49" s="238">
        <f t="shared" si="42"/>
        <v>1</v>
      </c>
      <c r="CH49" s="218">
        <f t="shared" si="43"/>
        <v>5000000</v>
      </c>
      <c r="CI49" s="205">
        <f t="shared" si="44"/>
        <v>0</v>
      </c>
      <c r="CJ49" s="205">
        <f t="shared" si="44"/>
        <v>0</v>
      </c>
      <c r="CK49" s="205">
        <f t="shared" si="44"/>
        <v>0</v>
      </c>
      <c r="CL49" s="205">
        <f t="shared" si="44"/>
        <v>0</v>
      </c>
      <c r="CM49" s="205">
        <f t="shared" si="44"/>
        <v>0</v>
      </c>
      <c r="CN49" s="205">
        <f t="shared" si="44"/>
        <v>0</v>
      </c>
      <c r="CO49" s="205">
        <f t="shared" si="44"/>
        <v>0</v>
      </c>
      <c r="CP49" s="205">
        <f t="shared" si="44"/>
        <v>5000000</v>
      </c>
      <c r="CQ49" s="205">
        <f t="shared" si="44"/>
        <v>0</v>
      </c>
      <c r="CR49" s="205">
        <f t="shared" si="44"/>
        <v>0</v>
      </c>
      <c r="CS49" s="205">
        <f t="shared" si="44"/>
        <v>0</v>
      </c>
      <c r="CT49" s="205">
        <f t="shared" si="44"/>
        <v>0</v>
      </c>
    </row>
    <row r="50" spans="1:98" ht="45" customHeight="1" x14ac:dyDescent="0.25">
      <c r="A50" s="1244"/>
      <c r="B50" s="1244"/>
      <c r="C50" s="1244"/>
      <c r="D50" s="1244"/>
      <c r="E50" s="1244"/>
      <c r="F50" s="1244"/>
      <c r="G50" s="107">
        <v>40000000</v>
      </c>
      <c r="H50" s="107">
        <v>80000000</v>
      </c>
      <c r="I50" s="107">
        <v>80000000</v>
      </c>
      <c r="J50" s="2" t="s">
        <v>3023</v>
      </c>
      <c r="K50" s="100" t="s">
        <v>3294</v>
      </c>
      <c r="L50" s="2">
        <v>2</v>
      </c>
      <c r="M50" s="101">
        <v>0</v>
      </c>
      <c r="N50" s="2" t="s">
        <v>3836</v>
      </c>
      <c r="O50" s="154" t="s">
        <v>3846</v>
      </c>
      <c r="P50" s="155">
        <v>80000000</v>
      </c>
      <c r="Q50" s="155">
        <v>74450000</v>
      </c>
      <c r="R50" s="561">
        <v>510</v>
      </c>
      <c r="S50" s="157">
        <f>+Q50-U50</f>
        <v>64450000</v>
      </c>
      <c r="T50" s="1427"/>
      <c r="U50" s="149">
        <f t="shared" si="13"/>
        <v>10000000</v>
      </c>
      <c r="V50" s="149">
        <v>10000000</v>
      </c>
      <c r="W50" s="149"/>
      <c r="X50" s="149"/>
      <c r="Y50" s="149"/>
      <c r="Z50" s="149"/>
      <c r="AA50" s="149"/>
      <c r="AB50" s="149"/>
      <c r="AC50" s="149"/>
      <c r="AD50" s="149"/>
      <c r="AE50" s="149"/>
      <c r="AF50" s="149"/>
      <c r="AG50" s="149"/>
      <c r="AI50" s="739">
        <f>SUM(AJ50:AP50)</f>
        <v>9000000</v>
      </c>
      <c r="AJ50" s="136">
        <v>3000000</v>
      </c>
      <c r="AK50" s="728"/>
      <c r="AL50" s="728"/>
      <c r="AM50" s="728"/>
      <c r="AN50" s="728"/>
      <c r="AO50" s="728">
        <f>2000000+4000000</f>
        <v>6000000</v>
      </c>
      <c r="AP50" s="212"/>
      <c r="AQ50" s="238">
        <f t="shared" si="34"/>
        <v>0.09</v>
      </c>
      <c r="AR50" s="218">
        <f t="shared" si="35"/>
        <v>900000</v>
      </c>
      <c r="AS50" s="149">
        <v>900000</v>
      </c>
      <c r="AT50" s="149"/>
      <c r="AU50" s="149"/>
      <c r="AV50" s="149"/>
      <c r="AW50" s="149"/>
      <c r="AX50" s="149"/>
      <c r="AY50" s="149"/>
      <c r="AZ50" s="149"/>
      <c r="BA50" s="149"/>
      <c r="BB50" s="149"/>
      <c r="BC50" s="149"/>
      <c r="BD50" s="149"/>
      <c r="BE50" s="238">
        <f t="shared" si="38"/>
        <v>0.91</v>
      </c>
      <c r="BF50" s="218">
        <f t="shared" si="39"/>
        <v>9100000</v>
      </c>
      <c r="BG50" s="205">
        <f t="shared" si="46"/>
        <v>9100000</v>
      </c>
      <c r="BH50" s="205">
        <f t="shared" si="46"/>
        <v>0</v>
      </c>
      <c r="BI50" s="205">
        <f t="shared" si="46"/>
        <v>0</v>
      </c>
      <c r="BJ50" s="205">
        <f t="shared" si="45"/>
        <v>0</v>
      </c>
      <c r="BK50" s="205">
        <f t="shared" si="45"/>
        <v>0</v>
      </c>
      <c r="BL50" s="205">
        <f t="shared" si="45"/>
        <v>0</v>
      </c>
      <c r="BM50" s="205">
        <f t="shared" si="45"/>
        <v>0</v>
      </c>
      <c r="BN50" s="205">
        <f t="shared" si="45"/>
        <v>0</v>
      </c>
      <c r="BO50" s="205">
        <f t="shared" si="45"/>
        <v>0</v>
      </c>
      <c r="BP50" s="205">
        <f t="shared" si="45"/>
        <v>0</v>
      </c>
      <c r="BQ50" s="205">
        <f t="shared" si="45"/>
        <v>0</v>
      </c>
      <c r="BR50" s="205">
        <f t="shared" si="45"/>
        <v>0</v>
      </c>
      <c r="BS50" s="238">
        <f t="shared" si="40"/>
        <v>0</v>
      </c>
      <c r="BT50" s="218">
        <f t="shared" si="41"/>
        <v>0</v>
      </c>
      <c r="BU50" s="149"/>
      <c r="BV50" s="149"/>
      <c r="BW50" s="149"/>
      <c r="BX50" s="149"/>
      <c r="BY50" s="149"/>
      <c r="BZ50" s="149"/>
      <c r="CA50" s="149"/>
      <c r="CB50" s="149"/>
      <c r="CC50" s="149"/>
      <c r="CD50" s="149"/>
      <c r="CE50" s="149"/>
      <c r="CF50" s="149"/>
      <c r="CG50" s="238">
        <f t="shared" si="42"/>
        <v>1</v>
      </c>
      <c r="CH50" s="218">
        <f t="shared" si="43"/>
        <v>10000000</v>
      </c>
      <c r="CI50" s="205">
        <f t="shared" si="44"/>
        <v>10000000</v>
      </c>
      <c r="CJ50" s="205">
        <f t="shared" si="44"/>
        <v>0</v>
      </c>
      <c r="CK50" s="205">
        <f t="shared" si="44"/>
        <v>0</v>
      </c>
      <c r="CL50" s="205">
        <f t="shared" si="44"/>
        <v>0</v>
      </c>
      <c r="CM50" s="205">
        <f t="shared" si="44"/>
        <v>0</v>
      </c>
      <c r="CN50" s="205">
        <f t="shared" si="44"/>
        <v>0</v>
      </c>
      <c r="CO50" s="205">
        <f t="shared" si="44"/>
        <v>0</v>
      </c>
      <c r="CP50" s="205">
        <f t="shared" si="44"/>
        <v>0</v>
      </c>
      <c r="CQ50" s="205">
        <f t="shared" si="44"/>
        <v>0</v>
      </c>
      <c r="CR50" s="205">
        <f t="shared" si="44"/>
        <v>0</v>
      </c>
      <c r="CS50" s="205">
        <f t="shared" si="44"/>
        <v>0</v>
      </c>
      <c r="CT50" s="205">
        <f t="shared" si="44"/>
        <v>0</v>
      </c>
    </row>
    <row r="51" spans="1:98" ht="70.900000000000006" customHeight="1" x14ac:dyDescent="0.25">
      <c r="A51" s="1244"/>
      <c r="B51" s="1244"/>
      <c r="C51" s="1244"/>
      <c r="D51" s="1244"/>
      <c r="E51" s="1244"/>
      <c r="F51" s="1244"/>
      <c r="G51" s="107"/>
      <c r="H51" s="107"/>
      <c r="I51" s="107"/>
      <c r="J51" s="714"/>
      <c r="K51" s="721"/>
      <c r="L51" s="714"/>
      <c r="M51" s="101"/>
      <c r="N51" s="2" t="s">
        <v>3837</v>
      </c>
      <c r="O51" s="154" t="s">
        <v>3847</v>
      </c>
      <c r="P51" s="155"/>
      <c r="Q51" s="155"/>
      <c r="R51" s="561">
        <v>510</v>
      </c>
      <c r="S51" s="157"/>
      <c r="T51" s="1427"/>
      <c r="U51" s="149">
        <f t="shared" si="13"/>
        <v>10000000</v>
      </c>
      <c r="V51" s="149">
        <v>10000000</v>
      </c>
      <c r="W51" s="149"/>
      <c r="X51" s="149"/>
      <c r="Y51" s="149"/>
      <c r="Z51" s="149"/>
      <c r="AA51" s="149"/>
      <c r="AB51" s="149"/>
      <c r="AC51" s="149"/>
      <c r="AD51" s="149"/>
      <c r="AE51" s="149"/>
      <c r="AF51" s="149"/>
      <c r="AG51" s="149"/>
      <c r="AI51" s="739"/>
      <c r="AJ51" s="136"/>
      <c r="AK51" s="728"/>
      <c r="AL51" s="728"/>
      <c r="AM51" s="728"/>
      <c r="AN51" s="728"/>
      <c r="AO51" s="728"/>
      <c r="AP51" s="212"/>
      <c r="AQ51" s="238">
        <f t="shared" si="34"/>
        <v>0.6737168</v>
      </c>
      <c r="AR51" s="218">
        <f t="shared" si="35"/>
        <v>6737168</v>
      </c>
      <c r="AS51" s="149">
        <v>6737168</v>
      </c>
      <c r="AT51" s="149"/>
      <c r="AU51" s="149"/>
      <c r="AV51" s="149"/>
      <c r="AW51" s="149"/>
      <c r="AX51" s="149"/>
      <c r="AY51" s="149"/>
      <c r="AZ51" s="149"/>
      <c r="BA51" s="149"/>
      <c r="BB51" s="149"/>
      <c r="BC51" s="149"/>
      <c r="BD51" s="149"/>
      <c r="BE51" s="238">
        <f t="shared" si="38"/>
        <v>0.3262832</v>
      </c>
      <c r="BF51" s="218">
        <f t="shared" si="39"/>
        <v>3262832</v>
      </c>
      <c r="BG51" s="205">
        <f t="shared" si="46"/>
        <v>3262832</v>
      </c>
      <c r="BH51" s="205">
        <f t="shared" si="46"/>
        <v>0</v>
      </c>
      <c r="BI51" s="205">
        <f t="shared" si="46"/>
        <v>0</v>
      </c>
      <c r="BJ51" s="205">
        <f t="shared" si="45"/>
        <v>0</v>
      </c>
      <c r="BK51" s="205">
        <f t="shared" si="45"/>
        <v>0</v>
      </c>
      <c r="BL51" s="205">
        <f t="shared" si="45"/>
        <v>0</v>
      </c>
      <c r="BM51" s="205">
        <f t="shared" si="45"/>
        <v>0</v>
      </c>
      <c r="BN51" s="205">
        <f t="shared" si="45"/>
        <v>0</v>
      </c>
      <c r="BO51" s="205">
        <f t="shared" si="45"/>
        <v>0</v>
      </c>
      <c r="BP51" s="205">
        <f t="shared" si="45"/>
        <v>0</v>
      </c>
      <c r="BQ51" s="205">
        <f t="shared" si="45"/>
        <v>0</v>
      </c>
      <c r="BR51" s="205">
        <f t="shared" si="45"/>
        <v>0</v>
      </c>
      <c r="BS51" s="238">
        <f t="shared" si="40"/>
        <v>0.6737168</v>
      </c>
      <c r="BT51" s="218">
        <f t="shared" si="41"/>
        <v>6737168</v>
      </c>
      <c r="BU51" s="149">
        <v>6737168</v>
      </c>
      <c r="BV51" s="149"/>
      <c r="BW51" s="149"/>
      <c r="BX51" s="149"/>
      <c r="BY51" s="149"/>
      <c r="BZ51" s="149"/>
      <c r="CA51" s="149"/>
      <c r="CB51" s="149"/>
      <c r="CC51" s="149"/>
      <c r="CD51" s="149"/>
      <c r="CE51" s="149"/>
      <c r="CF51" s="149"/>
      <c r="CG51" s="238">
        <f t="shared" si="42"/>
        <v>0.3262832</v>
      </c>
      <c r="CH51" s="218">
        <f t="shared" si="43"/>
        <v>3262832</v>
      </c>
      <c r="CI51" s="205">
        <f t="shared" si="44"/>
        <v>3262832</v>
      </c>
      <c r="CJ51" s="205">
        <f t="shared" si="44"/>
        <v>0</v>
      </c>
      <c r="CK51" s="205">
        <f t="shared" si="44"/>
        <v>0</v>
      </c>
      <c r="CL51" s="205">
        <f t="shared" si="44"/>
        <v>0</v>
      </c>
      <c r="CM51" s="205">
        <f t="shared" si="44"/>
        <v>0</v>
      </c>
      <c r="CN51" s="205">
        <f t="shared" si="44"/>
        <v>0</v>
      </c>
      <c r="CO51" s="205">
        <f t="shared" si="44"/>
        <v>0</v>
      </c>
      <c r="CP51" s="205">
        <f t="shared" si="44"/>
        <v>0</v>
      </c>
      <c r="CQ51" s="205">
        <f t="shared" si="44"/>
        <v>0</v>
      </c>
      <c r="CR51" s="205">
        <f t="shared" si="44"/>
        <v>0</v>
      </c>
      <c r="CS51" s="205">
        <f t="shared" si="44"/>
        <v>0</v>
      </c>
      <c r="CT51" s="205">
        <f t="shared" si="44"/>
        <v>0</v>
      </c>
    </row>
    <row r="52" spans="1:98" ht="30" customHeight="1" x14ac:dyDescent="0.25">
      <c r="A52" s="1244"/>
      <c r="B52" s="1244"/>
      <c r="C52" s="1244"/>
      <c r="D52" s="1244"/>
      <c r="E52" s="1244"/>
      <c r="F52" s="1244"/>
      <c r="G52" s="107"/>
      <c r="H52" s="107"/>
      <c r="I52" s="107"/>
      <c r="J52" s="714"/>
      <c r="K52" s="721"/>
      <c r="L52" s="714"/>
      <c r="M52" s="101"/>
      <c r="N52" s="2" t="s">
        <v>3838</v>
      </c>
      <c r="O52" s="154" t="s">
        <v>3848</v>
      </c>
      <c r="P52" s="155"/>
      <c r="Q52" s="155"/>
      <c r="R52" s="561">
        <v>510</v>
      </c>
      <c r="S52" s="157"/>
      <c r="T52" s="1427"/>
      <c r="U52" s="149">
        <f t="shared" si="13"/>
        <v>7000000</v>
      </c>
      <c r="V52" s="149">
        <v>7000000</v>
      </c>
      <c r="W52" s="149"/>
      <c r="X52" s="149"/>
      <c r="Y52" s="149"/>
      <c r="Z52" s="149"/>
      <c r="AA52" s="149"/>
      <c r="AB52" s="149"/>
      <c r="AC52" s="149"/>
      <c r="AD52" s="149"/>
      <c r="AE52" s="149"/>
      <c r="AF52" s="149"/>
      <c r="AG52" s="149"/>
      <c r="AI52" s="739"/>
      <c r="AJ52" s="136"/>
      <c r="AK52" s="728"/>
      <c r="AL52" s="728"/>
      <c r="AM52" s="728"/>
      <c r="AN52" s="728"/>
      <c r="AO52" s="728"/>
      <c r="AP52" s="212"/>
      <c r="AQ52" s="238">
        <f t="shared" si="34"/>
        <v>0.49580800000000003</v>
      </c>
      <c r="AR52" s="218">
        <f t="shared" si="35"/>
        <v>3470656</v>
      </c>
      <c r="AS52" s="149">
        <v>3470656</v>
      </c>
      <c r="AT52" s="149"/>
      <c r="AU52" s="149"/>
      <c r="AV52" s="149"/>
      <c r="AW52" s="149"/>
      <c r="AX52" s="149"/>
      <c r="AY52" s="149"/>
      <c r="AZ52" s="149"/>
      <c r="BA52" s="149"/>
      <c r="BB52" s="149"/>
      <c r="BC52" s="149"/>
      <c r="BD52" s="149"/>
      <c r="BE52" s="238">
        <f t="shared" si="38"/>
        <v>0.50419199999999997</v>
      </c>
      <c r="BF52" s="218">
        <f t="shared" si="39"/>
        <v>3529344</v>
      </c>
      <c r="BG52" s="205">
        <f t="shared" si="46"/>
        <v>3529344</v>
      </c>
      <c r="BH52" s="205">
        <f t="shared" si="46"/>
        <v>0</v>
      </c>
      <c r="BI52" s="205">
        <f t="shared" si="46"/>
        <v>0</v>
      </c>
      <c r="BJ52" s="205">
        <f t="shared" si="45"/>
        <v>0</v>
      </c>
      <c r="BK52" s="205">
        <f t="shared" si="45"/>
        <v>0</v>
      </c>
      <c r="BL52" s="205">
        <f t="shared" si="45"/>
        <v>0</v>
      </c>
      <c r="BM52" s="205">
        <f t="shared" si="45"/>
        <v>0</v>
      </c>
      <c r="BN52" s="205">
        <f t="shared" si="45"/>
        <v>0</v>
      </c>
      <c r="BO52" s="205">
        <f t="shared" si="45"/>
        <v>0</v>
      </c>
      <c r="BP52" s="205">
        <f t="shared" si="45"/>
        <v>0</v>
      </c>
      <c r="BQ52" s="205">
        <f t="shared" si="45"/>
        <v>0</v>
      </c>
      <c r="BR52" s="205">
        <f t="shared" si="45"/>
        <v>0</v>
      </c>
      <c r="BS52" s="238">
        <f t="shared" si="40"/>
        <v>0.15667514285714285</v>
      </c>
      <c r="BT52" s="218">
        <f t="shared" si="41"/>
        <v>1096726</v>
      </c>
      <c r="BU52" s="149">
        <v>1096726</v>
      </c>
      <c r="BV52" s="149"/>
      <c r="BW52" s="149"/>
      <c r="BX52" s="149"/>
      <c r="BY52" s="149"/>
      <c r="BZ52" s="149"/>
      <c r="CA52" s="149"/>
      <c r="CB52" s="149"/>
      <c r="CC52" s="149"/>
      <c r="CD52" s="149"/>
      <c r="CE52" s="149"/>
      <c r="CF52" s="149"/>
      <c r="CG52" s="238">
        <f t="shared" si="42"/>
        <v>0.8433248571428571</v>
      </c>
      <c r="CH52" s="218">
        <f t="shared" si="43"/>
        <v>5903274</v>
      </c>
      <c r="CI52" s="205">
        <f t="shared" si="44"/>
        <v>5903274</v>
      </c>
      <c r="CJ52" s="205">
        <f t="shared" si="44"/>
        <v>0</v>
      </c>
      <c r="CK52" s="205">
        <f t="shared" si="44"/>
        <v>0</v>
      </c>
      <c r="CL52" s="205">
        <f t="shared" si="44"/>
        <v>0</v>
      </c>
      <c r="CM52" s="205">
        <f t="shared" si="44"/>
        <v>0</v>
      </c>
      <c r="CN52" s="205">
        <f t="shared" si="44"/>
        <v>0</v>
      </c>
      <c r="CO52" s="205">
        <f t="shared" si="44"/>
        <v>0</v>
      </c>
      <c r="CP52" s="205">
        <f t="shared" si="44"/>
        <v>0</v>
      </c>
      <c r="CQ52" s="205">
        <f t="shared" si="44"/>
        <v>0</v>
      </c>
      <c r="CR52" s="205">
        <f t="shared" si="44"/>
        <v>0</v>
      </c>
      <c r="CS52" s="205">
        <f t="shared" si="44"/>
        <v>0</v>
      </c>
      <c r="CT52" s="205">
        <f t="shared" si="44"/>
        <v>0</v>
      </c>
    </row>
    <row r="53" spans="1:98" ht="42" customHeight="1" x14ac:dyDescent="0.25">
      <c r="A53" s="1244"/>
      <c r="B53" s="1244"/>
      <c r="C53" s="1244"/>
      <c r="D53" s="1244"/>
      <c r="E53" s="1244"/>
      <c r="F53" s="1244"/>
      <c r="G53" s="107"/>
      <c r="H53" s="107"/>
      <c r="I53" s="107"/>
      <c r="J53" s="714"/>
      <c r="K53" s="721"/>
      <c r="L53" s="714"/>
      <c r="M53" s="101"/>
      <c r="N53" s="2" t="s">
        <v>3839</v>
      </c>
      <c r="O53" s="154" t="s">
        <v>3849</v>
      </c>
      <c r="P53" s="155"/>
      <c r="Q53" s="155"/>
      <c r="R53" s="561">
        <v>510</v>
      </c>
      <c r="S53" s="157"/>
      <c r="T53" s="1427"/>
      <c r="U53" s="149">
        <f t="shared" si="13"/>
        <v>5000000</v>
      </c>
      <c r="V53" s="149">
        <v>5000000</v>
      </c>
      <c r="W53" s="149"/>
      <c r="X53" s="149"/>
      <c r="Y53" s="149"/>
      <c r="Z53" s="149"/>
      <c r="AA53" s="149"/>
      <c r="AB53" s="149"/>
      <c r="AC53" s="149"/>
      <c r="AD53" s="149"/>
      <c r="AE53" s="149"/>
      <c r="AF53" s="149"/>
      <c r="AG53" s="149"/>
      <c r="AI53" s="739"/>
      <c r="AJ53" s="136"/>
      <c r="AK53" s="728"/>
      <c r="AL53" s="728"/>
      <c r="AM53" s="728"/>
      <c r="AN53" s="728"/>
      <c r="AO53" s="728"/>
      <c r="AP53" s="212"/>
      <c r="AQ53" s="238">
        <f t="shared" si="34"/>
        <v>0</v>
      </c>
      <c r="AR53" s="218">
        <f t="shared" si="35"/>
        <v>0</v>
      </c>
      <c r="AS53" s="149"/>
      <c r="AT53" s="149"/>
      <c r="AU53" s="149"/>
      <c r="AV53" s="149"/>
      <c r="AW53" s="149"/>
      <c r="AX53" s="149"/>
      <c r="AY53" s="149"/>
      <c r="AZ53" s="149"/>
      <c r="BA53" s="149"/>
      <c r="BB53" s="149"/>
      <c r="BC53" s="149"/>
      <c r="BD53" s="149"/>
      <c r="BE53" s="238">
        <f t="shared" si="38"/>
        <v>1</v>
      </c>
      <c r="BF53" s="218">
        <f t="shared" si="39"/>
        <v>5000000</v>
      </c>
      <c r="BG53" s="205">
        <f t="shared" si="46"/>
        <v>5000000</v>
      </c>
      <c r="BH53" s="205">
        <f t="shared" si="46"/>
        <v>0</v>
      </c>
      <c r="BI53" s="205">
        <f t="shared" si="46"/>
        <v>0</v>
      </c>
      <c r="BJ53" s="205">
        <f t="shared" si="45"/>
        <v>0</v>
      </c>
      <c r="BK53" s="205">
        <f t="shared" si="45"/>
        <v>0</v>
      </c>
      <c r="BL53" s="205">
        <f t="shared" si="45"/>
        <v>0</v>
      </c>
      <c r="BM53" s="205">
        <f t="shared" si="45"/>
        <v>0</v>
      </c>
      <c r="BN53" s="205">
        <f t="shared" si="45"/>
        <v>0</v>
      </c>
      <c r="BO53" s="205">
        <f t="shared" si="45"/>
        <v>0</v>
      </c>
      <c r="BP53" s="205">
        <f t="shared" si="45"/>
        <v>0</v>
      </c>
      <c r="BQ53" s="205">
        <f t="shared" si="45"/>
        <v>0</v>
      </c>
      <c r="BR53" s="205">
        <f t="shared" si="45"/>
        <v>0</v>
      </c>
      <c r="BS53" s="238">
        <f t="shared" si="40"/>
        <v>0</v>
      </c>
      <c r="BT53" s="218">
        <f t="shared" si="41"/>
        <v>0</v>
      </c>
      <c r="BU53" s="149"/>
      <c r="BV53" s="149"/>
      <c r="BW53" s="149"/>
      <c r="BX53" s="149"/>
      <c r="BY53" s="149"/>
      <c r="BZ53" s="149"/>
      <c r="CA53" s="149"/>
      <c r="CB53" s="149"/>
      <c r="CC53" s="149"/>
      <c r="CD53" s="149"/>
      <c r="CE53" s="149"/>
      <c r="CF53" s="149"/>
      <c r="CG53" s="238">
        <f t="shared" si="42"/>
        <v>1</v>
      </c>
      <c r="CH53" s="218">
        <f t="shared" si="43"/>
        <v>5000000</v>
      </c>
      <c r="CI53" s="205">
        <f t="shared" si="44"/>
        <v>5000000</v>
      </c>
      <c r="CJ53" s="205">
        <f t="shared" si="44"/>
        <v>0</v>
      </c>
      <c r="CK53" s="205">
        <f t="shared" si="44"/>
        <v>0</v>
      </c>
      <c r="CL53" s="205">
        <f t="shared" si="44"/>
        <v>0</v>
      </c>
      <c r="CM53" s="205">
        <f t="shared" si="44"/>
        <v>0</v>
      </c>
      <c r="CN53" s="205">
        <f t="shared" si="44"/>
        <v>0</v>
      </c>
      <c r="CO53" s="205">
        <f t="shared" si="44"/>
        <v>0</v>
      </c>
      <c r="CP53" s="205">
        <f t="shared" si="44"/>
        <v>0</v>
      </c>
      <c r="CQ53" s="205">
        <f t="shared" si="44"/>
        <v>0</v>
      </c>
      <c r="CR53" s="205">
        <f t="shared" si="44"/>
        <v>0</v>
      </c>
      <c r="CS53" s="205">
        <f t="shared" si="44"/>
        <v>0</v>
      </c>
      <c r="CT53" s="205">
        <f t="shared" si="44"/>
        <v>0</v>
      </c>
    </row>
    <row r="54" spans="1:98" ht="27.75" customHeight="1" x14ac:dyDescent="0.25">
      <c r="A54" s="1244"/>
      <c r="B54" s="1244"/>
      <c r="C54" s="1244"/>
      <c r="D54" s="1244"/>
      <c r="E54" s="1244"/>
      <c r="F54" s="1244"/>
      <c r="G54" s="107"/>
      <c r="H54" s="107"/>
      <c r="I54" s="107"/>
      <c r="J54" s="714"/>
      <c r="K54" s="721"/>
      <c r="L54" s="714"/>
      <c r="M54" s="101"/>
      <c r="N54" s="2" t="s">
        <v>3840</v>
      </c>
      <c r="O54" s="154" t="s">
        <v>3850</v>
      </c>
      <c r="P54" s="155"/>
      <c r="Q54" s="155"/>
      <c r="R54" s="561">
        <v>510</v>
      </c>
      <c r="S54" s="157"/>
      <c r="T54" s="1287" t="s">
        <v>3351</v>
      </c>
      <c r="U54" s="149">
        <f t="shared" si="13"/>
        <v>5000000</v>
      </c>
      <c r="V54" s="149">
        <v>5000000</v>
      </c>
      <c r="W54" s="149"/>
      <c r="X54" s="149"/>
      <c r="Y54" s="149"/>
      <c r="Z54" s="149"/>
      <c r="AA54" s="149"/>
      <c r="AB54" s="149"/>
      <c r="AC54" s="149"/>
      <c r="AD54" s="149"/>
      <c r="AE54" s="149"/>
      <c r="AF54" s="149"/>
      <c r="AG54" s="149"/>
      <c r="AI54" s="739"/>
      <c r="AJ54" s="136"/>
      <c r="AK54" s="728"/>
      <c r="AL54" s="728"/>
      <c r="AM54" s="728"/>
      <c r="AN54" s="728"/>
      <c r="AO54" s="728"/>
      <c r="AP54" s="212"/>
      <c r="AQ54" s="238">
        <f t="shared" si="34"/>
        <v>0.81884999999999997</v>
      </c>
      <c r="AR54" s="218">
        <f t="shared" si="35"/>
        <v>4094250</v>
      </c>
      <c r="AS54" s="149">
        <v>4094250</v>
      </c>
      <c r="AT54" s="149"/>
      <c r="AU54" s="149"/>
      <c r="AV54" s="149"/>
      <c r="AW54" s="149"/>
      <c r="AX54" s="149"/>
      <c r="AY54" s="149"/>
      <c r="AZ54" s="149"/>
      <c r="BA54" s="149"/>
      <c r="BB54" s="149"/>
      <c r="BC54" s="149"/>
      <c r="BD54" s="149"/>
      <c r="BE54" s="238">
        <f t="shared" si="38"/>
        <v>0.18115000000000003</v>
      </c>
      <c r="BF54" s="218">
        <f t="shared" si="39"/>
        <v>905750</v>
      </c>
      <c r="BG54" s="205">
        <f t="shared" si="46"/>
        <v>905750</v>
      </c>
      <c r="BH54" s="205">
        <f t="shared" si="46"/>
        <v>0</v>
      </c>
      <c r="BI54" s="205">
        <f t="shared" si="46"/>
        <v>0</v>
      </c>
      <c r="BJ54" s="205">
        <f t="shared" si="45"/>
        <v>0</v>
      </c>
      <c r="BK54" s="205">
        <f t="shared" si="45"/>
        <v>0</v>
      </c>
      <c r="BL54" s="205">
        <f t="shared" si="45"/>
        <v>0</v>
      </c>
      <c r="BM54" s="205">
        <f t="shared" si="45"/>
        <v>0</v>
      </c>
      <c r="BN54" s="205">
        <f t="shared" si="45"/>
        <v>0</v>
      </c>
      <c r="BO54" s="205">
        <f t="shared" si="45"/>
        <v>0</v>
      </c>
      <c r="BP54" s="205">
        <f t="shared" si="45"/>
        <v>0</v>
      </c>
      <c r="BQ54" s="205">
        <f t="shared" si="45"/>
        <v>0</v>
      </c>
      <c r="BR54" s="205">
        <f t="shared" si="45"/>
        <v>0</v>
      </c>
      <c r="BS54" s="238">
        <f t="shared" si="40"/>
        <v>0</v>
      </c>
      <c r="BT54" s="218">
        <f t="shared" si="41"/>
        <v>0</v>
      </c>
      <c r="BU54" s="149"/>
      <c r="BV54" s="149"/>
      <c r="BW54" s="149"/>
      <c r="BX54" s="149"/>
      <c r="BY54" s="149"/>
      <c r="BZ54" s="149"/>
      <c r="CA54" s="149"/>
      <c r="CB54" s="149"/>
      <c r="CC54" s="149"/>
      <c r="CD54" s="149"/>
      <c r="CE54" s="149"/>
      <c r="CF54" s="149"/>
      <c r="CG54" s="238">
        <f t="shared" si="42"/>
        <v>1</v>
      </c>
      <c r="CH54" s="218">
        <f t="shared" si="43"/>
        <v>5000000</v>
      </c>
      <c r="CI54" s="205">
        <f t="shared" si="44"/>
        <v>5000000</v>
      </c>
      <c r="CJ54" s="205">
        <f t="shared" si="44"/>
        <v>0</v>
      </c>
      <c r="CK54" s="205">
        <f t="shared" si="44"/>
        <v>0</v>
      </c>
      <c r="CL54" s="205">
        <f t="shared" si="44"/>
        <v>0</v>
      </c>
      <c r="CM54" s="205">
        <f t="shared" si="44"/>
        <v>0</v>
      </c>
      <c r="CN54" s="205">
        <f t="shared" si="44"/>
        <v>0</v>
      </c>
      <c r="CO54" s="205">
        <f t="shared" si="44"/>
        <v>0</v>
      </c>
      <c r="CP54" s="205">
        <f t="shared" si="44"/>
        <v>0</v>
      </c>
      <c r="CQ54" s="205">
        <f t="shared" si="44"/>
        <v>0</v>
      </c>
      <c r="CR54" s="205">
        <f t="shared" si="44"/>
        <v>0</v>
      </c>
      <c r="CS54" s="205">
        <f t="shared" si="44"/>
        <v>0</v>
      </c>
      <c r="CT54" s="205">
        <f t="shared" si="44"/>
        <v>0</v>
      </c>
    </row>
    <row r="55" spans="1:98" ht="37.15" customHeight="1" x14ac:dyDescent="0.25">
      <c r="A55" s="1244"/>
      <c r="B55" s="1244"/>
      <c r="C55" s="1244"/>
      <c r="D55" s="1244"/>
      <c r="E55" s="1244"/>
      <c r="F55" s="1244"/>
      <c r="G55" s="107"/>
      <c r="H55" s="107"/>
      <c r="I55" s="107"/>
      <c r="J55" s="714"/>
      <c r="K55" s="721"/>
      <c r="L55" s="714"/>
      <c r="M55" s="101"/>
      <c r="N55" s="2" t="s">
        <v>3841</v>
      </c>
      <c r="O55" s="154" t="s">
        <v>3851</v>
      </c>
      <c r="P55" s="155"/>
      <c r="Q55" s="155"/>
      <c r="R55" s="561">
        <v>510</v>
      </c>
      <c r="S55" s="157"/>
      <c r="T55" s="1288"/>
      <c r="U55" s="149">
        <f t="shared" si="13"/>
        <v>5000000</v>
      </c>
      <c r="V55" s="149">
        <v>3000000</v>
      </c>
      <c r="W55" s="149"/>
      <c r="X55" s="149"/>
      <c r="Y55" s="149"/>
      <c r="Z55" s="149"/>
      <c r="AA55" s="149"/>
      <c r="AB55" s="149"/>
      <c r="AC55" s="149">
        <v>2000000</v>
      </c>
      <c r="AD55" s="149"/>
      <c r="AE55" s="149"/>
      <c r="AF55" s="149"/>
      <c r="AG55" s="149"/>
      <c r="AI55" s="739"/>
      <c r="AJ55" s="136"/>
      <c r="AK55" s="728"/>
      <c r="AL55" s="728"/>
      <c r="AM55" s="728"/>
      <c r="AN55" s="728"/>
      <c r="AO55" s="728"/>
      <c r="AP55" s="212"/>
      <c r="AQ55" s="238">
        <f t="shared" si="34"/>
        <v>0</v>
      </c>
      <c r="AR55" s="218">
        <f t="shared" si="35"/>
        <v>0</v>
      </c>
      <c r="AS55" s="149"/>
      <c r="AT55" s="149"/>
      <c r="AU55" s="149"/>
      <c r="AV55" s="149"/>
      <c r="AW55" s="149"/>
      <c r="AX55" s="149"/>
      <c r="AY55" s="149"/>
      <c r="AZ55" s="149"/>
      <c r="BA55" s="149"/>
      <c r="BB55" s="149"/>
      <c r="BC55" s="149"/>
      <c r="BD55" s="149"/>
      <c r="BE55" s="238">
        <f t="shared" si="38"/>
        <v>1</v>
      </c>
      <c r="BF55" s="218">
        <f t="shared" si="39"/>
        <v>5000000</v>
      </c>
      <c r="BG55" s="205">
        <f t="shared" si="46"/>
        <v>3000000</v>
      </c>
      <c r="BH55" s="205">
        <f t="shared" si="46"/>
        <v>0</v>
      </c>
      <c r="BI55" s="205">
        <f t="shared" si="46"/>
        <v>0</v>
      </c>
      <c r="BJ55" s="205">
        <f t="shared" si="45"/>
        <v>0</v>
      </c>
      <c r="BK55" s="205">
        <f t="shared" si="45"/>
        <v>0</v>
      </c>
      <c r="BL55" s="205">
        <f t="shared" si="45"/>
        <v>0</v>
      </c>
      <c r="BM55" s="205">
        <f t="shared" si="45"/>
        <v>0</v>
      </c>
      <c r="BN55" s="205">
        <f t="shared" si="45"/>
        <v>2000000</v>
      </c>
      <c r="BO55" s="205">
        <f t="shared" si="45"/>
        <v>0</v>
      </c>
      <c r="BP55" s="205">
        <f t="shared" si="45"/>
        <v>0</v>
      </c>
      <c r="BQ55" s="205">
        <f t="shared" si="45"/>
        <v>0</v>
      </c>
      <c r="BR55" s="205">
        <f t="shared" si="45"/>
        <v>0</v>
      </c>
      <c r="BS55" s="238">
        <f t="shared" si="40"/>
        <v>0</v>
      </c>
      <c r="BT55" s="218">
        <f t="shared" si="41"/>
        <v>0</v>
      </c>
      <c r="BU55" s="149"/>
      <c r="BV55" s="149"/>
      <c r="BW55" s="149"/>
      <c r="BX55" s="149"/>
      <c r="BY55" s="149"/>
      <c r="BZ55" s="149"/>
      <c r="CA55" s="149"/>
      <c r="CB55" s="149"/>
      <c r="CC55" s="149"/>
      <c r="CD55" s="149"/>
      <c r="CE55" s="149"/>
      <c r="CF55" s="149"/>
      <c r="CG55" s="238">
        <f t="shared" si="42"/>
        <v>1</v>
      </c>
      <c r="CH55" s="218">
        <f t="shared" si="43"/>
        <v>5000000</v>
      </c>
      <c r="CI55" s="205">
        <f t="shared" si="44"/>
        <v>3000000</v>
      </c>
      <c r="CJ55" s="205">
        <f t="shared" si="44"/>
        <v>0</v>
      </c>
      <c r="CK55" s="205">
        <f t="shared" si="44"/>
        <v>0</v>
      </c>
      <c r="CL55" s="205">
        <f t="shared" si="44"/>
        <v>0</v>
      </c>
      <c r="CM55" s="205">
        <f t="shared" si="44"/>
        <v>0</v>
      </c>
      <c r="CN55" s="205">
        <f t="shared" si="44"/>
        <v>0</v>
      </c>
      <c r="CO55" s="205">
        <f t="shared" si="44"/>
        <v>0</v>
      </c>
      <c r="CP55" s="205">
        <f t="shared" si="44"/>
        <v>2000000</v>
      </c>
      <c r="CQ55" s="205">
        <f t="shared" si="44"/>
        <v>0</v>
      </c>
      <c r="CR55" s="205">
        <f t="shared" si="44"/>
        <v>0</v>
      </c>
      <c r="CS55" s="205">
        <f t="shared" si="44"/>
        <v>0</v>
      </c>
      <c r="CT55" s="205">
        <f t="shared" si="44"/>
        <v>0</v>
      </c>
    </row>
    <row r="56" spans="1:98" ht="25.5" x14ac:dyDescent="0.25">
      <c r="A56" s="1244"/>
      <c r="B56" s="1244"/>
      <c r="C56" s="1244"/>
      <c r="D56" s="1244"/>
      <c r="E56" s="1244"/>
      <c r="F56" s="1244"/>
      <c r="G56" s="107"/>
      <c r="H56" s="107"/>
      <c r="I56" s="107"/>
      <c r="J56" s="714"/>
      <c r="K56" s="721"/>
      <c r="L56" s="714"/>
      <c r="M56" s="101"/>
      <c r="N56" s="2" t="s">
        <v>3842</v>
      </c>
      <c r="O56" s="154" t="s">
        <v>3852</v>
      </c>
      <c r="P56" s="155"/>
      <c r="Q56" s="155"/>
      <c r="R56" s="561">
        <v>510</v>
      </c>
      <c r="S56" s="157"/>
      <c r="T56" s="1288"/>
      <c r="U56" s="149">
        <f t="shared" si="13"/>
        <v>8000000</v>
      </c>
      <c r="V56" s="149"/>
      <c r="W56" s="149"/>
      <c r="X56" s="149"/>
      <c r="Y56" s="149"/>
      <c r="Z56" s="149"/>
      <c r="AA56" s="149"/>
      <c r="AB56" s="149"/>
      <c r="AC56" s="149">
        <v>8000000</v>
      </c>
      <c r="AD56" s="149"/>
      <c r="AE56" s="149"/>
      <c r="AF56" s="149"/>
      <c r="AG56" s="149"/>
      <c r="AI56" s="739"/>
      <c r="AJ56" s="136"/>
      <c r="AK56" s="728"/>
      <c r="AL56" s="728"/>
      <c r="AM56" s="728"/>
      <c r="AN56" s="728"/>
      <c r="AO56" s="728"/>
      <c r="AP56" s="212"/>
      <c r="AQ56" s="238">
        <f t="shared" si="34"/>
        <v>0</v>
      </c>
      <c r="AR56" s="218">
        <f t="shared" si="35"/>
        <v>0</v>
      </c>
      <c r="AS56" s="149"/>
      <c r="AT56" s="149"/>
      <c r="AU56" s="149"/>
      <c r="AV56" s="149"/>
      <c r="AW56" s="149"/>
      <c r="AX56" s="149"/>
      <c r="AY56" s="149"/>
      <c r="AZ56" s="149"/>
      <c r="BA56" s="149"/>
      <c r="BB56" s="149"/>
      <c r="BC56" s="149"/>
      <c r="BD56" s="149"/>
      <c r="BE56" s="238">
        <f t="shared" si="38"/>
        <v>1</v>
      </c>
      <c r="BF56" s="218">
        <f t="shared" si="39"/>
        <v>8000000</v>
      </c>
      <c r="BG56" s="205">
        <f t="shared" si="46"/>
        <v>0</v>
      </c>
      <c r="BH56" s="205">
        <f t="shared" si="46"/>
        <v>0</v>
      </c>
      <c r="BI56" s="205">
        <f t="shared" si="46"/>
        <v>0</v>
      </c>
      <c r="BJ56" s="205">
        <f t="shared" si="45"/>
        <v>0</v>
      </c>
      <c r="BK56" s="205">
        <f t="shared" si="45"/>
        <v>0</v>
      </c>
      <c r="BL56" s="205">
        <f t="shared" si="45"/>
        <v>0</v>
      </c>
      <c r="BM56" s="205">
        <f t="shared" si="45"/>
        <v>0</v>
      </c>
      <c r="BN56" s="205">
        <f t="shared" si="45"/>
        <v>8000000</v>
      </c>
      <c r="BO56" s="205">
        <f t="shared" si="45"/>
        <v>0</v>
      </c>
      <c r="BP56" s="205">
        <f t="shared" si="45"/>
        <v>0</v>
      </c>
      <c r="BQ56" s="205">
        <f t="shared" si="45"/>
        <v>0</v>
      </c>
      <c r="BR56" s="205">
        <f t="shared" si="45"/>
        <v>0</v>
      </c>
      <c r="BS56" s="238">
        <f t="shared" si="40"/>
        <v>0</v>
      </c>
      <c r="BT56" s="218">
        <f t="shared" si="41"/>
        <v>0</v>
      </c>
      <c r="BU56" s="149"/>
      <c r="BV56" s="149"/>
      <c r="BW56" s="149"/>
      <c r="BX56" s="149"/>
      <c r="BY56" s="149"/>
      <c r="BZ56" s="149"/>
      <c r="CA56" s="149"/>
      <c r="CB56" s="149"/>
      <c r="CC56" s="149"/>
      <c r="CD56" s="149"/>
      <c r="CE56" s="149"/>
      <c r="CF56" s="149"/>
      <c r="CG56" s="238">
        <f t="shared" si="42"/>
        <v>1</v>
      </c>
      <c r="CH56" s="218">
        <f t="shared" si="43"/>
        <v>8000000</v>
      </c>
      <c r="CI56" s="205">
        <f t="shared" si="44"/>
        <v>0</v>
      </c>
      <c r="CJ56" s="205">
        <f t="shared" si="44"/>
        <v>0</v>
      </c>
      <c r="CK56" s="205">
        <f t="shared" si="44"/>
        <v>0</v>
      </c>
      <c r="CL56" s="205">
        <f t="shared" si="44"/>
        <v>0</v>
      </c>
      <c r="CM56" s="205">
        <f t="shared" si="44"/>
        <v>0</v>
      </c>
      <c r="CN56" s="205">
        <f t="shared" si="44"/>
        <v>0</v>
      </c>
      <c r="CO56" s="205">
        <f t="shared" si="44"/>
        <v>0</v>
      </c>
      <c r="CP56" s="205">
        <f t="shared" si="44"/>
        <v>8000000</v>
      </c>
      <c r="CQ56" s="205">
        <f t="shared" si="44"/>
        <v>0</v>
      </c>
      <c r="CR56" s="205">
        <f t="shared" si="44"/>
        <v>0</v>
      </c>
      <c r="CS56" s="205">
        <f t="shared" si="44"/>
        <v>0</v>
      </c>
      <c r="CT56" s="205">
        <f t="shared" si="44"/>
        <v>0</v>
      </c>
    </row>
    <row r="57" spans="1:98" ht="38.25" x14ac:dyDescent="0.25">
      <c r="A57" s="1244"/>
      <c r="B57" s="1244"/>
      <c r="C57" s="1244"/>
      <c r="D57" s="1244"/>
      <c r="E57" s="1244"/>
      <c r="F57" s="1244"/>
      <c r="G57" s="107"/>
      <c r="H57" s="107"/>
      <c r="I57" s="107"/>
      <c r="J57" s="714"/>
      <c r="K57" s="721"/>
      <c r="L57" s="714"/>
      <c r="M57" s="101"/>
      <c r="N57" s="2" t="s">
        <v>3843</v>
      </c>
      <c r="O57" s="154" t="s">
        <v>3853</v>
      </c>
      <c r="P57" s="155"/>
      <c r="Q57" s="155"/>
      <c r="R57" s="561">
        <v>510</v>
      </c>
      <c r="S57" s="157"/>
      <c r="T57" s="1288"/>
      <c r="U57" s="149">
        <f t="shared" si="13"/>
        <v>6000000</v>
      </c>
      <c r="V57" s="149"/>
      <c r="W57" s="149"/>
      <c r="X57" s="149"/>
      <c r="Y57" s="149"/>
      <c r="Z57" s="149"/>
      <c r="AA57" s="149"/>
      <c r="AB57" s="149"/>
      <c r="AC57" s="149">
        <v>6000000</v>
      </c>
      <c r="AD57" s="149"/>
      <c r="AE57" s="149"/>
      <c r="AF57" s="149"/>
      <c r="AG57" s="149"/>
      <c r="AI57" s="739"/>
      <c r="AJ57" s="136"/>
      <c r="AK57" s="728"/>
      <c r="AL57" s="728"/>
      <c r="AM57" s="728"/>
      <c r="AN57" s="728"/>
      <c r="AO57" s="728"/>
      <c r="AP57" s="212"/>
      <c r="AQ57" s="238">
        <f t="shared" si="34"/>
        <v>0</v>
      </c>
      <c r="AR57" s="218">
        <f t="shared" si="35"/>
        <v>0</v>
      </c>
      <c r="AS57" s="149"/>
      <c r="AT57" s="149"/>
      <c r="AU57" s="149"/>
      <c r="AV57" s="149"/>
      <c r="AW57" s="149"/>
      <c r="AX57" s="149"/>
      <c r="AY57" s="149"/>
      <c r="AZ57" s="149"/>
      <c r="BA57" s="149"/>
      <c r="BB57" s="149"/>
      <c r="BC57" s="149"/>
      <c r="BD57" s="149"/>
      <c r="BE57" s="238">
        <f t="shared" si="38"/>
        <v>1</v>
      </c>
      <c r="BF57" s="218">
        <f t="shared" si="39"/>
        <v>6000000</v>
      </c>
      <c r="BG57" s="205">
        <f t="shared" si="46"/>
        <v>0</v>
      </c>
      <c r="BH57" s="205">
        <f t="shared" si="46"/>
        <v>0</v>
      </c>
      <c r="BI57" s="205">
        <f t="shared" si="46"/>
        <v>0</v>
      </c>
      <c r="BJ57" s="205">
        <f t="shared" si="45"/>
        <v>0</v>
      </c>
      <c r="BK57" s="205">
        <f t="shared" si="45"/>
        <v>0</v>
      </c>
      <c r="BL57" s="205">
        <f t="shared" si="45"/>
        <v>0</v>
      </c>
      <c r="BM57" s="205">
        <f t="shared" si="45"/>
        <v>0</v>
      </c>
      <c r="BN57" s="205">
        <f t="shared" si="45"/>
        <v>6000000</v>
      </c>
      <c r="BO57" s="205">
        <f t="shared" si="45"/>
        <v>0</v>
      </c>
      <c r="BP57" s="205">
        <f t="shared" si="45"/>
        <v>0</v>
      </c>
      <c r="BQ57" s="205">
        <f t="shared" si="45"/>
        <v>0</v>
      </c>
      <c r="BR57" s="205">
        <f t="shared" si="45"/>
        <v>0</v>
      </c>
      <c r="BS57" s="238">
        <f t="shared" si="40"/>
        <v>0</v>
      </c>
      <c r="BT57" s="218">
        <f t="shared" si="41"/>
        <v>0</v>
      </c>
      <c r="BU57" s="149"/>
      <c r="BV57" s="149"/>
      <c r="BW57" s="149"/>
      <c r="BX57" s="149"/>
      <c r="BY57" s="149"/>
      <c r="BZ57" s="149"/>
      <c r="CA57" s="149"/>
      <c r="CB57" s="149"/>
      <c r="CC57" s="149"/>
      <c r="CD57" s="149"/>
      <c r="CE57" s="149"/>
      <c r="CF57" s="149"/>
      <c r="CG57" s="238">
        <f t="shared" si="42"/>
        <v>1</v>
      </c>
      <c r="CH57" s="218">
        <f t="shared" si="43"/>
        <v>6000000</v>
      </c>
      <c r="CI57" s="205">
        <f t="shared" si="44"/>
        <v>0</v>
      </c>
      <c r="CJ57" s="205">
        <f t="shared" si="44"/>
        <v>0</v>
      </c>
      <c r="CK57" s="205">
        <f t="shared" si="44"/>
        <v>0</v>
      </c>
      <c r="CL57" s="205">
        <f t="shared" si="44"/>
        <v>0</v>
      </c>
      <c r="CM57" s="205">
        <f t="shared" si="44"/>
        <v>0</v>
      </c>
      <c r="CN57" s="205">
        <f t="shared" si="44"/>
        <v>0</v>
      </c>
      <c r="CO57" s="205">
        <f t="shared" si="44"/>
        <v>0</v>
      </c>
      <c r="CP57" s="205">
        <f t="shared" si="44"/>
        <v>6000000</v>
      </c>
      <c r="CQ57" s="205">
        <f t="shared" si="44"/>
        <v>0</v>
      </c>
      <c r="CR57" s="205">
        <f t="shared" si="44"/>
        <v>0</v>
      </c>
      <c r="CS57" s="205">
        <f t="shared" si="44"/>
        <v>0</v>
      </c>
      <c r="CT57" s="205">
        <f t="shared" si="44"/>
        <v>0</v>
      </c>
    </row>
    <row r="58" spans="1:98" ht="38.25" x14ac:dyDescent="0.25">
      <c r="A58" s="1244"/>
      <c r="B58" s="1244"/>
      <c r="C58" s="1244"/>
      <c r="D58" s="1244"/>
      <c r="E58" s="1244"/>
      <c r="F58" s="1244"/>
      <c r="G58" s="107"/>
      <c r="H58" s="107"/>
      <c r="I58" s="107"/>
      <c r="J58" s="714"/>
      <c r="K58" s="721"/>
      <c r="L58" s="714"/>
      <c r="M58" s="101"/>
      <c r="N58" s="2" t="s">
        <v>3844</v>
      </c>
      <c r="O58" s="154" t="s">
        <v>3854</v>
      </c>
      <c r="P58" s="155"/>
      <c r="Q58" s="155"/>
      <c r="R58" s="561">
        <v>510</v>
      </c>
      <c r="S58" s="157"/>
      <c r="T58" s="1288"/>
      <c r="U58" s="149">
        <f t="shared" si="13"/>
        <v>5000000</v>
      </c>
      <c r="V58" s="149"/>
      <c r="W58" s="149"/>
      <c r="X58" s="149"/>
      <c r="Y58" s="149"/>
      <c r="Z58" s="149"/>
      <c r="AA58" s="149"/>
      <c r="AB58" s="149"/>
      <c r="AC58" s="149">
        <v>5000000</v>
      </c>
      <c r="AD58" s="149"/>
      <c r="AE58" s="149"/>
      <c r="AF58" s="149"/>
      <c r="AG58" s="149"/>
      <c r="AI58" s="739"/>
      <c r="AJ58" s="136"/>
      <c r="AK58" s="728"/>
      <c r="AL58" s="728"/>
      <c r="AM58" s="728"/>
      <c r="AN58" s="728"/>
      <c r="AO58" s="728"/>
      <c r="AP58" s="212"/>
      <c r="AQ58" s="238">
        <f t="shared" si="34"/>
        <v>0.84068600000000004</v>
      </c>
      <c r="AR58" s="218">
        <f t="shared" si="35"/>
        <v>4203430</v>
      </c>
      <c r="AS58" s="149"/>
      <c r="AT58" s="149"/>
      <c r="AU58" s="149"/>
      <c r="AV58" s="149"/>
      <c r="AW58" s="149"/>
      <c r="AX58" s="149"/>
      <c r="AY58" s="149"/>
      <c r="AZ58" s="149">
        <v>4203430</v>
      </c>
      <c r="BA58" s="149"/>
      <c r="BB58" s="149"/>
      <c r="BC58" s="149"/>
      <c r="BD58" s="149"/>
      <c r="BE58" s="238">
        <f t="shared" si="38"/>
        <v>0.15931399999999996</v>
      </c>
      <c r="BF58" s="218">
        <f t="shared" si="39"/>
        <v>796570</v>
      </c>
      <c r="BG58" s="205">
        <f t="shared" si="46"/>
        <v>0</v>
      </c>
      <c r="BH58" s="205">
        <f t="shared" si="46"/>
        <v>0</v>
      </c>
      <c r="BI58" s="205">
        <f t="shared" si="46"/>
        <v>0</v>
      </c>
      <c r="BJ58" s="205">
        <f t="shared" si="45"/>
        <v>0</v>
      </c>
      <c r="BK58" s="205">
        <f t="shared" si="45"/>
        <v>0</v>
      </c>
      <c r="BL58" s="205">
        <f t="shared" si="45"/>
        <v>0</v>
      </c>
      <c r="BM58" s="205">
        <f t="shared" si="45"/>
        <v>0</v>
      </c>
      <c r="BN58" s="205">
        <f t="shared" si="45"/>
        <v>796570</v>
      </c>
      <c r="BO58" s="205">
        <f t="shared" si="45"/>
        <v>0</v>
      </c>
      <c r="BP58" s="205">
        <f t="shared" si="45"/>
        <v>0</v>
      </c>
      <c r="BQ58" s="205">
        <f t="shared" si="45"/>
        <v>0</v>
      </c>
      <c r="BR58" s="205">
        <f t="shared" si="45"/>
        <v>0</v>
      </c>
      <c r="BS58" s="238">
        <f t="shared" si="40"/>
        <v>0</v>
      </c>
      <c r="BT58" s="218">
        <f t="shared" si="41"/>
        <v>0</v>
      </c>
      <c r="BU58" s="149"/>
      <c r="BV58" s="149"/>
      <c r="BW58" s="149"/>
      <c r="BX58" s="149"/>
      <c r="BY58" s="149"/>
      <c r="BZ58" s="149"/>
      <c r="CA58" s="149"/>
      <c r="CB58" s="149"/>
      <c r="CC58" s="149"/>
      <c r="CD58" s="149"/>
      <c r="CE58" s="149"/>
      <c r="CF58" s="149"/>
      <c r="CG58" s="238">
        <f t="shared" si="42"/>
        <v>1</v>
      </c>
      <c r="CH58" s="218">
        <f t="shared" si="43"/>
        <v>5000000</v>
      </c>
      <c r="CI58" s="205">
        <f t="shared" si="44"/>
        <v>0</v>
      </c>
      <c r="CJ58" s="205">
        <f t="shared" si="44"/>
        <v>0</v>
      </c>
      <c r="CK58" s="205">
        <f t="shared" si="44"/>
        <v>0</v>
      </c>
      <c r="CL58" s="205">
        <f t="shared" si="44"/>
        <v>0</v>
      </c>
      <c r="CM58" s="205">
        <f t="shared" si="44"/>
        <v>0</v>
      </c>
      <c r="CN58" s="205">
        <f t="shared" si="44"/>
        <v>0</v>
      </c>
      <c r="CO58" s="205">
        <f t="shared" si="44"/>
        <v>0</v>
      </c>
      <c r="CP58" s="205">
        <f t="shared" si="44"/>
        <v>5000000</v>
      </c>
      <c r="CQ58" s="205">
        <f t="shared" si="44"/>
        <v>0</v>
      </c>
      <c r="CR58" s="205">
        <f t="shared" si="44"/>
        <v>0</v>
      </c>
      <c r="CS58" s="205">
        <f t="shared" si="44"/>
        <v>0</v>
      </c>
      <c r="CT58" s="205">
        <f t="shared" si="44"/>
        <v>0</v>
      </c>
    </row>
    <row r="59" spans="1:98" ht="25.5" x14ac:dyDescent="0.25">
      <c r="A59" s="1244"/>
      <c r="B59" s="1244"/>
      <c r="C59" s="1244"/>
      <c r="D59" s="1244"/>
      <c r="E59" s="1244"/>
      <c r="F59" s="1244"/>
      <c r="G59" s="107"/>
      <c r="H59" s="107"/>
      <c r="I59" s="107"/>
      <c r="J59" s="714"/>
      <c r="K59" s="721"/>
      <c r="L59" s="714"/>
      <c r="M59" s="101"/>
      <c r="N59" s="2" t="s">
        <v>3845</v>
      </c>
      <c r="O59" s="154" t="s">
        <v>3855</v>
      </c>
      <c r="P59" s="155"/>
      <c r="Q59" s="155"/>
      <c r="R59" s="561">
        <v>510</v>
      </c>
      <c r="S59" s="157"/>
      <c r="T59" s="1289"/>
      <c r="U59" s="149">
        <f>SUM(V59:AG59)</f>
        <v>5000000</v>
      </c>
      <c r="V59" s="149"/>
      <c r="W59" s="149"/>
      <c r="X59" s="149"/>
      <c r="Y59" s="149"/>
      <c r="Z59" s="149"/>
      <c r="AA59" s="149"/>
      <c r="AB59" s="149"/>
      <c r="AC59" s="149">
        <v>5000000</v>
      </c>
      <c r="AD59" s="149"/>
      <c r="AE59" s="149"/>
      <c r="AF59" s="149"/>
      <c r="AG59" s="149"/>
      <c r="AI59" s="739"/>
      <c r="AJ59" s="136"/>
      <c r="AK59" s="728"/>
      <c r="AL59" s="728"/>
      <c r="AM59" s="728"/>
      <c r="AN59" s="728"/>
      <c r="AO59" s="728"/>
      <c r="AP59" s="212"/>
      <c r="AQ59" s="238">
        <f t="shared" si="34"/>
        <v>0</v>
      </c>
      <c r="AR59" s="218">
        <f t="shared" si="35"/>
        <v>0</v>
      </c>
      <c r="AS59" s="149"/>
      <c r="AT59" s="149"/>
      <c r="AU59" s="149"/>
      <c r="AV59" s="149"/>
      <c r="AW59" s="149"/>
      <c r="AX59" s="149"/>
      <c r="AY59" s="149"/>
      <c r="AZ59" s="149"/>
      <c r="BA59" s="149"/>
      <c r="BB59" s="149"/>
      <c r="BC59" s="149"/>
      <c r="BD59" s="149"/>
      <c r="BE59" s="238">
        <f t="shared" si="38"/>
        <v>1</v>
      </c>
      <c r="BF59" s="218">
        <f t="shared" si="39"/>
        <v>5000000</v>
      </c>
      <c r="BG59" s="205">
        <f t="shared" si="46"/>
        <v>0</v>
      </c>
      <c r="BH59" s="205">
        <f t="shared" si="46"/>
        <v>0</v>
      </c>
      <c r="BI59" s="205">
        <f t="shared" si="46"/>
        <v>0</v>
      </c>
      <c r="BJ59" s="205">
        <f t="shared" si="45"/>
        <v>0</v>
      </c>
      <c r="BK59" s="205">
        <f t="shared" si="45"/>
        <v>0</v>
      </c>
      <c r="BL59" s="205">
        <f t="shared" si="45"/>
        <v>0</v>
      </c>
      <c r="BM59" s="205">
        <f t="shared" si="45"/>
        <v>0</v>
      </c>
      <c r="BN59" s="205">
        <f t="shared" si="45"/>
        <v>5000000</v>
      </c>
      <c r="BO59" s="205">
        <f t="shared" si="45"/>
        <v>0</v>
      </c>
      <c r="BP59" s="205">
        <f t="shared" si="45"/>
        <v>0</v>
      </c>
      <c r="BQ59" s="205">
        <f t="shared" si="45"/>
        <v>0</v>
      </c>
      <c r="BR59" s="205">
        <f t="shared" si="45"/>
        <v>0</v>
      </c>
      <c r="BS59" s="238">
        <f t="shared" si="40"/>
        <v>0</v>
      </c>
      <c r="BT59" s="218">
        <f t="shared" si="41"/>
        <v>0</v>
      </c>
      <c r="BU59" s="149"/>
      <c r="BV59" s="149"/>
      <c r="BW59" s="149"/>
      <c r="BX59" s="149"/>
      <c r="BY59" s="149"/>
      <c r="BZ59" s="149"/>
      <c r="CA59" s="149"/>
      <c r="CB59" s="149"/>
      <c r="CC59" s="149"/>
      <c r="CD59" s="149"/>
      <c r="CE59" s="149"/>
      <c r="CF59" s="149"/>
      <c r="CG59" s="238">
        <f t="shared" si="42"/>
        <v>1</v>
      </c>
      <c r="CH59" s="218">
        <f t="shared" si="43"/>
        <v>5000000</v>
      </c>
      <c r="CI59" s="205">
        <f t="shared" si="44"/>
        <v>0</v>
      </c>
      <c r="CJ59" s="205">
        <f t="shared" si="44"/>
        <v>0</v>
      </c>
      <c r="CK59" s="205">
        <f t="shared" si="44"/>
        <v>0</v>
      </c>
      <c r="CL59" s="205">
        <f t="shared" si="44"/>
        <v>0</v>
      </c>
      <c r="CM59" s="205">
        <f t="shared" si="44"/>
        <v>0</v>
      </c>
      <c r="CN59" s="205">
        <f t="shared" si="44"/>
        <v>0</v>
      </c>
      <c r="CO59" s="205">
        <f t="shared" si="44"/>
        <v>0</v>
      </c>
      <c r="CP59" s="205">
        <f t="shared" si="44"/>
        <v>5000000</v>
      </c>
      <c r="CQ59" s="205">
        <f t="shared" si="44"/>
        <v>0</v>
      </c>
      <c r="CR59" s="205">
        <f t="shared" si="44"/>
        <v>0</v>
      </c>
      <c r="CS59" s="205">
        <f t="shared" si="44"/>
        <v>0</v>
      </c>
      <c r="CT59" s="205">
        <f t="shared" si="44"/>
        <v>0</v>
      </c>
    </row>
    <row r="60" spans="1:98" ht="76.5" x14ac:dyDescent="0.25">
      <c r="A60" s="1260"/>
      <c r="B60" s="1260"/>
      <c r="C60" s="1260"/>
      <c r="D60" s="1260"/>
      <c r="E60" s="2" t="s">
        <v>3009</v>
      </c>
      <c r="F60" s="100" t="s">
        <v>3185</v>
      </c>
      <c r="G60" s="107">
        <v>150000000</v>
      </c>
      <c r="H60" s="107">
        <v>250000000</v>
      </c>
      <c r="I60" s="107">
        <v>250000000</v>
      </c>
      <c r="J60" s="2" t="s">
        <v>3011</v>
      </c>
      <c r="K60" s="100" t="s">
        <v>3224</v>
      </c>
      <c r="L60" s="2">
        <v>75</v>
      </c>
      <c r="M60" s="101">
        <v>0</v>
      </c>
      <c r="N60" s="2" t="s">
        <v>3856</v>
      </c>
      <c r="O60" s="154" t="s">
        <v>3865</v>
      </c>
      <c r="P60" s="155">
        <v>250000000</v>
      </c>
      <c r="Q60" s="155">
        <v>436500000</v>
      </c>
      <c r="R60" s="151">
        <v>310</v>
      </c>
      <c r="S60" s="157">
        <f>+Q60-U60</f>
        <v>424500000</v>
      </c>
      <c r="T60" s="730" t="s">
        <v>3349</v>
      </c>
      <c r="U60" s="149">
        <f t="shared" si="13"/>
        <v>12000000</v>
      </c>
      <c r="V60" s="149">
        <v>12000000</v>
      </c>
      <c r="W60" s="149"/>
      <c r="X60" s="149"/>
      <c r="Y60" s="149"/>
      <c r="Z60" s="149"/>
      <c r="AA60" s="149"/>
      <c r="AB60" s="149"/>
      <c r="AC60" s="149"/>
      <c r="AD60" s="149"/>
      <c r="AE60" s="149"/>
      <c r="AF60" s="149"/>
      <c r="AG60" s="149"/>
      <c r="AI60" s="739">
        <f>SUM(AJ60:AP60)</f>
        <v>30215492</v>
      </c>
      <c r="AJ60" s="137">
        <v>9573436</v>
      </c>
      <c r="AK60" s="728"/>
      <c r="AL60" s="728">
        <v>20642056</v>
      </c>
      <c r="AM60" s="728"/>
      <c r="AN60" s="728"/>
      <c r="AO60" s="728"/>
      <c r="AP60" s="212"/>
      <c r="AQ60" s="238">
        <f t="shared" si="34"/>
        <v>0</v>
      </c>
      <c r="AR60" s="218">
        <f t="shared" si="35"/>
        <v>0</v>
      </c>
      <c r="AS60" s="149"/>
      <c r="AT60" s="149"/>
      <c r="AU60" s="149"/>
      <c r="AV60" s="149"/>
      <c r="AW60" s="149"/>
      <c r="AX60" s="149"/>
      <c r="AY60" s="149"/>
      <c r="AZ60" s="149"/>
      <c r="BA60" s="149"/>
      <c r="BB60" s="149"/>
      <c r="BC60" s="149"/>
      <c r="BD60" s="149"/>
      <c r="BE60" s="238">
        <f t="shared" si="38"/>
        <v>1</v>
      </c>
      <c r="BF60" s="218">
        <f t="shared" si="39"/>
        <v>12000000</v>
      </c>
      <c r="BG60" s="205">
        <f t="shared" si="46"/>
        <v>12000000</v>
      </c>
      <c r="BH60" s="205">
        <f t="shared" si="46"/>
        <v>0</v>
      </c>
      <c r="BI60" s="205">
        <f t="shared" si="46"/>
        <v>0</v>
      </c>
      <c r="BJ60" s="205">
        <f t="shared" si="45"/>
        <v>0</v>
      </c>
      <c r="BK60" s="205">
        <f t="shared" si="45"/>
        <v>0</v>
      </c>
      <c r="BL60" s="205">
        <f t="shared" si="45"/>
        <v>0</v>
      </c>
      <c r="BM60" s="205">
        <f t="shared" si="45"/>
        <v>0</v>
      </c>
      <c r="BN60" s="205">
        <f t="shared" si="45"/>
        <v>0</v>
      </c>
      <c r="BO60" s="205">
        <f t="shared" si="45"/>
        <v>0</v>
      </c>
      <c r="BP60" s="205">
        <f t="shared" si="45"/>
        <v>0</v>
      </c>
      <c r="BQ60" s="205">
        <f t="shared" si="45"/>
        <v>0</v>
      </c>
      <c r="BR60" s="205">
        <f t="shared" si="45"/>
        <v>0</v>
      </c>
      <c r="BS60" s="238">
        <f t="shared" si="40"/>
        <v>0</v>
      </c>
      <c r="BT60" s="218">
        <f t="shared" si="41"/>
        <v>0</v>
      </c>
      <c r="BU60" s="149"/>
      <c r="BV60" s="149"/>
      <c r="BW60" s="149"/>
      <c r="BX60" s="149"/>
      <c r="BY60" s="149"/>
      <c r="BZ60" s="149"/>
      <c r="CA60" s="149"/>
      <c r="CB60" s="149"/>
      <c r="CC60" s="149"/>
      <c r="CD60" s="149"/>
      <c r="CE60" s="149"/>
      <c r="CF60" s="149"/>
      <c r="CG60" s="238">
        <f t="shared" si="42"/>
        <v>1</v>
      </c>
      <c r="CH60" s="218">
        <f t="shared" si="43"/>
        <v>12000000</v>
      </c>
      <c r="CI60" s="205">
        <f t="shared" si="44"/>
        <v>12000000</v>
      </c>
      <c r="CJ60" s="205">
        <f t="shared" si="44"/>
        <v>0</v>
      </c>
      <c r="CK60" s="205">
        <f t="shared" si="44"/>
        <v>0</v>
      </c>
      <c r="CL60" s="205">
        <f t="shared" ref="CL60:CT85" si="47">+Y60-BX60</f>
        <v>0</v>
      </c>
      <c r="CM60" s="205">
        <f t="shared" si="47"/>
        <v>0</v>
      </c>
      <c r="CN60" s="205">
        <f t="shared" si="47"/>
        <v>0</v>
      </c>
      <c r="CO60" s="205">
        <f t="shared" si="47"/>
        <v>0</v>
      </c>
      <c r="CP60" s="205">
        <f t="shared" si="47"/>
        <v>0</v>
      </c>
      <c r="CQ60" s="205">
        <f t="shared" si="47"/>
        <v>0</v>
      </c>
      <c r="CR60" s="205">
        <f t="shared" si="47"/>
        <v>0</v>
      </c>
      <c r="CS60" s="205">
        <f t="shared" si="47"/>
        <v>0</v>
      </c>
      <c r="CT60" s="205">
        <f t="shared" si="47"/>
        <v>0</v>
      </c>
    </row>
    <row r="61" spans="1:98" ht="51" x14ac:dyDescent="0.25">
      <c r="A61" s="706"/>
      <c r="B61" s="706"/>
      <c r="C61" s="706"/>
      <c r="D61" s="706"/>
      <c r="E61" s="714"/>
      <c r="F61" s="721"/>
      <c r="G61" s="715"/>
      <c r="H61" s="715"/>
      <c r="I61" s="725"/>
      <c r="J61" s="718"/>
      <c r="K61" s="235"/>
      <c r="L61" s="718"/>
      <c r="M61" s="106"/>
      <c r="N61" s="2" t="s">
        <v>3857</v>
      </c>
      <c r="O61" s="154" t="s">
        <v>3866</v>
      </c>
      <c r="P61" s="155"/>
      <c r="Q61" s="158"/>
      <c r="R61" s="151">
        <v>310</v>
      </c>
      <c r="S61" s="157"/>
      <c r="T61" s="730" t="s">
        <v>3874</v>
      </c>
      <c r="U61" s="149">
        <f t="shared" si="13"/>
        <v>12000000</v>
      </c>
      <c r="V61" s="149">
        <v>12000000</v>
      </c>
      <c r="W61" s="149"/>
      <c r="X61" s="149"/>
      <c r="Y61" s="149"/>
      <c r="Z61" s="149"/>
      <c r="AA61" s="149"/>
      <c r="AB61" s="149"/>
      <c r="AC61" s="149"/>
      <c r="AD61" s="149"/>
      <c r="AE61" s="149"/>
      <c r="AF61" s="149"/>
      <c r="AG61" s="149"/>
      <c r="AI61" s="739"/>
      <c r="AJ61" s="137"/>
      <c r="AK61" s="728"/>
      <c r="AL61" s="728"/>
      <c r="AM61" s="728"/>
      <c r="AN61" s="728"/>
      <c r="AO61" s="728"/>
      <c r="AP61" s="212"/>
      <c r="AQ61" s="238">
        <f t="shared" si="34"/>
        <v>0</v>
      </c>
      <c r="AR61" s="218">
        <f t="shared" si="35"/>
        <v>0</v>
      </c>
      <c r="AS61" s="149"/>
      <c r="AT61" s="149"/>
      <c r="AU61" s="149"/>
      <c r="AV61" s="149"/>
      <c r="AW61" s="149"/>
      <c r="AX61" s="149"/>
      <c r="AY61" s="149"/>
      <c r="AZ61" s="149"/>
      <c r="BA61" s="149"/>
      <c r="BB61" s="149"/>
      <c r="BC61" s="149"/>
      <c r="BD61" s="149"/>
      <c r="BE61" s="238">
        <f t="shared" si="38"/>
        <v>1</v>
      </c>
      <c r="BF61" s="218">
        <f t="shared" si="39"/>
        <v>12000000</v>
      </c>
      <c r="BG61" s="205">
        <f t="shared" si="46"/>
        <v>12000000</v>
      </c>
      <c r="BH61" s="205">
        <f t="shared" si="46"/>
        <v>0</v>
      </c>
      <c r="BI61" s="205">
        <f t="shared" si="46"/>
        <v>0</v>
      </c>
      <c r="BJ61" s="205">
        <f t="shared" si="45"/>
        <v>0</v>
      </c>
      <c r="BK61" s="205">
        <f t="shared" si="45"/>
        <v>0</v>
      </c>
      <c r="BL61" s="205">
        <f t="shared" si="45"/>
        <v>0</v>
      </c>
      <c r="BM61" s="205">
        <f t="shared" si="45"/>
        <v>0</v>
      </c>
      <c r="BN61" s="205">
        <f t="shared" si="45"/>
        <v>0</v>
      </c>
      <c r="BO61" s="205">
        <f t="shared" si="45"/>
        <v>0</v>
      </c>
      <c r="BP61" s="205">
        <f t="shared" si="45"/>
        <v>0</v>
      </c>
      <c r="BQ61" s="205">
        <f t="shared" si="45"/>
        <v>0</v>
      </c>
      <c r="BR61" s="205">
        <f t="shared" si="45"/>
        <v>0</v>
      </c>
      <c r="BS61" s="238">
        <f t="shared" si="40"/>
        <v>0</v>
      </c>
      <c r="BT61" s="218">
        <f t="shared" si="41"/>
        <v>0</v>
      </c>
      <c r="BU61" s="149"/>
      <c r="BV61" s="149"/>
      <c r="BW61" s="149"/>
      <c r="BX61" s="149"/>
      <c r="BY61" s="149"/>
      <c r="BZ61" s="149"/>
      <c r="CA61" s="149"/>
      <c r="CB61" s="149"/>
      <c r="CC61" s="149"/>
      <c r="CD61" s="149"/>
      <c r="CE61" s="149"/>
      <c r="CF61" s="149"/>
      <c r="CG61" s="238">
        <f t="shared" si="42"/>
        <v>1</v>
      </c>
      <c r="CH61" s="218">
        <f t="shared" si="43"/>
        <v>12000000</v>
      </c>
      <c r="CI61" s="205">
        <f t="shared" ref="CI61:CK85" si="48">+V61-BU61</f>
        <v>12000000</v>
      </c>
      <c r="CJ61" s="205">
        <f t="shared" si="48"/>
        <v>0</v>
      </c>
      <c r="CK61" s="205">
        <f t="shared" si="48"/>
        <v>0</v>
      </c>
      <c r="CL61" s="205">
        <f t="shared" si="47"/>
        <v>0</v>
      </c>
      <c r="CM61" s="205">
        <f t="shared" si="47"/>
        <v>0</v>
      </c>
      <c r="CN61" s="205">
        <f t="shared" si="47"/>
        <v>0</v>
      </c>
      <c r="CO61" s="205">
        <f t="shared" si="47"/>
        <v>0</v>
      </c>
      <c r="CP61" s="205">
        <f t="shared" si="47"/>
        <v>0</v>
      </c>
      <c r="CQ61" s="205">
        <f t="shared" si="47"/>
        <v>0</v>
      </c>
      <c r="CR61" s="205">
        <f t="shared" si="47"/>
        <v>0</v>
      </c>
      <c r="CS61" s="205">
        <f t="shared" si="47"/>
        <v>0</v>
      </c>
      <c r="CT61" s="205">
        <f t="shared" si="47"/>
        <v>0</v>
      </c>
    </row>
    <row r="62" spans="1:98" ht="63.75" x14ac:dyDescent="0.25">
      <c r="A62" s="706"/>
      <c r="B62" s="706"/>
      <c r="C62" s="706"/>
      <c r="D62" s="706"/>
      <c r="E62" s="714"/>
      <c r="F62" s="721"/>
      <c r="G62" s="715"/>
      <c r="H62" s="715"/>
      <c r="I62" s="725"/>
      <c r="J62" s="718"/>
      <c r="K62" s="235"/>
      <c r="L62" s="718"/>
      <c r="M62" s="106"/>
      <c r="N62" s="2" t="s">
        <v>3858</v>
      </c>
      <c r="O62" s="154" t="s">
        <v>3867</v>
      </c>
      <c r="P62" s="155"/>
      <c r="Q62" s="158"/>
      <c r="R62" s="151">
        <v>310</v>
      </c>
      <c r="S62" s="157"/>
      <c r="T62" s="730" t="s">
        <v>3875</v>
      </c>
      <c r="U62" s="149">
        <f t="shared" si="13"/>
        <v>12000000</v>
      </c>
      <c r="V62" s="149">
        <v>12000000</v>
      </c>
      <c r="W62" s="149"/>
      <c r="X62" s="149"/>
      <c r="Y62" s="149"/>
      <c r="Z62" s="149"/>
      <c r="AA62" s="149"/>
      <c r="AB62" s="149"/>
      <c r="AC62" s="149"/>
      <c r="AD62" s="149"/>
      <c r="AE62" s="149"/>
      <c r="AF62" s="149"/>
      <c r="AG62" s="149"/>
      <c r="AI62" s="739"/>
      <c r="AJ62" s="137"/>
      <c r="AK62" s="728"/>
      <c r="AL62" s="728"/>
      <c r="AM62" s="728"/>
      <c r="AN62" s="728"/>
      <c r="AO62" s="728"/>
      <c r="AP62" s="212"/>
      <c r="AQ62" s="238">
        <f t="shared" si="34"/>
        <v>0</v>
      </c>
      <c r="AR62" s="218">
        <f t="shared" si="35"/>
        <v>0</v>
      </c>
      <c r="AS62" s="149"/>
      <c r="AT62" s="149"/>
      <c r="AU62" s="149"/>
      <c r="AV62" s="149"/>
      <c r="AW62" s="149"/>
      <c r="AX62" s="149"/>
      <c r="AY62" s="149"/>
      <c r="AZ62" s="149"/>
      <c r="BA62" s="149"/>
      <c r="BB62" s="149"/>
      <c r="BC62" s="149"/>
      <c r="BD62" s="149"/>
      <c r="BE62" s="238">
        <f t="shared" si="38"/>
        <v>1</v>
      </c>
      <c r="BF62" s="218">
        <f t="shared" si="39"/>
        <v>12000000</v>
      </c>
      <c r="BG62" s="205">
        <f t="shared" si="46"/>
        <v>12000000</v>
      </c>
      <c r="BH62" s="205">
        <f t="shared" si="46"/>
        <v>0</v>
      </c>
      <c r="BI62" s="205">
        <f t="shared" si="46"/>
        <v>0</v>
      </c>
      <c r="BJ62" s="205">
        <f t="shared" si="45"/>
        <v>0</v>
      </c>
      <c r="BK62" s="205">
        <f t="shared" si="45"/>
        <v>0</v>
      </c>
      <c r="BL62" s="205">
        <f t="shared" si="45"/>
        <v>0</v>
      </c>
      <c r="BM62" s="205">
        <f t="shared" si="45"/>
        <v>0</v>
      </c>
      <c r="BN62" s="205">
        <f t="shared" si="45"/>
        <v>0</v>
      </c>
      <c r="BO62" s="205">
        <f t="shared" si="45"/>
        <v>0</v>
      </c>
      <c r="BP62" s="205">
        <f t="shared" si="45"/>
        <v>0</v>
      </c>
      <c r="BQ62" s="205">
        <f t="shared" si="45"/>
        <v>0</v>
      </c>
      <c r="BR62" s="205">
        <f t="shared" si="45"/>
        <v>0</v>
      </c>
      <c r="BS62" s="238">
        <f t="shared" si="40"/>
        <v>0</v>
      </c>
      <c r="BT62" s="218">
        <f t="shared" si="41"/>
        <v>0</v>
      </c>
      <c r="BU62" s="149"/>
      <c r="BV62" s="149"/>
      <c r="BW62" s="149"/>
      <c r="BX62" s="149"/>
      <c r="BY62" s="149"/>
      <c r="BZ62" s="149"/>
      <c r="CA62" s="149"/>
      <c r="CB62" s="149"/>
      <c r="CC62" s="149"/>
      <c r="CD62" s="149"/>
      <c r="CE62" s="149"/>
      <c r="CF62" s="149"/>
      <c r="CG62" s="238">
        <f t="shared" si="42"/>
        <v>1</v>
      </c>
      <c r="CH62" s="218">
        <f t="shared" si="43"/>
        <v>12000000</v>
      </c>
      <c r="CI62" s="205">
        <f t="shared" si="48"/>
        <v>12000000</v>
      </c>
      <c r="CJ62" s="205">
        <f t="shared" si="48"/>
        <v>0</v>
      </c>
      <c r="CK62" s="205">
        <f t="shared" si="48"/>
        <v>0</v>
      </c>
      <c r="CL62" s="205">
        <f t="shared" si="47"/>
        <v>0</v>
      </c>
      <c r="CM62" s="205">
        <f t="shared" si="47"/>
        <v>0</v>
      </c>
      <c r="CN62" s="205">
        <f t="shared" si="47"/>
        <v>0</v>
      </c>
      <c r="CO62" s="205">
        <f t="shared" si="47"/>
        <v>0</v>
      </c>
      <c r="CP62" s="205">
        <f t="shared" si="47"/>
        <v>0</v>
      </c>
      <c r="CQ62" s="205">
        <f t="shared" si="47"/>
        <v>0</v>
      </c>
      <c r="CR62" s="205">
        <f t="shared" si="47"/>
        <v>0</v>
      </c>
      <c r="CS62" s="205">
        <f t="shared" si="47"/>
        <v>0</v>
      </c>
      <c r="CT62" s="205">
        <f t="shared" si="47"/>
        <v>0</v>
      </c>
    </row>
    <row r="63" spans="1:98" ht="51" x14ac:dyDescent="0.25">
      <c r="A63" s="706"/>
      <c r="B63" s="706"/>
      <c r="C63" s="706"/>
      <c r="D63" s="706"/>
      <c r="E63" s="714"/>
      <c r="F63" s="721"/>
      <c r="G63" s="715"/>
      <c r="H63" s="715"/>
      <c r="I63" s="725"/>
      <c r="J63" s="718"/>
      <c r="K63" s="235"/>
      <c r="L63" s="718"/>
      <c r="M63" s="106"/>
      <c r="N63" s="2" t="s">
        <v>3859</v>
      </c>
      <c r="O63" s="154" t="s">
        <v>3868</v>
      </c>
      <c r="P63" s="155"/>
      <c r="Q63" s="158"/>
      <c r="R63" s="151">
        <v>310</v>
      </c>
      <c r="S63" s="157"/>
      <c r="T63" s="730" t="s">
        <v>3876</v>
      </c>
      <c r="U63" s="149">
        <f t="shared" si="13"/>
        <v>20000000</v>
      </c>
      <c r="V63" s="149">
        <v>20000000</v>
      </c>
      <c r="W63" s="149"/>
      <c r="X63" s="149"/>
      <c r="Y63" s="149"/>
      <c r="Z63" s="149"/>
      <c r="AA63" s="149"/>
      <c r="AB63" s="149"/>
      <c r="AC63" s="149"/>
      <c r="AD63" s="149"/>
      <c r="AE63" s="149"/>
      <c r="AF63" s="149"/>
      <c r="AG63" s="149"/>
      <c r="AI63" s="739"/>
      <c r="AJ63" s="137"/>
      <c r="AK63" s="728"/>
      <c r="AL63" s="728"/>
      <c r="AM63" s="728"/>
      <c r="AN63" s="728"/>
      <c r="AO63" s="728"/>
      <c r="AP63" s="212"/>
      <c r="AQ63" s="238">
        <f t="shared" si="34"/>
        <v>0</v>
      </c>
      <c r="AR63" s="218">
        <f t="shared" si="35"/>
        <v>0</v>
      </c>
      <c r="AS63" s="149"/>
      <c r="AT63" s="149"/>
      <c r="AU63" s="149"/>
      <c r="AV63" s="149"/>
      <c r="AW63" s="149"/>
      <c r="AX63" s="149"/>
      <c r="AY63" s="149"/>
      <c r="AZ63" s="149"/>
      <c r="BA63" s="149"/>
      <c r="BB63" s="149"/>
      <c r="BC63" s="149"/>
      <c r="BD63" s="149"/>
      <c r="BE63" s="238">
        <f t="shared" si="38"/>
        <v>1</v>
      </c>
      <c r="BF63" s="218">
        <f t="shared" si="39"/>
        <v>20000000</v>
      </c>
      <c r="BG63" s="205">
        <f t="shared" si="46"/>
        <v>20000000</v>
      </c>
      <c r="BH63" s="205">
        <f t="shared" si="46"/>
        <v>0</v>
      </c>
      <c r="BI63" s="205">
        <f t="shared" si="46"/>
        <v>0</v>
      </c>
      <c r="BJ63" s="205">
        <f t="shared" si="45"/>
        <v>0</v>
      </c>
      <c r="BK63" s="205">
        <f t="shared" si="45"/>
        <v>0</v>
      </c>
      <c r="BL63" s="205">
        <f t="shared" si="45"/>
        <v>0</v>
      </c>
      <c r="BM63" s="205">
        <f t="shared" si="45"/>
        <v>0</v>
      </c>
      <c r="BN63" s="205">
        <f t="shared" si="45"/>
        <v>0</v>
      </c>
      <c r="BO63" s="205">
        <f t="shared" si="45"/>
        <v>0</v>
      </c>
      <c r="BP63" s="205">
        <f t="shared" si="45"/>
        <v>0</v>
      </c>
      <c r="BQ63" s="205">
        <f t="shared" si="45"/>
        <v>0</v>
      </c>
      <c r="BR63" s="205">
        <f t="shared" si="45"/>
        <v>0</v>
      </c>
      <c r="BS63" s="238">
        <f t="shared" si="40"/>
        <v>0</v>
      </c>
      <c r="BT63" s="218">
        <f t="shared" si="41"/>
        <v>0</v>
      </c>
      <c r="BU63" s="149"/>
      <c r="BV63" s="149"/>
      <c r="BW63" s="149"/>
      <c r="BX63" s="149"/>
      <c r="BY63" s="149"/>
      <c r="BZ63" s="149"/>
      <c r="CA63" s="149"/>
      <c r="CB63" s="149"/>
      <c r="CC63" s="149"/>
      <c r="CD63" s="149"/>
      <c r="CE63" s="149"/>
      <c r="CF63" s="149"/>
      <c r="CG63" s="238">
        <f t="shared" si="42"/>
        <v>1</v>
      </c>
      <c r="CH63" s="218">
        <f t="shared" si="43"/>
        <v>20000000</v>
      </c>
      <c r="CI63" s="205">
        <f t="shared" si="48"/>
        <v>20000000</v>
      </c>
      <c r="CJ63" s="205">
        <f t="shared" si="48"/>
        <v>0</v>
      </c>
      <c r="CK63" s="205">
        <f t="shared" si="48"/>
        <v>0</v>
      </c>
      <c r="CL63" s="205">
        <f t="shared" si="47"/>
        <v>0</v>
      </c>
      <c r="CM63" s="205">
        <f t="shared" si="47"/>
        <v>0</v>
      </c>
      <c r="CN63" s="205">
        <f t="shared" si="47"/>
        <v>0</v>
      </c>
      <c r="CO63" s="205">
        <f t="shared" si="47"/>
        <v>0</v>
      </c>
      <c r="CP63" s="205">
        <f t="shared" si="47"/>
        <v>0</v>
      </c>
      <c r="CQ63" s="205">
        <f t="shared" si="47"/>
        <v>0</v>
      </c>
      <c r="CR63" s="205">
        <f t="shared" si="47"/>
        <v>0</v>
      </c>
      <c r="CS63" s="205">
        <f t="shared" si="47"/>
        <v>0</v>
      </c>
      <c r="CT63" s="205">
        <f t="shared" si="47"/>
        <v>0</v>
      </c>
    </row>
    <row r="64" spans="1:98" ht="51" x14ac:dyDescent="0.25">
      <c r="A64" s="706"/>
      <c r="B64" s="706"/>
      <c r="C64" s="706"/>
      <c r="D64" s="706"/>
      <c r="E64" s="714"/>
      <c r="F64" s="721"/>
      <c r="G64" s="715"/>
      <c r="H64" s="715"/>
      <c r="I64" s="725"/>
      <c r="J64" s="718"/>
      <c r="K64" s="235"/>
      <c r="L64" s="718"/>
      <c r="M64" s="106"/>
      <c r="N64" s="2" t="s">
        <v>3860</v>
      </c>
      <c r="O64" s="154" t="s">
        <v>3869</v>
      </c>
      <c r="P64" s="155"/>
      <c r="Q64" s="158"/>
      <c r="R64" s="151">
        <v>310</v>
      </c>
      <c r="S64" s="157"/>
      <c r="T64" s="730" t="s">
        <v>3877</v>
      </c>
      <c r="U64" s="149">
        <f t="shared" si="13"/>
        <v>20000000</v>
      </c>
      <c r="V64" s="149">
        <v>20000000</v>
      </c>
      <c r="W64" s="149"/>
      <c r="X64" s="149"/>
      <c r="Y64" s="149"/>
      <c r="Z64" s="149"/>
      <c r="AA64" s="149"/>
      <c r="AB64" s="149"/>
      <c r="AC64" s="149"/>
      <c r="AD64" s="149"/>
      <c r="AE64" s="149"/>
      <c r="AF64" s="149"/>
      <c r="AG64" s="149"/>
      <c r="AI64" s="739"/>
      <c r="AJ64" s="137"/>
      <c r="AK64" s="728"/>
      <c r="AL64" s="728"/>
      <c r="AM64" s="728"/>
      <c r="AN64" s="728"/>
      <c r="AO64" s="728"/>
      <c r="AP64" s="212"/>
      <c r="AQ64" s="238">
        <f t="shared" si="34"/>
        <v>0</v>
      </c>
      <c r="AR64" s="218">
        <f t="shared" si="35"/>
        <v>0</v>
      </c>
      <c r="AS64" s="149"/>
      <c r="AT64" s="149"/>
      <c r="AU64" s="149"/>
      <c r="AV64" s="149"/>
      <c r="AW64" s="149"/>
      <c r="AX64" s="149"/>
      <c r="AY64" s="149"/>
      <c r="AZ64" s="149"/>
      <c r="BA64" s="149"/>
      <c r="BB64" s="149"/>
      <c r="BC64" s="149"/>
      <c r="BD64" s="149"/>
      <c r="BE64" s="238">
        <f t="shared" si="38"/>
        <v>1</v>
      </c>
      <c r="BF64" s="218">
        <f t="shared" si="39"/>
        <v>20000000</v>
      </c>
      <c r="BG64" s="205">
        <f t="shared" si="46"/>
        <v>20000000</v>
      </c>
      <c r="BH64" s="205">
        <f t="shared" si="46"/>
        <v>0</v>
      </c>
      <c r="BI64" s="205">
        <f t="shared" si="46"/>
        <v>0</v>
      </c>
      <c r="BJ64" s="205">
        <f t="shared" si="45"/>
        <v>0</v>
      </c>
      <c r="BK64" s="205">
        <f t="shared" si="45"/>
        <v>0</v>
      </c>
      <c r="BL64" s="205">
        <f t="shared" si="45"/>
        <v>0</v>
      </c>
      <c r="BM64" s="205">
        <f t="shared" si="45"/>
        <v>0</v>
      </c>
      <c r="BN64" s="205">
        <f t="shared" si="45"/>
        <v>0</v>
      </c>
      <c r="BO64" s="205">
        <f t="shared" si="45"/>
        <v>0</v>
      </c>
      <c r="BP64" s="205">
        <f t="shared" si="45"/>
        <v>0</v>
      </c>
      <c r="BQ64" s="205">
        <f t="shared" si="45"/>
        <v>0</v>
      </c>
      <c r="BR64" s="205">
        <f t="shared" si="45"/>
        <v>0</v>
      </c>
      <c r="BS64" s="238">
        <f t="shared" si="40"/>
        <v>0</v>
      </c>
      <c r="BT64" s="218">
        <f t="shared" si="41"/>
        <v>0</v>
      </c>
      <c r="BU64" s="149"/>
      <c r="BV64" s="149"/>
      <c r="BW64" s="149"/>
      <c r="BX64" s="149"/>
      <c r="BY64" s="149"/>
      <c r="BZ64" s="149"/>
      <c r="CA64" s="149"/>
      <c r="CB64" s="149"/>
      <c r="CC64" s="149"/>
      <c r="CD64" s="149"/>
      <c r="CE64" s="149"/>
      <c r="CF64" s="149"/>
      <c r="CG64" s="238">
        <f t="shared" si="42"/>
        <v>1</v>
      </c>
      <c r="CH64" s="218">
        <f t="shared" si="43"/>
        <v>20000000</v>
      </c>
      <c r="CI64" s="205">
        <f t="shared" si="48"/>
        <v>20000000</v>
      </c>
      <c r="CJ64" s="205">
        <f t="shared" si="48"/>
        <v>0</v>
      </c>
      <c r="CK64" s="205">
        <f t="shared" si="48"/>
        <v>0</v>
      </c>
      <c r="CL64" s="205">
        <f t="shared" si="47"/>
        <v>0</v>
      </c>
      <c r="CM64" s="205">
        <f t="shared" si="47"/>
        <v>0</v>
      </c>
      <c r="CN64" s="205">
        <f t="shared" si="47"/>
        <v>0</v>
      </c>
      <c r="CO64" s="205">
        <f t="shared" si="47"/>
        <v>0</v>
      </c>
      <c r="CP64" s="205">
        <f t="shared" si="47"/>
        <v>0</v>
      </c>
      <c r="CQ64" s="205">
        <f t="shared" si="47"/>
        <v>0</v>
      </c>
      <c r="CR64" s="205">
        <f t="shared" si="47"/>
        <v>0</v>
      </c>
      <c r="CS64" s="205">
        <f t="shared" si="47"/>
        <v>0</v>
      </c>
      <c r="CT64" s="205">
        <f t="shared" si="47"/>
        <v>0</v>
      </c>
    </row>
    <row r="65" spans="1:98" ht="51" x14ac:dyDescent="0.25">
      <c r="A65" s="706"/>
      <c r="B65" s="706"/>
      <c r="C65" s="706"/>
      <c r="D65" s="706"/>
      <c r="E65" s="714"/>
      <c r="F65" s="721"/>
      <c r="G65" s="715"/>
      <c r="H65" s="715"/>
      <c r="I65" s="725"/>
      <c r="J65" s="718"/>
      <c r="K65" s="235"/>
      <c r="L65" s="718"/>
      <c r="M65" s="106"/>
      <c r="N65" s="2" t="s">
        <v>3861</v>
      </c>
      <c r="O65" s="154" t="s">
        <v>3870</v>
      </c>
      <c r="P65" s="155"/>
      <c r="Q65" s="158"/>
      <c r="R65" s="151">
        <v>310</v>
      </c>
      <c r="S65" s="157"/>
      <c r="T65" s="730" t="s">
        <v>3878</v>
      </c>
      <c r="U65" s="149">
        <f t="shared" si="13"/>
        <v>20000000</v>
      </c>
      <c r="V65" s="149">
        <v>20000000</v>
      </c>
      <c r="W65" s="149"/>
      <c r="X65" s="149"/>
      <c r="Y65" s="149"/>
      <c r="Z65" s="149"/>
      <c r="AA65" s="149"/>
      <c r="AB65" s="149"/>
      <c r="AC65" s="149"/>
      <c r="AD65" s="149"/>
      <c r="AE65" s="149"/>
      <c r="AF65" s="149"/>
      <c r="AG65" s="149"/>
      <c r="AI65" s="739"/>
      <c r="AJ65" s="137"/>
      <c r="AK65" s="728"/>
      <c r="AL65" s="728"/>
      <c r="AM65" s="728"/>
      <c r="AN65" s="728"/>
      <c r="AO65" s="728"/>
      <c r="AP65" s="212"/>
      <c r="AQ65" s="238">
        <f t="shared" si="34"/>
        <v>0</v>
      </c>
      <c r="AR65" s="218">
        <f t="shared" si="35"/>
        <v>0</v>
      </c>
      <c r="AS65" s="149"/>
      <c r="AT65" s="149"/>
      <c r="AU65" s="149"/>
      <c r="AV65" s="149"/>
      <c r="AW65" s="149"/>
      <c r="AX65" s="149"/>
      <c r="AY65" s="149"/>
      <c r="AZ65" s="149"/>
      <c r="BA65" s="149"/>
      <c r="BB65" s="149"/>
      <c r="BC65" s="149"/>
      <c r="BD65" s="149"/>
      <c r="BE65" s="238">
        <f t="shared" si="38"/>
        <v>1</v>
      </c>
      <c r="BF65" s="218">
        <f t="shared" si="39"/>
        <v>20000000</v>
      </c>
      <c r="BG65" s="205">
        <f t="shared" si="46"/>
        <v>20000000</v>
      </c>
      <c r="BH65" s="205">
        <f t="shared" si="46"/>
        <v>0</v>
      </c>
      <c r="BI65" s="205">
        <f t="shared" si="46"/>
        <v>0</v>
      </c>
      <c r="BJ65" s="205">
        <f t="shared" si="45"/>
        <v>0</v>
      </c>
      <c r="BK65" s="205">
        <f t="shared" si="45"/>
        <v>0</v>
      </c>
      <c r="BL65" s="205">
        <f t="shared" si="45"/>
        <v>0</v>
      </c>
      <c r="BM65" s="205">
        <f t="shared" si="45"/>
        <v>0</v>
      </c>
      <c r="BN65" s="205">
        <f t="shared" si="45"/>
        <v>0</v>
      </c>
      <c r="BO65" s="205">
        <f t="shared" si="45"/>
        <v>0</v>
      </c>
      <c r="BP65" s="205">
        <f t="shared" si="45"/>
        <v>0</v>
      </c>
      <c r="BQ65" s="205">
        <f t="shared" si="45"/>
        <v>0</v>
      </c>
      <c r="BR65" s="205">
        <f t="shared" si="45"/>
        <v>0</v>
      </c>
      <c r="BS65" s="238">
        <f t="shared" si="40"/>
        <v>0</v>
      </c>
      <c r="BT65" s="218">
        <f t="shared" si="41"/>
        <v>0</v>
      </c>
      <c r="BU65" s="149"/>
      <c r="BV65" s="149"/>
      <c r="BW65" s="149"/>
      <c r="BX65" s="149"/>
      <c r="BY65" s="149"/>
      <c r="BZ65" s="149"/>
      <c r="CA65" s="149"/>
      <c r="CB65" s="149"/>
      <c r="CC65" s="149"/>
      <c r="CD65" s="149"/>
      <c r="CE65" s="149"/>
      <c r="CF65" s="149"/>
      <c r="CG65" s="238">
        <f t="shared" si="42"/>
        <v>1</v>
      </c>
      <c r="CH65" s="218">
        <f t="shared" si="43"/>
        <v>20000000</v>
      </c>
      <c r="CI65" s="205">
        <f t="shared" si="48"/>
        <v>20000000</v>
      </c>
      <c r="CJ65" s="205">
        <f t="shared" si="48"/>
        <v>0</v>
      </c>
      <c r="CK65" s="205">
        <f t="shared" si="48"/>
        <v>0</v>
      </c>
      <c r="CL65" s="205">
        <f t="shared" si="47"/>
        <v>0</v>
      </c>
      <c r="CM65" s="205">
        <f t="shared" si="47"/>
        <v>0</v>
      </c>
      <c r="CN65" s="205">
        <f t="shared" si="47"/>
        <v>0</v>
      </c>
      <c r="CO65" s="205">
        <f t="shared" si="47"/>
        <v>0</v>
      </c>
      <c r="CP65" s="205">
        <f t="shared" si="47"/>
        <v>0</v>
      </c>
      <c r="CQ65" s="205">
        <f t="shared" si="47"/>
        <v>0</v>
      </c>
      <c r="CR65" s="205">
        <f t="shared" si="47"/>
        <v>0</v>
      </c>
      <c r="CS65" s="205">
        <f t="shared" si="47"/>
        <v>0</v>
      </c>
      <c r="CT65" s="205">
        <f t="shared" si="47"/>
        <v>0</v>
      </c>
    </row>
    <row r="66" spans="1:98" ht="63.75" x14ac:dyDescent="0.25">
      <c r="A66" s="706"/>
      <c r="B66" s="706"/>
      <c r="C66" s="706"/>
      <c r="D66" s="706"/>
      <c r="E66" s="714"/>
      <c r="F66" s="721"/>
      <c r="G66" s="715"/>
      <c r="H66" s="715"/>
      <c r="I66" s="725"/>
      <c r="J66" s="718"/>
      <c r="K66" s="235"/>
      <c r="L66" s="718"/>
      <c r="M66" s="106"/>
      <c r="N66" s="2" t="s">
        <v>3862</v>
      </c>
      <c r="O66" s="154" t="s">
        <v>3871</v>
      </c>
      <c r="P66" s="155"/>
      <c r="Q66" s="158"/>
      <c r="R66" s="151">
        <v>310</v>
      </c>
      <c r="S66" s="157"/>
      <c r="T66" s="730" t="s">
        <v>3879</v>
      </c>
      <c r="U66" s="149">
        <f t="shared" si="13"/>
        <v>20000000</v>
      </c>
      <c r="V66" s="149">
        <v>20000000</v>
      </c>
      <c r="W66" s="149"/>
      <c r="X66" s="149"/>
      <c r="Y66" s="149"/>
      <c r="Z66" s="149"/>
      <c r="AA66" s="149"/>
      <c r="AB66" s="149"/>
      <c r="AC66" s="149"/>
      <c r="AD66" s="149"/>
      <c r="AE66" s="149"/>
      <c r="AF66" s="149"/>
      <c r="AG66" s="149"/>
      <c r="AI66" s="739"/>
      <c r="AJ66" s="137"/>
      <c r="AK66" s="728"/>
      <c r="AL66" s="728"/>
      <c r="AM66" s="728"/>
      <c r="AN66" s="728"/>
      <c r="AO66" s="728"/>
      <c r="AP66" s="212"/>
      <c r="AQ66" s="238">
        <f t="shared" si="34"/>
        <v>0</v>
      </c>
      <c r="AR66" s="218">
        <f t="shared" si="35"/>
        <v>0</v>
      </c>
      <c r="AS66" s="149"/>
      <c r="AT66" s="149"/>
      <c r="AU66" s="149"/>
      <c r="AV66" s="149"/>
      <c r="AW66" s="149"/>
      <c r="AX66" s="149"/>
      <c r="AY66" s="149"/>
      <c r="AZ66" s="149"/>
      <c r="BA66" s="149"/>
      <c r="BB66" s="149"/>
      <c r="BC66" s="149"/>
      <c r="BD66" s="149"/>
      <c r="BE66" s="238">
        <f t="shared" si="38"/>
        <v>1</v>
      </c>
      <c r="BF66" s="218">
        <f t="shared" si="39"/>
        <v>20000000</v>
      </c>
      <c r="BG66" s="205">
        <f t="shared" si="46"/>
        <v>20000000</v>
      </c>
      <c r="BH66" s="205">
        <f t="shared" si="46"/>
        <v>0</v>
      </c>
      <c r="BI66" s="205">
        <f t="shared" si="46"/>
        <v>0</v>
      </c>
      <c r="BJ66" s="205">
        <f t="shared" si="45"/>
        <v>0</v>
      </c>
      <c r="BK66" s="205">
        <f t="shared" si="45"/>
        <v>0</v>
      </c>
      <c r="BL66" s="205">
        <f t="shared" si="45"/>
        <v>0</v>
      </c>
      <c r="BM66" s="205">
        <f t="shared" si="45"/>
        <v>0</v>
      </c>
      <c r="BN66" s="205">
        <f t="shared" si="45"/>
        <v>0</v>
      </c>
      <c r="BO66" s="205">
        <f t="shared" si="45"/>
        <v>0</v>
      </c>
      <c r="BP66" s="205">
        <f t="shared" si="45"/>
        <v>0</v>
      </c>
      <c r="BQ66" s="205">
        <f t="shared" si="45"/>
        <v>0</v>
      </c>
      <c r="BR66" s="205">
        <f t="shared" si="45"/>
        <v>0</v>
      </c>
      <c r="BS66" s="238">
        <f t="shared" si="40"/>
        <v>0</v>
      </c>
      <c r="BT66" s="218">
        <f t="shared" si="41"/>
        <v>0</v>
      </c>
      <c r="BU66" s="149"/>
      <c r="BV66" s="149"/>
      <c r="BW66" s="149"/>
      <c r="BX66" s="149"/>
      <c r="BY66" s="149"/>
      <c r="BZ66" s="149"/>
      <c r="CA66" s="149"/>
      <c r="CB66" s="149"/>
      <c r="CC66" s="149"/>
      <c r="CD66" s="149"/>
      <c r="CE66" s="149"/>
      <c r="CF66" s="149"/>
      <c r="CG66" s="238">
        <f t="shared" si="42"/>
        <v>1</v>
      </c>
      <c r="CH66" s="218">
        <f t="shared" si="43"/>
        <v>20000000</v>
      </c>
      <c r="CI66" s="205">
        <f t="shared" si="48"/>
        <v>20000000</v>
      </c>
      <c r="CJ66" s="205">
        <f t="shared" si="48"/>
        <v>0</v>
      </c>
      <c r="CK66" s="205">
        <f t="shared" si="48"/>
        <v>0</v>
      </c>
      <c r="CL66" s="205">
        <f t="shared" si="47"/>
        <v>0</v>
      </c>
      <c r="CM66" s="205">
        <f t="shared" si="47"/>
        <v>0</v>
      </c>
      <c r="CN66" s="205">
        <f t="shared" si="47"/>
        <v>0</v>
      </c>
      <c r="CO66" s="205">
        <f t="shared" si="47"/>
        <v>0</v>
      </c>
      <c r="CP66" s="205">
        <f t="shared" si="47"/>
        <v>0</v>
      </c>
      <c r="CQ66" s="205">
        <f t="shared" si="47"/>
        <v>0</v>
      </c>
      <c r="CR66" s="205">
        <f t="shared" si="47"/>
        <v>0</v>
      </c>
      <c r="CS66" s="205">
        <f t="shared" si="47"/>
        <v>0</v>
      </c>
      <c r="CT66" s="205">
        <f t="shared" si="47"/>
        <v>0</v>
      </c>
    </row>
    <row r="67" spans="1:98" ht="38.25" x14ac:dyDescent="0.25">
      <c r="A67" s="706"/>
      <c r="B67" s="706"/>
      <c r="C67" s="706"/>
      <c r="D67" s="706"/>
      <c r="E67" s="714"/>
      <c r="F67" s="721"/>
      <c r="G67" s="715"/>
      <c r="H67" s="715"/>
      <c r="I67" s="725"/>
      <c r="J67" s="718"/>
      <c r="K67" s="235"/>
      <c r="L67" s="718"/>
      <c r="M67" s="106"/>
      <c r="N67" s="2" t="s">
        <v>3863</v>
      </c>
      <c r="O67" s="154" t="s">
        <v>3872</v>
      </c>
      <c r="P67" s="155"/>
      <c r="Q67" s="158"/>
      <c r="R67" s="151">
        <v>310</v>
      </c>
      <c r="S67" s="157"/>
      <c r="T67" s="1428" t="s">
        <v>3353</v>
      </c>
      <c r="U67" s="149">
        <f t="shared" si="13"/>
        <v>44000000</v>
      </c>
      <c r="V67" s="149">
        <v>44000000</v>
      </c>
      <c r="W67" s="149"/>
      <c r="X67" s="149"/>
      <c r="Y67" s="149"/>
      <c r="Z67" s="149"/>
      <c r="AA67" s="149"/>
      <c r="AB67" s="149"/>
      <c r="AC67" s="149"/>
      <c r="AD67" s="149"/>
      <c r="AE67" s="149"/>
      <c r="AF67" s="149"/>
      <c r="AG67" s="149"/>
      <c r="AI67" s="739"/>
      <c r="AJ67" s="137"/>
      <c r="AK67" s="728"/>
      <c r="AL67" s="728"/>
      <c r="AM67" s="728"/>
      <c r="AN67" s="728"/>
      <c r="AO67" s="728"/>
      <c r="AP67" s="212"/>
      <c r="AQ67" s="238">
        <f t="shared" si="34"/>
        <v>0.12016304545454545</v>
      </c>
      <c r="AR67" s="218">
        <f t="shared" si="35"/>
        <v>5287174</v>
      </c>
      <c r="AS67" s="149">
        <v>5287174</v>
      </c>
      <c r="AT67" s="149"/>
      <c r="AU67" s="149"/>
      <c r="AV67" s="149"/>
      <c r="AW67" s="149"/>
      <c r="AX67" s="149"/>
      <c r="AY67" s="149"/>
      <c r="AZ67" s="149"/>
      <c r="BA67" s="149"/>
      <c r="BB67" s="149"/>
      <c r="BC67" s="149"/>
      <c r="BD67" s="149"/>
      <c r="BE67" s="238">
        <f t="shared" si="38"/>
        <v>0.87983695454545452</v>
      </c>
      <c r="BF67" s="218">
        <f t="shared" si="39"/>
        <v>38712826</v>
      </c>
      <c r="BG67" s="205">
        <f t="shared" si="46"/>
        <v>38712826</v>
      </c>
      <c r="BH67" s="205">
        <f t="shared" si="46"/>
        <v>0</v>
      </c>
      <c r="BI67" s="205">
        <f t="shared" si="46"/>
        <v>0</v>
      </c>
      <c r="BJ67" s="205">
        <f t="shared" si="45"/>
        <v>0</v>
      </c>
      <c r="BK67" s="205">
        <f t="shared" si="45"/>
        <v>0</v>
      </c>
      <c r="BL67" s="205">
        <f t="shared" si="45"/>
        <v>0</v>
      </c>
      <c r="BM67" s="205">
        <f t="shared" si="45"/>
        <v>0</v>
      </c>
      <c r="BN67" s="205">
        <f t="shared" si="45"/>
        <v>0</v>
      </c>
      <c r="BO67" s="205">
        <f t="shared" si="45"/>
        <v>0</v>
      </c>
      <c r="BP67" s="205">
        <f t="shared" si="45"/>
        <v>0</v>
      </c>
      <c r="BQ67" s="205">
        <f t="shared" si="45"/>
        <v>0</v>
      </c>
      <c r="BR67" s="205">
        <f t="shared" si="45"/>
        <v>0</v>
      </c>
      <c r="BS67" s="238">
        <f t="shared" si="40"/>
        <v>9.9708500000000005E-2</v>
      </c>
      <c r="BT67" s="218">
        <f t="shared" si="41"/>
        <v>4387174</v>
      </c>
      <c r="BU67" s="149">
        <v>4387174</v>
      </c>
      <c r="BV67" s="149"/>
      <c r="BW67" s="149"/>
      <c r="BX67" s="149"/>
      <c r="BY67" s="149"/>
      <c r="BZ67" s="149"/>
      <c r="CA67" s="149"/>
      <c r="CB67" s="149"/>
      <c r="CC67" s="149"/>
      <c r="CD67" s="149"/>
      <c r="CE67" s="149"/>
      <c r="CF67" s="149"/>
      <c r="CG67" s="238">
        <f t="shared" si="42"/>
        <v>0.90029150000000002</v>
      </c>
      <c r="CH67" s="218">
        <f t="shared" si="43"/>
        <v>39612826</v>
      </c>
      <c r="CI67" s="205">
        <f t="shared" si="48"/>
        <v>39612826</v>
      </c>
      <c r="CJ67" s="205">
        <f t="shared" si="48"/>
        <v>0</v>
      </c>
      <c r="CK67" s="205">
        <f t="shared" si="48"/>
        <v>0</v>
      </c>
      <c r="CL67" s="205">
        <f t="shared" si="47"/>
        <v>0</v>
      </c>
      <c r="CM67" s="205">
        <f t="shared" si="47"/>
        <v>0</v>
      </c>
      <c r="CN67" s="205">
        <f t="shared" si="47"/>
        <v>0</v>
      </c>
      <c r="CO67" s="205">
        <f t="shared" si="47"/>
        <v>0</v>
      </c>
      <c r="CP67" s="205">
        <f t="shared" si="47"/>
        <v>0</v>
      </c>
      <c r="CQ67" s="205">
        <f t="shared" si="47"/>
        <v>0</v>
      </c>
      <c r="CR67" s="205">
        <f t="shared" si="47"/>
        <v>0</v>
      </c>
      <c r="CS67" s="205">
        <f t="shared" si="47"/>
        <v>0</v>
      </c>
      <c r="CT67" s="205">
        <f t="shared" si="47"/>
        <v>0</v>
      </c>
    </row>
    <row r="68" spans="1:98" ht="38.25" x14ac:dyDescent="0.25">
      <c r="A68" s="706"/>
      <c r="B68" s="706"/>
      <c r="C68" s="706"/>
      <c r="D68" s="706"/>
      <c r="E68" s="714"/>
      <c r="F68" s="721"/>
      <c r="G68" s="715"/>
      <c r="H68" s="715"/>
      <c r="I68" s="725"/>
      <c r="J68" s="718"/>
      <c r="K68" s="235"/>
      <c r="L68" s="718"/>
      <c r="M68" s="106"/>
      <c r="N68" s="2" t="s">
        <v>3864</v>
      </c>
      <c r="O68" s="154" t="s">
        <v>3873</v>
      </c>
      <c r="P68" s="155"/>
      <c r="Q68" s="158"/>
      <c r="R68" s="151">
        <v>310</v>
      </c>
      <c r="S68" s="157"/>
      <c r="T68" s="1430"/>
      <c r="U68" s="149">
        <f t="shared" si="13"/>
        <v>320000000</v>
      </c>
      <c r="V68" s="149">
        <v>320000000</v>
      </c>
      <c r="W68" s="149"/>
      <c r="X68" s="149"/>
      <c r="Y68" s="149"/>
      <c r="Z68" s="149"/>
      <c r="AA68" s="149"/>
      <c r="AB68" s="149"/>
      <c r="AC68" s="149"/>
      <c r="AD68" s="149"/>
      <c r="AE68" s="149"/>
      <c r="AF68" s="149"/>
      <c r="AG68" s="149"/>
      <c r="AI68" s="739"/>
      <c r="AJ68" s="137"/>
      <c r="AK68" s="728"/>
      <c r="AL68" s="728"/>
      <c r="AM68" s="728"/>
      <c r="AN68" s="728"/>
      <c r="AO68" s="728"/>
      <c r="AP68" s="212"/>
      <c r="AQ68" s="238">
        <f t="shared" si="34"/>
        <v>5.9265971874999997E-2</v>
      </c>
      <c r="AR68" s="218">
        <f t="shared" si="35"/>
        <v>18965111</v>
      </c>
      <c r="AS68" s="149">
        <v>18965111</v>
      </c>
      <c r="AT68" s="149"/>
      <c r="AU68" s="149"/>
      <c r="AV68" s="149"/>
      <c r="AW68" s="149"/>
      <c r="AX68" s="149"/>
      <c r="AY68" s="149"/>
      <c r="AZ68" s="149"/>
      <c r="BA68" s="149"/>
      <c r="BB68" s="149"/>
      <c r="BC68" s="149"/>
      <c r="BD68" s="149"/>
      <c r="BE68" s="238">
        <f t="shared" si="38"/>
        <v>0.94073402812499995</v>
      </c>
      <c r="BF68" s="218">
        <f t="shared" si="39"/>
        <v>301034889</v>
      </c>
      <c r="BG68" s="205">
        <f t="shared" si="46"/>
        <v>301034889</v>
      </c>
      <c r="BH68" s="205">
        <f t="shared" si="46"/>
        <v>0</v>
      </c>
      <c r="BI68" s="205">
        <f t="shared" si="46"/>
        <v>0</v>
      </c>
      <c r="BJ68" s="205">
        <f t="shared" si="45"/>
        <v>0</v>
      </c>
      <c r="BK68" s="205">
        <f t="shared" si="45"/>
        <v>0</v>
      </c>
      <c r="BL68" s="205">
        <f t="shared" si="45"/>
        <v>0</v>
      </c>
      <c r="BM68" s="205">
        <f t="shared" si="45"/>
        <v>0</v>
      </c>
      <c r="BN68" s="205">
        <f t="shared" si="45"/>
        <v>0</v>
      </c>
      <c r="BO68" s="205">
        <f t="shared" si="45"/>
        <v>0</v>
      </c>
      <c r="BP68" s="205">
        <f t="shared" si="45"/>
        <v>0</v>
      </c>
      <c r="BQ68" s="205">
        <f t="shared" si="45"/>
        <v>0</v>
      </c>
      <c r="BR68" s="205">
        <f t="shared" si="45"/>
        <v>0</v>
      </c>
      <c r="BS68" s="238">
        <f t="shared" si="40"/>
        <v>5.6195659374999998E-2</v>
      </c>
      <c r="BT68" s="218">
        <f t="shared" si="41"/>
        <v>17982611</v>
      </c>
      <c r="BU68" s="149">
        <v>17982611</v>
      </c>
      <c r="BV68" s="149"/>
      <c r="BW68" s="149"/>
      <c r="BX68" s="149"/>
      <c r="BY68" s="149"/>
      <c r="BZ68" s="149"/>
      <c r="CA68" s="149"/>
      <c r="CB68" s="149"/>
      <c r="CC68" s="149"/>
      <c r="CD68" s="149"/>
      <c r="CE68" s="149"/>
      <c r="CF68" s="149"/>
      <c r="CG68" s="238">
        <f t="shared" si="42"/>
        <v>0.94380434062499996</v>
      </c>
      <c r="CH68" s="218">
        <f t="shared" si="43"/>
        <v>302017389</v>
      </c>
      <c r="CI68" s="205">
        <f t="shared" si="48"/>
        <v>302017389</v>
      </c>
      <c r="CJ68" s="205">
        <f t="shared" si="48"/>
        <v>0</v>
      </c>
      <c r="CK68" s="205">
        <f t="shared" si="48"/>
        <v>0</v>
      </c>
      <c r="CL68" s="205">
        <f t="shared" si="47"/>
        <v>0</v>
      </c>
      <c r="CM68" s="205">
        <f t="shared" si="47"/>
        <v>0</v>
      </c>
      <c r="CN68" s="205">
        <f t="shared" si="47"/>
        <v>0</v>
      </c>
      <c r="CO68" s="205">
        <f t="shared" si="47"/>
        <v>0</v>
      </c>
      <c r="CP68" s="205">
        <f t="shared" si="47"/>
        <v>0</v>
      </c>
      <c r="CQ68" s="205">
        <f t="shared" si="47"/>
        <v>0</v>
      </c>
      <c r="CR68" s="205">
        <f t="shared" si="47"/>
        <v>0</v>
      </c>
      <c r="CS68" s="205">
        <f t="shared" si="47"/>
        <v>0</v>
      </c>
      <c r="CT68" s="205">
        <f t="shared" si="47"/>
        <v>0</v>
      </c>
    </row>
    <row r="69" spans="1:98" ht="69.75" customHeight="1" x14ac:dyDescent="0.25">
      <c r="A69" s="1243" t="s">
        <v>2923</v>
      </c>
      <c r="B69" s="1245" t="s">
        <v>3162</v>
      </c>
      <c r="C69" s="1243" t="s">
        <v>2943</v>
      </c>
      <c r="D69" s="1245" t="s">
        <v>3170</v>
      </c>
      <c r="E69" s="1243" t="s">
        <v>2961</v>
      </c>
      <c r="F69" s="1245" t="s">
        <v>3177</v>
      </c>
      <c r="G69" s="1262">
        <v>900000000</v>
      </c>
      <c r="H69" s="1262">
        <v>900000000</v>
      </c>
      <c r="I69" s="1268">
        <v>900000000</v>
      </c>
      <c r="J69" s="1209" t="s">
        <v>2964</v>
      </c>
      <c r="K69" s="1209" t="s">
        <v>3221</v>
      </c>
      <c r="L69" s="1209">
        <v>9</v>
      </c>
      <c r="M69" s="106">
        <v>0</v>
      </c>
      <c r="N69" s="2" t="s">
        <v>3880</v>
      </c>
      <c r="O69" s="154" t="s">
        <v>3883</v>
      </c>
      <c r="P69" s="155">
        <v>390000000</v>
      </c>
      <c r="Q69" s="158">
        <v>543000000</v>
      </c>
      <c r="R69" s="151">
        <v>310</v>
      </c>
      <c r="S69" s="157">
        <f t="shared" ref="S69:S77" si="49">+Q69-U69</f>
        <v>443000000</v>
      </c>
      <c r="T69" s="1428" t="s">
        <v>3350</v>
      </c>
      <c r="U69" s="149">
        <f>SUM(V69:AG69)</f>
        <v>100000000</v>
      </c>
      <c r="V69" s="149">
        <v>100000000</v>
      </c>
      <c r="W69" s="149"/>
      <c r="X69" s="149"/>
      <c r="Y69" s="149"/>
      <c r="Z69" s="149"/>
      <c r="AA69" s="149"/>
      <c r="AB69" s="149"/>
      <c r="AC69" s="149"/>
      <c r="AD69" s="149"/>
      <c r="AE69" s="149"/>
      <c r="AF69" s="149"/>
      <c r="AG69" s="149"/>
      <c r="AI69" s="739">
        <f t="shared" ref="AI69:AI77" si="50">SUM(AJ69:AP69)</f>
        <v>0</v>
      </c>
      <c r="AJ69" s="728"/>
      <c r="AK69" s="728"/>
      <c r="AL69" s="728"/>
      <c r="AM69" s="728"/>
      <c r="AN69" s="728"/>
      <c r="AO69" s="728"/>
      <c r="AP69" s="212"/>
      <c r="AQ69" s="238">
        <f t="shared" si="34"/>
        <v>0.447492</v>
      </c>
      <c r="AR69" s="218">
        <f t="shared" si="35"/>
        <v>44749200</v>
      </c>
      <c r="AS69" s="149">
        <v>44749200</v>
      </c>
      <c r="AT69" s="149"/>
      <c r="AU69" s="149"/>
      <c r="AV69" s="149"/>
      <c r="AW69" s="149"/>
      <c r="AX69" s="149"/>
      <c r="AY69" s="149"/>
      <c r="AZ69" s="149"/>
      <c r="BA69" s="149"/>
      <c r="BB69" s="149"/>
      <c r="BC69" s="149"/>
      <c r="BD69" s="149"/>
      <c r="BE69" s="238">
        <f t="shared" si="38"/>
        <v>0.552508</v>
      </c>
      <c r="BF69" s="218">
        <f t="shared" si="39"/>
        <v>55250800</v>
      </c>
      <c r="BG69" s="205">
        <f t="shared" si="46"/>
        <v>55250800</v>
      </c>
      <c r="BH69" s="205">
        <f t="shared" si="46"/>
        <v>0</v>
      </c>
      <c r="BI69" s="205">
        <f t="shared" si="46"/>
        <v>0</v>
      </c>
      <c r="BJ69" s="205">
        <f t="shared" si="45"/>
        <v>0</v>
      </c>
      <c r="BK69" s="205">
        <f t="shared" si="45"/>
        <v>0</v>
      </c>
      <c r="BL69" s="205">
        <f t="shared" si="45"/>
        <v>0</v>
      </c>
      <c r="BM69" s="205">
        <f t="shared" si="45"/>
        <v>0</v>
      </c>
      <c r="BN69" s="205">
        <f t="shared" si="45"/>
        <v>0</v>
      </c>
      <c r="BO69" s="205">
        <f t="shared" si="45"/>
        <v>0</v>
      </c>
      <c r="BP69" s="205">
        <f t="shared" si="45"/>
        <v>0</v>
      </c>
      <c r="BQ69" s="205">
        <f t="shared" si="45"/>
        <v>0</v>
      </c>
      <c r="BR69" s="205">
        <f t="shared" si="45"/>
        <v>0</v>
      </c>
      <c r="BS69" s="238">
        <f t="shared" si="40"/>
        <v>0.37996099999999999</v>
      </c>
      <c r="BT69" s="218">
        <f t="shared" si="41"/>
        <v>37996100</v>
      </c>
      <c r="BU69" s="149">
        <v>37996100</v>
      </c>
      <c r="BV69" s="149"/>
      <c r="BW69" s="149"/>
      <c r="BX69" s="149"/>
      <c r="BY69" s="149"/>
      <c r="BZ69" s="149"/>
      <c r="CA69" s="149"/>
      <c r="CB69" s="149"/>
      <c r="CC69" s="149"/>
      <c r="CD69" s="149"/>
      <c r="CE69" s="149"/>
      <c r="CF69" s="149"/>
      <c r="CG69" s="238">
        <f t="shared" si="42"/>
        <v>0.62003900000000001</v>
      </c>
      <c r="CH69" s="218">
        <f t="shared" si="43"/>
        <v>62003900</v>
      </c>
      <c r="CI69" s="205">
        <f t="shared" si="48"/>
        <v>62003900</v>
      </c>
      <c r="CJ69" s="205">
        <f t="shared" si="48"/>
        <v>0</v>
      </c>
      <c r="CK69" s="205">
        <f t="shared" si="48"/>
        <v>0</v>
      </c>
      <c r="CL69" s="205">
        <f t="shared" si="47"/>
        <v>0</v>
      </c>
      <c r="CM69" s="205">
        <f t="shared" si="47"/>
        <v>0</v>
      </c>
      <c r="CN69" s="205">
        <f t="shared" si="47"/>
        <v>0</v>
      </c>
      <c r="CO69" s="205">
        <f t="shared" si="47"/>
        <v>0</v>
      </c>
      <c r="CP69" s="205">
        <f t="shared" si="47"/>
        <v>0</v>
      </c>
      <c r="CQ69" s="205">
        <f t="shared" si="47"/>
        <v>0</v>
      </c>
      <c r="CR69" s="205">
        <f t="shared" si="47"/>
        <v>0</v>
      </c>
      <c r="CS69" s="205">
        <f t="shared" si="47"/>
        <v>0</v>
      </c>
      <c r="CT69" s="205">
        <f t="shared" si="47"/>
        <v>0</v>
      </c>
    </row>
    <row r="70" spans="1:98" ht="66.75" customHeight="1" x14ac:dyDescent="0.25">
      <c r="A70" s="1244"/>
      <c r="B70" s="1246"/>
      <c r="C70" s="1244"/>
      <c r="D70" s="1246"/>
      <c r="E70" s="1244"/>
      <c r="F70" s="1246"/>
      <c r="G70" s="1277"/>
      <c r="H70" s="1277"/>
      <c r="I70" s="1284"/>
      <c r="J70" s="1209"/>
      <c r="K70" s="1209"/>
      <c r="L70" s="1209"/>
      <c r="M70" s="724"/>
      <c r="N70" s="2" t="s">
        <v>3881</v>
      </c>
      <c r="O70" s="154" t="s">
        <v>3884</v>
      </c>
      <c r="P70" s="155">
        <v>25000000</v>
      </c>
      <c r="Q70" s="158">
        <v>40000000</v>
      </c>
      <c r="R70" s="151">
        <v>310</v>
      </c>
      <c r="S70" s="157">
        <f t="shared" si="49"/>
        <v>-616970754</v>
      </c>
      <c r="T70" s="1429"/>
      <c r="U70" s="149">
        <f>SUM(V70:AG70)</f>
        <v>656970754</v>
      </c>
      <c r="V70" s="149">
        <v>656970754</v>
      </c>
      <c r="W70" s="149"/>
      <c r="X70" s="149"/>
      <c r="Y70" s="149"/>
      <c r="Z70" s="149"/>
      <c r="AA70" s="149"/>
      <c r="AB70" s="149"/>
      <c r="AC70" s="149"/>
      <c r="AD70" s="149"/>
      <c r="AE70" s="149"/>
      <c r="AF70" s="149"/>
      <c r="AG70" s="149"/>
      <c r="AI70" s="739">
        <f t="shared" si="50"/>
        <v>0</v>
      </c>
      <c r="AJ70" s="728"/>
      <c r="AK70" s="728"/>
      <c r="AL70" s="728"/>
      <c r="AM70" s="728"/>
      <c r="AN70" s="728"/>
      <c r="AO70" s="728"/>
      <c r="AP70" s="212"/>
      <c r="AQ70" s="238">
        <f t="shared" si="34"/>
        <v>0.83637434795156806</v>
      </c>
      <c r="AR70" s="218">
        <f t="shared" si="35"/>
        <v>549473486</v>
      </c>
      <c r="AS70" s="149">
        <v>549473486</v>
      </c>
      <c r="AT70" s="149"/>
      <c r="AU70" s="149"/>
      <c r="AV70" s="149"/>
      <c r="AW70" s="149"/>
      <c r="AX70" s="149"/>
      <c r="AY70" s="149"/>
      <c r="AZ70" s="149"/>
      <c r="BA70" s="149"/>
      <c r="BB70" s="149"/>
      <c r="BC70" s="149"/>
      <c r="BD70" s="149"/>
      <c r="BE70" s="238">
        <f t="shared" si="38"/>
        <v>0.16362565204843194</v>
      </c>
      <c r="BF70" s="218">
        <f t="shared" si="39"/>
        <v>107497268</v>
      </c>
      <c r="BG70" s="205">
        <f t="shared" si="46"/>
        <v>107497268</v>
      </c>
      <c r="BH70" s="205">
        <f t="shared" si="46"/>
        <v>0</v>
      </c>
      <c r="BI70" s="205">
        <f t="shared" si="46"/>
        <v>0</v>
      </c>
      <c r="BJ70" s="205">
        <f t="shared" si="45"/>
        <v>0</v>
      </c>
      <c r="BK70" s="205">
        <f t="shared" si="45"/>
        <v>0</v>
      </c>
      <c r="BL70" s="205">
        <f t="shared" si="45"/>
        <v>0</v>
      </c>
      <c r="BM70" s="205">
        <f t="shared" si="45"/>
        <v>0</v>
      </c>
      <c r="BN70" s="205">
        <f t="shared" si="45"/>
        <v>0</v>
      </c>
      <c r="BO70" s="205">
        <f t="shared" si="45"/>
        <v>0</v>
      </c>
      <c r="BP70" s="205">
        <f t="shared" si="45"/>
        <v>0</v>
      </c>
      <c r="BQ70" s="205">
        <f t="shared" si="45"/>
        <v>0</v>
      </c>
      <c r="BR70" s="205">
        <f t="shared" si="45"/>
        <v>0</v>
      </c>
      <c r="BS70" s="238">
        <f t="shared" si="40"/>
        <v>0.39036155786015397</v>
      </c>
      <c r="BT70" s="218">
        <f t="shared" si="41"/>
        <v>256456127</v>
      </c>
      <c r="BU70" s="149">
        <v>256456127</v>
      </c>
      <c r="BV70" s="149"/>
      <c r="BW70" s="149"/>
      <c r="BX70" s="149"/>
      <c r="BY70" s="149"/>
      <c r="BZ70" s="149"/>
      <c r="CA70" s="149"/>
      <c r="CB70" s="149"/>
      <c r="CC70" s="149"/>
      <c r="CD70" s="149"/>
      <c r="CE70" s="149"/>
      <c r="CF70" s="149"/>
      <c r="CG70" s="238">
        <f t="shared" si="42"/>
        <v>0.60963844213984597</v>
      </c>
      <c r="CH70" s="218">
        <f t="shared" si="43"/>
        <v>400514627</v>
      </c>
      <c r="CI70" s="205">
        <f t="shared" si="48"/>
        <v>400514627</v>
      </c>
      <c r="CJ70" s="205">
        <f t="shared" si="48"/>
        <v>0</v>
      </c>
      <c r="CK70" s="205">
        <f t="shared" si="48"/>
        <v>0</v>
      </c>
      <c r="CL70" s="205">
        <f t="shared" si="47"/>
        <v>0</v>
      </c>
      <c r="CM70" s="205">
        <f t="shared" si="47"/>
        <v>0</v>
      </c>
      <c r="CN70" s="205">
        <f t="shared" si="47"/>
        <v>0</v>
      </c>
      <c r="CO70" s="205">
        <f t="shared" si="47"/>
        <v>0</v>
      </c>
      <c r="CP70" s="205">
        <f t="shared" si="47"/>
        <v>0</v>
      </c>
      <c r="CQ70" s="205">
        <f t="shared" si="47"/>
        <v>0</v>
      </c>
      <c r="CR70" s="205">
        <f t="shared" si="47"/>
        <v>0</v>
      </c>
      <c r="CS70" s="205">
        <f t="shared" si="47"/>
        <v>0</v>
      </c>
      <c r="CT70" s="205">
        <f t="shared" si="47"/>
        <v>0</v>
      </c>
    </row>
    <row r="71" spans="1:98" ht="69.75" customHeight="1" x14ac:dyDescent="0.25">
      <c r="A71" s="1244"/>
      <c r="B71" s="1246"/>
      <c r="C71" s="1244"/>
      <c r="D71" s="1246"/>
      <c r="E71" s="1244"/>
      <c r="F71" s="1246"/>
      <c r="G71" s="1277"/>
      <c r="H71" s="1277"/>
      <c r="I71" s="1284"/>
      <c r="J71" s="1209"/>
      <c r="K71" s="1209"/>
      <c r="L71" s="1209"/>
      <c r="M71" s="724"/>
      <c r="N71" s="2" t="s">
        <v>3882</v>
      </c>
      <c r="O71" s="154" t="s">
        <v>3885</v>
      </c>
      <c r="P71" s="155">
        <v>60000000</v>
      </c>
      <c r="Q71" s="158">
        <v>132000000</v>
      </c>
      <c r="R71" s="151">
        <v>310</v>
      </c>
      <c r="S71" s="157">
        <f t="shared" si="49"/>
        <v>-48000000</v>
      </c>
      <c r="T71" s="1430"/>
      <c r="U71" s="149">
        <f>SUM(V71:AG71)</f>
        <v>180000000</v>
      </c>
      <c r="V71" s="149">
        <v>180000000</v>
      </c>
      <c r="W71" s="149"/>
      <c r="X71" s="149"/>
      <c r="Y71" s="149"/>
      <c r="Z71" s="149"/>
      <c r="AA71" s="149"/>
      <c r="AB71" s="149"/>
      <c r="AC71" s="149"/>
      <c r="AD71" s="149"/>
      <c r="AE71" s="149"/>
      <c r="AF71" s="149"/>
      <c r="AG71" s="149"/>
      <c r="AI71" s="739">
        <f t="shared" si="50"/>
        <v>0</v>
      </c>
      <c r="AJ71" s="728"/>
      <c r="AK71" s="728"/>
      <c r="AL71" s="728"/>
      <c r="AM71" s="728"/>
      <c r="AN71" s="728"/>
      <c r="AO71" s="728"/>
      <c r="AP71" s="212"/>
      <c r="AQ71" s="238">
        <f t="shared" si="34"/>
        <v>0.33848137222222224</v>
      </c>
      <c r="AR71" s="218">
        <f t="shared" si="35"/>
        <v>60926647</v>
      </c>
      <c r="AS71" s="149">
        <v>60926647</v>
      </c>
      <c r="AT71" s="149"/>
      <c r="AU71" s="149"/>
      <c r="AV71" s="149"/>
      <c r="AW71" s="149"/>
      <c r="AX71" s="149"/>
      <c r="AY71" s="149"/>
      <c r="AZ71" s="149"/>
      <c r="BA71" s="149"/>
      <c r="BB71" s="149"/>
      <c r="BC71" s="149"/>
      <c r="BD71" s="149"/>
      <c r="BE71" s="238">
        <f t="shared" si="38"/>
        <v>0.66151862777777781</v>
      </c>
      <c r="BF71" s="218">
        <f t="shared" si="39"/>
        <v>119073353</v>
      </c>
      <c r="BG71" s="205">
        <f t="shared" si="46"/>
        <v>119073353</v>
      </c>
      <c r="BH71" s="205">
        <f t="shared" si="46"/>
        <v>0</v>
      </c>
      <c r="BI71" s="205">
        <f t="shared" si="46"/>
        <v>0</v>
      </c>
      <c r="BJ71" s="205">
        <f t="shared" si="45"/>
        <v>0</v>
      </c>
      <c r="BK71" s="205">
        <f t="shared" si="45"/>
        <v>0</v>
      </c>
      <c r="BL71" s="205">
        <f t="shared" si="45"/>
        <v>0</v>
      </c>
      <c r="BM71" s="205">
        <f t="shared" si="45"/>
        <v>0</v>
      </c>
      <c r="BN71" s="205">
        <f t="shared" si="45"/>
        <v>0</v>
      </c>
      <c r="BO71" s="205">
        <f t="shared" si="45"/>
        <v>0</v>
      </c>
      <c r="BP71" s="205">
        <f t="shared" si="45"/>
        <v>0</v>
      </c>
      <c r="BQ71" s="205">
        <f t="shared" si="45"/>
        <v>0</v>
      </c>
      <c r="BR71" s="205">
        <f t="shared" si="45"/>
        <v>0</v>
      </c>
      <c r="BS71" s="238">
        <f t="shared" si="40"/>
        <v>1.10425E-2</v>
      </c>
      <c r="BT71" s="218">
        <f t="shared" si="41"/>
        <v>1987650</v>
      </c>
      <c r="BU71" s="149">
        <v>1987650</v>
      </c>
      <c r="BV71" s="149"/>
      <c r="BW71" s="149"/>
      <c r="BX71" s="149"/>
      <c r="BY71" s="149"/>
      <c r="BZ71" s="149"/>
      <c r="CA71" s="149"/>
      <c r="CB71" s="149"/>
      <c r="CC71" s="149"/>
      <c r="CD71" s="149"/>
      <c r="CE71" s="149"/>
      <c r="CF71" s="149"/>
      <c r="CG71" s="238">
        <f t="shared" si="42"/>
        <v>0.98895750000000004</v>
      </c>
      <c r="CH71" s="218">
        <f t="shared" si="43"/>
        <v>178012350</v>
      </c>
      <c r="CI71" s="205">
        <f t="shared" si="48"/>
        <v>178012350</v>
      </c>
      <c r="CJ71" s="205">
        <f t="shared" si="48"/>
        <v>0</v>
      </c>
      <c r="CK71" s="205">
        <f t="shared" si="48"/>
        <v>0</v>
      </c>
      <c r="CL71" s="205">
        <f t="shared" si="47"/>
        <v>0</v>
      </c>
      <c r="CM71" s="205">
        <f t="shared" si="47"/>
        <v>0</v>
      </c>
      <c r="CN71" s="205">
        <f t="shared" si="47"/>
        <v>0</v>
      </c>
      <c r="CO71" s="205">
        <f t="shared" si="47"/>
        <v>0</v>
      </c>
      <c r="CP71" s="205">
        <f t="shared" si="47"/>
        <v>0</v>
      </c>
      <c r="CQ71" s="205">
        <f t="shared" si="47"/>
        <v>0</v>
      </c>
      <c r="CR71" s="205">
        <f t="shared" si="47"/>
        <v>0</v>
      </c>
      <c r="CS71" s="205">
        <f t="shared" si="47"/>
        <v>0</v>
      </c>
      <c r="CT71" s="205">
        <f t="shared" si="47"/>
        <v>0</v>
      </c>
    </row>
    <row r="72" spans="1:98" ht="69.599999999999994" customHeight="1" x14ac:dyDescent="0.25">
      <c r="A72" s="1243" t="s">
        <v>2923</v>
      </c>
      <c r="B72" s="1243" t="s">
        <v>3162</v>
      </c>
      <c r="C72" s="1243" t="s">
        <v>2943</v>
      </c>
      <c r="D72" s="1243" t="s">
        <v>3170</v>
      </c>
      <c r="E72" s="2" t="s">
        <v>2945</v>
      </c>
      <c r="F72" s="100" t="s">
        <v>3171</v>
      </c>
      <c r="G72" s="107">
        <v>420000000</v>
      </c>
      <c r="H72" s="107">
        <v>440000000</v>
      </c>
      <c r="I72" s="107">
        <v>440000000</v>
      </c>
      <c r="J72" s="2" t="s">
        <v>2948</v>
      </c>
      <c r="K72" s="100" t="s">
        <v>3232</v>
      </c>
      <c r="L72" s="2">
        <v>3</v>
      </c>
      <c r="M72" s="101">
        <v>0</v>
      </c>
      <c r="N72" s="2" t="s">
        <v>3886</v>
      </c>
      <c r="O72" s="154" t="s">
        <v>3172</v>
      </c>
      <c r="P72" s="155">
        <v>440000000</v>
      </c>
      <c r="Q72" s="158">
        <v>439999988</v>
      </c>
      <c r="R72" s="151">
        <v>410</v>
      </c>
      <c r="S72" s="157">
        <f t="shared" si="49"/>
        <v>179999988</v>
      </c>
      <c r="T72" s="1287" t="s">
        <v>3350</v>
      </c>
      <c r="U72" s="149">
        <f t="shared" si="13"/>
        <v>260000000</v>
      </c>
      <c r="V72" s="149">
        <f>+'POAI 2011 INIC'!N24</f>
        <v>158931366</v>
      </c>
      <c r="W72" s="149">
        <f>+'POAI 2011 INIC'!O24</f>
        <v>68634</v>
      </c>
      <c r="X72" s="149"/>
      <c r="Y72" s="149"/>
      <c r="Z72" s="149"/>
      <c r="AA72" s="149"/>
      <c r="AB72" s="149"/>
      <c r="AC72" s="149">
        <f>+'POAI 2011 INIC'!U24-AC73-AC74</f>
        <v>101000000</v>
      </c>
      <c r="AD72" s="149"/>
      <c r="AE72" s="149"/>
      <c r="AF72" s="149"/>
      <c r="AG72" s="149"/>
      <c r="AI72" s="739">
        <f t="shared" si="50"/>
        <v>0</v>
      </c>
      <c r="AJ72" s="728"/>
      <c r="AK72" s="728"/>
      <c r="AL72" s="728"/>
      <c r="AM72" s="728"/>
      <c r="AN72" s="728"/>
      <c r="AO72" s="728"/>
      <c r="AP72" s="212"/>
      <c r="AQ72" s="238">
        <f t="shared" si="34"/>
        <v>0.10864246153846153</v>
      </c>
      <c r="AR72" s="218">
        <f t="shared" si="35"/>
        <v>28247040</v>
      </c>
      <c r="AS72" s="149">
        <v>28247040</v>
      </c>
      <c r="AT72" s="149"/>
      <c r="AU72" s="149"/>
      <c r="AV72" s="149"/>
      <c r="AW72" s="149"/>
      <c r="AX72" s="149"/>
      <c r="AY72" s="149"/>
      <c r="AZ72" s="149"/>
      <c r="BA72" s="149"/>
      <c r="BB72" s="149"/>
      <c r="BC72" s="149"/>
      <c r="BD72" s="149"/>
      <c r="BE72" s="238">
        <f t="shared" si="38"/>
        <v>0.89135753846153842</v>
      </c>
      <c r="BF72" s="218">
        <f t="shared" si="39"/>
        <v>231752960</v>
      </c>
      <c r="BG72" s="205">
        <f t="shared" si="46"/>
        <v>130684326</v>
      </c>
      <c r="BH72" s="205">
        <f t="shared" si="46"/>
        <v>68634</v>
      </c>
      <c r="BI72" s="205">
        <f t="shared" si="46"/>
        <v>0</v>
      </c>
      <c r="BJ72" s="205">
        <f t="shared" si="45"/>
        <v>0</v>
      </c>
      <c r="BK72" s="205">
        <f t="shared" si="45"/>
        <v>0</v>
      </c>
      <c r="BL72" s="205">
        <f t="shared" si="45"/>
        <v>0</v>
      </c>
      <c r="BM72" s="205">
        <f t="shared" ref="BM72:BR85" si="51">+AB72-AY72</f>
        <v>0</v>
      </c>
      <c r="BN72" s="205">
        <f t="shared" si="51"/>
        <v>101000000</v>
      </c>
      <c r="BO72" s="205">
        <f t="shared" si="51"/>
        <v>0</v>
      </c>
      <c r="BP72" s="205">
        <f t="shared" si="51"/>
        <v>0</v>
      </c>
      <c r="BQ72" s="205">
        <f t="shared" si="51"/>
        <v>0</v>
      </c>
      <c r="BR72" s="205">
        <f t="shared" si="51"/>
        <v>0</v>
      </c>
      <c r="BS72" s="238">
        <f t="shared" si="40"/>
        <v>7.969311538461539E-2</v>
      </c>
      <c r="BT72" s="218">
        <f t="shared" si="41"/>
        <v>20720210</v>
      </c>
      <c r="BU72" s="149">
        <v>20720210</v>
      </c>
      <c r="BV72" s="149"/>
      <c r="BW72" s="149"/>
      <c r="BX72" s="149"/>
      <c r="BY72" s="149"/>
      <c r="BZ72" s="149"/>
      <c r="CA72" s="149"/>
      <c r="CB72" s="149"/>
      <c r="CC72" s="149"/>
      <c r="CD72" s="149"/>
      <c r="CE72" s="149"/>
      <c r="CF72" s="149"/>
      <c r="CG72" s="238">
        <f t="shared" si="42"/>
        <v>0.92030688461538457</v>
      </c>
      <c r="CH72" s="218">
        <f t="shared" si="43"/>
        <v>239279790</v>
      </c>
      <c r="CI72" s="205">
        <f t="shared" si="48"/>
        <v>138211156</v>
      </c>
      <c r="CJ72" s="205">
        <f t="shared" si="48"/>
        <v>68634</v>
      </c>
      <c r="CK72" s="205">
        <f t="shared" si="48"/>
        <v>0</v>
      </c>
      <c r="CL72" s="205">
        <f t="shared" si="47"/>
        <v>0</v>
      </c>
      <c r="CM72" s="205">
        <f t="shared" si="47"/>
        <v>0</v>
      </c>
      <c r="CN72" s="205">
        <f t="shared" si="47"/>
        <v>0</v>
      </c>
      <c r="CO72" s="205">
        <f t="shared" si="47"/>
        <v>0</v>
      </c>
      <c r="CP72" s="205">
        <f t="shared" si="47"/>
        <v>101000000</v>
      </c>
      <c r="CQ72" s="205">
        <f t="shared" si="47"/>
        <v>0</v>
      </c>
      <c r="CR72" s="205">
        <f t="shared" si="47"/>
        <v>0</v>
      </c>
      <c r="CS72" s="205">
        <f t="shared" si="47"/>
        <v>0</v>
      </c>
      <c r="CT72" s="205">
        <f t="shared" si="47"/>
        <v>0</v>
      </c>
    </row>
    <row r="73" spans="1:98" ht="55.5" customHeight="1" x14ac:dyDescent="0.25">
      <c r="A73" s="1244"/>
      <c r="B73" s="1244"/>
      <c r="C73" s="1244"/>
      <c r="D73" s="1244"/>
      <c r="E73" s="2" t="s">
        <v>2945</v>
      </c>
      <c r="F73" s="100" t="s">
        <v>3173</v>
      </c>
      <c r="G73" s="107">
        <v>160000000</v>
      </c>
      <c r="H73" s="107">
        <v>170000000</v>
      </c>
      <c r="I73" s="107">
        <v>170000000</v>
      </c>
      <c r="J73" s="2" t="s">
        <v>2952</v>
      </c>
      <c r="K73" s="100" t="s">
        <v>3271</v>
      </c>
      <c r="L73" s="2">
        <v>1</v>
      </c>
      <c r="M73" s="101">
        <v>0</v>
      </c>
      <c r="N73" s="2" t="s">
        <v>61</v>
      </c>
      <c r="O73" s="154" t="s">
        <v>3264</v>
      </c>
      <c r="P73" s="155">
        <v>170000000</v>
      </c>
      <c r="Q73" s="155">
        <v>170000000</v>
      </c>
      <c r="R73" s="151">
        <v>410</v>
      </c>
      <c r="S73" s="157">
        <f t="shared" si="49"/>
        <v>93986000</v>
      </c>
      <c r="T73" s="1288"/>
      <c r="U73" s="149">
        <f t="shared" si="13"/>
        <v>76014000</v>
      </c>
      <c r="V73" s="149"/>
      <c r="W73" s="149">
        <v>6014000</v>
      </c>
      <c r="X73" s="149"/>
      <c r="Y73" s="149"/>
      <c r="Z73" s="149"/>
      <c r="AA73" s="149"/>
      <c r="AB73" s="149"/>
      <c r="AC73" s="149">
        <v>70000000</v>
      </c>
      <c r="AD73" s="149"/>
      <c r="AE73" s="149"/>
      <c r="AF73" s="149"/>
      <c r="AG73" s="149"/>
      <c r="AI73" s="739">
        <f t="shared" si="50"/>
        <v>0</v>
      </c>
      <c r="AJ73" s="728"/>
      <c r="AK73" s="728"/>
      <c r="AL73" s="728"/>
      <c r="AM73" s="728"/>
      <c r="AN73" s="728"/>
      <c r="AO73" s="728"/>
      <c r="AP73" s="212"/>
      <c r="AQ73" s="238">
        <f t="shared" si="34"/>
        <v>1</v>
      </c>
      <c r="AR73" s="218">
        <f t="shared" si="35"/>
        <v>76014000</v>
      </c>
      <c r="AS73" s="149"/>
      <c r="AT73" s="149">
        <f>+W73</f>
        <v>6014000</v>
      </c>
      <c r="AU73" s="149"/>
      <c r="AV73" s="149"/>
      <c r="AW73" s="149"/>
      <c r="AX73" s="149"/>
      <c r="AY73" s="149"/>
      <c r="AZ73" s="149">
        <v>70000000</v>
      </c>
      <c r="BA73" s="149"/>
      <c r="BB73" s="149"/>
      <c r="BC73" s="149"/>
      <c r="BD73" s="149"/>
      <c r="BE73" s="238">
        <f t="shared" si="38"/>
        <v>0</v>
      </c>
      <c r="BF73" s="218">
        <f t="shared" si="39"/>
        <v>0</v>
      </c>
      <c r="BG73" s="205">
        <f t="shared" si="46"/>
        <v>0</v>
      </c>
      <c r="BH73" s="205">
        <f t="shared" si="46"/>
        <v>0</v>
      </c>
      <c r="BI73" s="205">
        <f t="shared" si="46"/>
        <v>0</v>
      </c>
      <c r="BJ73" s="205">
        <f t="shared" si="46"/>
        <v>0</v>
      </c>
      <c r="BK73" s="205">
        <f t="shared" si="46"/>
        <v>0</v>
      </c>
      <c r="BL73" s="205">
        <f t="shared" si="46"/>
        <v>0</v>
      </c>
      <c r="BM73" s="205">
        <f t="shared" si="51"/>
        <v>0</v>
      </c>
      <c r="BN73" s="205">
        <f t="shared" si="51"/>
        <v>0</v>
      </c>
      <c r="BO73" s="205">
        <f t="shared" si="51"/>
        <v>0</v>
      </c>
      <c r="BP73" s="205">
        <f t="shared" si="51"/>
        <v>0</v>
      </c>
      <c r="BQ73" s="205">
        <f t="shared" si="51"/>
        <v>0</v>
      </c>
      <c r="BR73" s="205">
        <f t="shared" si="51"/>
        <v>0</v>
      </c>
      <c r="BS73" s="238">
        <f t="shared" si="40"/>
        <v>0</v>
      </c>
      <c r="BT73" s="218">
        <f t="shared" si="41"/>
        <v>0</v>
      </c>
      <c r="BU73" s="149"/>
      <c r="BV73" s="149"/>
      <c r="BW73" s="149"/>
      <c r="BX73" s="149"/>
      <c r="BY73" s="149"/>
      <c r="BZ73" s="149"/>
      <c r="CA73" s="149"/>
      <c r="CB73" s="149"/>
      <c r="CC73" s="149"/>
      <c r="CD73" s="149"/>
      <c r="CE73" s="149"/>
      <c r="CF73" s="149"/>
      <c r="CG73" s="238">
        <f t="shared" si="42"/>
        <v>1</v>
      </c>
      <c r="CH73" s="218">
        <f t="shared" si="43"/>
        <v>76014000</v>
      </c>
      <c r="CI73" s="205">
        <f t="shared" si="48"/>
        <v>0</v>
      </c>
      <c r="CJ73" s="205">
        <f t="shared" si="48"/>
        <v>6014000</v>
      </c>
      <c r="CK73" s="205">
        <f t="shared" si="48"/>
        <v>0</v>
      </c>
      <c r="CL73" s="205">
        <f t="shared" si="47"/>
        <v>0</v>
      </c>
      <c r="CM73" s="205">
        <f t="shared" si="47"/>
        <v>0</v>
      </c>
      <c r="CN73" s="205">
        <f t="shared" si="47"/>
        <v>0</v>
      </c>
      <c r="CO73" s="205">
        <f t="shared" si="47"/>
        <v>0</v>
      </c>
      <c r="CP73" s="205">
        <f t="shared" si="47"/>
        <v>70000000</v>
      </c>
      <c r="CQ73" s="205">
        <f t="shared" si="47"/>
        <v>0</v>
      </c>
      <c r="CR73" s="205">
        <f t="shared" si="47"/>
        <v>0</v>
      </c>
      <c r="CS73" s="205">
        <f t="shared" si="47"/>
        <v>0</v>
      </c>
      <c r="CT73" s="205">
        <f t="shared" si="47"/>
        <v>0</v>
      </c>
    </row>
    <row r="74" spans="1:98" ht="45.75" customHeight="1" x14ac:dyDescent="0.25">
      <c r="A74" s="1260"/>
      <c r="B74" s="1260"/>
      <c r="C74" s="1260"/>
      <c r="D74" s="1260"/>
      <c r="E74" s="2" t="s">
        <v>2945</v>
      </c>
      <c r="F74" s="100" t="s">
        <v>3174</v>
      </c>
      <c r="G74" s="107">
        <v>56000000</v>
      </c>
      <c r="H74" s="107">
        <v>58000000</v>
      </c>
      <c r="I74" s="107">
        <v>58000000</v>
      </c>
      <c r="J74" s="2" t="s">
        <v>2955</v>
      </c>
      <c r="K74" s="100" t="s">
        <v>3233</v>
      </c>
      <c r="L74" s="2">
        <v>1</v>
      </c>
      <c r="M74" s="101">
        <v>0</v>
      </c>
      <c r="N74" s="2" t="s">
        <v>59</v>
      </c>
      <c r="O74" s="154" t="s">
        <v>60</v>
      </c>
      <c r="P74" s="155">
        <v>58000000</v>
      </c>
      <c r="Q74" s="155">
        <v>58000000</v>
      </c>
      <c r="R74" s="151">
        <v>410</v>
      </c>
      <c r="S74" s="157">
        <f t="shared" si="49"/>
        <v>6014000</v>
      </c>
      <c r="T74" s="1289"/>
      <c r="U74" s="149">
        <f t="shared" si="13"/>
        <v>51986000</v>
      </c>
      <c r="V74" s="149"/>
      <c r="W74" s="149">
        <v>31986000</v>
      </c>
      <c r="X74" s="149"/>
      <c r="Y74" s="149"/>
      <c r="Z74" s="149"/>
      <c r="AA74" s="149"/>
      <c r="AB74" s="149"/>
      <c r="AC74" s="149">
        <v>20000000</v>
      </c>
      <c r="AD74" s="149"/>
      <c r="AE74" s="149"/>
      <c r="AF74" s="149"/>
      <c r="AG74" s="149"/>
      <c r="AI74" s="739">
        <f t="shared" si="50"/>
        <v>0</v>
      </c>
      <c r="AJ74" s="728"/>
      <c r="AK74" s="728"/>
      <c r="AL74" s="728"/>
      <c r="AM74" s="728"/>
      <c r="AN74" s="728"/>
      <c r="AO74" s="728"/>
      <c r="AP74" s="212"/>
      <c r="AQ74" s="238">
        <f t="shared" si="34"/>
        <v>3.8471896279767631E-2</v>
      </c>
      <c r="AR74" s="218">
        <f t="shared" si="35"/>
        <v>2000000</v>
      </c>
      <c r="AS74" s="149"/>
      <c r="AT74" s="149"/>
      <c r="AU74" s="149"/>
      <c r="AV74" s="149"/>
      <c r="AW74" s="149"/>
      <c r="AX74" s="149"/>
      <c r="AY74" s="149"/>
      <c r="AZ74" s="149">
        <v>2000000</v>
      </c>
      <c r="BA74" s="149"/>
      <c r="BB74" s="149"/>
      <c r="BC74" s="149"/>
      <c r="BD74" s="149"/>
      <c r="BE74" s="238">
        <f t="shared" si="38"/>
        <v>0.96152810372023234</v>
      </c>
      <c r="BF74" s="218">
        <f t="shared" si="39"/>
        <v>49986000</v>
      </c>
      <c r="BG74" s="205">
        <f t="shared" si="46"/>
        <v>0</v>
      </c>
      <c r="BH74" s="205">
        <f t="shared" si="46"/>
        <v>31986000</v>
      </c>
      <c r="BI74" s="205">
        <f t="shared" si="46"/>
        <v>0</v>
      </c>
      <c r="BJ74" s="205">
        <f t="shared" si="46"/>
        <v>0</v>
      </c>
      <c r="BK74" s="205">
        <f t="shared" si="46"/>
        <v>0</v>
      </c>
      <c r="BL74" s="205">
        <f t="shared" si="46"/>
        <v>0</v>
      </c>
      <c r="BM74" s="205">
        <f t="shared" si="51"/>
        <v>0</v>
      </c>
      <c r="BN74" s="205">
        <f t="shared" si="51"/>
        <v>18000000</v>
      </c>
      <c r="BO74" s="205">
        <f t="shared" si="51"/>
        <v>0</v>
      </c>
      <c r="BP74" s="205">
        <f t="shared" si="51"/>
        <v>0</v>
      </c>
      <c r="BQ74" s="205">
        <f t="shared" si="51"/>
        <v>0</v>
      </c>
      <c r="BR74" s="205">
        <f t="shared" si="51"/>
        <v>0</v>
      </c>
      <c r="BS74" s="238">
        <f t="shared" si="40"/>
        <v>2.3336436732966568E-2</v>
      </c>
      <c r="BT74" s="218">
        <f t="shared" si="41"/>
        <v>1213168</v>
      </c>
      <c r="BU74" s="149"/>
      <c r="BV74" s="149"/>
      <c r="BW74" s="149"/>
      <c r="BX74" s="149"/>
      <c r="BY74" s="149"/>
      <c r="BZ74" s="149"/>
      <c r="CA74" s="149"/>
      <c r="CB74" s="149">
        <v>1213168</v>
      </c>
      <c r="CC74" s="149"/>
      <c r="CD74" s="149"/>
      <c r="CE74" s="149"/>
      <c r="CF74" s="149"/>
      <c r="CG74" s="238">
        <f t="shared" si="42"/>
        <v>0.97666356326703341</v>
      </c>
      <c r="CH74" s="218">
        <f t="shared" si="43"/>
        <v>50772832</v>
      </c>
      <c r="CI74" s="205">
        <f t="shared" si="48"/>
        <v>0</v>
      </c>
      <c r="CJ74" s="205">
        <f t="shared" si="48"/>
        <v>31986000</v>
      </c>
      <c r="CK74" s="205">
        <f t="shared" si="48"/>
        <v>0</v>
      </c>
      <c r="CL74" s="205">
        <f t="shared" si="47"/>
        <v>0</v>
      </c>
      <c r="CM74" s="205">
        <f t="shared" si="47"/>
        <v>0</v>
      </c>
      <c r="CN74" s="205">
        <f t="shared" si="47"/>
        <v>0</v>
      </c>
      <c r="CO74" s="205">
        <f t="shared" si="47"/>
        <v>0</v>
      </c>
      <c r="CP74" s="205">
        <f t="shared" si="47"/>
        <v>18786832</v>
      </c>
      <c r="CQ74" s="205">
        <f t="shared" si="47"/>
        <v>0</v>
      </c>
      <c r="CR74" s="205">
        <f t="shared" si="47"/>
        <v>0</v>
      </c>
      <c r="CS74" s="205">
        <f t="shared" si="47"/>
        <v>0</v>
      </c>
      <c r="CT74" s="205">
        <f t="shared" si="47"/>
        <v>0</v>
      </c>
    </row>
    <row r="75" spans="1:98" ht="33.75" customHeight="1" x14ac:dyDescent="0.25">
      <c r="A75" s="1243" t="s">
        <v>2923</v>
      </c>
      <c r="B75" s="1245" t="s">
        <v>3162</v>
      </c>
      <c r="C75" s="1243" t="s">
        <v>2943</v>
      </c>
      <c r="D75" s="1245" t="s">
        <v>3170</v>
      </c>
      <c r="E75" s="1243" t="s">
        <v>2988</v>
      </c>
      <c r="F75" s="1245" t="s">
        <v>3180</v>
      </c>
      <c r="G75" s="1262">
        <v>122000000</v>
      </c>
      <c r="H75" s="1262">
        <v>170000000</v>
      </c>
      <c r="I75" s="1268">
        <v>170000000</v>
      </c>
      <c r="J75" s="1209" t="s">
        <v>2990</v>
      </c>
      <c r="K75" s="1209" t="s">
        <v>3272</v>
      </c>
      <c r="L75" s="1209">
        <v>5</v>
      </c>
      <c r="M75" s="106">
        <v>0</v>
      </c>
      <c r="N75" s="2" t="s">
        <v>3887</v>
      </c>
      <c r="O75" s="154" t="s">
        <v>3181</v>
      </c>
      <c r="P75" s="155">
        <v>70000000</v>
      </c>
      <c r="Q75" s="155">
        <v>70000000</v>
      </c>
      <c r="R75" s="151">
        <v>410</v>
      </c>
      <c r="S75" s="157">
        <f t="shared" si="49"/>
        <v>55000000</v>
      </c>
      <c r="T75" s="1205" t="s">
        <v>3350</v>
      </c>
      <c r="U75" s="149">
        <f>SUM(V75:AG75)</f>
        <v>15000000</v>
      </c>
      <c r="V75" s="149">
        <v>10000000</v>
      </c>
      <c r="W75" s="149"/>
      <c r="X75" s="149"/>
      <c r="Y75" s="149"/>
      <c r="Z75" s="149"/>
      <c r="AA75" s="149"/>
      <c r="AB75" s="149"/>
      <c r="AC75" s="149">
        <v>5000000</v>
      </c>
      <c r="AD75" s="149"/>
      <c r="AE75" s="149"/>
      <c r="AF75" s="149"/>
      <c r="AG75" s="149"/>
      <c r="AI75" s="739">
        <f t="shared" si="50"/>
        <v>0</v>
      </c>
      <c r="AJ75" s="728"/>
      <c r="AK75" s="728"/>
      <c r="AL75" s="728"/>
      <c r="AM75" s="728"/>
      <c r="AN75" s="728"/>
      <c r="AO75" s="728"/>
      <c r="AP75" s="212"/>
      <c r="AQ75" s="238">
        <f t="shared" si="34"/>
        <v>0</v>
      </c>
      <c r="AR75" s="218">
        <f t="shared" si="35"/>
        <v>0</v>
      </c>
      <c r="AS75" s="149"/>
      <c r="AT75" s="149"/>
      <c r="AU75" s="149"/>
      <c r="AV75" s="149"/>
      <c r="AW75" s="149"/>
      <c r="AX75" s="149"/>
      <c r="AY75" s="149"/>
      <c r="AZ75" s="149"/>
      <c r="BA75" s="149"/>
      <c r="BB75" s="149"/>
      <c r="BC75" s="149"/>
      <c r="BD75" s="149"/>
      <c r="BE75" s="238">
        <f t="shared" si="38"/>
        <v>1</v>
      </c>
      <c r="BF75" s="218">
        <f t="shared" si="39"/>
        <v>15000000</v>
      </c>
      <c r="BG75" s="205">
        <f t="shared" si="46"/>
        <v>10000000</v>
      </c>
      <c r="BH75" s="205">
        <f t="shared" si="46"/>
        <v>0</v>
      </c>
      <c r="BI75" s="205">
        <f t="shared" si="46"/>
        <v>0</v>
      </c>
      <c r="BJ75" s="205">
        <f t="shared" si="46"/>
        <v>0</v>
      </c>
      <c r="BK75" s="205">
        <f t="shared" si="46"/>
        <v>0</v>
      </c>
      <c r="BL75" s="205">
        <f t="shared" si="46"/>
        <v>0</v>
      </c>
      <c r="BM75" s="205">
        <f t="shared" si="51"/>
        <v>0</v>
      </c>
      <c r="BN75" s="205">
        <f t="shared" si="51"/>
        <v>5000000</v>
      </c>
      <c r="BO75" s="205">
        <f t="shared" si="51"/>
        <v>0</v>
      </c>
      <c r="BP75" s="205">
        <f t="shared" si="51"/>
        <v>0</v>
      </c>
      <c r="BQ75" s="205">
        <f t="shared" si="51"/>
        <v>0</v>
      </c>
      <c r="BR75" s="205">
        <f t="shared" si="51"/>
        <v>0</v>
      </c>
      <c r="BS75" s="238">
        <f t="shared" si="40"/>
        <v>0</v>
      </c>
      <c r="BT75" s="218">
        <f t="shared" si="41"/>
        <v>0</v>
      </c>
      <c r="BU75" s="149"/>
      <c r="BV75" s="149"/>
      <c r="BW75" s="149"/>
      <c r="BX75" s="149"/>
      <c r="BY75" s="149"/>
      <c r="BZ75" s="149"/>
      <c r="CA75" s="149"/>
      <c r="CB75" s="149"/>
      <c r="CC75" s="149"/>
      <c r="CD75" s="149"/>
      <c r="CE75" s="149"/>
      <c r="CF75" s="149"/>
      <c r="CG75" s="238">
        <f t="shared" si="42"/>
        <v>1</v>
      </c>
      <c r="CH75" s="218">
        <f t="shared" si="43"/>
        <v>15000000</v>
      </c>
      <c r="CI75" s="205">
        <f t="shared" si="48"/>
        <v>10000000</v>
      </c>
      <c r="CJ75" s="205">
        <f t="shared" si="48"/>
        <v>0</v>
      </c>
      <c r="CK75" s="205">
        <f t="shared" si="48"/>
        <v>0</v>
      </c>
      <c r="CL75" s="205">
        <f t="shared" si="47"/>
        <v>0</v>
      </c>
      <c r="CM75" s="205">
        <f t="shared" si="47"/>
        <v>0</v>
      </c>
      <c r="CN75" s="205">
        <f t="shared" si="47"/>
        <v>0</v>
      </c>
      <c r="CO75" s="205">
        <f t="shared" si="47"/>
        <v>0</v>
      </c>
      <c r="CP75" s="205">
        <f t="shared" si="47"/>
        <v>5000000</v>
      </c>
      <c r="CQ75" s="205">
        <f t="shared" si="47"/>
        <v>0</v>
      </c>
      <c r="CR75" s="205">
        <f t="shared" si="47"/>
        <v>0</v>
      </c>
      <c r="CS75" s="205">
        <f t="shared" si="47"/>
        <v>0</v>
      </c>
      <c r="CT75" s="205">
        <f t="shared" si="47"/>
        <v>0</v>
      </c>
    </row>
    <row r="76" spans="1:98" ht="40.5" customHeight="1" x14ac:dyDescent="0.25">
      <c r="A76" s="1244"/>
      <c r="B76" s="1246"/>
      <c r="C76" s="1244"/>
      <c r="D76" s="1246"/>
      <c r="E76" s="1244"/>
      <c r="F76" s="1246"/>
      <c r="G76" s="1263"/>
      <c r="H76" s="1263"/>
      <c r="I76" s="1269"/>
      <c r="J76" s="1209"/>
      <c r="K76" s="1209"/>
      <c r="L76" s="1209"/>
      <c r="M76" s="102"/>
      <c r="N76" s="2" t="s">
        <v>3888</v>
      </c>
      <c r="O76" s="154" t="s">
        <v>3237</v>
      </c>
      <c r="P76" s="155">
        <v>50000000</v>
      </c>
      <c r="Q76" s="155">
        <v>50000000</v>
      </c>
      <c r="R76" s="151">
        <v>410</v>
      </c>
      <c r="S76" s="157">
        <f t="shared" si="49"/>
        <v>48000000</v>
      </c>
      <c r="T76" s="1199"/>
      <c r="U76" s="149">
        <f>SUM(V76:AG76)</f>
        <v>2000000</v>
      </c>
      <c r="V76" s="149"/>
      <c r="W76" s="149"/>
      <c r="X76" s="149"/>
      <c r="Y76" s="149"/>
      <c r="Z76" s="149"/>
      <c r="AA76" s="149"/>
      <c r="AB76" s="149"/>
      <c r="AC76" s="149">
        <v>2000000</v>
      </c>
      <c r="AD76" s="149"/>
      <c r="AE76" s="149"/>
      <c r="AF76" s="149"/>
      <c r="AG76" s="149"/>
      <c r="AI76" s="739">
        <f t="shared" si="50"/>
        <v>0</v>
      </c>
      <c r="AJ76" s="728"/>
      <c r="AK76" s="728"/>
      <c r="AL76" s="728"/>
      <c r="AM76" s="728"/>
      <c r="AN76" s="728"/>
      <c r="AO76" s="728"/>
      <c r="AP76" s="212"/>
      <c r="AQ76" s="238">
        <f t="shared" si="34"/>
        <v>0</v>
      </c>
      <c r="AR76" s="218">
        <f t="shared" si="35"/>
        <v>0</v>
      </c>
      <c r="AS76" s="149"/>
      <c r="AT76" s="149"/>
      <c r="AU76" s="149"/>
      <c r="AV76" s="149"/>
      <c r="AW76" s="149"/>
      <c r="AX76" s="149"/>
      <c r="AY76" s="149"/>
      <c r="AZ76" s="149"/>
      <c r="BA76" s="149"/>
      <c r="BB76" s="149"/>
      <c r="BC76" s="149"/>
      <c r="BD76" s="149"/>
      <c r="BE76" s="238">
        <f t="shared" si="38"/>
        <v>1</v>
      </c>
      <c r="BF76" s="218">
        <f t="shared" si="39"/>
        <v>2000000</v>
      </c>
      <c r="BG76" s="205">
        <f t="shared" si="46"/>
        <v>0</v>
      </c>
      <c r="BH76" s="205">
        <f t="shared" si="46"/>
        <v>0</v>
      </c>
      <c r="BI76" s="205">
        <f t="shared" si="46"/>
        <v>0</v>
      </c>
      <c r="BJ76" s="205">
        <f t="shared" si="46"/>
        <v>0</v>
      </c>
      <c r="BK76" s="205">
        <f t="shared" si="46"/>
        <v>0</v>
      </c>
      <c r="BL76" s="205">
        <f t="shared" si="46"/>
        <v>0</v>
      </c>
      <c r="BM76" s="205">
        <f t="shared" si="51"/>
        <v>0</v>
      </c>
      <c r="BN76" s="205">
        <f t="shared" si="51"/>
        <v>2000000</v>
      </c>
      <c r="BO76" s="205">
        <f t="shared" si="51"/>
        <v>0</v>
      </c>
      <c r="BP76" s="205">
        <f t="shared" si="51"/>
        <v>0</v>
      </c>
      <c r="BQ76" s="205">
        <f t="shared" si="51"/>
        <v>0</v>
      </c>
      <c r="BR76" s="205">
        <f t="shared" si="51"/>
        <v>0</v>
      </c>
      <c r="BS76" s="238">
        <f t="shared" si="40"/>
        <v>0</v>
      </c>
      <c r="BT76" s="218">
        <f t="shared" si="41"/>
        <v>0</v>
      </c>
      <c r="BU76" s="149"/>
      <c r="BV76" s="149"/>
      <c r="BW76" s="149"/>
      <c r="BX76" s="149"/>
      <c r="BY76" s="149"/>
      <c r="BZ76" s="149"/>
      <c r="CA76" s="149"/>
      <c r="CB76" s="149"/>
      <c r="CC76" s="149"/>
      <c r="CD76" s="149"/>
      <c r="CE76" s="149"/>
      <c r="CF76" s="149"/>
      <c r="CG76" s="238">
        <f t="shared" si="42"/>
        <v>1</v>
      </c>
      <c r="CH76" s="218">
        <f t="shared" si="43"/>
        <v>2000000</v>
      </c>
      <c r="CI76" s="205">
        <f t="shared" si="48"/>
        <v>0</v>
      </c>
      <c r="CJ76" s="205">
        <f t="shared" si="48"/>
        <v>0</v>
      </c>
      <c r="CK76" s="205">
        <f t="shared" si="48"/>
        <v>0</v>
      </c>
      <c r="CL76" s="205">
        <f t="shared" si="47"/>
        <v>0</v>
      </c>
      <c r="CM76" s="205">
        <f t="shared" si="47"/>
        <v>0</v>
      </c>
      <c r="CN76" s="205">
        <f t="shared" si="47"/>
        <v>0</v>
      </c>
      <c r="CO76" s="205">
        <f t="shared" si="47"/>
        <v>0</v>
      </c>
      <c r="CP76" s="205">
        <f t="shared" si="47"/>
        <v>2000000</v>
      </c>
      <c r="CQ76" s="205">
        <f t="shared" si="47"/>
        <v>0</v>
      </c>
      <c r="CR76" s="205">
        <f t="shared" si="47"/>
        <v>0</v>
      </c>
      <c r="CS76" s="205">
        <f t="shared" si="47"/>
        <v>0</v>
      </c>
      <c r="CT76" s="205">
        <f t="shared" si="47"/>
        <v>0</v>
      </c>
    </row>
    <row r="77" spans="1:98" ht="42" customHeight="1" x14ac:dyDescent="0.25">
      <c r="A77" s="1244"/>
      <c r="B77" s="1246"/>
      <c r="C77" s="1244"/>
      <c r="D77" s="1246"/>
      <c r="E77" s="1244"/>
      <c r="F77" s="1246"/>
      <c r="G77" s="1263"/>
      <c r="H77" s="1263"/>
      <c r="I77" s="1269"/>
      <c r="J77" s="1209"/>
      <c r="K77" s="1209"/>
      <c r="L77" s="1209"/>
      <c r="M77" s="102"/>
      <c r="N77" s="2" t="s">
        <v>3889</v>
      </c>
      <c r="O77" s="154" t="s">
        <v>394</v>
      </c>
      <c r="P77" s="155">
        <v>50000000</v>
      </c>
      <c r="Q77" s="155">
        <v>50000000</v>
      </c>
      <c r="R77" s="151">
        <v>410</v>
      </c>
      <c r="S77" s="157">
        <f t="shared" si="49"/>
        <v>27000000</v>
      </c>
      <c r="T77" s="1206"/>
      <c r="U77" s="149">
        <f>SUM(V77:AG77)</f>
        <v>23000000</v>
      </c>
      <c r="V77" s="149"/>
      <c r="W77" s="149"/>
      <c r="X77" s="149"/>
      <c r="Y77" s="149"/>
      <c r="Z77" s="149"/>
      <c r="AA77" s="149"/>
      <c r="AB77" s="149"/>
      <c r="AC77" s="149">
        <v>23000000</v>
      </c>
      <c r="AD77" s="149"/>
      <c r="AE77" s="149"/>
      <c r="AF77" s="149"/>
      <c r="AG77" s="149"/>
      <c r="AI77" s="739">
        <f t="shared" si="50"/>
        <v>4000000</v>
      </c>
      <c r="AJ77" s="728"/>
      <c r="AK77" s="728"/>
      <c r="AL77" s="728"/>
      <c r="AM77" s="728"/>
      <c r="AN77" s="728"/>
      <c r="AO77" s="728">
        <v>4000000</v>
      </c>
      <c r="AP77" s="212"/>
      <c r="AQ77" s="238">
        <f t="shared" si="34"/>
        <v>0</v>
      </c>
      <c r="AR77" s="218">
        <f t="shared" si="35"/>
        <v>0</v>
      </c>
      <c r="AS77" s="149"/>
      <c r="AT77" s="149"/>
      <c r="AU77" s="149"/>
      <c r="AV77" s="149"/>
      <c r="AW77" s="149"/>
      <c r="AX77" s="149"/>
      <c r="AY77" s="149"/>
      <c r="AZ77" s="149"/>
      <c r="BA77" s="149"/>
      <c r="BB77" s="149"/>
      <c r="BC77" s="149"/>
      <c r="BD77" s="149"/>
      <c r="BE77" s="238">
        <f t="shared" si="38"/>
        <v>1</v>
      </c>
      <c r="BF77" s="218">
        <f t="shared" si="39"/>
        <v>23000000</v>
      </c>
      <c r="BG77" s="205">
        <f t="shared" si="46"/>
        <v>0</v>
      </c>
      <c r="BH77" s="205">
        <f t="shared" si="46"/>
        <v>0</v>
      </c>
      <c r="BI77" s="205">
        <f t="shared" si="46"/>
        <v>0</v>
      </c>
      <c r="BJ77" s="205">
        <f t="shared" si="46"/>
        <v>0</v>
      </c>
      <c r="BK77" s="205">
        <f t="shared" si="46"/>
        <v>0</v>
      </c>
      <c r="BL77" s="205">
        <f t="shared" si="46"/>
        <v>0</v>
      </c>
      <c r="BM77" s="205">
        <f t="shared" si="51"/>
        <v>0</v>
      </c>
      <c r="BN77" s="205">
        <f t="shared" si="51"/>
        <v>23000000</v>
      </c>
      <c r="BO77" s="205">
        <f t="shared" si="51"/>
        <v>0</v>
      </c>
      <c r="BP77" s="205">
        <f t="shared" si="51"/>
        <v>0</v>
      </c>
      <c r="BQ77" s="205">
        <f t="shared" si="51"/>
        <v>0</v>
      </c>
      <c r="BR77" s="205">
        <f t="shared" si="51"/>
        <v>0</v>
      </c>
      <c r="BS77" s="238">
        <f t="shared" si="40"/>
        <v>0</v>
      </c>
      <c r="BT77" s="218">
        <f t="shared" si="41"/>
        <v>0</v>
      </c>
      <c r="BU77" s="149"/>
      <c r="BV77" s="149"/>
      <c r="BW77" s="149"/>
      <c r="BX77" s="149"/>
      <c r="BY77" s="149"/>
      <c r="BZ77" s="149"/>
      <c r="CA77" s="149"/>
      <c r="CB77" s="149"/>
      <c r="CC77" s="149"/>
      <c r="CD77" s="149"/>
      <c r="CE77" s="149"/>
      <c r="CF77" s="149"/>
      <c r="CG77" s="238">
        <f t="shared" si="42"/>
        <v>1</v>
      </c>
      <c r="CH77" s="218">
        <f t="shared" si="43"/>
        <v>23000000</v>
      </c>
      <c r="CI77" s="205">
        <f t="shared" si="48"/>
        <v>0</v>
      </c>
      <c r="CJ77" s="205">
        <f t="shared" si="48"/>
        <v>0</v>
      </c>
      <c r="CK77" s="205">
        <f t="shared" si="48"/>
        <v>0</v>
      </c>
      <c r="CL77" s="205">
        <f t="shared" si="47"/>
        <v>0</v>
      </c>
      <c r="CM77" s="205">
        <f t="shared" si="47"/>
        <v>0</v>
      </c>
      <c r="CN77" s="205">
        <f t="shared" si="47"/>
        <v>0</v>
      </c>
      <c r="CO77" s="205">
        <f t="shared" si="47"/>
        <v>0</v>
      </c>
      <c r="CP77" s="205">
        <f t="shared" si="47"/>
        <v>23000000</v>
      </c>
      <c r="CQ77" s="205">
        <f t="shared" si="47"/>
        <v>0</v>
      </c>
      <c r="CR77" s="205">
        <f t="shared" si="47"/>
        <v>0</v>
      </c>
      <c r="CS77" s="205">
        <f t="shared" si="47"/>
        <v>0</v>
      </c>
      <c r="CT77" s="205">
        <f t="shared" si="47"/>
        <v>0</v>
      </c>
    </row>
    <row r="78" spans="1:98" ht="72.75" customHeight="1" x14ac:dyDescent="0.25">
      <c r="A78" s="706"/>
      <c r="B78" s="722"/>
      <c r="C78" s="706"/>
      <c r="D78" s="722"/>
      <c r="E78" s="706"/>
      <c r="F78" s="722"/>
      <c r="G78" s="723"/>
      <c r="H78" s="723"/>
      <c r="I78" s="726"/>
      <c r="J78" s="718"/>
      <c r="K78" s="718"/>
      <c r="L78" s="718"/>
      <c r="M78" s="102"/>
      <c r="N78" s="2" t="s">
        <v>3890</v>
      </c>
      <c r="O78" s="154" t="s">
        <v>3424</v>
      </c>
      <c r="P78" s="155"/>
      <c r="Q78" s="155"/>
      <c r="R78" s="151">
        <v>410</v>
      </c>
      <c r="S78" s="157"/>
      <c r="T78" s="727" t="s">
        <v>3350</v>
      </c>
      <c r="U78" s="149">
        <f>SUM(V78:AG78)</f>
        <v>140000000</v>
      </c>
      <c r="V78" s="149"/>
      <c r="W78" s="149">
        <v>120000000</v>
      </c>
      <c r="X78" s="149"/>
      <c r="Y78" s="149"/>
      <c r="Z78" s="149"/>
      <c r="AA78" s="149"/>
      <c r="AB78" s="149"/>
      <c r="AC78" s="149">
        <v>20000000</v>
      </c>
      <c r="AD78" s="149"/>
      <c r="AE78" s="149"/>
      <c r="AF78" s="149"/>
      <c r="AG78" s="149"/>
      <c r="AI78" s="739"/>
      <c r="AJ78" s="728"/>
      <c r="AK78" s="728"/>
      <c r="AL78" s="728"/>
      <c r="AM78" s="728"/>
      <c r="AN78" s="728"/>
      <c r="AO78" s="728"/>
      <c r="AP78" s="212"/>
      <c r="AQ78" s="238">
        <f t="shared" si="34"/>
        <v>0.83070476428571427</v>
      </c>
      <c r="AR78" s="218">
        <f t="shared" si="35"/>
        <v>116298667</v>
      </c>
      <c r="AS78" s="149"/>
      <c r="AT78" s="149">
        <v>109580667</v>
      </c>
      <c r="AU78" s="149"/>
      <c r="AV78" s="149"/>
      <c r="AW78" s="149"/>
      <c r="AX78" s="149"/>
      <c r="AY78" s="149"/>
      <c r="AZ78" s="149">
        <v>6718000</v>
      </c>
      <c r="BA78" s="149"/>
      <c r="BB78" s="149"/>
      <c r="BC78" s="149"/>
      <c r="BD78" s="149"/>
      <c r="BE78" s="238">
        <f t="shared" si="38"/>
        <v>0.16929523571428573</v>
      </c>
      <c r="BF78" s="218">
        <f t="shared" si="39"/>
        <v>23701333</v>
      </c>
      <c r="BG78" s="205">
        <f t="shared" si="46"/>
        <v>0</v>
      </c>
      <c r="BH78" s="205">
        <f t="shared" si="46"/>
        <v>10419333</v>
      </c>
      <c r="BI78" s="205">
        <f t="shared" si="46"/>
        <v>0</v>
      </c>
      <c r="BJ78" s="205">
        <f t="shared" si="46"/>
        <v>0</v>
      </c>
      <c r="BK78" s="205">
        <f t="shared" si="46"/>
        <v>0</v>
      </c>
      <c r="BL78" s="205">
        <f t="shared" si="46"/>
        <v>0</v>
      </c>
      <c r="BM78" s="205">
        <f t="shared" si="51"/>
        <v>0</v>
      </c>
      <c r="BN78" s="205">
        <f t="shared" si="51"/>
        <v>13282000</v>
      </c>
      <c r="BO78" s="205">
        <f t="shared" si="51"/>
        <v>0</v>
      </c>
      <c r="BP78" s="205">
        <f t="shared" si="51"/>
        <v>0</v>
      </c>
      <c r="BQ78" s="205">
        <f t="shared" si="51"/>
        <v>0</v>
      </c>
      <c r="BR78" s="205">
        <f t="shared" si="51"/>
        <v>0</v>
      </c>
      <c r="BS78" s="238">
        <f t="shared" si="40"/>
        <v>1.2271428571428572E-2</v>
      </c>
      <c r="BT78" s="218">
        <f t="shared" si="41"/>
        <v>1718000</v>
      </c>
      <c r="BU78" s="149"/>
      <c r="BV78" s="149"/>
      <c r="BW78" s="149"/>
      <c r="BX78" s="149"/>
      <c r="BY78" s="149"/>
      <c r="BZ78" s="149"/>
      <c r="CA78" s="149"/>
      <c r="CB78" s="149">
        <v>1718000</v>
      </c>
      <c r="CC78" s="149"/>
      <c r="CD78" s="149"/>
      <c r="CE78" s="149"/>
      <c r="CF78" s="149"/>
      <c r="CG78" s="238">
        <f t="shared" si="42"/>
        <v>0.9877285714285714</v>
      </c>
      <c r="CH78" s="218">
        <f t="shared" si="43"/>
        <v>138282000</v>
      </c>
      <c r="CI78" s="205">
        <f t="shared" si="48"/>
        <v>0</v>
      </c>
      <c r="CJ78" s="205">
        <f t="shared" si="48"/>
        <v>120000000</v>
      </c>
      <c r="CK78" s="205">
        <f t="shared" si="48"/>
        <v>0</v>
      </c>
      <c r="CL78" s="205">
        <f t="shared" si="47"/>
        <v>0</v>
      </c>
      <c r="CM78" s="205">
        <f t="shared" si="47"/>
        <v>0</v>
      </c>
      <c r="CN78" s="205">
        <f t="shared" si="47"/>
        <v>0</v>
      </c>
      <c r="CO78" s="205">
        <f t="shared" si="47"/>
        <v>0</v>
      </c>
      <c r="CP78" s="205">
        <f t="shared" si="47"/>
        <v>18282000</v>
      </c>
      <c r="CQ78" s="205">
        <f t="shared" si="47"/>
        <v>0</v>
      </c>
      <c r="CR78" s="205">
        <f t="shared" si="47"/>
        <v>0</v>
      </c>
      <c r="CS78" s="205">
        <f t="shared" si="47"/>
        <v>0</v>
      </c>
      <c r="CT78" s="205">
        <f t="shared" si="47"/>
        <v>0</v>
      </c>
    </row>
    <row r="79" spans="1:98" ht="69" customHeight="1" x14ac:dyDescent="0.25">
      <c r="A79" s="1243" t="s">
        <v>2923</v>
      </c>
      <c r="B79" s="1243" t="s">
        <v>3162</v>
      </c>
      <c r="C79" s="1243" t="s">
        <v>2943</v>
      </c>
      <c r="D79" s="1243" t="s">
        <v>3170</v>
      </c>
      <c r="E79" s="2" t="s">
        <v>2973</v>
      </c>
      <c r="F79" s="100" t="s">
        <v>3205</v>
      </c>
      <c r="G79" s="107">
        <v>90000000</v>
      </c>
      <c r="H79" s="107">
        <v>105000000</v>
      </c>
      <c r="I79" s="107">
        <v>105000000</v>
      </c>
      <c r="J79" s="707" t="s">
        <v>2975</v>
      </c>
      <c r="K79" s="731" t="s">
        <v>3222</v>
      </c>
      <c r="L79" s="707">
        <v>1</v>
      </c>
      <c r="M79" s="101">
        <v>0</v>
      </c>
      <c r="N79" s="2" t="s">
        <v>3891</v>
      </c>
      <c r="O79" s="154" t="s">
        <v>3178</v>
      </c>
      <c r="P79" s="155">
        <v>105000000</v>
      </c>
      <c r="Q79" s="155">
        <v>105000000</v>
      </c>
      <c r="R79" s="151">
        <v>410</v>
      </c>
      <c r="S79" s="157">
        <f t="shared" ref="S79:S85" si="52">+Q79-U79</f>
        <v>-2411800000</v>
      </c>
      <c r="T79" s="738" t="s">
        <v>3350</v>
      </c>
      <c r="U79" s="149">
        <f t="shared" si="13"/>
        <v>2516800000</v>
      </c>
      <c r="V79" s="149"/>
      <c r="W79" s="149">
        <f>+'PLANINDICATIVO PD'!AB31+'PLANINDICATIVO PD'!BA31</f>
        <v>200000000</v>
      </c>
      <c r="X79" s="149"/>
      <c r="Y79" s="149"/>
      <c r="Z79" s="149"/>
      <c r="AA79" s="149"/>
      <c r="AB79" s="149">
        <f>+'PLANINDICATIVO PD'!AG31+'PLANINDICATIVO PD'!BF31</f>
        <v>2316800000</v>
      </c>
      <c r="AC79" s="149"/>
      <c r="AD79" s="149"/>
      <c r="AE79" s="149"/>
      <c r="AF79" s="149"/>
      <c r="AG79" s="149"/>
      <c r="AI79" s="739">
        <f t="shared" ref="AI79:AI85" si="53">SUM(AJ79:AP79)</f>
        <v>0</v>
      </c>
      <c r="AJ79" s="728"/>
      <c r="AK79" s="728"/>
      <c r="AL79" s="728"/>
      <c r="AM79" s="728"/>
      <c r="AN79" s="728"/>
      <c r="AO79" s="728"/>
      <c r="AP79" s="212"/>
      <c r="AQ79" s="238">
        <f t="shared" si="34"/>
        <v>0.7567715698506039</v>
      </c>
      <c r="AR79" s="218">
        <f t="shared" si="35"/>
        <v>1904642687</v>
      </c>
      <c r="AS79" s="149"/>
      <c r="AT79" s="149">
        <v>155492586</v>
      </c>
      <c r="AU79" s="149"/>
      <c r="AV79" s="149"/>
      <c r="AW79" s="149"/>
      <c r="AX79" s="149"/>
      <c r="AY79" s="149">
        <v>1749150101</v>
      </c>
      <c r="AZ79" s="149"/>
      <c r="BA79" s="149"/>
      <c r="BB79" s="149"/>
      <c r="BC79" s="149"/>
      <c r="BD79" s="149"/>
      <c r="BE79" s="238">
        <f t="shared" si="38"/>
        <v>0.2432284301493961</v>
      </c>
      <c r="BF79" s="218">
        <f t="shared" si="39"/>
        <v>612157313</v>
      </c>
      <c r="BG79" s="205">
        <f t="shared" si="46"/>
        <v>0</v>
      </c>
      <c r="BH79" s="205">
        <f t="shared" si="46"/>
        <v>44507414</v>
      </c>
      <c r="BI79" s="205">
        <f t="shared" si="46"/>
        <v>0</v>
      </c>
      <c r="BJ79" s="205">
        <f t="shared" si="46"/>
        <v>0</v>
      </c>
      <c r="BK79" s="205">
        <f t="shared" si="46"/>
        <v>0</v>
      </c>
      <c r="BL79" s="205">
        <f t="shared" si="46"/>
        <v>0</v>
      </c>
      <c r="BM79" s="205">
        <f t="shared" si="51"/>
        <v>567649899</v>
      </c>
      <c r="BN79" s="205">
        <f t="shared" si="51"/>
        <v>0</v>
      </c>
      <c r="BO79" s="205">
        <f t="shared" si="51"/>
        <v>0</v>
      </c>
      <c r="BP79" s="205">
        <f t="shared" si="51"/>
        <v>0</v>
      </c>
      <c r="BQ79" s="205">
        <f t="shared" si="51"/>
        <v>0</v>
      </c>
      <c r="BR79" s="205">
        <f t="shared" si="51"/>
        <v>0</v>
      </c>
      <c r="BS79" s="238" t="e">
        <f t="shared" si="40"/>
        <v>#REF!</v>
      </c>
      <c r="BT79" s="218" t="e">
        <f t="shared" si="41"/>
        <v>#REF!</v>
      </c>
      <c r="BU79" s="149"/>
      <c r="BV79" s="149" t="e">
        <v>#REF!</v>
      </c>
      <c r="BW79" s="149"/>
      <c r="BX79" s="149"/>
      <c r="BY79" s="149"/>
      <c r="BZ79" s="149"/>
      <c r="CA79" s="149" t="e">
        <v>#REF!</v>
      </c>
      <c r="CB79" s="149"/>
      <c r="CC79" s="149"/>
      <c r="CD79" s="149"/>
      <c r="CE79" s="149"/>
      <c r="CF79" s="149"/>
      <c r="CG79" s="238" t="e">
        <f t="shared" si="42"/>
        <v>#REF!</v>
      </c>
      <c r="CH79" s="218" t="e">
        <f t="shared" si="43"/>
        <v>#REF!</v>
      </c>
      <c r="CI79" s="205">
        <f t="shared" si="48"/>
        <v>0</v>
      </c>
      <c r="CJ79" s="205" t="e">
        <f t="shared" si="48"/>
        <v>#REF!</v>
      </c>
      <c r="CK79" s="205">
        <f t="shared" si="48"/>
        <v>0</v>
      </c>
      <c r="CL79" s="205">
        <f t="shared" si="47"/>
        <v>0</v>
      </c>
      <c r="CM79" s="205">
        <f t="shared" si="47"/>
        <v>0</v>
      </c>
      <c r="CN79" s="205">
        <f t="shared" si="47"/>
        <v>0</v>
      </c>
      <c r="CO79" s="205" t="e">
        <f t="shared" si="47"/>
        <v>#REF!</v>
      </c>
      <c r="CP79" s="205">
        <f t="shared" si="47"/>
        <v>0</v>
      </c>
      <c r="CQ79" s="205">
        <f t="shared" si="47"/>
        <v>0</v>
      </c>
      <c r="CR79" s="205">
        <f t="shared" si="47"/>
        <v>0</v>
      </c>
      <c r="CS79" s="205">
        <f t="shared" si="47"/>
        <v>0</v>
      </c>
      <c r="CT79" s="205">
        <f t="shared" si="47"/>
        <v>0</v>
      </c>
    </row>
    <row r="80" spans="1:98" ht="48.75" customHeight="1" x14ac:dyDescent="0.25">
      <c r="A80" s="1260"/>
      <c r="B80" s="1260"/>
      <c r="C80" s="1260"/>
      <c r="D80" s="1260"/>
      <c r="E80" s="2" t="s">
        <v>2973</v>
      </c>
      <c r="F80" s="100" t="s">
        <v>3206</v>
      </c>
      <c r="G80" s="107">
        <v>760000000</v>
      </c>
      <c r="H80" s="107">
        <v>780000000</v>
      </c>
      <c r="I80" s="107">
        <v>780000000</v>
      </c>
      <c r="J80" s="2" t="s">
        <v>2978</v>
      </c>
      <c r="K80" s="100" t="s">
        <v>3235</v>
      </c>
      <c r="L80" s="2">
        <v>1</v>
      </c>
      <c r="M80" s="101">
        <v>0</v>
      </c>
      <c r="N80" s="2" t="s">
        <v>3892</v>
      </c>
      <c r="O80" s="154" t="s">
        <v>3179</v>
      </c>
      <c r="P80" s="155">
        <v>780000000</v>
      </c>
      <c r="Q80" s="155">
        <v>780000000</v>
      </c>
      <c r="R80" s="151">
        <v>410</v>
      </c>
      <c r="S80" s="157" t="e">
        <f t="shared" si="52"/>
        <v>#REF!</v>
      </c>
      <c r="T80" s="737" t="s">
        <v>3357</v>
      </c>
      <c r="U80" s="149" t="e">
        <f t="shared" si="13"/>
        <v>#REF!</v>
      </c>
      <c r="V80" s="149"/>
      <c r="W80" s="149" t="e">
        <f>+'PLANINDICATIVO PD'!AB32+'PLANINDICATIVO PD'!BA32</f>
        <v>#REF!</v>
      </c>
      <c r="X80" s="149"/>
      <c r="Y80" s="149"/>
      <c r="Z80" s="149"/>
      <c r="AA80" s="149"/>
      <c r="AB80" s="149" t="e">
        <f>+'PLANINDICATIVO PD'!AG32+'PLANINDICATIVO PD'!BF32</f>
        <v>#REF!</v>
      </c>
      <c r="AC80" s="149">
        <f>+'PLANINDICATIVO PD'!AH32+'PLANINDICATIVO PD'!BG32</f>
        <v>100000000</v>
      </c>
      <c r="AD80" s="149"/>
      <c r="AE80" s="149"/>
      <c r="AF80" s="149"/>
      <c r="AG80" s="149"/>
      <c r="AI80" s="739">
        <f t="shared" si="53"/>
        <v>8000000</v>
      </c>
      <c r="AJ80" s="136">
        <v>8000000</v>
      </c>
      <c r="AK80" s="728"/>
      <c r="AL80" s="728"/>
      <c r="AM80" s="728"/>
      <c r="AN80" s="728"/>
      <c r="AO80" s="728"/>
      <c r="AP80" s="212"/>
      <c r="AQ80" s="238" t="e">
        <f t="shared" si="34"/>
        <v>#REF!</v>
      </c>
      <c r="AR80" s="218">
        <f t="shared" si="35"/>
        <v>168751200</v>
      </c>
      <c r="AS80" s="149"/>
      <c r="AT80" s="149">
        <v>168751200</v>
      </c>
      <c r="AU80" s="149"/>
      <c r="AV80" s="149"/>
      <c r="AW80" s="149"/>
      <c r="AX80" s="149"/>
      <c r="AY80" s="149"/>
      <c r="AZ80" s="149"/>
      <c r="BA80" s="149"/>
      <c r="BB80" s="149"/>
      <c r="BC80" s="149"/>
      <c r="BD80" s="149"/>
      <c r="BE80" s="238" t="e">
        <f t="shared" si="38"/>
        <v>#REF!</v>
      </c>
      <c r="BF80" s="218" t="e">
        <f t="shared" si="39"/>
        <v>#REF!</v>
      </c>
      <c r="BG80" s="205">
        <f t="shared" si="46"/>
        <v>0</v>
      </c>
      <c r="BH80" s="205" t="e">
        <f t="shared" si="46"/>
        <v>#REF!</v>
      </c>
      <c r="BI80" s="205">
        <f t="shared" si="46"/>
        <v>0</v>
      </c>
      <c r="BJ80" s="205">
        <f t="shared" si="46"/>
        <v>0</v>
      </c>
      <c r="BK80" s="205">
        <f t="shared" si="46"/>
        <v>0</v>
      </c>
      <c r="BL80" s="205">
        <f t="shared" si="46"/>
        <v>0</v>
      </c>
      <c r="BM80" s="205" t="e">
        <f t="shared" si="51"/>
        <v>#REF!</v>
      </c>
      <c r="BN80" s="205">
        <f t="shared" si="51"/>
        <v>100000000</v>
      </c>
      <c r="BO80" s="205">
        <f t="shared" si="51"/>
        <v>0</v>
      </c>
      <c r="BP80" s="205">
        <f t="shared" si="51"/>
        <v>0</v>
      </c>
      <c r="BQ80" s="205">
        <f t="shared" si="51"/>
        <v>0</v>
      </c>
      <c r="BR80" s="205">
        <f t="shared" si="51"/>
        <v>0</v>
      </c>
      <c r="BS80" s="238" t="e">
        <f t="shared" si="40"/>
        <v>#REF!</v>
      </c>
      <c r="BT80" s="218" t="e">
        <f t="shared" si="41"/>
        <v>#REF!</v>
      </c>
      <c r="BU80" s="149"/>
      <c r="BV80" s="149" t="e">
        <v>#REF!</v>
      </c>
      <c r="BW80" s="149"/>
      <c r="BX80" s="149"/>
      <c r="BY80" s="149"/>
      <c r="BZ80" s="149"/>
      <c r="CA80" s="149"/>
      <c r="CB80" s="149"/>
      <c r="CC80" s="149"/>
      <c r="CD80" s="149"/>
      <c r="CE80" s="149"/>
      <c r="CF80" s="149"/>
      <c r="CG80" s="238" t="e">
        <f t="shared" si="42"/>
        <v>#REF!</v>
      </c>
      <c r="CH80" s="218" t="e">
        <f t="shared" si="43"/>
        <v>#REF!</v>
      </c>
      <c r="CI80" s="205">
        <f t="shared" si="48"/>
        <v>0</v>
      </c>
      <c r="CJ80" s="205" t="e">
        <f t="shared" si="48"/>
        <v>#REF!</v>
      </c>
      <c r="CK80" s="205">
        <f t="shared" si="48"/>
        <v>0</v>
      </c>
      <c r="CL80" s="205">
        <f t="shared" si="47"/>
        <v>0</v>
      </c>
      <c r="CM80" s="205">
        <f t="shared" si="47"/>
        <v>0</v>
      </c>
      <c r="CN80" s="205">
        <f t="shared" si="47"/>
        <v>0</v>
      </c>
      <c r="CO80" s="205" t="e">
        <f t="shared" si="47"/>
        <v>#REF!</v>
      </c>
      <c r="CP80" s="205">
        <f t="shared" si="47"/>
        <v>100000000</v>
      </c>
      <c r="CQ80" s="205">
        <f t="shared" si="47"/>
        <v>0</v>
      </c>
      <c r="CR80" s="205">
        <f t="shared" si="47"/>
        <v>0</v>
      </c>
      <c r="CS80" s="205">
        <f t="shared" si="47"/>
        <v>0</v>
      </c>
      <c r="CT80" s="205">
        <f t="shared" si="47"/>
        <v>0</v>
      </c>
    </row>
    <row r="81" spans="1:98" ht="42" customHeight="1" x14ac:dyDescent="0.25">
      <c r="A81" s="2" t="s">
        <v>2923</v>
      </c>
      <c r="B81" s="100" t="s">
        <v>3162</v>
      </c>
      <c r="C81" s="2" t="s">
        <v>2943</v>
      </c>
      <c r="D81" s="100" t="s">
        <v>3170</v>
      </c>
      <c r="E81" s="2" t="s">
        <v>2980</v>
      </c>
      <c r="F81" s="100" t="s">
        <v>3230</v>
      </c>
      <c r="G81" s="107">
        <v>30000000</v>
      </c>
      <c r="H81" s="107">
        <v>30000000</v>
      </c>
      <c r="I81" s="107">
        <v>30000000</v>
      </c>
      <c r="J81" s="2" t="s">
        <v>2982</v>
      </c>
      <c r="K81" s="100" t="s">
        <v>3236</v>
      </c>
      <c r="L81" s="2">
        <v>1</v>
      </c>
      <c r="M81" s="101">
        <v>0</v>
      </c>
      <c r="N81" s="2" t="s">
        <v>3893</v>
      </c>
      <c r="O81" s="154" t="s">
        <v>3231</v>
      </c>
      <c r="P81" s="155">
        <v>30000000</v>
      </c>
      <c r="Q81" s="155">
        <v>30000000</v>
      </c>
      <c r="R81" s="151">
        <v>410</v>
      </c>
      <c r="S81" s="157">
        <f t="shared" si="52"/>
        <v>20000000</v>
      </c>
      <c r="T81" s="1205" t="s">
        <v>3350</v>
      </c>
      <c r="U81" s="149">
        <f t="shared" si="13"/>
        <v>10000000</v>
      </c>
      <c r="V81" s="149"/>
      <c r="W81" s="149"/>
      <c r="X81" s="149"/>
      <c r="Y81" s="149"/>
      <c r="Z81" s="149"/>
      <c r="AA81" s="149"/>
      <c r="AB81" s="149"/>
      <c r="AC81" s="149">
        <f>+'POAI 2011 INIC'!U27</f>
        <v>10000000</v>
      </c>
      <c r="AD81" s="149"/>
      <c r="AE81" s="149"/>
      <c r="AF81" s="149"/>
      <c r="AG81" s="149"/>
      <c r="AI81" s="739">
        <f t="shared" si="53"/>
        <v>0</v>
      </c>
      <c r="AJ81" s="728"/>
      <c r="AK81" s="728"/>
      <c r="AL81" s="728"/>
      <c r="AM81" s="728"/>
      <c r="AN81" s="728"/>
      <c r="AO81" s="728"/>
      <c r="AP81" s="212"/>
      <c r="AQ81" s="238">
        <f t="shared" si="34"/>
        <v>0</v>
      </c>
      <c r="AR81" s="218">
        <f t="shared" si="35"/>
        <v>0</v>
      </c>
      <c r="AS81" s="149"/>
      <c r="AT81" s="149"/>
      <c r="AU81" s="149"/>
      <c r="AV81" s="149"/>
      <c r="AW81" s="149"/>
      <c r="AX81" s="149"/>
      <c r="AY81" s="149"/>
      <c r="AZ81" s="149"/>
      <c r="BA81" s="149"/>
      <c r="BB81" s="149"/>
      <c r="BC81" s="149"/>
      <c r="BD81" s="149"/>
      <c r="BE81" s="238">
        <f t="shared" si="38"/>
        <v>1</v>
      </c>
      <c r="BF81" s="218">
        <f t="shared" si="39"/>
        <v>10000000</v>
      </c>
      <c r="BG81" s="205">
        <f t="shared" si="46"/>
        <v>0</v>
      </c>
      <c r="BH81" s="205">
        <f t="shared" si="46"/>
        <v>0</v>
      </c>
      <c r="BI81" s="205">
        <f t="shared" si="46"/>
        <v>0</v>
      </c>
      <c r="BJ81" s="205">
        <f t="shared" si="46"/>
        <v>0</v>
      </c>
      <c r="BK81" s="205">
        <f t="shared" si="46"/>
        <v>0</v>
      </c>
      <c r="BL81" s="205">
        <f t="shared" si="46"/>
        <v>0</v>
      </c>
      <c r="BM81" s="205">
        <f t="shared" si="51"/>
        <v>0</v>
      </c>
      <c r="BN81" s="205">
        <f t="shared" si="51"/>
        <v>10000000</v>
      </c>
      <c r="BO81" s="205">
        <f t="shared" si="51"/>
        <v>0</v>
      </c>
      <c r="BP81" s="205">
        <f t="shared" si="51"/>
        <v>0</v>
      </c>
      <c r="BQ81" s="205">
        <f t="shared" si="51"/>
        <v>0</v>
      </c>
      <c r="BR81" s="205">
        <f t="shared" si="51"/>
        <v>0</v>
      </c>
      <c r="BS81" s="238">
        <f t="shared" si="40"/>
        <v>0</v>
      </c>
      <c r="BT81" s="218">
        <f t="shared" si="41"/>
        <v>0</v>
      </c>
      <c r="BU81" s="149"/>
      <c r="BV81" s="149"/>
      <c r="BW81" s="149"/>
      <c r="BX81" s="149"/>
      <c r="BY81" s="149"/>
      <c r="BZ81" s="149"/>
      <c r="CA81" s="149"/>
      <c r="CB81" s="149"/>
      <c r="CC81" s="149"/>
      <c r="CD81" s="149"/>
      <c r="CE81" s="149"/>
      <c r="CF81" s="149"/>
      <c r="CG81" s="238">
        <f t="shared" si="42"/>
        <v>1</v>
      </c>
      <c r="CH81" s="218">
        <f t="shared" si="43"/>
        <v>10000000</v>
      </c>
      <c r="CI81" s="205">
        <f t="shared" si="48"/>
        <v>0</v>
      </c>
      <c r="CJ81" s="205">
        <f t="shared" si="48"/>
        <v>0</v>
      </c>
      <c r="CK81" s="205">
        <f t="shared" si="48"/>
        <v>0</v>
      </c>
      <c r="CL81" s="205">
        <f t="shared" si="47"/>
        <v>0</v>
      </c>
      <c r="CM81" s="205">
        <f t="shared" si="47"/>
        <v>0</v>
      </c>
      <c r="CN81" s="205">
        <f t="shared" si="47"/>
        <v>0</v>
      </c>
      <c r="CO81" s="205">
        <f t="shared" si="47"/>
        <v>0</v>
      </c>
      <c r="CP81" s="205">
        <f t="shared" si="47"/>
        <v>10000000</v>
      </c>
      <c r="CQ81" s="205">
        <f t="shared" si="47"/>
        <v>0</v>
      </c>
      <c r="CR81" s="205">
        <f t="shared" si="47"/>
        <v>0</v>
      </c>
      <c r="CS81" s="205">
        <f t="shared" si="47"/>
        <v>0</v>
      </c>
      <c r="CT81" s="205">
        <f t="shared" si="47"/>
        <v>0</v>
      </c>
    </row>
    <row r="82" spans="1:98" ht="55.9" customHeight="1" x14ac:dyDescent="0.25">
      <c r="A82" s="2" t="s">
        <v>2923</v>
      </c>
      <c r="B82" s="100" t="s">
        <v>3162</v>
      </c>
      <c r="C82" s="2" t="s">
        <v>2943</v>
      </c>
      <c r="D82" s="100" t="s">
        <v>3170</v>
      </c>
      <c r="E82" s="2" t="s">
        <v>2984</v>
      </c>
      <c r="F82" s="100" t="s">
        <v>2985</v>
      </c>
      <c r="G82" s="107">
        <v>5000000</v>
      </c>
      <c r="H82" s="107">
        <v>20000000</v>
      </c>
      <c r="I82" s="107">
        <v>20000000</v>
      </c>
      <c r="J82" s="714" t="s">
        <v>2986</v>
      </c>
      <c r="K82" s="721" t="s">
        <v>3223</v>
      </c>
      <c r="L82" s="714">
        <v>0</v>
      </c>
      <c r="M82" s="101">
        <v>0</v>
      </c>
      <c r="N82" s="2" t="s">
        <v>3894</v>
      </c>
      <c r="O82" s="154" t="s">
        <v>388</v>
      </c>
      <c r="P82" s="155">
        <v>20000000</v>
      </c>
      <c r="Q82" s="155">
        <v>20000000</v>
      </c>
      <c r="R82" s="151">
        <v>410</v>
      </c>
      <c r="S82" s="157">
        <f t="shared" si="52"/>
        <v>10000000</v>
      </c>
      <c r="T82" s="1199"/>
      <c r="U82" s="149">
        <f t="shared" si="13"/>
        <v>10000000</v>
      </c>
      <c r="V82" s="149"/>
      <c r="W82" s="149"/>
      <c r="X82" s="149"/>
      <c r="Y82" s="149"/>
      <c r="Z82" s="149"/>
      <c r="AA82" s="149"/>
      <c r="AB82" s="149"/>
      <c r="AC82" s="149">
        <f>+'POAI 2011 INIC'!U28</f>
        <v>10000000</v>
      </c>
      <c r="AD82" s="149"/>
      <c r="AE82" s="149"/>
      <c r="AF82" s="149"/>
      <c r="AG82" s="149"/>
      <c r="AI82" s="739">
        <f t="shared" si="53"/>
        <v>0</v>
      </c>
      <c r="AJ82" s="728"/>
      <c r="AK82" s="728"/>
      <c r="AL82" s="728"/>
      <c r="AM82" s="728"/>
      <c r="AN82" s="728"/>
      <c r="AO82" s="728"/>
      <c r="AP82" s="212"/>
      <c r="AQ82" s="238">
        <f t="shared" si="34"/>
        <v>0</v>
      </c>
      <c r="AR82" s="218">
        <f t="shared" si="35"/>
        <v>0</v>
      </c>
      <c r="AS82" s="149"/>
      <c r="AT82" s="149"/>
      <c r="AU82" s="149"/>
      <c r="AV82" s="149"/>
      <c r="AW82" s="149"/>
      <c r="AX82" s="149"/>
      <c r="AY82" s="149"/>
      <c r="AZ82" s="149"/>
      <c r="BA82" s="149"/>
      <c r="BB82" s="149"/>
      <c r="BC82" s="149"/>
      <c r="BD82" s="149"/>
      <c r="BE82" s="238">
        <f t="shared" si="38"/>
        <v>1</v>
      </c>
      <c r="BF82" s="218">
        <f t="shared" si="39"/>
        <v>10000000</v>
      </c>
      <c r="BG82" s="205">
        <f t="shared" si="46"/>
        <v>0</v>
      </c>
      <c r="BH82" s="205">
        <f t="shared" si="46"/>
        <v>0</v>
      </c>
      <c r="BI82" s="205">
        <f t="shared" si="46"/>
        <v>0</v>
      </c>
      <c r="BJ82" s="205">
        <f t="shared" si="46"/>
        <v>0</v>
      </c>
      <c r="BK82" s="205">
        <f t="shared" si="46"/>
        <v>0</v>
      </c>
      <c r="BL82" s="205">
        <f t="shared" si="46"/>
        <v>0</v>
      </c>
      <c r="BM82" s="205">
        <f t="shared" si="51"/>
        <v>0</v>
      </c>
      <c r="BN82" s="205">
        <f t="shared" si="51"/>
        <v>10000000</v>
      </c>
      <c r="BO82" s="205">
        <f t="shared" si="51"/>
        <v>0</v>
      </c>
      <c r="BP82" s="205">
        <f t="shared" si="51"/>
        <v>0</v>
      </c>
      <c r="BQ82" s="205">
        <f t="shared" si="51"/>
        <v>0</v>
      </c>
      <c r="BR82" s="205">
        <f t="shared" si="51"/>
        <v>0</v>
      </c>
      <c r="BS82" s="238">
        <f t="shared" si="40"/>
        <v>0</v>
      </c>
      <c r="BT82" s="218">
        <f t="shared" si="41"/>
        <v>0</v>
      </c>
      <c r="BU82" s="149"/>
      <c r="BV82" s="149"/>
      <c r="BW82" s="149"/>
      <c r="BX82" s="149"/>
      <c r="BY82" s="149"/>
      <c r="BZ82" s="149"/>
      <c r="CA82" s="149"/>
      <c r="CB82" s="149"/>
      <c r="CC82" s="149"/>
      <c r="CD82" s="149"/>
      <c r="CE82" s="149"/>
      <c r="CF82" s="149"/>
      <c r="CG82" s="238">
        <f t="shared" si="42"/>
        <v>1</v>
      </c>
      <c r="CH82" s="218">
        <f t="shared" si="43"/>
        <v>10000000</v>
      </c>
      <c r="CI82" s="205">
        <f t="shared" si="48"/>
        <v>0</v>
      </c>
      <c r="CJ82" s="205">
        <f t="shared" si="48"/>
        <v>0</v>
      </c>
      <c r="CK82" s="205">
        <f t="shared" si="48"/>
        <v>0</v>
      </c>
      <c r="CL82" s="205">
        <f t="shared" si="47"/>
        <v>0</v>
      </c>
      <c r="CM82" s="205">
        <f t="shared" si="47"/>
        <v>0</v>
      </c>
      <c r="CN82" s="205">
        <f t="shared" si="47"/>
        <v>0</v>
      </c>
      <c r="CO82" s="205">
        <f t="shared" si="47"/>
        <v>0</v>
      </c>
      <c r="CP82" s="205">
        <f t="shared" si="47"/>
        <v>10000000</v>
      </c>
      <c r="CQ82" s="205">
        <f t="shared" si="47"/>
        <v>0</v>
      </c>
      <c r="CR82" s="205">
        <f t="shared" si="47"/>
        <v>0</v>
      </c>
      <c r="CS82" s="205">
        <f t="shared" si="47"/>
        <v>0</v>
      </c>
      <c r="CT82" s="205">
        <f t="shared" si="47"/>
        <v>0</v>
      </c>
    </row>
    <row r="83" spans="1:98" ht="33.75" customHeight="1" x14ac:dyDescent="0.25">
      <c r="A83" s="2" t="s">
        <v>2923</v>
      </c>
      <c r="B83" s="100" t="s">
        <v>3162</v>
      </c>
      <c r="C83" s="2" t="s">
        <v>2943</v>
      </c>
      <c r="D83" s="100" t="s">
        <v>3170</v>
      </c>
      <c r="E83" s="2" t="s">
        <v>2957</v>
      </c>
      <c r="F83" s="100" t="s">
        <v>3175</v>
      </c>
      <c r="G83" s="107">
        <v>15000000</v>
      </c>
      <c r="H83" s="107">
        <v>50000000</v>
      </c>
      <c r="I83" s="107">
        <v>50000000</v>
      </c>
      <c r="J83" s="714" t="s">
        <v>2959</v>
      </c>
      <c r="K83" s="721" t="s">
        <v>3234</v>
      </c>
      <c r="L83" s="714">
        <v>0</v>
      </c>
      <c r="M83" s="101">
        <v>0</v>
      </c>
      <c r="N83" s="2" t="s">
        <v>3895</v>
      </c>
      <c r="O83" s="154" t="s">
        <v>3176</v>
      </c>
      <c r="P83" s="155">
        <v>50000000</v>
      </c>
      <c r="Q83" s="155">
        <v>50000000</v>
      </c>
      <c r="R83" s="151">
        <v>410</v>
      </c>
      <c r="S83" s="157">
        <f t="shared" si="52"/>
        <v>35000000</v>
      </c>
      <c r="T83" s="1206"/>
      <c r="U83" s="149">
        <f t="shared" si="13"/>
        <v>15000000</v>
      </c>
      <c r="V83" s="149"/>
      <c r="W83" s="149"/>
      <c r="X83" s="149"/>
      <c r="Y83" s="149"/>
      <c r="Z83" s="149"/>
      <c r="AA83" s="149"/>
      <c r="AB83" s="149"/>
      <c r="AC83" s="149">
        <f>+'POAI 2011 INIC'!U29</f>
        <v>15000000</v>
      </c>
      <c r="AD83" s="149"/>
      <c r="AE83" s="149"/>
      <c r="AF83" s="149"/>
      <c r="AG83" s="149"/>
      <c r="AI83" s="739">
        <f t="shared" si="53"/>
        <v>0</v>
      </c>
      <c r="AJ83" s="728"/>
      <c r="AK83" s="728"/>
      <c r="AL83" s="728"/>
      <c r="AM83" s="728"/>
      <c r="AN83" s="728"/>
      <c r="AO83" s="728"/>
      <c r="AP83" s="212"/>
      <c r="AQ83" s="238">
        <f t="shared" si="34"/>
        <v>0</v>
      </c>
      <c r="AR83" s="218">
        <f t="shared" si="35"/>
        <v>0</v>
      </c>
      <c r="AS83" s="149"/>
      <c r="AT83" s="149"/>
      <c r="AU83" s="149"/>
      <c r="AV83" s="149"/>
      <c r="AW83" s="149"/>
      <c r="AX83" s="149"/>
      <c r="AY83" s="149"/>
      <c r="AZ83" s="149"/>
      <c r="BA83" s="149"/>
      <c r="BB83" s="149"/>
      <c r="BC83" s="149"/>
      <c r="BD83" s="149"/>
      <c r="BE83" s="238">
        <f t="shared" si="38"/>
        <v>1</v>
      </c>
      <c r="BF83" s="218">
        <f t="shared" si="39"/>
        <v>15000000</v>
      </c>
      <c r="BG83" s="205">
        <f t="shared" si="46"/>
        <v>0</v>
      </c>
      <c r="BH83" s="205">
        <f t="shared" si="46"/>
        <v>0</v>
      </c>
      <c r="BI83" s="205">
        <f t="shared" si="46"/>
        <v>0</v>
      </c>
      <c r="BJ83" s="205">
        <f t="shared" si="46"/>
        <v>0</v>
      </c>
      <c r="BK83" s="205">
        <f t="shared" si="46"/>
        <v>0</v>
      </c>
      <c r="BL83" s="205">
        <f t="shared" si="46"/>
        <v>0</v>
      </c>
      <c r="BM83" s="205">
        <f t="shared" si="51"/>
        <v>0</v>
      </c>
      <c r="BN83" s="205">
        <f t="shared" si="51"/>
        <v>15000000</v>
      </c>
      <c r="BO83" s="205">
        <f t="shared" si="51"/>
        <v>0</v>
      </c>
      <c r="BP83" s="205">
        <f t="shared" si="51"/>
        <v>0</v>
      </c>
      <c r="BQ83" s="205">
        <f t="shared" si="51"/>
        <v>0</v>
      </c>
      <c r="BR83" s="205">
        <f t="shared" si="51"/>
        <v>0</v>
      </c>
      <c r="BS83" s="238">
        <f t="shared" si="40"/>
        <v>0</v>
      </c>
      <c r="BT83" s="218">
        <f t="shared" si="41"/>
        <v>0</v>
      </c>
      <c r="BU83" s="149"/>
      <c r="BV83" s="149"/>
      <c r="BW83" s="149"/>
      <c r="BX83" s="149"/>
      <c r="BY83" s="149"/>
      <c r="BZ83" s="149"/>
      <c r="CA83" s="149"/>
      <c r="CB83" s="149"/>
      <c r="CC83" s="149"/>
      <c r="CD83" s="149"/>
      <c r="CE83" s="149"/>
      <c r="CF83" s="149"/>
      <c r="CG83" s="238">
        <f t="shared" si="42"/>
        <v>1</v>
      </c>
      <c r="CH83" s="218">
        <f t="shared" si="43"/>
        <v>15000000</v>
      </c>
      <c r="CI83" s="205">
        <f t="shared" si="48"/>
        <v>0</v>
      </c>
      <c r="CJ83" s="205">
        <f t="shared" si="48"/>
        <v>0</v>
      </c>
      <c r="CK83" s="205">
        <f t="shared" si="48"/>
        <v>0</v>
      </c>
      <c r="CL83" s="205">
        <f t="shared" si="47"/>
        <v>0</v>
      </c>
      <c r="CM83" s="205">
        <f t="shared" si="47"/>
        <v>0</v>
      </c>
      <c r="CN83" s="205">
        <f t="shared" si="47"/>
        <v>0</v>
      </c>
      <c r="CO83" s="205">
        <f t="shared" si="47"/>
        <v>0</v>
      </c>
      <c r="CP83" s="205">
        <f t="shared" si="47"/>
        <v>15000000</v>
      </c>
      <c r="CQ83" s="205">
        <f t="shared" si="47"/>
        <v>0</v>
      </c>
      <c r="CR83" s="205">
        <f t="shared" si="47"/>
        <v>0</v>
      </c>
      <c r="CS83" s="205">
        <f t="shared" si="47"/>
        <v>0</v>
      </c>
      <c r="CT83" s="205">
        <f t="shared" si="47"/>
        <v>0</v>
      </c>
    </row>
    <row r="84" spans="1:98" ht="48" customHeight="1" x14ac:dyDescent="0.25">
      <c r="A84" s="2" t="s">
        <v>2923</v>
      </c>
      <c r="B84" s="100" t="s">
        <v>3162</v>
      </c>
      <c r="C84" s="2" t="s">
        <v>2992</v>
      </c>
      <c r="D84" s="100" t="s">
        <v>3182</v>
      </c>
      <c r="E84" s="2" t="s">
        <v>2999</v>
      </c>
      <c r="F84" s="100" t="s">
        <v>3300</v>
      </c>
      <c r="G84" s="107">
        <v>5000000</v>
      </c>
      <c r="H84" s="107">
        <v>5000000</v>
      </c>
      <c r="I84" s="107">
        <v>5000000</v>
      </c>
      <c r="J84" s="2" t="s">
        <v>3001</v>
      </c>
      <c r="K84" s="100" t="s">
        <v>3240</v>
      </c>
      <c r="L84" s="2">
        <v>0</v>
      </c>
      <c r="M84" s="101">
        <v>0</v>
      </c>
      <c r="N84" s="2" t="s">
        <v>3896</v>
      </c>
      <c r="O84" s="154" t="s">
        <v>3183</v>
      </c>
      <c r="P84" s="155">
        <v>5000000</v>
      </c>
      <c r="Q84" s="158">
        <v>105000000</v>
      </c>
      <c r="R84" s="151">
        <v>510</v>
      </c>
      <c r="S84" s="157">
        <f t="shared" si="52"/>
        <v>100000000</v>
      </c>
      <c r="T84" s="730" t="s">
        <v>3353</v>
      </c>
      <c r="U84" s="149">
        <f t="shared" si="13"/>
        <v>5000000</v>
      </c>
      <c r="V84" s="149"/>
      <c r="W84" s="149"/>
      <c r="X84" s="149"/>
      <c r="Y84" s="149"/>
      <c r="Z84" s="149"/>
      <c r="AA84" s="149"/>
      <c r="AB84" s="149"/>
      <c r="AC84" s="149">
        <f>+'POAI 2011 INIC'!U31</f>
        <v>5000000</v>
      </c>
      <c r="AD84" s="149"/>
      <c r="AE84" s="149"/>
      <c r="AF84" s="149"/>
      <c r="AG84" s="149"/>
      <c r="AI84" s="739">
        <f t="shared" si="53"/>
        <v>0</v>
      </c>
      <c r="AJ84" s="728"/>
      <c r="AK84" s="728"/>
      <c r="AL84" s="728"/>
      <c r="AM84" s="728"/>
      <c r="AN84" s="728"/>
      <c r="AO84" s="728"/>
      <c r="AP84" s="212"/>
      <c r="AQ84" s="238">
        <f t="shared" si="34"/>
        <v>0</v>
      </c>
      <c r="AR84" s="218">
        <f t="shared" si="35"/>
        <v>0</v>
      </c>
      <c r="AS84" s="149"/>
      <c r="AT84" s="149"/>
      <c r="AU84" s="149"/>
      <c r="AV84" s="149"/>
      <c r="AW84" s="149"/>
      <c r="AX84" s="149"/>
      <c r="AY84" s="149"/>
      <c r="AZ84" s="149"/>
      <c r="BA84" s="149"/>
      <c r="BB84" s="149"/>
      <c r="BC84" s="149"/>
      <c r="BD84" s="149"/>
      <c r="BE84" s="238">
        <f t="shared" si="38"/>
        <v>1</v>
      </c>
      <c r="BF84" s="218">
        <f t="shared" si="39"/>
        <v>5000000</v>
      </c>
      <c r="BG84" s="205">
        <f t="shared" si="46"/>
        <v>0</v>
      </c>
      <c r="BH84" s="205">
        <f t="shared" si="46"/>
        <v>0</v>
      </c>
      <c r="BI84" s="205">
        <f t="shared" si="46"/>
        <v>0</v>
      </c>
      <c r="BJ84" s="205">
        <f t="shared" si="46"/>
        <v>0</v>
      </c>
      <c r="BK84" s="205">
        <f t="shared" si="46"/>
        <v>0</v>
      </c>
      <c r="BL84" s="205">
        <f t="shared" si="46"/>
        <v>0</v>
      </c>
      <c r="BM84" s="205">
        <f t="shared" si="51"/>
        <v>0</v>
      </c>
      <c r="BN84" s="205">
        <f t="shared" si="51"/>
        <v>5000000</v>
      </c>
      <c r="BO84" s="205">
        <f t="shared" si="51"/>
        <v>0</v>
      </c>
      <c r="BP84" s="205">
        <f t="shared" si="51"/>
        <v>0</v>
      </c>
      <c r="BQ84" s="205">
        <f t="shared" si="51"/>
        <v>0</v>
      </c>
      <c r="BR84" s="205">
        <f t="shared" si="51"/>
        <v>0</v>
      </c>
      <c r="BS84" s="238">
        <f t="shared" si="40"/>
        <v>0</v>
      </c>
      <c r="BT84" s="218">
        <f t="shared" si="41"/>
        <v>0</v>
      </c>
      <c r="BU84" s="149"/>
      <c r="BV84" s="149"/>
      <c r="BW84" s="149"/>
      <c r="BX84" s="149"/>
      <c r="BY84" s="149"/>
      <c r="BZ84" s="149"/>
      <c r="CA84" s="149"/>
      <c r="CB84" s="149"/>
      <c r="CC84" s="149"/>
      <c r="CD84" s="149"/>
      <c r="CE84" s="149"/>
      <c r="CF84" s="149"/>
      <c r="CG84" s="238">
        <f t="shared" si="42"/>
        <v>1</v>
      </c>
      <c r="CH84" s="218">
        <f t="shared" si="43"/>
        <v>5000000</v>
      </c>
      <c r="CI84" s="205">
        <f t="shared" si="48"/>
        <v>0</v>
      </c>
      <c r="CJ84" s="205">
        <f t="shared" si="48"/>
        <v>0</v>
      </c>
      <c r="CK84" s="205">
        <f t="shared" si="48"/>
        <v>0</v>
      </c>
      <c r="CL84" s="205">
        <f t="shared" si="47"/>
        <v>0</v>
      </c>
      <c r="CM84" s="205">
        <f t="shared" si="47"/>
        <v>0</v>
      </c>
      <c r="CN84" s="205">
        <f t="shared" si="47"/>
        <v>0</v>
      </c>
      <c r="CO84" s="205">
        <f t="shared" si="47"/>
        <v>0</v>
      </c>
      <c r="CP84" s="205">
        <f t="shared" si="47"/>
        <v>5000000</v>
      </c>
      <c r="CQ84" s="205">
        <f t="shared" si="47"/>
        <v>0</v>
      </c>
      <c r="CR84" s="205">
        <f t="shared" si="47"/>
        <v>0</v>
      </c>
      <c r="CS84" s="205">
        <f t="shared" si="47"/>
        <v>0</v>
      </c>
      <c r="CT84" s="205">
        <f t="shared" si="47"/>
        <v>0</v>
      </c>
    </row>
    <row r="85" spans="1:98" ht="76.5" x14ac:dyDescent="0.25">
      <c r="A85" s="714" t="s">
        <v>2923</v>
      </c>
      <c r="B85" s="721" t="s">
        <v>3162</v>
      </c>
      <c r="C85" s="714" t="s">
        <v>2992</v>
      </c>
      <c r="D85" s="721" t="s">
        <v>3182</v>
      </c>
      <c r="E85" s="714" t="s">
        <v>2994</v>
      </c>
      <c r="F85" s="721" t="s">
        <v>3301</v>
      </c>
      <c r="G85" s="715">
        <v>100000000</v>
      </c>
      <c r="H85" s="715">
        <v>100000000</v>
      </c>
      <c r="I85" s="715">
        <v>100000000</v>
      </c>
      <c r="J85" s="706" t="s">
        <v>2996</v>
      </c>
      <c r="K85" s="722" t="s">
        <v>3273</v>
      </c>
      <c r="L85" s="706">
        <v>4</v>
      </c>
      <c r="M85" s="116">
        <v>0</v>
      </c>
      <c r="N85" s="714" t="s">
        <v>3897</v>
      </c>
      <c r="O85" s="171" t="s">
        <v>242</v>
      </c>
      <c r="P85" s="172">
        <v>100000000</v>
      </c>
      <c r="Q85" s="173">
        <v>122000000</v>
      </c>
      <c r="R85" s="561">
        <v>510</v>
      </c>
      <c r="S85" s="232">
        <f t="shared" si="52"/>
        <v>72000000</v>
      </c>
      <c r="T85" s="740" t="s">
        <v>3358</v>
      </c>
      <c r="U85" s="149">
        <f t="shared" si="13"/>
        <v>50000000</v>
      </c>
      <c r="V85" s="149">
        <f>+'POAI 2011 INIC'!N32</f>
        <v>20000000</v>
      </c>
      <c r="W85" s="149"/>
      <c r="X85" s="149"/>
      <c r="Y85" s="149"/>
      <c r="Z85" s="149"/>
      <c r="AA85" s="149"/>
      <c r="AB85" s="149"/>
      <c r="AC85" s="149">
        <f>+'POAI 2011 INIC'!U32</f>
        <v>30000000</v>
      </c>
      <c r="AD85" s="149"/>
      <c r="AE85" s="149"/>
      <c r="AF85" s="149"/>
      <c r="AG85" s="149"/>
      <c r="AI85" s="739">
        <f t="shared" si="53"/>
        <v>22000000</v>
      </c>
      <c r="AJ85" s="136">
        <f>5000000+5000000</f>
        <v>10000000</v>
      </c>
      <c r="AK85" s="728"/>
      <c r="AL85" s="728">
        <v>12000000</v>
      </c>
      <c r="AM85" s="728"/>
      <c r="AN85" s="728"/>
      <c r="AO85" s="728"/>
      <c r="AP85" s="212"/>
      <c r="AQ85" s="238">
        <f t="shared" si="34"/>
        <v>0.18987998</v>
      </c>
      <c r="AR85" s="218">
        <f t="shared" si="35"/>
        <v>9493999</v>
      </c>
      <c r="AS85" s="149">
        <v>9493999</v>
      </c>
      <c r="AT85" s="149"/>
      <c r="AU85" s="149"/>
      <c r="AV85" s="149"/>
      <c r="AW85" s="149"/>
      <c r="AX85" s="149"/>
      <c r="AY85" s="149"/>
      <c r="AZ85" s="149"/>
      <c r="BA85" s="149"/>
      <c r="BB85" s="149"/>
      <c r="BC85" s="149"/>
      <c r="BD85" s="149"/>
      <c r="BE85" s="238">
        <f t="shared" si="38"/>
        <v>0.81012002000000005</v>
      </c>
      <c r="BF85" s="218">
        <f t="shared" si="39"/>
        <v>40506001</v>
      </c>
      <c r="BG85" s="205">
        <f t="shared" si="46"/>
        <v>10506001</v>
      </c>
      <c r="BH85" s="205">
        <f t="shared" si="46"/>
        <v>0</v>
      </c>
      <c r="BI85" s="205">
        <f t="shared" si="46"/>
        <v>0</v>
      </c>
      <c r="BJ85" s="205">
        <f t="shared" si="46"/>
        <v>0</v>
      </c>
      <c r="BK85" s="205">
        <f t="shared" si="46"/>
        <v>0</v>
      </c>
      <c r="BL85" s="205">
        <f t="shared" si="46"/>
        <v>0</v>
      </c>
      <c r="BM85" s="205">
        <f t="shared" si="51"/>
        <v>0</v>
      </c>
      <c r="BN85" s="205">
        <f t="shared" si="51"/>
        <v>30000000</v>
      </c>
      <c r="BO85" s="205">
        <f t="shared" si="51"/>
        <v>0</v>
      </c>
      <c r="BP85" s="205">
        <f t="shared" si="51"/>
        <v>0</v>
      </c>
      <c r="BQ85" s="205">
        <f t="shared" si="51"/>
        <v>0</v>
      </c>
      <c r="BR85" s="205">
        <f t="shared" si="51"/>
        <v>0</v>
      </c>
      <c r="BS85" s="238">
        <f t="shared" si="40"/>
        <v>0.18987998</v>
      </c>
      <c r="BT85" s="218">
        <f t="shared" si="41"/>
        <v>9493999</v>
      </c>
      <c r="BU85" s="149">
        <v>9493999</v>
      </c>
      <c r="BV85" s="149"/>
      <c r="BW85" s="149"/>
      <c r="BX85" s="149"/>
      <c r="BY85" s="149"/>
      <c r="BZ85" s="149"/>
      <c r="CA85" s="149"/>
      <c r="CB85" s="149"/>
      <c r="CC85" s="149"/>
      <c r="CD85" s="149"/>
      <c r="CE85" s="149"/>
      <c r="CF85" s="149"/>
      <c r="CG85" s="238">
        <f t="shared" si="42"/>
        <v>0.81012002000000005</v>
      </c>
      <c r="CH85" s="218">
        <f t="shared" si="43"/>
        <v>40506001</v>
      </c>
      <c r="CI85" s="205">
        <f t="shared" si="48"/>
        <v>10506001</v>
      </c>
      <c r="CJ85" s="205">
        <f t="shared" si="48"/>
        <v>0</v>
      </c>
      <c r="CK85" s="205">
        <f t="shared" si="48"/>
        <v>0</v>
      </c>
      <c r="CL85" s="205">
        <f t="shared" si="47"/>
        <v>0</v>
      </c>
      <c r="CM85" s="205">
        <f t="shared" si="47"/>
        <v>0</v>
      </c>
      <c r="CN85" s="205">
        <f t="shared" si="47"/>
        <v>0</v>
      </c>
      <c r="CO85" s="205">
        <f t="shared" si="47"/>
        <v>0</v>
      </c>
      <c r="CP85" s="205">
        <f t="shared" si="47"/>
        <v>30000000</v>
      </c>
      <c r="CQ85" s="205">
        <f t="shared" si="47"/>
        <v>0</v>
      </c>
      <c r="CR85" s="205">
        <f t="shared" si="47"/>
        <v>0</v>
      </c>
      <c r="CS85" s="205">
        <f t="shared" si="47"/>
        <v>0</v>
      </c>
      <c r="CT85" s="205">
        <f t="shared" si="47"/>
        <v>0</v>
      </c>
    </row>
    <row r="86" spans="1:98" ht="22.5" customHeight="1" x14ac:dyDescent="0.25">
      <c r="A86" s="1209" t="s">
        <v>3407</v>
      </c>
      <c r="B86" s="1209"/>
      <c r="C86" s="1209"/>
      <c r="D86" s="1209"/>
      <c r="E86" s="1209"/>
      <c r="F86" s="1209"/>
      <c r="G86" s="728">
        <f>SUM(G23:G85)</f>
        <v>2993000000</v>
      </c>
      <c r="H86" s="728">
        <f>SUM(H23:H85)</f>
        <v>3278000000</v>
      </c>
      <c r="I86" s="728">
        <f>SUM(I79:I85)</f>
        <v>1090000000</v>
      </c>
      <c r="J86" s="1207"/>
      <c r="K86" s="1208"/>
      <c r="L86" s="1208"/>
      <c r="M86" s="1217"/>
      <c r="N86" s="1209" t="s">
        <v>3407</v>
      </c>
      <c r="O86" s="1209"/>
      <c r="P86" s="1209"/>
      <c r="Q86" s="1209"/>
      <c r="R86" s="1209"/>
      <c r="S86" s="1209"/>
      <c r="T86" s="1209"/>
      <c r="U86" s="149" t="e">
        <f>SUM(U23:U85)</f>
        <v>#REF!</v>
      </c>
      <c r="V86" s="149">
        <f t="shared" ref="V86:AG86" si="54">SUM(V23:V85)</f>
        <v>1895902120</v>
      </c>
      <c r="W86" s="149" t="e">
        <f t="shared" si="54"/>
        <v>#REF!</v>
      </c>
      <c r="X86" s="149">
        <f t="shared" si="54"/>
        <v>0</v>
      </c>
      <c r="Y86" s="149">
        <f t="shared" si="54"/>
        <v>0</v>
      </c>
      <c r="Z86" s="149">
        <f t="shared" si="54"/>
        <v>0</v>
      </c>
      <c r="AA86" s="149">
        <f t="shared" si="54"/>
        <v>0</v>
      </c>
      <c r="AB86" s="149" t="e">
        <f t="shared" si="54"/>
        <v>#REF!</v>
      </c>
      <c r="AC86" s="149">
        <f t="shared" si="54"/>
        <v>572000000</v>
      </c>
      <c r="AD86" s="149">
        <f t="shared" si="54"/>
        <v>0</v>
      </c>
      <c r="AE86" s="149">
        <f t="shared" si="54"/>
        <v>0</v>
      </c>
      <c r="AF86" s="149">
        <f t="shared" si="54"/>
        <v>0</v>
      </c>
      <c r="AG86" s="149">
        <f t="shared" si="54"/>
        <v>0</v>
      </c>
      <c r="AI86" s="149">
        <f t="shared" ref="AI86:AP86" si="55">SUM(AI23:AI85)</f>
        <v>124465492</v>
      </c>
      <c r="AJ86" s="149">
        <f t="shared" si="55"/>
        <v>49823436</v>
      </c>
      <c r="AK86" s="149">
        <f t="shared" si="55"/>
        <v>0</v>
      </c>
      <c r="AL86" s="149">
        <f t="shared" si="55"/>
        <v>62642056</v>
      </c>
      <c r="AM86" s="149">
        <f t="shared" si="55"/>
        <v>0</v>
      </c>
      <c r="AN86" s="149">
        <f t="shared" si="55"/>
        <v>0</v>
      </c>
      <c r="AO86" s="149">
        <f t="shared" si="55"/>
        <v>12000000</v>
      </c>
      <c r="AP86" s="149">
        <f t="shared" si="55"/>
        <v>0</v>
      </c>
      <c r="AQ86" s="238" t="e">
        <f t="shared" si="34"/>
        <v>#REF!</v>
      </c>
      <c r="AR86" s="149">
        <f t="shared" ref="AR86:BD86" si="56">SUM(AR23:AR85)</f>
        <v>3081429086</v>
      </c>
      <c r="AS86" s="149">
        <f t="shared" si="56"/>
        <v>765432379</v>
      </c>
      <c r="AT86" s="149">
        <f t="shared" si="56"/>
        <v>439838453</v>
      </c>
      <c r="AU86" s="149">
        <f t="shared" si="56"/>
        <v>0</v>
      </c>
      <c r="AV86" s="149">
        <f t="shared" si="56"/>
        <v>0</v>
      </c>
      <c r="AW86" s="149">
        <f t="shared" si="56"/>
        <v>0</v>
      </c>
      <c r="AX86" s="149">
        <f t="shared" si="56"/>
        <v>0</v>
      </c>
      <c r="AY86" s="149">
        <f t="shared" si="56"/>
        <v>1749150101</v>
      </c>
      <c r="AZ86" s="149">
        <f t="shared" si="56"/>
        <v>127008153</v>
      </c>
      <c r="BA86" s="149">
        <f t="shared" si="56"/>
        <v>0</v>
      </c>
      <c r="BB86" s="149">
        <f t="shared" si="56"/>
        <v>0</v>
      </c>
      <c r="BC86" s="149">
        <f t="shared" si="56"/>
        <v>0</v>
      </c>
      <c r="BD86" s="149">
        <f t="shared" si="56"/>
        <v>0</v>
      </c>
      <c r="BE86" s="238" t="e">
        <f>1-AQ86</f>
        <v>#REF!</v>
      </c>
      <c r="BF86" s="149" t="e">
        <f t="shared" ref="BF86:BR86" si="57">SUM(BF23:BF85)</f>
        <v>#REF!</v>
      </c>
      <c r="BG86" s="149">
        <f t="shared" si="57"/>
        <v>1130469741</v>
      </c>
      <c r="BH86" s="149" t="e">
        <f t="shared" si="57"/>
        <v>#REF!</v>
      </c>
      <c r="BI86" s="149">
        <f t="shared" si="57"/>
        <v>0</v>
      </c>
      <c r="BJ86" s="149">
        <f t="shared" si="57"/>
        <v>0</v>
      </c>
      <c r="BK86" s="149">
        <f t="shared" si="57"/>
        <v>0</v>
      </c>
      <c r="BL86" s="149">
        <f t="shared" si="57"/>
        <v>0</v>
      </c>
      <c r="BM86" s="149" t="e">
        <f t="shared" si="57"/>
        <v>#REF!</v>
      </c>
      <c r="BN86" s="149">
        <f t="shared" si="57"/>
        <v>444991847</v>
      </c>
      <c r="BO86" s="149">
        <f t="shared" si="57"/>
        <v>0</v>
      </c>
      <c r="BP86" s="149">
        <f t="shared" si="57"/>
        <v>0</v>
      </c>
      <c r="BQ86" s="149">
        <f t="shared" si="57"/>
        <v>0</v>
      </c>
      <c r="BR86" s="149">
        <f t="shared" si="57"/>
        <v>0</v>
      </c>
      <c r="BS86" s="238" t="e">
        <f>+BT86/U86</f>
        <v>#REF!</v>
      </c>
      <c r="BT86" s="149" t="e">
        <f t="shared" ref="BT86:CF86" si="58">SUM(BT23:BT85)</f>
        <v>#REF!</v>
      </c>
      <c r="BU86" s="149">
        <f t="shared" si="58"/>
        <v>358856941</v>
      </c>
      <c r="BV86" s="149" t="e">
        <f t="shared" si="58"/>
        <v>#REF!</v>
      </c>
      <c r="BW86" s="149">
        <f t="shared" si="58"/>
        <v>0</v>
      </c>
      <c r="BX86" s="149">
        <f t="shared" si="58"/>
        <v>0</v>
      </c>
      <c r="BY86" s="149">
        <f t="shared" si="58"/>
        <v>0</v>
      </c>
      <c r="BZ86" s="149">
        <f t="shared" si="58"/>
        <v>0</v>
      </c>
      <c r="CA86" s="149" t="e">
        <f t="shared" si="58"/>
        <v>#REF!</v>
      </c>
      <c r="CB86" s="149">
        <f t="shared" si="58"/>
        <v>16918491</v>
      </c>
      <c r="CC86" s="149">
        <f t="shared" si="58"/>
        <v>0</v>
      </c>
      <c r="CD86" s="149">
        <f t="shared" si="58"/>
        <v>0</v>
      </c>
      <c r="CE86" s="149">
        <f t="shared" si="58"/>
        <v>0</v>
      </c>
      <c r="CF86" s="149">
        <f t="shared" si="58"/>
        <v>0</v>
      </c>
      <c r="CG86" s="238" t="e">
        <f>1-BS86</f>
        <v>#REF!</v>
      </c>
      <c r="CH86" s="149" t="e">
        <f t="shared" ref="CH86:CT86" si="59">SUM(CH23:CH85)</f>
        <v>#REF!</v>
      </c>
      <c r="CI86" s="149">
        <f t="shared" si="59"/>
        <v>1537045179</v>
      </c>
      <c r="CJ86" s="149" t="e">
        <f t="shared" si="59"/>
        <v>#REF!</v>
      </c>
      <c r="CK86" s="149">
        <f t="shared" si="59"/>
        <v>0</v>
      </c>
      <c r="CL86" s="149">
        <f t="shared" si="59"/>
        <v>0</v>
      </c>
      <c r="CM86" s="149">
        <f t="shared" si="59"/>
        <v>0</v>
      </c>
      <c r="CN86" s="149">
        <f t="shared" si="59"/>
        <v>0</v>
      </c>
      <c r="CO86" s="149" t="e">
        <f t="shared" si="59"/>
        <v>#REF!</v>
      </c>
      <c r="CP86" s="149">
        <f t="shared" si="59"/>
        <v>555081509</v>
      </c>
      <c r="CQ86" s="149">
        <f t="shared" si="59"/>
        <v>0</v>
      </c>
      <c r="CR86" s="149">
        <f t="shared" si="59"/>
        <v>0</v>
      </c>
      <c r="CS86" s="149">
        <f t="shared" si="59"/>
        <v>0</v>
      </c>
      <c r="CT86" s="149">
        <f t="shared" si="59"/>
        <v>0</v>
      </c>
    </row>
    <row r="87" spans="1:98" ht="18.75" customHeight="1" x14ac:dyDescent="0.25">
      <c r="A87" s="747"/>
      <c r="B87" s="118"/>
      <c r="C87" s="747"/>
      <c r="D87" s="118"/>
      <c r="E87" s="747"/>
      <c r="F87" s="118"/>
      <c r="G87" s="119"/>
      <c r="H87" s="119"/>
      <c r="I87" s="119"/>
      <c r="J87" s="747"/>
      <c r="K87" s="747"/>
      <c r="L87" s="747"/>
      <c r="M87" s="121"/>
      <c r="N87" s="233"/>
      <c r="O87" s="685"/>
      <c r="P87" s="686"/>
      <c r="Q87" s="687"/>
      <c r="R87" s="688"/>
      <c r="S87" s="688"/>
      <c r="T87" s="692"/>
      <c r="U87" s="690" t="e">
        <f>+U86-AG86+BD86</f>
        <v>#REF!</v>
      </c>
      <c r="V87" s="687"/>
      <c r="W87" s="687"/>
      <c r="X87" s="687"/>
      <c r="Y87" s="687"/>
      <c r="Z87" s="687"/>
      <c r="AA87" s="687"/>
      <c r="AB87" s="687"/>
      <c r="AC87" s="687"/>
      <c r="AD87" s="687"/>
      <c r="AE87" s="687"/>
      <c r="AF87" s="687"/>
      <c r="AG87" s="687"/>
      <c r="AI87" s="122"/>
      <c r="AJ87" s="122"/>
      <c r="AK87" s="122"/>
      <c r="AL87" s="122"/>
      <c r="AM87" s="122"/>
      <c r="AN87" s="122"/>
      <c r="AO87" s="122"/>
      <c r="AP87" s="122"/>
      <c r="AQ87" s="239"/>
      <c r="AR87" s="150"/>
      <c r="AS87" s="163"/>
      <c r="AT87" s="163"/>
      <c r="AU87" s="163"/>
      <c r="AV87" s="163"/>
      <c r="AW87" s="163"/>
      <c r="AX87" s="163"/>
      <c r="AY87" s="163"/>
      <c r="AZ87" s="163"/>
      <c r="BA87" s="163"/>
      <c r="BB87" s="163"/>
      <c r="BC87" s="163"/>
      <c r="BD87" s="163"/>
      <c r="BE87" s="239"/>
      <c r="BF87" s="150"/>
      <c r="BG87" s="206"/>
      <c r="BH87" s="206"/>
      <c r="BI87" s="206"/>
      <c r="BJ87" s="206"/>
      <c r="BK87" s="206"/>
      <c r="BL87" s="206"/>
      <c r="BM87" s="206"/>
      <c r="BN87" s="206"/>
      <c r="BO87" s="206"/>
      <c r="BP87" s="206"/>
      <c r="BQ87" s="206"/>
      <c r="BR87" s="206"/>
      <c r="BS87" s="239"/>
      <c r="BT87" s="150"/>
      <c r="BU87" s="163"/>
      <c r="BV87" s="163"/>
      <c r="BW87" s="163"/>
      <c r="BX87" s="163"/>
      <c r="BY87" s="163"/>
      <c r="BZ87" s="163"/>
      <c r="CA87" s="163"/>
      <c r="CB87" s="163"/>
      <c r="CC87" s="163"/>
      <c r="CD87" s="163"/>
      <c r="CE87" s="163"/>
      <c r="CF87" s="163"/>
      <c r="CG87" s="239"/>
      <c r="CH87" s="150"/>
      <c r="CI87" s="206"/>
      <c r="CJ87" s="206"/>
      <c r="CK87" s="206"/>
      <c r="CL87" s="206"/>
      <c r="CM87" s="206"/>
      <c r="CN87" s="206"/>
      <c r="CO87" s="206"/>
      <c r="CP87" s="206"/>
      <c r="CQ87" s="206"/>
      <c r="CR87" s="206"/>
      <c r="CS87" s="206"/>
      <c r="CT87" s="206"/>
    </row>
    <row r="88" spans="1:98" ht="67.5" customHeight="1" x14ac:dyDescent="0.25">
      <c r="A88" s="1243" t="s">
        <v>2814</v>
      </c>
      <c r="B88" s="1245" t="s">
        <v>3138</v>
      </c>
      <c r="C88" s="1243" t="s">
        <v>2816</v>
      </c>
      <c r="D88" s="1245" t="s">
        <v>3140</v>
      </c>
      <c r="E88" s="1243" t="s">
        <v>2822</v>
      </c>
      <c r="F88" s="1245" t="s">
        <v>2823</v>
      </c>
      <c r="G88" s="1262">
        <v>50000000</v>
      </c>
      <c r="H88" s="1262">
        <v>100000000</v>
      </c>
      <c r="I88" s="1268">
        <v>100000000</v>
      </c>
      <c r="J88" s="1209" t="s">
        <v>2824</v>
      </c>
      <c r="K88" s="1209" t="s">
        <v>3141</v>
      </c>
      <c r="L88" s="1209">
        <v>1</v>
      </c>
      <c r="M88" s="1433">
        <v>0</v>
      </c>
      <c r="N88" s="709" t="s">
        <v>3898</v>
      </c>
      <c r="O88" s="174" t="s">
        <v>3145</v>
      </c>
      <c r="P88" s="155">
        <v>30000000</v>
      </c>
      <c r="Q88" s="155">
        <f>+P88</f>
        <v>30000000</v>
      </c>
      <c r="R88" s="151">
        <v>510</v>
      </c>
      <c r="S88" s="157">
        <f t="shared" ref="S88:S94" si="60">+Q88-U88</f>
        <v>-13990000</v>
      </c>
      <c r="T88" s="1431" t="s">
        <v>3359</v>
      </c>
      <c r="U88" s="149">
        <f>SUM(V88:AG88)</f>
        <v>43990000</v>
      </c>
      <c r="V88" s="149">
        <v>33990000</v>
      </c>
      <c r="W88" s="149"/>
      <c r="X88" s="149"/>
      <c r="Y88" s="149"/>
      <c r="Z88" s="149"/>
      <c r="AA88" s="149"/>
      <c r="AB88" s="149"/>
      <c r="AC88" s="149"/>
      <c r="AD88" s="149">
        <f>+'PLANINDICATIVO PD'!BH40</f>
        <v>10000000</v>
      </c>
      <c r="AE88" s="149"/>
      <c r="AF88" s="149"/>
      <c r="AG88" s="149"/>
      <c r="AI88" s="739">
        <f t="shared" ref="AI88:AI94" si="61">SUM(AJ88:AP88)</f>
        <v>0</v>
      </c>
      <c r="AJ88" s="136"/>
      <c r="AK88" s="136"/>
      <c r="AL88" s="136"/>
      <c r="AM88" s="136"/>
      <c r="AN88" s="136"/>
      <c r="AO88" s="136"/>
      <c r="AP88" s="214"/>
      <c r="AQ88" s="238">
        <f t="shared" ref="AQ88:AQ146" si="62">+AR88/U88</f>
        <v>0.60377028870197769</v>
      </c>
      <c r="AR88" s="218">
        <f t="shared" ref="AR88:AR112" si="63">SUM(AS88:BD88)</f>
        <v>26559855</v>
      </c>
      <c r="AS88" s="149">
        <v>26559855</v>
      </c>
      <c r="AT88" s="149"/>
      <c r="AU88" s="149"/>
      <c r="AV88" s="149"/>
      <c r="AW88" s="149"/>
      <c r="AX88" s="149"/>
      <c r="AY88" s="149"/>
      <c r="AZ88" s="149"/>
      <c r="BA88" s="149"/>
      <c r="BB88" s="149"/>
      <c r="BC88" s="149"/>
      <c r="BD88" s="149"/>
      <c r="BE88" s="238">
        <f>1-AQ88</f>
        <v>0.39622971129802231</v>
      </c>
      <c r="BF88" s="218">
        <f>SUM(BG88:BR88)</f>
        <v>17430145</v>
      </c>
      <c r="BG88" s="205">
        <f t="shared" ref="BG88:BR109" si="64">+V88-AS88</f>
        <v>7430145</v>
      </c>
      <c r="BH88" s="205">
        <f t="shared" si="64"/>
        <v>0</v>
      </c>
      <c r="BI88" s="205">
        <f t="shared" si="64"/>
        <v>0</v>
      </c>
      <c r="BJ88" s="205">
        <f t="shared" si="64"/>
        <v>0</v>
      </c>
      <c r="BK88" s="205">
        <f t="shared" si="64"/>
        <v>0</v>
      </c>
      <c r="BL88" s="205">
        <f t="shared" si="64"/>
        <v>0</v>
      </c>
      <c r="BM88" s="205">
        <f t="shared" si="64"/>
        <v>0</v>
      </c>
      <c r="BN88" s="205">
        <f t="shared" si="64"/>
        <v>0</v>
      </c>
      <c r="BO88" s="205">
        <f t="shared" si="64"/>
        <v>10000000</v>
      </c>
      <c r="BP88" s="205">
        <f t="shared" si="64"/>
        <v>0</v>
      </c>
      <c r="BQ88" s="205">
        <f t="shared" si="64"/>
        <v>0</v>
      </c>
      <c r="BR88" s="205">
        <f t="shared" si="64"/>
        <v>0</v>
      </c>
      <c r="BS88" s="238">
        <f>+BT88/U88</f>
        <v>0.60376210502386907</v>
      </c>
      <c r="BT88" s="218">
        <f>SUM(BU88:CF88)</f>
        <v>26559495</v>
      </c>
      <c r="BU88" s="149">
        <v>26559495</v>
      </c>
      <c r="BV88" s="149"/>
      <c r="BW88" s="149"/>
      <c r="BX88" s="149"/>
      <c r="BY88" s="149"/>
      <c r="BZ88" s="149"/>
      <c r="CA88" s="149"/>
      <c r="CB88" s="149"/>
      <c r="CC88" s="149"/>
      <c r="CD88" s="149"/>
      <c r="CE88" s="149"/>
      <c r="CF88" s="149"/>
      <c r="CG88" s="238">
        <f>1-BS88</f>
        <v>0.39623789497613093</v>
      </c>
      <c r="CH88" s="218">
        <f>SUM(CI88:CT88)</f>
        <v>17430505</v>
      </c>
      <c r="CI88" s="205">
        <f t="shared" ref="CI88:CT103" si="65">+V88-BU88</f>
        <v>7430505</v>
      </c>
      <c r="CJ88" s="205">
        <f t="shared" si="65"/>
        <v>0</v>
      </c>
      <c r="CK88" s="205">
        <f t="shared" si="65"/>
        <v>0</v>
      </c>
      <c r="CL88" s="205">
        <f t="shared" si="65"/>
        <v>0</v>
      </c>
      <c r="CM88" s="205">
        <f t="shared" si="65"/>
        <v>0</v>
      </c>
      <c r="CN88" s="205">
        <f t="shared" si="65"/>
        <v>0</v>
      </c>
      <c r="CO88" s="205">
        <f t="shared" si="65"/>
        <v>0</v>
      </c>
      <c r="CP88" s="205">
        <f t="shared" si="65"/>
        <v>0</v>
      </c>
      <c r="CQ88" s="205">
        <f t="shared" si="65"/>
        <v>10000000</v>
      </c>
      <c r="CR88" s="205">
        <f t="shared" si="65"/>
        <v>0</v>
      </c>
      <c r="CS88" s="205">
        <f t="shared" si="65"/>
        <v>0</v>
      </c>
      <c r="CT88" s="205">
        <f t="shared" si="65"/>
        <v>0</v>
      </c>
    </row>
    <row r="89" spans="1:98" ht="31.5" customHeight="1" x14ac:dyDescent="0.25">
      <c r="A89" s="1244"/>
      <c r="B89" s="1246"/>
      <c r="C89" s="1244"/>
      <c r="D89" s="1246"/>
      <c r="E89" s="1244"/>
      <c r="F89" s="1246"/>
      <c r="G89" s="1277"/>
      <c r="H89" s="1277"/>
      <c r="I89" s="1284"/>
      <c r="J89" s="1209"/>
      <c r="K89" s="1209"/>
      <c r="L89" s="1209"/>
      <c r="M89" s="1434"/>
      <c r="N89" s="709" t="s">
        <v>3899</v>
      </c>
      <c r="O89" s="174" t="s">
        <v>3900</v>
      </c>
      <c r="P89" s="155">
        <v>30000000</v>
      </c>
      <c r="Q89" s="155">
        <f>+P89</f>
        <v>30000000</v>
      </c>
      <c r="R89" s="151">
        <v>510</v>
      </c>
      <c r="S89" s="157">
        <f t="shared" si="60"/>
        <v>23990000</v>
      </c>
      <c r="T89" s="1432"/>
      <c r="U89" s="149">
        <f>SUM(V89:AG89)</f>
        <v>6010000</v>
      </c>
      <c r="V89" s="149">
        <f>+'POAI 2011 INIC'!N35-V88</f>
        <v>6010000</v>
      </c>
      <c r="W89" s="149"/>
      <c r="X89" s="149"/>
      <c r="Y89" s="149"/>
      <c r="Z89" s="149"/>
      <c r="AA89" s="149"/>
      <c r="AB89" s="149"/>
      <c r="AC89" s="149"/>
      <c r="AD89" s="149"/>
      <c r="AE89" s="149"/>
      <c r="AF89" s="149"/>
      <c r="AG89" s="149"/>
      <c r="AI89" s="739">
        <f t="shared" si="61"/>
        <v>0</v>
      </c>
      <c r="AJ89" s="136"/>
      <c r="AK89" s="136"/>
      <c r="AL89" s="136"/>
      <c r="AM89" s="136"/>
      <c r="AN89" s="136"/>
      <c r="AO89" s="136"/>
      <c r="AP89" s="214"/>
      <c r="AQ89" s="238">
        <f t="shared" si="62"/>
        <v>0.44689317803660566</v>
      </c>
      <c r="AR89" s="218">
        <f t="shared" si="63"/>
        <v>2685828</v>
      </c>
      <c r="AS89" s="149">
        <v>2685828</v>
      </c>
      <c r="AT89" s="149"/>
      <c r="AU89" s="149"/>
      <c r="AV89" s="149"/>
      <c r="AW89" s="149"/>
      <c r="AX89" s="149"/>
      <c r="AY89" s="149"/>
      <c r="AZ89" s="149"/>
      <c r="BA89" s="149"/>
      <c r="BB89" s="149"/>
      <c r="BC89" s="149"/>
      <c r="BD89" s="149"/>
      <c r="BE89" s="238">
        <f t="shared" ref="BE89:BE145" si="66">1-AQ89</f>
        <v>0.55310682196339434</v>
      </c>
      <c r="BF89" s="218">
        <f t="shared" ref="BF89:BF145" si="67">SUM(BG89:BR89)</f>
        <v>3324172</v>
      </c>
      <c r="BG89" s="205">
        <f t="shared" si="64"/>
        <v>3324172</v>
      </c>
      <c r="BH89" s="205">
        <f t="shared" si="64"/>
        <v>0</v>
      </c>
      <c r="BI89" s="205">
        <f t="shared" si="64"/>
        <v>0</v>
      </c>
      <c r="BJ89" s="205">
        <f t="shared" si="64"/>
        <v>0</v>
      </c>
      <c r="BK89" s="205">
        <f t="shared" si="64"/>
        <v>0</v>
      </c>
      <c r="BL89" s="205">
        <f t="shared" si="64"/>
        <v>0</v>
      </c>
      <c r="BM89" s="205">
        <f t="shared" si="64"/>
        <v>0</v>
      </c>
      <c r="BN89" s="205">
        <f t="shared" si="64"/>
        <v>0</v>
      </c>
      <c r="BO89" s="205">
        <f t="shared" si="64"/>
        <v>0</v>
      </c>
      <c r="BP89" s="205">
        <f t="shared" si="64"/>
        <v>0</v>
      </c>
      <c r="BQ89" s="205">
        <f t="shared" si="64"/>
        <v>0</v>
      </c>
      <c r="BR89" s="205">
        <f t="shared" si="64"/>
        <v>0</v>
      </c>
      <c r="BS89" s="238">
        <f t="shared" ref="BS89:BS145" si="68">+BT89/U89</f>
        <v>0.44689317803660566</v>
      </c>
      <c r="BT89" s="218">
        <f t="shared" ref="BT89:BT145" si="69">SUM(BU89:CF89)</f>
        <v>2685828</v>
      </c>
      <c r="BU89" s="149">
        <v>2685828</v>
      </c>
      <c r="BV89" s="149"/>
      <c r="BW89" s="149"/>
      <c r="BX89" s="149"/>
      <c r="BY89" s="149"/>
      <c r="BZ89" s="149"/>
      <c r="CA89" s="149"/>
      <c r="CB89" s="149"/>
      <c r="CC89" s="149"/>
      <c r="CD89" s="149"/>
      <c r="CE89" s="149"/>
      <c r="CF89" s="149"/>
      <c r="CG89" s="238">
        <f t="shared" ref="CG89:CG145" si="70">1-BS89</f>
        <v>0.55310682196339434</v>
      </c>
      <c r="CH89" s="218">
        <f t="shared" ref="CH89:CH145" si="71">SUM(CI89:CT89)</f>
        <v>3324172</v>
      </c>
      <c r="CI89" s="205">
        <f t="shared" si="65"/>
        <v>3324172</v>
      </c>
      <c r="CJ89" s="205">
        <f t="shared" si="65"/>
        <v>0</v>
      </c>
      <c r="CK89" s="205">
        <f t="shared" si="65"/>
        <v>0</v>
      </c>
      <c r="CL89" s="205">
        <f t="shared" si="65"/>
        <v>0</v>
      </c>
      <c r="CM89" s="205">
        <f t="shared" si="65"/>
        <v>0</v>
      </c>
      <c r="CN89" s="205">
        <f t="shared" si="65"/>
        <v>0</v>
      </c>
      <c r="CO89" s="205">
        <f t="shared" si="65"/>
        <v>0</v>
      </c>
      <c r="CP89" s="205">
        <f t="shared" si="65"/>
        <v>0</v>
      </c>
      <c r="CQ89" s="205">
        <f t="shared" si="65"/>
        <v>0</v>
      </c>
      <c r="CR89" s="205">
        <f t="shared" si="65"/>
        <v>0</v>
      </c>
      <c r="CS89" s="205">
        <f t="shared" si="65"/>
        <v>0</v>
      </c>
      <c r="CT89" s="205">
        <f t="shared" si="65"/>
        <v>0</v>
      </c>
    </row>
    <row r="90" spans="1:98" ht="69.599999999999994" customHeight="1" x14ac:dyDescent="0.25">
      <c r="A90" s="2" t="s">
        <v>2814</v>
      </c>
      <c r="B90" s="100" t="s">
        <v>3138</v>
      </c>
      <c r="C90" s="2" t="s">
        <v>2816</v>
      </c>
      <c r="D90" s="100" t="s">
        <v>3140</v>
      </c>
      <c r="E90" s="2" t="s">
        <v>2818</v>
      </c>
      <c r="F90" s="100" t="s">
        <v>2819</v>
      </c>
      <c r="G90" s="107">
        <v>5000000</v>
      </c>
      <c r="H90" s="107">
        <v>5000000</v>
      </c>
      <c r="I90" s="107">
        <v>5000000</v>
      </c>
      <c r="J90" s="124" t="s">
        <v>2820</v>
      </c>
      <c r="K90" s="125" t="s">
        <v>3141</v>
      </c>
      <c r="L90" s="124">
        <v>10</v>
      </c>
      <c r="M90" s="726">
        <v>0</v>
      </c>
      <c r="N90" s="709" t="s">
        <v>3901</v>
      </c>
      <c r="O90" s="699" t="s">
        <v>3142</v>
      </c>
      <c r="P90" s="166">
        <v>5000000</v>
      </c>
      <c r="Q90" s="166">
        <v>16000000</v>
      </c>
      <c r="R90" s="151">
        <v>510</v>
      </c>
      <c r="S90" s="157">
        <f t="shared" si="60"/>
        <v>16000000</v>
      </c>
      <c r="T90" s="730" t="s">
        <v>3348</v>
      </c>
      <c r="U90" s="149">
        <f t="shared" si="13"/>
        <v>0</v>
      </c>
      <c r="V90" s="149"/>
      <c r="W90" s="149"/>
      <c r="X90" s="149"/>
      <c r="Y90" s="149"/>
      <c r="Z90" s="149"/>
      <c r="AA90" s="149"/>
      <c r="AB90" s="149"/>
      <c r="AC90" s="149"/>
      <c r="AD90" s="149"/>
      <c r="AE90" s="149"/>
      <c r="AF90" s="149"/>
      <c r="AG90" s="149"/>
      <c r="AI90" s="739">
        <f t="shared" si="61"/>
        <v>0</v>
      </c>
      <c r="AJ90" s="728"/>
      <c r="AK90" s="728"/>
      <c r="AL90" s="728"/>
      <c r="AM90" s="728"/>
      <c r="AN90" s="728"/>
      <c r="AO90" s="728"/>
      <c r="AP90" s="212"/>
      <c r="AQ90" s="238" t="e">
        <f t="shared" si="62"/>
        <v>#DIV/0!</v>
      </c>
      <c r="AR90" s="218">
        <f t="shared" si="63"/>
        <v>0</v>
      </c>
      <c r="AS90" s="149"/>
      <c r="AT90" s="149"/>
      <c r="AU90" s="149"/>
      <c r="AV90" s="149"/>
      <c r="AW90" s="149"/>
      <c r="AX90" s="149"/>
      <c r="AY90" s="149"/>
      <c r="AZ90" s="149"/>
      <c r="BA90" s="149"/>
      <c r="BB90" s="149"/>
      <c r="BC90" s="149"/>
      <c r="BD90" s="149"/>
      <c r="BE90" s="238" t="e">
        <f t="shared" si="66"/>
        <v>#DIV/0!</v>
      </c>
      <c r="BF90" s="218">
        <f t="shared" si="67"/>
        <v>0</v>
      </c>
      <c r="BG90" s="205">
        <f t="shared" si="64"/>
        <v>0</v>
      </c>
      <c r="BH90" s="205">
        <f t="shared" si="64"/>
        <v>0</v>
      </c>
      <c r="BI90" s="205">
        <f t="shared" si="64"/>
        <v>0</v>
      </c>
      <c r="BJ90" s="205">
        <f t="shared" si="64"/>
        <v>0</v>
      </c>
      <c r="BK90" s="205">
        <f t="shared" si="64"/>
        <v>0</v>
      </c>
      <c r="BL90" s="205">
        <f t="shared" si="64"/>
        <v>0</v>
      </c>
      <c r="BM90" s="205">
        <f t="shared" si="64"/>
        <v>0</v>
      </c>
      <c r="BN90" s="205">
        <f t="shared" si="64"/>
        <v>0</v>
      </c>
      <c r="BO90" s="205">
        <f t="shared" si="64"/>
        <v>0</v>
      </c>
      <c r="BP90" s="205">
        <f t="shared" si="64"/>
        <v>0</v>
      </c>
      <c r="BQ90" s="205">
        <f t="shared" si="64"/>
        <v>0</v>
      </c>
      <c r="BR90" s="205">
        <f t="shared" si="64"/>
        <v>0</v>
      </c>
      <c r="BS90" s="238" t="e">
        <f t="shared" si="68"/>
        <v>#DIV/0!</v>
      </c>
      <c r="BT90" s="218">
        <f t="shared" si="69"/>
        <v>0</v>
      </c>
      <c r="BU90" s="149"/>
      <c r="BV90" s="149"/>
      <c r="BW90" s="149"/>
      <c r="BX90" s="149"/>
      <c r="BY90" s="149"/>
      <c r="BZ90" s="149"/>
      <c r="CA90" s="149"/>
      <c r="CB90" s="149"/>
      <c r="CC90" s="149"/>
      <c r="CD90" s="149"/>
      <c r="CE90" s="149"/>
      <c r="CF90" s="149"/>
      <c r="CG90" s="238" t="e">
        <f t="shared" si="70"/>
        <v>#DIV/0!</v>
      </c>
      <c r="CH90" s="218">
        <f t="shared" si="71"/>
        <v>0</v>
      </c>
      <c r="CI90" s="205">
        <f t="shared" si="65"/>
        <v>0</v>
      </c>
      <c r="CJ90" s="205">
        <f t="shared" si="65"/>
        <v>0</v>
      </c>
      <c r="CK90" s="205">
        <f t="shared" si="65"/>
        <v>0</v>
      </c>
      <c r="CL90" s="205">
        <f t="shared" si="65"/>
        <v>0</v>
      </c>
      <c r="CM90" s="205">
        <f t="shared" si="65"/>
        <v>0</v>
      </c>
      <c r="CN90" s="205">
        <f t="shared" si="65"/>
        <v>0</v>
      </c>
      <c r="CO90" s="205">
        <f t="shared" si="65"/>
        <v>0</v>
      </c>
      <c r="CP90" s="205">
        <f t="shared" si="65"/>
        <v>0</v>
      </c>
      <c r="CQ90" s="205">
        <f t="shared" si="65"/>
        <v>0</v>
      </c>
      <c r="CR90" s="205">
        <f t="shared" si="65"/>
        <v>0</v>
      </c>
      <c r="CS90" s="205">
        <f t="shared" si="65"/>
        <v>0</v>
      </c>
      <c r="CT90" s="205">
        <f t="shared" si="65"/>
        <v>0</v>
      </c>
    </row>
    <row r="91" spans="1:98" ht="63.75" x14ac:dyDescent="0.25">
      <c r="A91" s="1243" t="s">
        <v>2814</v>
      </c>
      <c r="B91" s="1245" t="s">
        <v>3138</v>
      </c>
      <c r="C91" s="1243" t="s">
        <v>3030</v>
      </c>
      <c r="D91" s="1245" t="s">
        <v>3259</v>
      </c>
      <c r="E91" s="1243" t="s">
        <v>3032</v>
      </c>
      <c r="F91" s="1245" t="s">
        <v>3340</v>
      </c>
      <c r="G91" s="1262">
        <v>4600000000</v>
      </c>
      <c r="H91" s="1262">
        <v>3500000000</v>
      </c>
      <c r="I91" s="1268">
        <v>3500000000</v>
      </c>
      <c r="J91" s="1209" t="s">
        <v>3035</v>
      </c>
      <c r="K91" s="1209" t="s">
        <v>3036</v>
      </c>
      <c r="L91" s="1209">
        <v>15.2</v>
      </c>
      <c r="M91" s="698">
        <v>0</v>
      </c>
      <c r="N91" s="709" t="s">
        <v>3903</v>
      </c>
      <c r="O91" s="174" t="s">
        <v>3902</v>
      </c>
      <c r="P91" s="155">
        <v>2860000000</v>
      </c>
      <c r="Q91" s="155">
        <v>4387000000</v>
      </c>
      <c r="R91" s="151">
        <v>111</v>
      </c>
      <c r="S91" s="157">
        <f t="shared" si="60"/>
        <v>3986866840</v>
      </c>
      <c r="T91" s="740" t="s">
        <v>3359</v>
      </c>
      <c r="U91" s="149">
        <f>SUM(V91:AG91)</f>
        <v>400133160</v>
      </c>
      <c r="V91" s="149"/>
      <c r="W91" s="149">
        <f>+'POAI 2011 INIC'!O38</f>
        <v>400133160</v>
      </c>
      <c r="X91" s="149"/>
      <c r="Y91" s="149"/>
      <c r="Z91" s="149"/>
      <c r="AA91" s="149"/>
      <c r="AB91" s="149"/>
      <c r="AC91" s="149"/>
      <c r="AD91" s="149"/>
      <c r="AE91" s="149"/>
      <c r="AF91" s="149"/>
      <c r="AG91" s="149"/>
      <c r="AI91" s="739">
        <f t="shared" si="61"/>
        <v>0</v>
      </c>
      <c r="AJ91" s="136"/>
      <c r="AK91" s="137"/>
      <c r="AL91" s="137"/>
      <c r="AM91" s="137"/>
      <c r="AN91" s="137"/>
      <c r="AO91" s="137"/>
      <c r="AP91" s="215"/>
      <c r="AQ91" s="238">
        <f t="shared" si="62"/>
        <v>0</v>
      </c>
      <c r="AR91" s="218">
        <f t="shared" si="63"/>
        <v>0</v>
      </c>
      <c r="AS91" s="149"/>
      <c r="AT91" s="149"/>
      <c r="AU91" s="149"/>
      <c r="AV91" s="149"/>
      <c r="AW91" s="149"/>
      <c r="AX91" s="149"/>
      <c r="AY91" s="149"/>
      <c r="AZ91" s="149"/>
      <c r="BA91" s="149"/>
      <c r="BB91" s="149"/>
      <c r="BC91" s="149"/>
      <c r="BD91" s="149"/>
      <c r="BE91" s="238">
        <f t="shared" si="66"/>
        <v>1</v>
      </c>
      <c r="BF91" s="218">
        <f t="shared" si="67"/>
        <v>400133160</v>
      </c>
      <c r="BG91" s="205">
        <f t="shared" si="64"/>
        <v>0</v>
      </c>
      <c r="BH91" s="205">
        <f t="shared" si="64"/>
        <v>400133160</v>
      </c>
      <c r="BI91" s="205">
        <f t="shared" si="64"/>
        <v>0</v>
      </c>
      <c r="BJ91" s="205">
        <f t="shared" si="64"/>
        <v>0</v>
      </c>
      <c r="BK91" s="205">
        <f t="shared" si="64"/>
        <v>0</v>
      </c>
      <c r="BL91" s="205">
        <f t="shared" si="64"/>
        <v>0</v>
      </c>
      <c r="BM91" s="205">
        <f t="shared" si="64"/>
        <v>0</v>
      </c>
      <c r="BN91" s="205">
        <f t="shared" si="64"/>
        <v>0</v>
      </c>
      <c r="BO91" s="205">
        <f t="shared" si="64"/>
        <v>0</v>
      </c>
      <c r="BP91" s="205">
        <f t="shared" si="64"/>
        <v>0</v>
      </c>
      <c r="BQ91" s="205">
        <f t="shared" si="64"/>
        <v>0</v>
      </c>
      <c r="BR91" s="205">
        <f t="shared" si="64"/>
        <v>0</v>
      </c>
      <c r="BS91" s="238">
        <f t="shared" si="68"/>
        <v>0</v>
      </c>
      <c r="BT91" s="218">
        <f t="shared" si="69"/>
        <v>0</v>
      </c>
      <c r="BU91" s="149"/>
      <c r="BV91" s="149"/>
      <c r="BW91" s="149"/>
      <c r="BX91" s="149"/>
      <c r="BY91" s="149"/>
      <c r="BZ91" s="149"/>
      <c r="CA91" s="149"/>
      <c r="CB91" s="149"/>
      <c r="CC91" s="149"/>
      <c r="CD91" s="149"/>
      <c r="CE91" s="149"/>
      <c r="CF91" s="149"/>
      <c r="CG91" s="238">
        <f t="shared" si="70"/>
        <v>1</v>
      </c>
      <c r="CH91" s="218">
        <f t="shared" si="71"/>
        <v>400133160</v>
      </c>
      <c r="CI91" s="205">
        <f t="shared" si="65"/>
        <v>0</v>
      </c>
      <c r="CJ91" s="205">
        <f t="shared" si="65"/>
        <v>400133160</v>
      </c>
      <c r="CK91" s="205">
        <f t="shared" si="65"/>
        <v>0</v>
      </c>
      <c r="CL91" s="205">
        <f t="shared" si="65"/>
        <v>0</v>
      </c>
      <c r="CM91" s="205">
        <f t="shared" si="65"/>
        <v>0</v>
      </c>
      <c r="CN91" s="205">
        <f t="shared" si="65"/>
        <v>0</v>
      </c>
      <c r="CO91" s="205">
        <f t="shared" si="65"/>
        <v>0</v>
      </c>
      <c r="CP91" s="205">
        <f t="shared" si="65"/>
        <v>0</v>
      </c>
      <c r="CQ91" s="205">
        <f t="shared" si="65"/>
        <v>0</v>
      </c>
      <c r="CR91" s="205">
        <f t="shared" si="65"/>
        <v>0</v>
      </c>
      <c r="CS91" s="205">
        <f t="shared" si="65"/>
        <v>0</v>
      </c>
      <c r="CT91" s="205">
        <f t="shared" si="65"/>
        <v>0</v>
      </c>
    </row>
    <row r="92" spans="1:98" ht="63.75" x14ac:dyDescent="0.25">
      <c r="A92" s="1244"/>
      <c r="B92" s="1246"/>
      <c r="C92" s="1244"/>
      <c r="D92" s="1246"/>
      <c r="E92" s="1244"/>
      <c r="F92" s="1246"/>
      <c r="G92" s="1277"/>
      <c r="H92" s="1277"/>
      <c r="I92" s="1284"/>
      <c r="J92" s="1209"/>
      <c r="K92" s="1209"/>
      <c r="L92" s="1209"/>
      <c r="M92" s="724"/>
      <c r="N92" s="707" t="s">
        <v>3904</v>
      </c>
      <c r="O92" s="154" t="s">
        <v>3907</v>
      </c>
      <c r="P92" s="155">
        <v>380000000</v>
      </c>
      <c r="Q92" s="155">
        <v>515000000</v>
      </c>
      <c r="R92" s="151">
        <v>111</v>
      </c>
      <c r="S92" s="157">
        <f t="shared" si="60"/>
        <v>478500000</v>
      </c>
      <c r="T92" s="740" t="s">
        <v>3359</v>
      </c>
      <c r="U92" s="149">
        <f>SUM(V92:AG92)</f>
        <v>36500000</v>
      </c>
      <c r="V92" s="149"/>
      <c r="W92" s="149"/>
      <c r="X92" s="149"/>
      <c r="Y92" s="149">
        <f>+'POAI 2011 INIC'!Q38</f>
        <v>36500000</v>
      </c>
      <c r="Z92" s="149"/>
      <c r="AA92" s="149"/>
      <c r="AB92" s="149"/>
      <c r="AC92" s="149"/>
      <c r="AD92" s="149"/>
      <c r="AE92" s="149"/>
      <c r="AF92" s="149"/>
      <c r="AG92" s="149"/>
      <c r="AI92" s="739">
        <f t="shared" si="61"/>
        <v>5800000</v>
      </c>
      <c r="AJ92" s="136">
        <v>5800000</v>
      </c>
      <c r="AK92" s="137"/>
      <c r="AL92" s="137"/>
      <c r="AM92" s="137"/>
      <c r="AN92" s="137"/>
      <c r="AO92" s="137"/>
      <c r="AP92" s="215"/>
      <c r="AQ92" s="238">
        <f t="shared" si="62"/>
        <v>0</v>
      </c>
      <c r="AR92" s="218">
        <f t="shared" si="63"/>
        <v>0</v>
      </c>
      <c r="AS92" s="149"/>
      <c r="AT92" s="149"/>
      <c r="AU92" s="149"/>
      <c r="AV92" s="149"/>
      <c r="AW92" s="149"/>
      <c r="AX92" s="149"/>
      <c r="AY92" s="149"/>
      <c r="AZ92" s="149"/>
      <c r="BA92" s="149"/>
      <c r="BB92" s="149"/>
      <c r="BC92" s="149"/>
      <c r="BD92" s="149"/>
      <c r="BE92" s="238">
        <f t="shared" si="66"/>
        <v>1</v>
      </c>
      <c r="BF92" s="218">
        <f t="shared" si="67"/>
        <v>36500000</v>
      </c>
      <c r="BG92" s="205">
        <f t="shared" si="64"/>
        <v>0</v>
      </c>
      <c r="BH92" s="205">
        <f t="shared" si="64"/>
        <v>0</v>
      </c>
      <c r="BI92" s="205">
        <f t="shared" si="64"/>
        <v>0</v>
      </c>
      <c r="BJ92" s="205">
        <f t="shared" si="64"/>
        <v>36500000</v>
      </c>
      <c r="BK92" s="205">
        <f t="shared" si="64"/>
        <v>0</v>
      </c>
      <c r="BL92" s="205">
        <f t="shared" si="64"/>
        <v>0</v>
      </c>
      <c r="BM92" s="205">
        <f t="shared" si="64"/>
        <v>0</v>
      </c>
      <c r="BN92" s="205">
        <f t="shared" si="64"/>
        <v>0</v>
      </c>
      <c r="BO92" s="205">
        <f t="shared" si="64"/>
        <v>0</v>
      </c>
      <c r="BP92" s="205">
        <f t="shared" si="64"/>
        <v>0</v>
      </c>
      <c r="BQ92" s="205">
        <f t="shared" si="64"/>
        <v>0</v>
      </c>
      <c r="BR92" s="205">
        <f t="shared" si="64"/>
        <v>0</v>
      </c>
      <c r="BS92" s="238">
        <f t="shared" si="68"/>
        <v>0</v>
      </c>
      <c r="BT92" s="218">
        <f t="shared" si="69"/>
        <v>0</v>
      </c>
      <c r="BU92" s="149"/>
      <c r="BV92" s="149"/>
      <c r="BW92" s="149"/>
      <c r="BX92" s="149"/>
      <c r="BY92" s="149"/>
      <c r="BZ92" s="149"/>
      <c r="CA92" s="149"/>
      <c r="CB92" s="149"/>
      <c r="CC92" s="149"/>
      <c r="CD92" s="149"/>
      <c r="CE92" s="149"/>
      <c r="CF92" s="149"/>
      <c r="CG92" s="238">
        <f t="shared" si="70"/>
        <v>1</v>
      </c>
      <c r="CH92" s="218">
        <f t="shared" si="71"/>
        <v>36500000</v>
      </c>
      <c r="CI92" s="205">
        <f t="shared" si="65"/>
        <v>0</v>
      </c>
      <c r="CJ92" s="205">
        <f t="shared" si="65"/>
        <v>0</v>
      </c>
      <c r="CK92" s="205">
        <f t="shared" si="65"/>
        <v>0</v>
      </c>
      <c r="CL92" s="205">
        <f t="shared" si="65"/>
        <v>36500000</v>
      </c>
      <c r="CM92" s="205">
        <f t="shared" si="65"/>
        <v>0</v>
      </c>
      <c r="CN92" s="205">
        <f t="shared" si="65"/>
        <v>0</v>
      </c>
      <c r="CO92" s="205">
        <f t="shared" si="65"/>
        <v>0</v>
      </c>
      <c r="CP92" s="205">
        <f t="shared" si="65"/>
        <v>0</v>
      </c>
      <c r="CQ92" s="205">
        <f t="shared" si="65"/>
        <v>0</v>
      </c>
      <c r="CR92" s="205">
        <f t="shared" si="65"/>
        <v>0</v>
      </c>
      <c r="CS92" s="205">
        <f t="shared" si="65"/>
        <v>0</v>
      </c>
      <c r="CT92" s="205">
        <f t="shared" si="65"/>
        <v>0</v>
      </c>
    </row>
    <row r="93" spans="1:98" ht="69" customHeight="1" x14ac:dyDescent="0.25">
      <c r="A93" s="1244"/>
      <c r="B93" s="1246"/>
      <c r="C93" s="1244"/>
      <c r="D93" s="1246"/>
      <c r="E93" s="1244"/>
      <c r="F93" s="1246"/>
      <c r="G93" s="1263"/>
      <c r="H93" s="1263"/>
      <c r="I93" s="1269"/>
      <c r="J93" s="1203"/>
      <c r="K93" s="1203"/>
      <c r="L93" s="1203"/>
      <c r="M93" s="102"/>
      <c r="N93" s="2" t="s">
        <v>3905</v>
      </c>
      <c r="O93" s="154" t="s">
        <v>3908</v>
      </c>
      <c r="P93" s="155">
        <v>260000000</v>
      </c>
      <c r="Q93" s="155">
        <v>260000000</v>
      </c>
      <c r="R93" s="151">
        <v>111</v>
      </c>
      <c r="S93" s="157">
        <f t="shared" si="60"/>
        <v>250000000</v>
      </c>
      <c r="T93" s="740" t="s">
        <v>3359</v>
      </c>
      <c r="U93" s="149">
        <f t="shared" si="13"/>
        <v>10000000</v>
      </c>
      <c r="V93" s="149"/>
      <c r="W93" s="149"/>
      <c r="X93" s="149"/>
      <c r="Y93" s="149"/>
      <c r="Z93" s="149">
        <f>+'POAI 2011 INIC'!R38</f>
        <v>10000000</v>
      </c>
      <c r="AA93" s="149"/>
      <c r="AB93" s="149"/>
      <c r="AC93" s="149"/>
      <c r="AD93" s="149"/>
      <c r="AE93" s="149"/>
      <c r="AF93" s="149"/>
      <c r="AG93" s="149"/>
      <c r="AI93" s="739">
        <f t="shared" si="61"/>
        <v>0</v>
      </c>
      <c r="AJ93" s="137"/>
      <c r="AK93" s="137"/>
      <c r="AL93" s="137"/>
      <c r="AM93" s="137"/>
      <c r="AN93" s="137"/>
      <c r="AO93" s="137"/>
      <c r="AP93" s="215"/>
      <c r="AQ93" s="238">
        <f t="shared" si="62"/>
        <v>0</v>
      </c>
      <c r="AR93" s="218">
        <f t="shared" si="63"/>
        <v>0</v>
      </c>
      <c r="AS93" s="149"/>
      <c r="AT93" s="149"/>
      <c r="AU93" s="149"/>
      <c r="AV93" s="149"/>
      <c r="AW93" s="149"/>
      <c r="AX93" s="149"/>
      <c r="AY93" s="149"/>
      <c r="AZ93" s="149"/>
      <c r="BA93" s="149"/>
      <c r="BB93" s="149"/>
      <c r="BC93" s="149"/>
      <c r="BD93" s="149"/>
      <c r="BE93" s="238">
        <f t="shared" si="66"/>
        <v>1</v>
      </c>
      <c r="BF93" s="218">
        <f t="shared" si="67"/>
        <v>10000000</v>
      </c>
      <c r="BG93" s="205">
        <f t="shared" si="64"/>
        <v>0</v>
      </c>
      <c r="BH93" s="205">
        <f t="shared" si="64"/>
        <v>0</v>
      </c>
      <c r="BI93" s="205">
        <f t="shared" si="64"/>
        <v>0</v>
      </c>
      <c r="BJ93" s="205">
        <f t="shared" si="64"/>
        <v>0</v>
      </c>
      <c r="BK93" s="205">
        <f t="shared" si="64"/>
        <v>10000000</v>
      </c>
      <c r="BL93" s="205">
        <f t="shared" si="64"/>
        <v>0</v>
      </c>
      <c r="BM93" s="205">
        <f t="shared" si="64"/>
        <v>0</v>
      </c>
      <c r="BN93" s="205">
        <f t="shared" si="64"/>
        <v>0</v>
      </c>
      <c r="BO93" s="205">
        <f t="shared" si="64"/>
        <v>0</v>
      </c>
      <c r="BP93" s="205">
        <f t="shared" si="64"/>
        <v>0</v>
      </c>
      <c r="BQ93" s="205">
        <f t="shared" si="64"/>
        <v>0</v>
      </c>
      <c r="BR93" s="205">
        <f t="shared" si="64"/>
        <v>0</v>
      </c>
      <c r="BS93" s="238">
        <f t="shared" si="68"/>
        <v>0</v>
      </c>
      <c r="BT93" s="218">
        <f t="shared" si="69"/>
        <v>0</v>
      </c>
      <c r="BU93" s="149"/>
      <c r="BV93" s="149"/>
      <c r="BW93" s="149"/>
      <c r="BX93" s="149"/>
      <c r="BY93" s="149"/>
      <c r="BZ93" s="149"/>
      <c r="CA93" s="149"/>
      <c r="CB93" s="149"/>
      <c r="CC93" s="149"/>
      <c r="CD93" s="149"/>
      <c r="CE93" s="149"/>
      <c r="CF93" s="149"/>
      <c r="CG93" s="238">
        <f t="shared" si="70"/>
        <v>1</v>
      </c>
      <c r="CH93" s="218">
        <f t="shared" si="71"/>
        <v>10000000</v>
      </c>
      <c r="CI93" s="205">
        <f t="shared" si="65"/>
        <v>0</v>
      </c>
      <c r="CJ93" s="205">
        <f t="shared" si="65"/>
        <v>0</v>
      </c>
      <c r="CK93" s="205">
        <f t="shared" si="65"/>
        <v>0</v>
      </c>
      <c r="CL93" s="205">
        <f t="shared" si="65"/>
        <v>0</v>
      </c>
      <c r="CM93" s="205">
        <f t="shared" si="65"/>
        <v>10000000</v>
      </c>
      <c r="CN93" s="205">
        <f t="shared" si="65"/>
        <v>0</v>
      </c>
      <c r="CO93" s="205">
        <f t="shared" si="65"/>
        <v>0</v>
      </c>
      <c r="CP93" s="205">
        <f t="shared" si="65"/>
        <v>0</v>
      </c>
      <c r="CQ93" s="205">
        <f t="shared" si="65"/>
        <v>0</v>
      </c>
      <c r="CR93" s="205">
        <f t="shared" si="65"/>
        <v>0</v>
      </c>
      <c r="CS93" s="205">
        <f t="shared" si="65"/>
        <v>0</v>
      </c>
      <c r="CT93" s="205">
        <f t="shared" si="65"/>
        <v>0</v>
      </c>
    </row>
    <row r="94" spans="1:98" ht="69.599999999999994" customHeight="1" x14ac:dyDescent="0.25">
      <c r="A94" s="1209" t="s">
        <v>2814</v>
      </c>
      <c r="B94" s="1209" t="s">
        <v>3138</v>
      </c>
      <c r="C94" s="1209" t="s">
        <v>3030</v>
      </c>
      <c r="D94" s="1209" t="s">
        <v>3259</v>
      </c>
      <c r="E94" s="1209" t="s">
        <v>3032</v>
      </c>
      <c r="F94" s="1209" t="s">
        <v>3188</v>
      </c>
      <c r="G94" s="1214">
        <v>300000000</v>
      </c>
      <c r="H94" s="1214">
        <v>680000000</v>
      </c>
      <c r="I94" s="1214">
        <v>680000000</v>
      </c>
      <c r="J94" s="1209" t="s">
        <v>3042</v>
      </c>
      <c r="K94" s="1209" t="s">
        <v>3226</v>
      </c>
      <c r="L94" s="1209">
        <v>20</v>
      </c>
      <c r="M94" s="746"/>
      <c r="N94" s="2" t="s">
        <v>3906</v>
      </c>
      <c r="O94" s="174" t="s">
        <v>3909</v>
      </c>
      <c r="P94" s="155">
        <v>50000000</v>
      </c>
      <c r="Q94" s="155">
        <v>58353559</v>
      </c>
      <c r="R94" s="151">
        <v>111</v>
      </c>
      <c r="S94" s="157">
        <f t="shared" si="60"/>
        <v>34853559</v>
      </c>
      <c r="T94" s="740" t="s">
        <v>3359</v>
      </c>
      <c r="U94" s="149">
        <f t="shared" si="13"/>
        <v>23500000</v>
      </c>
      <c r="V94" s="149"/>
      <c r="W94" s="149"/>
      <c r="X94" s="149"/>
      <c r="Y94" s="149"/>
      <c r="Z94" s="149"/>
      <c r="AA94" s="149">
        <f>+'POAI 2011 INIC'!S38</f>
        <v>23500000</v>
      </c>
      <c r="AB94" s="149"/>
      <c r="AC94" s="149"/>
      <c r="AD94" s="149"/>
      <c r="AE94" s="149"/>
      <c r="AF94" s="149"/>
      <c r="AG94" s="149"/>
      <c r="AI94" s="739">
        <f t="shared" si="61"/>
        <v>0</v>
      </c>
      <c r="AJ94" s="137"/>
      <c r="AK94" s="137"/>
      <c r="AL94" s="137"/>
      <c r="AM94" s="137"/>
      <c r="AN94" s="137"/>
      <c r="AO94" s="137"/>
      <c r="AP94" s="215"/>
      <c r="AQ94" s="238">
        <f t="shared" si="62"/>
        <v>0</v>
      </c>
      <c r="AR94" s="218">
        <f t="shared" si="63"/>
        <v>0</v>
      </c>
      <c r="AS94" s="149"/>
      <c r="AT94" s="149"/>
      <c r="AU94" s="149"/>
      <c r="AV94" s="149"/>
      <c r="AW94" s="149"/>
      <c r="AX94" s="149"/>
      <c r="AY94" s="149"/>
      <c r="AZ94" s="149"/>
      <c r="BA94" s="149"/>
      <c r="BB94" s="149"/>
      <c r="BC94" s="149"/>
      <c r="BD94" s="149"/>
      <c r="BE94" s="238">
        <f t="shared" si="66"/>
        <v>1</v>
      </c>
      <c r="BF94" s="218">
        <f t="shared" si="67"/>
        <v>23500000</v>
      </c>
      <c r="BG94" s="205">
        <f t="shared" si="64"/>
        <v>0</v>
      </c>
      <c r="BH94" s="205">
        <f t="shared" si="64"/>
        <v>0</v>
      </c>
      <c r="BI94" s="205">
        <f t="shared" si="64"/>
        <v>0</v>
      </c>
      <c r="BJ94" s="205">
        <f t="shared" si="64"/>
        <v>0</v>
      </c>
      <c r="BK94" s="205">
        <f t="shared" si="64"/>
        <v>0</v>
      </c>
      <c r="BL94" s="205">
        <f t="shared" si="64"/>
        <v>23500000</v>
      </c>
      <c r="BM94" s="205">
        <f t="shared" si="64"/>
        <v>0</v>
      </c>
      <c r="BN94" s="205">
        <f t="shared" si="64"/>
        <v>0</v>
      </c>
      <c r="BO94" s="205">
        <f t="shared" si="64"/>
        <v>0</v>
      </c>
      <c r="BP94" s="205">
        <f t="shared" si="64"/>
        <v>0</v>
      </c>
      <c r="BQ94" s="205">
        <f t="shared" si="64"/>
        <v>0</v>
      </c>
      <c r="BR94" s="205">
        <f t="shared" si="64"/>
        <v>0</v>
      </c>
      <c r="BS94" s="238">
        <f t="shared" si="68"/>
        <v>0</v>
      </c>
      <c r="BT94" s="218">
        <f t="shared" si="69"/>
        <v>0</v>
      </c>
      <c r="BU94" s="149"/>
      <c r="BV94" s="149"/>
      <c r="BW94" s="149"/>
      <c r="BX94" s="149"/>
      <c r="BY94" s="149"/>
      <c r="BZ94" s="149"/>
      <c r="CA94" s="149"/>
      <c r="CB94" s="149"/>
      <c r="CC94" s="149"/>
      <c r="CD94" s="149"/>
      <c r="CE94" s="149"/>
      <c r="CF94" s="149"/>
      <c r="CG94" s="238">
        <f t="shared" si="70"/>
        <v>1</v>
      </c>
      <c r="CH94" s="218">
        <f t="shared" si="71"/>
        <v>23500000</v>
      </c>
      <c r="CI94" s="205">
        <f t="shared" si="65"/>
        <v>0</v>
      </c>
      <c r="CJ94" s="205">
        <f t="shared" si="65"/>
        <v>0</v>
      </c>
      <c r="CK94" s="205">
        <f t="shared" si="65"/>
        <v>0</v>
      </c>
      <c r="CL94" s="205">
        <f t="shared" si="65"/>
        <v>0</v>
      </c>
      <c r="CM94" s="205">
        <f t="shared" si="65"/>
        <v>0</v>
      </c>
      <c r="CN94" s="205">
        <f t="shared" si="65"/>
        <v>23500000</v>
      </c>
      <c r="CO94" s="205">
        <f t="shared" si="65"/>
        <v>0</v>
      </c>
      <c r="CP94" s="205">
        <f t="shared" si="65"/>
        <v>0</v>
      </c>
      <c r="CQ94" s="205">
        <f t="shared" si="65"/>
        <v>0</v>
      </c>
      <c r="CR94" s="205">
        <f t="shared" si="65"/>
        <v>0</v>
      </c>
      <c r="CS94" s="205">
        <f t="shared" si="65"/>
        <v>0</v>
      </c>
      <c r="CT94" s="205">
        <f t="shared" si="65"/>
        <v>0</v>
      </c>
    </row>
    <row r="95" spans="1:98" ht="36" customHeight="1" x14ac:dyDescent="0.25">
      <c r="A95" s="1209"/>
      <c r="B95" s="1209"/>
      <c r="C95" s="1209"/>
      <c r="D95" s="1209"/>
      <c r="E95" s="1209"/>
      <c r="F95" s="1209"/>
      <c r="G95" s="1214"/>
      <c r="H95" s="1214"/>
      <c r="I95" s="1214"/>
      <c r="J95" s="1209"/>
      <c r="K95" s="1209"/>
      <c r="L95" s="1209"/>
      <c r="M95" s="746"/>
      <c r="N95" s="2" t="s">
        <v>4062</v>
      </c>
      <c r="O95" s="174" t="s">
        <v>3297</v>
      </c>
      <c r="P95" s="155"/>
      <c r="Q95" s="155"/>
      <c r="R95" s="151">
        <v>111</v>
      </c>
      <c r="S95" s="157"/>
      <c r="T95" s="730" t="s">
        <v>3359</v>
      </c>
      <c r="U95" s="149" t="e">
        <f t="shared" si="13"/>
        <v>#REF!</v>
      </c>
      <c r="V95" s="149"/>
      <c r="W95" s="149" t="e">
        <f>+'PLANINDICATIVO PD'!BA42</f>
        <v>#REF!</v>
      </c>
      <c r="X95" s="149" t="e">
        <f>+'PLANINDICATIVO PD'!BB42</f>
        <v>#REF!</v>
      </c>
      <c r="Y95" s="149"/>
      <c r="Z95" s="149"/>
      <c r="AA95" s="149"/>
      <c r="AB95" s="149" t="e">
        <f>+'PLANINDICATIVO PD'!BF42</f>
        <v>#REF!</v>
      </c>
      <c r="AC95" s="149"/>
      <c r="AD95" s="149" t="e">
        <f>+'PLANINDICATIVO PD'!BH42</f>
        <v>#REF!</v>
      </c>
      <c r="AE95" s="149"/>
      <c r="AF95" s="149"/>
      <c r="AG95" s="149"/>
      <c r="AI95" s="739"/>
      <c r="AJ95" s="137"/>
      <c r="AK95" s="137"/>
      <c r="AL95" s="137"/>
      <c r="AM95" s="137"/>
      <c r="AN95" s="137"/>
      <c r="AO95" s="137"/>
      <c r="AP95" s="215"/>
      <c r="AQ95" s="238" t="e">
        <f t="shared" si="62"/>
        <v>#REF!</v>
      </c>
      <c r="AR95" s="218" t="e">
        <f t="shared" si="63"/>
        <v>#REF!</v>
      </c>
      <c r="AS95" s="149"/>
      <c r="AT95" s="149" t="e">
        <f>+W95</f>
        <v>#REF!</v>
      </c>
      <c r="AU95" s="149">
        <v>642607943</v>
      </c>
      <c r="AV95" s="149"/>
      <c r="AW95" s="149"/>
      <c r="AX95" s="149"/>
      <c r="AY95" s="149">
        <v>1000000000</v>
      </c>
      <c r="AZ95" s="149"/>
      <c r="BA95" s="149" t="e">
        <v>#REF!</v>
      </c>
      <c r="BB95" s="149"/>
      <c r="BC95" s="149"/>
      <c r="BD95" s="149"/>
      <c r="BE95" s="238" t="e">
        <f t="shared" si="66"/>
        <v>#REF!</v>
      </c>
      <c r="BF95" s="218" t="e">
        <f t="shared" si="67"/>
        <v>#REF!</v>
      </c>
      <c r="BG95" s="205">
        <f t="shared" si="64"/>
        <v>0</v>
      </c>
      <c r="BH95" s="205" t="e">
        <f t="shared" si="64"/>
        <v>#REF!</v>
      </c>
      <c r="BI95" s="205" t="e">
        <f t="shared" si="64"/>
        <v>#REF!</v>
      </c>
      <c r="BJ95" s="205">
        <f t="shared" si="64"/>
        <v>0</v>
      </c>
      <c r="BK95" s="205">
        <f t="shared" si="64"/>
        <v>0</v>
      </c>
      <c r="BL95" s="205">
        <f t="shared" si="64"/>
        <v>0</v>
      </c>
      <c r="BM95" s="205" t="e">
        <f t="shared" si="64"/>
        <v>#REF!</v>
      </c>
      <c r="BN95" s="205">
        <f t="shared" si="64"/>
        <v>0</v>
      </c>
      <c r="BO95" s="205" t="e">
        <f t="shared" si="64"/>
        <v>#REF!</v>
      </c>
      <c r="BP95" s="205">
        <f t="shared" si="64"/>
        <v>0</v>
      </c>
      <c r="BQ95" s="205">
        <f t="shared" si="64"/>
        <v>0</v>
      </c>
      <c r="BR95" s="205">
        <f t="shared" si="64"/>
        <v>0</v>
      </c>
      <c r="BS95" s="238" t="e">
        <f t="shared" si="68"/>
        <v>#REF!</v>
      </c>
      <c r="BT95" s="218">
        <f t="shared" si="69"/>
        <v>0</v>
      </c>
      <c r="BU95" s="149"/>
      <c r="BV95" s="149"/>
      <c r="BW95" s="149"/>
      <c r="BX95" s="149"/>
      <c r="BY95" s="149"/>
      <c r="BZ95" s="149"/>
      <c r="CA95" s="149"/>
      <c r="CB95" s="149"/>
      <c r="CC95" s="149"/>
      <c r="CD95" s="149"/>
      <c r="CE95" s="149"/>
      <c r="CF95" s="149"/>
      <c r="CG95" s="238" t="e">
        <f t="shared" si="70"/>
        <v>#REF!</v>
      </c>
      <c r="CH95" s="218" t="e">
        <f t="shared" si="71"/>
        <v>#REF!</v>
      </c>
      <c r="CI95" s="205">
        <f t="shared" si="65"/>
        <v>0</v>
      </c>
      <c r="CJ95" s="205" t="e">
        <f t="shared" si="65"/>
        <v>#REF!</v>
      </c>
      <c r="CK95" s="205" t="e">
        <f t="shared" si="65"/>
        <v>#REF!</v>
      </c>
      <c r="CL95" s="205">
        <f t="shared" si="65"/>
        <v>0</v>
      </c>
      <c r="CM95" s="205">
        <f t="shared" si="65"/>
        <v>0</v>
      </c>
      <c r="CN95" s="205">
        <f t="shared" si="65"/>
        <v>0</v>
      </c>
      <c r="CO95" s="205" t="e">
        <f t="shared" si="65"/>
        <v>#REF!</v>
      </c>
      <c r="CP95" s="205">
        <f t="shared" si="65"/>
        <v>0</v>
      </c>
      <c r="CQ95" s="205" t="e">
        <f t="shared" si="65"/>
        <v>#REF!</v>
      </c>
      <c r="CR95" s="205">
        <f t="shared" si="65"/>
        <v>0</v>
      </c>
      <c r="CS95" s="205">
        <f t="shared" si="65"/>
        <v>0</v>
      </c>
      <c r="CT95" s="205">
        <f t="shared" si="65"/>
        <v>0</v>
      </c>
    </row>
    <row r="96" spans="1:98" ht="37.5" customHeight="1" x14ac:dyDescent="0.25">
      <c r="A96" s="1209"/>
      <c r="B96" s="1209"/>
      <c r="C96" s="1209"/>
      <c r="D96" s="1209"/>
      <c r="E96" s="1209"/>
      <c r="F96" s="1209"/>
      <c r="G96" s="1214"/>
      <c r="H96" s="1214"/>
      <c r="I96" s="1214"/>
      <c r="J96" s="1209"/>
      <c r="K96" s="1209"/>
      <c r="L96" s="1209"/>
      <c r="M96" s="729">
        <v>0</v>
      </c>
      <c r="N96" s="2" t="s">
        <v>3911</v>
      </c>
      <c r="O96" s="174" t="s">
        <v>3910</v>
      </c>
      <c r="P96" s="155">
        <v>10000000</v>
      </c>
      <c r="Q96" s="155">
        <v>21763332</v>
      </c>
      <c r="R96" s="151">
        <v>211</v>
      </c>
      <c r="S96" s="157">
        <f t="shared" ref="S96:S103" si="72">+Q96-U96</f>
        <v>-138236668</v>
      </c>
      <c r="T96" s="1202" t="s">
        <v>3916</v>
      </c>
      <c r="U96" s="149">
        <f t="shared" si="13"/>
        <v>160000000</v>
      </c>
      <c r="V96" s="149"/>
      <c r="W96" s="149">
        <f>+'POAI 2011 INIC'!O39-100000000+60000000</f>
        <v>160000000</v>
      </c>
      <c r="X96" s="149"/>
      <c r="Y96" s="149"/>
      <c r="Z96" s="149"/>
      <c r="AA96" s="149"/>
      <c r="AB96" s="149"/>
      <c r="AC96" s="149"/>
      <c r="AD96" s="149"/>
      <c r="AE96" s="149"/>
      <c r="AF96" s="149"/>
      <c r="AG96" s="149"/>
      <c r="AI96" s="739">
        <f t="shared" ref="AI96:AI103" si="73">SUM(AJ96:AP96)</f>
        <v>0</v>
      </c>
      <c r="AJ96" s="137"/>
      <c r="AK96" s="137"/>
      <c r="AL96" s="137"/>
      <c r="AM96" s="137"/>
      <c r="AN96" s="137"/>
      <c r="AO96" s="137"/>
      <c r="AP96" s="215"/>
      <c r="AQ96" s="238">
        <f t="shared" si="62"/>
        <v>0</v>
      </c>
      <c r="AR96" s="218">
        <f t="shared" si="63"/>
        <v>0</v>
      </c>
      <c r="AS96" s="149"/>
      <c r="AT96" s="149"/>
      <c r="AU96" s="149"/>
      <c r="AV96" s="149"/>
      <c r="AW96" s="149"/>
      <c r="AX96" s="149"/>
      <c r="AY96" s="149"/>
      <c r="AZ96" s="149"/>
      <c r="BA96" s="149"/>
      <c r="BB96" s="149"/>
      <c r="BC96" s="149"/>
      <c r="BD96" s="149"/>
      <c r="BE96" s="238">
        <f t="shared" si="66"/>
        <v>1</v>
      </c>
      <c r="BF96" s="218">
        <f t="shared" si="67"/>
        <v>160000000</v>
      </c>
      <c r="BG96" s="205">
        <f t="shared" si="64"/>
        <v>0</v>
      </c>
      <c r="BH96" s="205">
        <f t="shared" si="64"/>
        <v>160000000</v>
      </c>
      <c r="BI96" s="205">
        <f t="shared" si="64"/>
        <v>0</v>
      </c>
      <c r="BJ96" s="205">
        <f t="shared" si="64"/>
        <v>0</v>
      </c>
      <c r="BK96" s="205">
        <f t="shared" si="64"/>
        <v>0</v>
      </c>
      <c r="BL96" s="205">
        <f t="shared" si="64"/>
        <v>0</v>
      </c>
      <c r="BM96" s="205">
        <f t="shared" si="64"/>
        <v>0</v>
      </c>
      <c r="BN96" s="205">
        <f t="shared" si="64"/>
        <v>0</v>
      </c>
      <c r="BO96" s="205">
        <f t="shared" si="64"/>
        <v>0</v>
      </c>
      <c r="BP96" s="205">
        <f t="shared" si="64"/>
        <v>0</v>
      </c>
      <c r="BQ96" s="205">
        <f t="shared" si="64"/>
        <v>0</v>
      </c>
      <c r="BR96" s="205">
        <f t="shared" si="64"/>
        <v>0</v>
      </c>
      <c r="BS96" s="238">
        <f t="shared" si="68"/>
        <v>0</v>
      </c>
      <c r="BT96" s="218">
        <f t="shared" si="69"/>
        <v>0</v>
      </c>
      <c r="BU96" s="149"/>
      <c r="BV96" s="149"/>
      <c r="BW96" s="149"/>
      <c r="BX96" s="149"/>
      <c r="BY96" s="149"/>
      <c r="BZ96" s="149"/>
      <c r="CA96" s="149"/>
      <c r="CB96" s="149"/>
      <c r="CC96" s="149"/>
      <c r="CD96" s="149"/>
      <c r="CE96" s="149"/>
      <c r="CF96" s="149"/>
      <c r="CG96" s="238">
        <f t="shared" si="70"/>
        <v>1</v>
      </c>
      <c r="CH96" s="218">
        <f t="shared" si="71"/>
        <v>160000000</v>
      </c>
      <c r="CI96" s="205">
        <f t="shared" si="65"/>
        <v>0</v>
      </c>
      <c r="CJ96" s="205">
        <f t="shared" si="65"/>
        <v>160000000</v>
      </c>
      <c r="CK96" s="205">
        <f t="shared" si="65"/>
        <v>0</v>
      </c>
      <c r="CL96" s="205">
        <f t="shared" si="65"/>
        <v>0</v>
      </c>
      <c r="CM96" s="205">
        <f t="shared" si="65"/>
        <v>0</v>
      </c>
      <c r="CN96" s="205">
        <f t="shared" si="65"/>
        <v>0</v>
      </c>
      <c r="CO96" s="205">
        <f t="shared" si="65"/>
        <v>0</v>
      </c>
      <c r="CP96" s="205">
        <f t="shared" si="65"/>
        <v>0</v>
      </c>
      <c r="CQ96" s="205">
        <f t="shared" si="65"/>
        <v>0</v>
      </c>
      <c r="CR96" s="205">
        <f t="shared" si="65"/>
        <v>0</v>
      </c>
      <c r="CS96" s="205">
        <f t="shared" si="65"/>
        <v>0</v>
      </c>
      <c r="CT96" s="205">
        <f t="shared" si="65"/>
        <v>0</v>
      </c>
    </row>
    <row r="97" spans="1:103" ht="44.25" customHeight="1" x14ac:dyDescent="0.25">
      <c r="A97" s="1209"/>
      <c r="B97" s="1209"/>
      <c r="C97" s="1209"/>
      <c r="D97" s="1209"/>
      <c r="E97" s="1209"/>
      <c r="F97" s="1209"/>
      <c r="G97" s="1214"/>
      <c r="H97" s="1214"/>
      <c r="I97" s="1214"/>
      <c r="J97" s="1209"/>
      <c r="K97" s="1209"/>
      <c r="L97" s="1209"/>
      <c r="M97" s="128"/>
      <c r="N97" s="2" t="s">
        <v>3912</v>
      </c>
      <c r="O97" s="174" t="s">
        <v>3917</v>
      </c>
      <c r="P97" s="155">
        <v>30000000</v>
      </c>
      <c r="Q97" s="155">
        <v>68513332</v>
      </c>
      <c r="R97" s="151">
        <v>211</v>
      </c>
      <c r="S97" s="157">
        <f t="shared" si="72"/>
        <v>-81621449</v>
      </c>
      <c r="T97" s="1202"/>
      <c r="U97" s="149">
        <f t="shared" si="13"/>
        <v>150134781</v>
      </c>
      <c r="V97" s="149"/>
      <c r="W97" s="149">
        <f>100000000+50134781</f>
        <v>150134781</v>
      </c>
      <c r="X97" s="149"/>
      <c r="Y97" s="149"/>
      <c r="Z97" s="149"/>
      <c r="AA97" s="149"/>
      <c r="AB97" s="149"/>
      <c r="AC97" s="149"/>
      <c r="AD97" s="149"/>
      <c r="AE97" s="149"/>
      <c r="AF97" s="149"/>
      <c r="AG97" s="149"/>
      <c r="AI97" s="739">
        <f t="shared" si="73"/>
        <v>0</v>
      </c>
      <c r="AJ97" s="137"/>
      <c r="AK97" s="137"/>
      <c r="AL97" s="137"/>
      <c r="AM97" s="137"/>
      <c r="AN97" s="137"/>
      <c r="AO97" s="137"/>
      <c r="AP97" s="215"/>
      <c r="AQ97" s="238">
        <f t="shared" si="62"/>
        <v>0</v>
      </c>
      <c r="AR97" s="218">
        <f t="shared" si="63"/>
        <v>0</v>
      </c>
      <c r="AS97" s="149"/>
      <c r="AT97" s="149"/>
      <c r="AU97" s="149"/>
      <c r="AV97" s="149"/>
      <c r="AW97" s="149"/>
      <c r="AX97" s="149"/>
      <c r="AY97" s="149"/>
      <c r="AZ97" s="149"/>
      <c r="BA97" s="149"/>
      <c r="BB97" s="149"/>
      <c r="BC97" s="149"/>
      <c r="BD97" s="149"/>
      <c r="BE97" s="238">
        <f t="shared" si="66"/>
        <v>1</v>
      </c>
      <c r="BF97" s="218">
        <f t="shared" si="67"/>
        <v>150134781</v>
      </c>
      <c r="BG97" s="205">
        <f t="shared" si="64"/>
        <v>0</v>
      </c>
      <c r="BH97" s="205">
        <f t="shared" si="64"/>
        <v>150134781</v>
      </c>
      <c r="BI97" s="205">
        <f t="shared" si="64"/>
        <v>0</v>
      </c>
      <c r="BJ97" s="205">
        <f t="shared" si="64"/>
        <v>0</v>
      </c>
      <c r="BK97" s="205">
        <f t="shared" si="64"/>
        <v>0</v>
      </c>
      <c r="BL97" s="205">
        <f t="shared" si="64"/>
        <v>0</v>
      </c>
      <c r="BM97" s="205">
        <f t="shared" si="64"/>
        <v>0</v>
      </c>
      <c r="BN97" s="205">
        <f t="shared" si="64"/>
        <v>0</v>
      </c>
      <c r="BO97" s="205">
        <f t="shared" si="64"/>
        <v>0</v>
      </c>
      <c r="BP97" s="205">
        <f t="shared" si="64"/>
        <v>0</v>
      </c>
      <c r="BQ97" s="205">
        <f t="shared" si="64"/>
        <v>0</v>
      </c>
      <c r="BR97" s="205">
        <f t="shared" si="64"/>
        <v>0</v>
      </c>
      <c r="BS97" s="238">
        <f t="shared" si="68"/>
        <v>0</v>
      </c>
      <c r="BT97" s="218">
        <f t="shared" si="69"/>
        <v>0</v>
      </c>
      <c r="BU97" s="149"/>
      <c r="BV97" s="149"/>
      <c r="BW97" s="149"/>
      <c r="BX97" s="149"/>
      <c r="BY97" s="149"/>
      <c r="BZ97" s="149"/>
      <c r="CA97" s="149"/>
      <c r="CB97" s="149"/>
      <c r="CC97" s="149"/>
      <c r="CD97" s="149"/>
      <c r="CE97" s="149"/>
      <c r="CF97" s="149"/>
      <c r="CG97" s="238">
        <f t="shared" si="70"/>
        <v>1</v>
      </c>
      <c r="CH97" s="218">
        <f t="shared" si="71"/>
        <v>150134781</v>
      </c>
      <c r="CI97" s="205">
        <f t="shared" si="65"/>
        <v>0</v>
      </c>
      <c r="CJ97" s="205">
        <f t="shared" si="65"/>
        <v>150134781</v>
      </c>
      <c r="CK97" s="205">
        <f t="shared" si="65"/>
        <v>0</v>
      </c>
      <c r="CL97" s="205">
        <f t="shared" si="65"/>
        <v>0</v>
      </c>
      <c r="CM97" s="205">
        <f t="shared" si="65"/>
        <v>0</v>
      </c>
      <c r="CN97" s="205">
        <f t="shared" si="65"/>
        <v>0</v>
      </c>
      <c r="CO97" s="205">
        <f t="shared" si="65"/>
        <v>0</v>
      </c>
      <c r="CP97" s="205">
        <f t="shared" si="65"/>
        <v>0</v>
      </c>
      <c r="CQ97" s="205">
        <f t="shared" si="65"/>
        <v>0</v>
      </c>
      <c r="CR97" s="205">
        <f t="shared" si="65"/>
        <v>0</v>
      </c>
      <c r="CS97" s="205">
        <f t="shared" si="65"/>
        <v>0</v>
      </c>
      <c r="CT97" s="205">
        <f t="shared" si="65"/>
        <v>0</v>
      </c>
    </row>
    <row r="98" spans="1:103" ht="37.9" customHeight="1" x14ac:dyDescent="0.25">
      <c r="A98" s="1209"/>
      <c r="B98" s="1209"/>
      <c r="C98" s="1209"/>
      <c r="D98" s="1209"/>
      <c r="E98" s="1209"/>
      <c r="F98" s="1209"/>
      <c r="G98" s="1214"/>
      <c r="H98" s="1214"/>
      <c r="I98" s="1214"/>
      <c r="J98" s="1209"/>
      <c r="K98" s="1209"/>
      <c r="L98" s="1209"/>
      <c r="M98" s="128"/>
      <c r="N98" s="2" t="s">
        <v>3913</v>
      </c>
      <c r="O98" s="174" t="s">
        <v>3918</v>
      </c>
      <c r="P98" s="155">
        <v>590000000</v>
      </c>
      <c r="Q98" s="155">
        <v>907756276</v>
      </c>
      <c r="R98" s="151">
        <v>211</v>
      </c>
      <c r="S98" s="157">
        <f t="shared" si="72"/>
        <v>888985876</v>
      </c>
      <c r="T98" s="1202"/>
      <c r="U98" s="149">
        <f t="shared" si="13"/>
        <v>18770400</v>
      </c>
      <c r="V98" s="149"/>
      <c r="W98" s="149"/>
      <c r="X98" s="149"/>
      <c r="Y98" s="149">
        <f>+'POAI 2011 INIC'!Q39-Y99</f>
        <v>18770400</v>
      </c>
      <c r="Z98" s="149"/>
      <c r="AA98" s="149"/>
      <c r="AB98" s="149"/>
      <c r="AC98" s="149"/>
      <c r="AD98" s="149"/>
      <c r="AE98" s="149"/>
      <c r="AF98" s="149"/>
      <c r="AG98" s="149"/>
      <c r="AI98" s="739">
        <f t="shared" si="73"/>
        <v>137396662</v>
      </c>
      <c r="AJ98" s="728">
        <v>5514467</v>
      </c>
      <c r="AK98" s="728"/>
      <c r="AL98" s="728"/>
      <c r="AM98" s="728">
        <v>131882195</v>
      </c>
      <c r="AN98" s="728"/>
      <c r="AO98" s="728"/>
      <c r="AP98" s="212"/>
      <c r="AQ98" s="238">
        <f t="shared" si="62"/>
        <v>0</v>
      </c>
      <c r="AR98" s="218">
        <f t="shared" si="63"/>
        <v>0</v>
      </c>
      <c r="AS98" s="149"/>
      <c r="AT98" s="149"/>
      <c r="AU98" s="149"/>
      <c r="AV98" s="149"/>
      <c r="AW98" s="149"/>
      <c r="AX98" s="149"/>
      <c r="AY98" s="149"/>
      <c r="AZ98" s="149"/>
      <c r="BA98" s="149"/>
      <c r="BB98" s="149"/>
      <c r="BC98" s="149"/>
      <c r="BD98" s="149"/>
      <c r="BE98" s="238">
        <f t="shared" si="66"/>
        <v>1</v>
      </c>
      <c r="BF98" s="218">
        <f t="shared" si="67"/>
        <v>18770400</v>
      </c>
      <c r="BG98" s="205">
        <f t="shared" si="64"/>
        <v>0</v>
      </c>
      <c r="BH98" s="205">
        <f t="shared" si="64"/>
        <v>0</v>
      </c>
      <c r="BI98" s="205">
        <f t="shared" si="64"/>
        <v>0</v>
      </c>
      <c r="BJ98" s="205">
        <f t="shared" si="64"/>
        <v>18770400</v>
      </c>
      <c r="BK98" s="205">
        <f t="shared" si="64"/>
        <v>0</v>
      </c>
      <c r="BL98" s="205">
        <f t="shared" si="64"/>
        <v>0</v>
      </c>
      <c r="BM98" s="205">
        <f t="shared" si="64"/>
        <v>0</v>
      </c>
      <c r="BN98" s="205">
        <f t="shared" si="64"/>
        <v>0</v>
      </c>
      <c r="BO98" s="205">
        <f t="shared" si="64"/>
        <v>0</v>
      </c>
      <c r="BP98" s="205">
        <f t="shared" si="64"/>
        <v>0</v>
      </c>
      <c r="BQ98" s="205">
        <f t="shared" si="64"/>
        <v>0</v>
      </c>
      <c r="BR98" s="205">
        <f t="shared" si="64"/>
        <v>0</v>
      </c>
      <c r="BS98" s="238">
        <f t="shared" si="68"/>
        <v>0</v>
      </c>
      <c r="BT98" s="218">
        <f t="shared" si="69"/>
        <v>0</v>
      </c>
      <c r="BU98" s="149"/>
      <c r="BV98" s="149"/>
      <c r="BW98" s="149"/>
      <c r="BX98" s="149"/>
      <c r="BY98" s="149"/>
      <c r="BZ98" s="149"/>
      <c r="CA98" s="149"/>
      <c r="CB98" s="149"/>
      <c r="CC98" s="149"/>
      <c r="CD98" s="149"/>
      <c r="CE98" s="149"/>
      <c r="CF98" s="149"/>
      <c r="CG98" s="238">
        <f t="shared" si="70"/>
        <v>1</v>
      </c>
      <c r="CH98" s="218">
        <f t="shared" si="71"/>
        <v>18770400</v>
      </c>
      <c r="CI98" s="205">
        <f t="shared" si="65"/>
        <v>0</v>
      </c>
      <c r="CJ98" s="205">
        <f t="shared" si="65"/>
        <v>0</v>
      </c>
      <c r="CK98" s="205">
        <f t="shared" si="65"/>
        <v>0</v>
      </c>
      <c r="CL98" s="205">
        <f t="shared" si="65"/>
        <v>18770400</v>
      </c>
      <c r="CM98" s="205">
        <f t="shared" si="65"/>
        <v>0</v>
      </c>
      <c r="CN98" s="205">
        <f t="shared" si="65"/>
        <v>0</v>
      </c>
      <c r="CO98" s="205">
        <f t="shared" si="65"/>
        <v>0</v>
      </c>
      <c r="CP98" s="205">
        <f t="shared" si="65"/>
        <v>0</v>
      </c>
      <c r="CQ98" s="205">
        <f t="shared" si="65"/>
        <v>0</v>
      </c>
      <c r="CR98" s="205">
        <f t="shared" si="65"/>
        <v>0</v>
      </c>
      <c r="CS98" s="205">
        <f t="shared" si="65"/>
        <v>0</v>
      </c>
      <c r="CT98" s="205">
        <f t="shared" si="65"/>
        <v>0</v>
      </c>
    </row>
    <row r="99" spans="1:103" ht="38.25" x14ac:dyDescent="0.25">
      <c r="A99" s="1209" t="s">
        <v>2814</v>
      </c>
      <c r="B99" s="1209" t="s">
        <v>3138</v>
      </c>
      <c r="C99" s="1209" t="s">
        <v>3030</v>
      </c>
      <c r="D99" s="1209" t="s">
        <v>3259</v>
      </c>
      <c r="E99" s="1209" t="s">
        <v>3032</v>
      </c>
      <c r="F99" s="1209" t="s">
        <v>3193</v>
      </c>
      <c r="G99" s="1214">
        <v>2300000000</v>
      </c>
      <c r="H99" s="1214">
        <v>2650000000</v>
      </c>
      <c r="I99" s="1214">
        <v>2750000000</v>
      </c>
      <c r="J99" s="1209" t="s">
        <v>3052</v>
      </c>
      <c r="K99" s="1209" t="s">
        <v>3227</v>
      </c>
      <c r="L99" s="1203">
        <v>16</v>
      </c>
      <c r="M99" s="106">
        <v>0</v>
      </c>
      <c r="N99" s="2" t="s">
        <v>3914</v>
      </c>
      <c r="O99" s="154" t="s">
        <v>3919</v>
      </c>
      <c r="P99" s="155">
        <v>100000000</v>
      </c>
      <c r="Q99" s="155">
        <v>86318000</v>
      </c>
      <c r="R99" s="151">
        <v>211</v>
      </c>
      <c r="S99" s="157">
        <f t="shared" si="72"/>
        <v>68318000</v>
      </c>
      <c r="T99" s="1202"/>
      <c r="U99" s="149">
        <f t="shared" si="13"/>
        <v>18000000</v>
      </c>
      <c r="V99" s="149"/>
      <c r="W99" s="149"/>
      <c r="X99" s="149"/>
      <c r="Y99" s="149">
        <v>18000000</v>
      </c>
      <c r="Z99" s="149"/>
      <c r="AA99" s="149"/>
      <c r="AB99" s="149"/>
      <c r="AC99" s="149"/>
      <c r="AD99" s="149"/>
      <c r="AE99" s="149"/>
      <c r="AF99" s="149"/>
      <c r="AG99" s="149"/>
      <c r="AH99" s="203"/>
      <c r="AI99" s="204">
        <f t="shared" si="73"/>
        <v>0</v>
      </c>
      <c r="AJ99" s="147"/>
      <c r="AK99" s="147"/>
      <c r="AL99" s="147"/>
      <c r="AM99" s="147"/>
      <c r="AN99" s="147"/>
      <c r="AO99" s="147"/>
      <c r="AP99" s="213"/>
      <c r="AQ99" s="238">
        <f t="shared" si="62"/>
        <v>0</v>
      </c>
      <c r="AR99" s="218">
        <f t="shared" si="63"/>
        <v>0</v>
      </c>
      <c r="AS99" s="149"/>
      <c r="AT99" s="149"/>
      <c r="AU99" s="149"/>
      <c r="AV99" s="149"/>
      <c r="AW99" s="149"/>
      <c r="AX99" s="149"/>
      <c r="AY99" s="149"/>
      <c r="AZ99" s="149"/>
      <c r="BA99" s="149"/>
      <c r="BB99" s="149"/>
      <c r="BC99" s="149"/>
      <c r="BD99" s="149"/>
      <c r="BE99" s="238">
        <f t="shared" si="66"/>
        <v>1</v>
      </c>
      <c r="BF99" s="218">
        <f t="shared" si="67"/>
        <v>18000000</v>
      </c>
      <c r="BG99" s="205">
        <f t="shared" si="64"/>
        <v>0</v>
      </c>
      <c r="BH99" s="205">
        <f t="shared" si="64"/>
        <v>0</v>
      </c>
      <c r="BI99" s="205">
        <f t="shared" si="64"/>
        <v>0</v>
      </c>
      <c r="BJ99" s="205">
        <f t="shared" si="64"/>
        <v>18000000</v>
      </c>
      <c r="BK99" s="205">
        <f t="shared" si="64"/>
        <v>0</v>
      </c>
      <c r="BL99" s="205">
        <f t="shared" si="64"/>
        <v>0</v>
      </c>
      <c r="BM99" s="205">
        <f t="shared" si="64"/>
        <v>0</v>
      </c>
      <c r="BN99" s="205">
        <f t="shared" si="64"/>
        <v>0</v>
      </c>
      <c r="BO99" s="205">
        <f t="shared" si="64"/>
        <v>0</v>
      </c>
      <c r="BP99" s="205">
        <f t="shared" si="64"/>
        <v>0</v>
      </c>
      <c r="BQ99" s="205">
        <f t="shared" si="64"/>
        <v>0</v>
      </c>
      <c r="BR99" s="205">
        <f t="shared" si="64"/>
        <v>0</v>
      </c>
      <c r="BS99" s="238">
        <f t="shared" si="68"/>
        <v>0</v>
      </c>
      <c r="BT99" s="218">
        <f t="shared" si="69"/>
        <v>0</v>
      </c>
      <c r="BU99" s="149"/>
      <c r="BV99" s="149"/>
      <c r="BW99" s="149"/>
      <c r="BX99" s="149"/>
      <c r="BY99" s="149"/>
      <c r="BZ99" s="149"/>
      <c r="CA99" s="149"/>
      <c r="CB99" s="149"/>
      <c r="CC99" s="149"/>
      <c r="CD99" s="149"/>
      <c r="CE99" s="149"/>
      <c r="CF99" s="149"/>
      <c r="CG99" s="238">
        <f t="shared" si="70"/>
        <v>1</v>
      </c>
      <c r="CH99" s="218">
        <f t="shared" si="71"/>
        <v>18000000</v>
      </c>
      <c r="CI99" s="205">
        <f t="shared" si="65"/>
        <v>0</v>
      </c>
      <c r="CJ99" s="205">
        <f t="shared" si="65"/>
        <v>0</v>
      </c>
      <c r="CK99" s="205">
        <f t="shared" si="65"/>
        <v>0</v>
      </c>
      <c r="CL99" s="205">
        <f t="shared" si="65"/>
        <v>18000000</v>
      </c>
      <c r="CM99" s="205">
        <f t="shared" si="65"/>
        <v>0</v>
      </c>
      <c r="CN99" s="205">
        <f t="shared" si="65"/>
        <v>0</v>
      </c>
      <c r="CO99" s="205">
        <f t="shared" si="65"/>
        <v>0</v>
      </c>
      <c r="CP99" s="205">
        <f t="shared" si="65"/>
        <v>0</v>
      </c>
      <c r="CQ99" s="205">
        <f t="shared" si="65"/>
        <v>0</v>
      </c>
      <c r="CR99" s="205">
        <f t="shared" si="65"/>
        <v>0</v>
      </c>
      <c r="CS99" s="205">
        <f t="shared" si="65"/>
        <v>0</v>
      </c>
      <c r="CT99" s="205">
        <f t="shared" si="65"/>
        <v>0</v>
      </c>
      <c r="CY99" s="1">
        <f>291587223+60824632+768353980+1675000000</f>
        <v>2795765835</v>
      </c>
    </row>
    <row r="100" spans="1:103" ht="39.75" customHeight="1" x14ac:dyDescent="0.25">
      <c r="A100" s="1209"/>
      <c r="B100" s="1209"/>
      <c r="C100" s="1209"/>
      <c r="D100" s="1209"/>
      <c r="E100" s="1209"/>
      <c r="F100" s="1209"/>
      <c r="G100" s="1214"/>
      <c r="H100" s="1214"/>
      <c r="I100" s="1214"/>
      <c r="J100" s="1209"/>
      <c r="K100" s="1209"/>
      <c r="L100" s="1204"/>
      <c r="M100" s="724"/>
      <c r="N100" s="2" t="s">
        <v>3915</v>
      </c>
      <c r="O100" s="154" t="s">
        <v>3920</v>
      </c>
      <c r="P100" s="155">
        <v>100000000</v>
      </c>
      <c r="Q100" s="155">
        <v>400049000</v>
      </c>
      <c r="R100" s="151">
        <v>211</v>
      </c>
      <c r="S100" s="157">
        <f t="shared" si="72"/>
        <v>395049000</v>
      </c>
      <c r="T100" s="1202"/>
      <c r="U100" s="149">
        <f t="shared" ref="U100:U105" si="74">SUM(V100:AG100)</f>
        <v>5000000</v>
      </c>
      <c r="V100" s="149"/>
      <c r="W100" s="149"/>
      <c r="X100" s="149"/>
      <c r="Y100" s="149"/>
      <c r="Z100" s="149">
        <f>+'POAI 2011 INIC'!R39-Z101</f>
        <v>5000000</v>
      </c>
      <c r="AA100" s="149"/>
      <c r="AB100" s="149"/>
      <c r="AC100" s="149"/>
      <c r="AD100" s="149"/>
      <c r="AE100" s="149"/>
      <c r="AF100" s="149"/>
      <c r="AG100" s="149"/>
      <c r="AH100" s="203"/>
      <c r="AI100" s="204">
        <f t="shared" si="73"/>
        <v>0</v>
      </c>
      <c r="AJ100" s="147"/>
      <c r="AK100" s="147"/>
      <c r="AL100" s="147"/>
      <c r="AM100" s="147"/>
      <c r="AN100" s="147"/>
      <c r="AO100" s="147"/>
      <c r="AP100" s="213"/>
      <c r="AQ100" s="238">
        <f t="shared" si="62"/>
        <v>0</v>
      </c>
      <c r="AR100" s="218">
        <f t="shared" si="63"/>
        <v>0</v>
      </c>
      <c r="AS100" s="149"/>
      <c r="AT100" s="149"/>
      <c r="AU100" s="149"/>
      <c r="AV100" s="149"/>
      <c r="AW100" s="149"/>
      <c r="AX100" s="149"/>
      <c r="AY100" s="149"/>
      <c r="AZ100" s="149"/>
      <c r="BA100" s="149"/>
      <c r="BB100" s="149"/>
      <c r="BC100" s="149"/>
      <c r="BD100" s="149"/>
      <c r="BE100" s="238">
        <f t="shared" si="66"/>
        <v>1</v>
      </c>
      <c r="BF100" s="218">
        <f t="shared" si="67"/>
        <v>5000000</v>
      </c>
      <c r="BG100" s="205">
        <f t="shared" si="64"/>
        <v>0</v>
      </c>
      <c r="BH100" s="205">
        <f t="shared" si="64"/>
        <v>0</v>
      </c>
      <c r="BI100" s="205">
        <f t="shared" si="64"/>
        <v>0</v>
      </c>
      <c r="BJ100" s="205">
        <f t="shared" si="64"/>
        <v>0</v>
      </c>
      <c r="BK100" s="205">
        <f t="shared" si="64"/>
        <v>5000000</v>
      </c>
      <c r="BL100" s="205">
        <f t="shared" si="64"/>
        <v>0</v>
      </c>
      <c r="BM100" s="205">
        <f t="shared" si="64"/>
        <v>0</v>
      </c>
      <c r="BN100" s="205">
        <f t="shared" si="64"/>
        <v>0</v>
      </c>
      <c r="BO100" s="205">
        <f t="shared" si="64"/>
        <v>0</v>
      </c>
      <c r="BP100" s="205">
        <f t="shared" si="64"/>
        <v>0</v>
      </c>
      <c r="BQ100" s="205">
        <f t="shared" si="64"/>
        <v>0</v>
      </c>
      <c r="BR100" s="205">
        <f t="shared" si="64"/>
        <v>0</v>
      </c>
      <c r="BS100" s="238">
        <f t="shared" si="68"/>
        <v>0</v>
      </c>
      <c r="BT100" s="218">
        <f t="shared" si="69"/>
        <v>0</v>
      </c>
      <c r="BU100" s="149"/>
      <c r="BV100" s="149"/>
      <c r="BW100" s="149"/>
      <c r="BX100" s="149"/>
      <c r="BY100" s="149"/>
      <c r="BZ100" s="149"/>
      <c r="CA100" s="149"/>
      <c r="CB100" s="149"/>
      <c r="CC100" s="149"/>
      <c r="CD100" s="149"/>
      <c r="CE100" s="149"/>
      <c r="CF100" s="149"/>
      <c r="CG100" s="238">
        <f t="shared" si="70"/>
        <v>1</v>
      </c>
      <c r="CH100" s="218">
        <f t="shared" si="71"/>
        <v>5000000</v>
      </c>
      <c r="CI100" s="205">
        <f t="shared" si="65"/>
        <v>0</v>
      </c>
      <c r="CJ100" s="205">
        <f t="shared" si="65"/>
        <v>0</v>
      </c>
      <c r="CK100" s="205">
        <f t="shared" si="65"/>
        <v>0</v>
      </c>
      <c r="CL100" s="205">
        <f t="shared" si="65"/>
        <v>0</v>
      </c>
      <c r="CM100" s="205">
        <f t="shared" si="65"/>
        <v>5000000</v>
      </c>
      <c r="CN100" s="205">
        <f t="shared" si="65"/>
        <v>0</v>
      </c>
      <c r="CO100" s="205">
        <f t="shared" si="65"/>
        <v>0</v>
      </c>
      <c r="CP100" s="205">
        <f t="shared" si="65"/>
        <v>0</v>
      </c>
      <c r="CQ100" s="205">
        <f t="shared" si="65"/>
        <v>0</v>
      </c>
      <c r="CR100" s="205">
        <f t="shared" si="65"/>
        <v>0</v>
      </c>
      <c r="CS100" s="205">
        <f t="shared" si="65"/>
        <v>0</v>
      </c>
      <c r="CT100" s="205">
        <f t="shared" si="65"/>
        <v>0</v>
      </c>
    </row>
    <row r="101" spans="1:103" ht="42" customHeight="1" x14ac:dyDescent="0.25">
      <c r="A101" s="1209"/>
      <c r="B101" s="1209"/>
      <c r="C101" s="1209"/>
      <c r="D101" s="1209"/>
      <c r="E101" s="1209"/>
      <c r="F101" s="1209"/>
      <c r="G101" s="1214"/>
      <c r="H101" s="1214"/>
      <c r="I101" s="1214"/>
      <c r="J101" s="1209"/>
      <c r="K101" s="1209"/>
      <c r="L101" s="1204"/>
      <c r="M101" s="724"/>
      <c r="N101" s="2" t="s">
        <v>3921</v>
      </c>
      <c r="O101" s="154" t="s">
        <v>3924</v>
      </c>
      <c r="P101" s="155">
        <v>50000000</v>
      </c>
      <c r="Q101" s="155">
        <v>14752000</v>
      </c>
      <c r="R101" s="151">
        <v>211</v>
      </c>
      <c r="S101" s="157">
        <f t="shared" si="72"/>
        <v>9752000</v>
      </c>
      <c r="T101" s="1199" t="s">
        <v>3361</v>
      </c>
      <c r="U101" s="149">
        <f t="shared" si="74"/>
        <v>5000000</v>
      </c>
      <c r="V101" s="149"/>
      <c r="W101" s="149"/>
      <c r="X101" s="149"/>
      <c r="Y101" s="149"/>
      <c r="Z101" s="149">
        <v>5000000</v>
      </c>
      <c r="AA101" s="149"/>
      <c r="AB101" s="149"/>
      <c r="AC101" s="149"/>
      <c r="AD101" s="149"/>
      <c r="AE101" s="149"/>
      <c r="AF101" s="149"/>
      <c r="AG101" s="149"/>
      <c r="AH101" s="203"/>
      <c r="AI101" s="204">
        <f t="shared" si="73"/>
        <v>0</v>
      </c>
      <c r="AJ101" s="147"/>
      <c r="AK101" s="147"/>
      <c r="AL101" s="147"/>
      <c r="AM101" s="147"/>
      <c r="AN101" s="147"/>
      <c r="AO101" s="147"/>
      <c r="AP101" s="213"/>
      <c r="AQ101" s="238">
        <f t="shared" si="62"/>
        <v>0</v>
      </c>
      <c r="AR101" s="218">
        <f t="shared" si="63"/>
        <v>0</v>
      </c>
      <c r="AS101" s="149"/>
      <c r="AT101" s="149"/>
      <c r="AU101" s="149"/>
      <c r="AV101" s="149"/>
      <c r="AW101" s="149"/>
      <c r="AX101" s="149"/>
      <c r="AY101" s="149"/>
      <c r="AZ101" s="149"/>
      <c r="BA101" s="149"/>
      <c r="BB101" s="149"/>
      <c r="BC101" s="149"/>
      <c r="BD101" s="149"/>
      <c r="BE101" s="238">
        <f t="shared" si="66"/>
        <v>1</v>
      </c>
      <c r="BF101" s="218">
        <f t="shared" si="67"/>
        <v>5000000</v>
      </c>
      <c r="BG101" s="205">
        <f t="shared" si="64"/>
        <v>0</v>
      </c>
      <c r="BH101" s="205">
        <f t="shared" si="64"/>
        <v>0</v>
      </c>
      <c r="BI101" s="205">
        <f t="shared" si="64"/>
        <v>0</v>
      </c>
      <c r="BJ101" s="205">
        <f t="shared" si="64"/>
        <v>0</v>
      </c>
      <c r="BK101" s="205">
        <f t="shared" si="64"/>
        <v>5000000</v>
      </c>
      <c r="BL101" s="205">
        <f t="shared" si="64"/>
        <v>0</v>
      </c>
      <c r="BM101" s="205">
        <f t="shared" si="64"/>
        <v>0</v>
      </c>
      <c r="BN101" s="205">
        <f t="shared" si="64"/>
        <v>0</v>
      </c>
      <c r="BO101" s="205">
        <f t="shared" si="64"/>
        <v>0</v>
      </c>
      <c r="BP101" s="205">
        <f t="shared" si="64"/>
        <v>0</v>
      </c>
      <c r="BQ101" s="205">
        <f t="shared" si="64"/>
        <v>0</v>
      </c>
      <c r="BR101" s="205">
        <f t="shared" si="64"/>
        <v>0</v>
      </c>
      <c r="BS101" s="238">
        <f t="shared" si="68"/>
        <v>0</v>
      </c>
      <c r="BT101" s="218">
        <f t="shared" si="69"/>
        <v>0</v>
      </c>
      <c r="BU101" s="149"/>
      <c r="BV101" s="149"/>
      <c r="BW101" s="149"/>
      <c r="BX101" s="149"/>
      <c r="BY101" s="149"/>
      <c r="BZ101" s="149"/>
      <c r="CA101" s="149"/>
      <c r="CB101" s="149"/>
      <c r="CC101" s="149"/>
      <c r="CD101" s="149"/>
      <c r="CE101" s="149"/>
      <c r="CF101" s="149"/>
      <c r="CG101" s="238">
        <f t="shared" si="70"/>
        <v>1</v>
      </c>
      <c r="CH101" s="218">
        <f t="shared" si="71"/>
        <v>5000000</v>
      </c>
      <c r="CI101" s="205">
        <f t="shared" si="65"/>
        <v>0</v>
      </c>
      <c r="CJ101" s="205">
        <f t="shared" si="65"/>
        <v>0</v>
      </c>
      <c r="CK101" s="205">
        <f t="shared" si="65"/>
        <v>0</v>
      </c>
      <c r="CL101" s="205">
        <f t="shared" si="65"/>
        <v>0</v>
      </c>
      <c r="CM101" s="205">
        <f t="shared" si="65"/>
        <v>5000000</v>
      </c>
      <c r="CN101" s="205">
        <f t="shared" si="65"/>
        <v>0</v>
      </c>
      <c r="CO101" s="205">
        <f t="shared" si="65"/>
        <v>0</v>
      </c>
      <c r="CP101" s="205">
        <f t="shared" si="65"/>
        <v>0</v>
      </c>
      <c r="CQ101" s="205">
        <f t="shared" si="65"/>
        <v>0</v>
      </c>
      <c r="CR101" s="205">
        <f t="shared" si="65"/>
        <v>0</v>
      </c>
      <c r="CS101" s="205">
        <f t="shared" si="65"/>
        <v>0</v>
      </c>
      <c r="CT101" s="205">
        <f t="shared" si="65"/>
        <v>0</v>
      </c>
    </row>
    <row r="102" spans="1:103" ht="34.9" customHeight="1" x14ac:dyDescent="0.25">
      <c r="A102" s="1209"/>
      <c r="B102" s="1209"/>
      <c r="C102" s="1209"/>
      <c r="D102" s="1209"/>
      <c r="E102" s="1209"/>
      <c r="F102" s="1209"/>
      <c r="G102" s="1214"/>
      <c r="H102" s="1214"/>
      <c r="I102" s="1214"/>
      <c r="J102" s="1209"/>
      <c r="K102" s="1209"/>
      <c r="L102" s="1204"/>
      <c r="M102" s="724"/>
      <c r="N102" s="2" t="s">
        <v>3922</v>
      </c>
      <c r="O102" s="154" t="s">
        <v>3925</v>
      </c>
      <c r="P102" s="155">
        <v>150000000</v>
      </c>
      <c r="Q102" s="155">
        <v>689156673</v>
      </c>
      <c r="R102" s="151">
        <v>211</v>
      </c>
      <c r="S102" s="157">
        <f t="shared" si="72"/>
        <v>675655933</v>
      </c>
      <c r="T102" s="1199"/>
      <c r="U102" s="149">
        <f t="shared" si="74"/>
        <v>13500740</v>
      </c>
      <c r="V102" s="149"/>
      <c r="W102" s="149"/>
      <c r="X102" s="149"/>
      <c r="Y102" s="149"/>
      <c r="Z102" s="149"/>
      <c r="AA102" s="149">
        <f>+'POAI 2011 INIC'!S39-AA103</f>
        <v>13500740</v>
      </c>
      <c r="AB102" s="149"/>
      <c r="AC102" s="149"/>
      <c r="AD102" s="149"/>
      <c r="AE102" s="149"/>
      <c r="AF102" s="149"/>
      <c r="AG102" s="149"/>
      <c r="AH102" s="203"/>
      <c r="AI102" s="204">
        <f t="shared" si="73"/>
        <v>0</v>
      </c>
      <c r="AJ102" s="147"/>
      <c r="AK102" s="147"/>
      <c r="AL102" s="147"/>
      <c r="AM102" s="147"/>
      <c r="AN102" s="147"/>
      <c r="AO102" s="147"/>
      <c r="AP102" s="213"/>
      <c r="AQ102" s="238">
        <f t="shared" si="62"/>
        <v>0</v>
      </c>
      <c r="AR102" s="218">
        <f t="shared" si="63"/>
        <v>0</v>
      </c>
      <c r="AS102" s="149"/>
      <c r="AT102" s="149"/>
      <c r="AU102" s="149"/>
      <c r="AV102" s="149"/>
      <c r="AW102" s="149"/>
      <c r="AX102" s="149"/>
      <c r="AY102" s="149"/>
      <c r="AZ102" s="149"/>
      <c r="BA102" s="149"/>
      <c r="BB102" s="149"/>
      <c r="BC102" s="149"/>
      <c r="BD102" s="149"/>
      <c r="BE102" s="238">
        <f t="shared" si="66"/>
        <v>1</v>
      </c>
      <c r="BF102" s="218">
        <f t="shared" si="67"/>
        <v>13500740</v>
      </c>
      <c r="BG102" s="205">
        <f t="shared" si="64"/>
        <v>0</v>
      </c>
      <c r="BH102" s="205">
        <f t="shared" si="64"/>
        <v>0</v>
      </c>
      <c r="BI102" s="205">
        <f t="shared" si="64"/>
        <v>0</v>
      </c>
      <c r="BJ102" s="205">
        <f t="shared" si="64"/>
        <v>0</v>
      </c>
      <c r="BK102" s="205">
        <f t="shared" si="64"/>
        <v>0</v>
      </c>
      <c r="BL102" s="205">
        <f t="shared" si="64"/>
        <v>13500740</v>
      </c>
      <c r="BM102" s="205">
        <f t="shared" si="64"/>
        <v>0</v>
      </c>
      <c r="BN102" s="205">
        <f t="shared" si="64"/>
        <v>0</v>
      </c>
      <c r="BO102" s="205">
        <f t="shared" si="64"/>
        <v>0</v>
      </c>
      <c r="BP102" s="205">
        <f t="shared" si="64"/>
        <v>0</v>
      </c>
      <c r="BQ102" s="205">
        <f t="shared" si="64"/>
        <v>0</v>
      </c>
      <c r="BR102" s="205">
        <f t="shared" si="64"/>
        <v>0</v>
      </c>
      <c r="BS102" s="238">
        <f t="shared" si="68"/>
        <v>0</v>
      </c>
      <c r="BT102" s="218">
        <f t="shared" si="69"/>
        <v>0</v>
      </c>
      <c r="BU102" s="149"/>
      <c r="BV102" s="149"/>
      <c r="BW102" s="149"/>
      <c r="BX102" s="149"/>
      <c r="BY102" s="149"/>
      <c r="BZ102" s="149"/>
      <c r="CA102" s="149"/>
      <c r="CB102" s="149"/>
      <c r="CC102" s="149"/>
      <c r="CD102" s="149"/>
      <c r="CE102" s="149"/>
      <c r="CF102" s="149"/>
      <c r="CG102" s="238">
        <f t="shared" si="70"/>
        <v>1</v>
      </c>
      <c r="CH102" s="218">
        <f t="shared" si="71"/>
        <v>13500740</v>
      </c>
      <c r="CI102" s="205">
        <f t="shared" si="65"/>
        <v>0</v>
      </c>
      <c r="CJ102" s="205">
        <f t="shared" si="65"/>
        <v>0</v>
      </c>
      <c r="CK102" s="205">
        <f t="shared" si="65"/>
        <v>0</v>
      </c>
      <c r="CL102" s="205">
        <f t="shared" si="65"/>
        <v>0</v>
      </c>
      <c r="CM102" s="205">
        <f t="shared" si="65"/>
        <v>0</v>
      </c>
      <c r="CN102" s="205">
        <f t="shared" si="65"/>
        <v>13500740</v>
      </c>
      <c r="CO102" s="205">
        <f t="shared" si="65"/>
        <v>0</v>
      </c>
      <c r="CP102" s="205">
        <f t="shared" si="65"/>
        <v>0</v>
      </c>
      <c r="CQ102" s="205">
        <f t="shared" si="65"/>
        <v>0</v>
      </c>
      <c r="CR102" s="205">
        <f t="shared" si="65"/>
        <v>0</v>
      </c>
      <c r="CS102" s="205">
        <f t="shared" si="65"/>
        <v>0</v>
      </c>
      <c r="CT102" s="205">
        <f t="shared" si="65"/>
        <v>0</v>
      </c>
    </row>
    <row r="103" spans="1:103" ht="41.25" customHeight="1" x14ac:dyDescent="0.25">
      <c r="A103" s="1209"/>
      <c r="B103" s="1209"/>
      <c r="C103" s="1209"/>
      <c r="D103" s="1209"/>
      <c r="E103" s="1209"/>
      <c r="F103" s="1209"/>
      <c r="G103" s="1214"/>
      <c r="H103" s="1214"/>
      <c r="I103" s="1214"/>
      <c r="J103" s="1209"/>
      <c r="K103" s="1209"/>
      <c r="L103" s="1204"/>
      <c r="M103" s="724"/>
      <c r="N103" s="2" t="s">
        <v>3923</v>
      </c>
      <c r="O103" s="154" t="s">
        <v>3926</v>
      </c>
      <c r="P103" s="155">
        <v>150000000</v>
      </c>
      <c r="Q103" s="155">
        <v>626977688</v>
      </c>
      <c r="R103" s="151">
        <v>211</v>
      </c>
      <c r="S103" s="157">
        <f t="shared" si="72"/>
        <v>616977688</v>
      </c>
      <c r="T103" s="1206"/>
      <c r="U103" s="149">
        <f t="shared" si="74"/>
        <v>10000000</v>
      </c>
      <c r="V103" s="149"/>
      <c r="W103" s="149"/>
      <c r="X103" s="149"/>
      <c r="Y103" s="149"/>
      <c r="Z103" s="149"/>
      <c r="AA103" s="149">
        <v>10000000</v>
      </c>
      <c r="AB103" s="149"/>
      <c r="AC103" s="149"/>
      <c r="AD103" s="149"/>
      <c r="AE103" s="149"/>
      <c r="AF103" s="149"/>
      <c r="AG103" s="149"/>
      <c r="AH103" s="203"/>
      <c r="AI103" s="204">
        <f t="shared" si="73"/>
        <v>0</v>
      </c>
      <c r="AJ103" s="147"/>
      <c r="AK103" s="147"/>
      <c r="AL103" s="147"/>
      <c r="AM103" s="147"/>
      <c r="AN103" s="147"/>
      <c r="AO103" s="147"/>
      <c r="AP103" s="213"/>
      <c r="AQ103" s="238">
        <f t="shared" si="62"/>
        <v>0</v>
      </c>
      <c r="AR103" s="218">
        <f t="shared" si="63"/>
        <v>0</v>
      </c>
      <c r="AS103" s="149"/>
      <c r="AT103" s="149"/>
      <c r="AU103" s="149"/>
      <c r="AV103" s="149"/>
      <c r="AW103" s="149"/>
      <c r="AX103" s="149"/>
      <c r="AY103" s="149"/>
      <c r="AZ103" s="149"/>
      <c r="BA103" s="149"/>
      <c r="BB103" s="149"/>
      <c r="BC103" s="149"/>
      <c r="BD103" s="149"/>
      <c r="BE103" s="238">
        <f t="shared" si="66"/>
        <v>1</v>
      </c>
      <c r="BF103" s="218">
        <f t="shared" si="67"/>
        <v>10000000</v>
      </c>
      <c r="BG103" s="205">
        <f t="shared" si="64"/>
        <v>0</v>
      </c>
      <c r="BH103" s="205">
        <f t="shared" si="64"/>
        <v>0</v>
      </c>
      <c r="BI103" s="205">
        <f t="shared" si="64"/>
        <v>0</v>
      </c>
      <c r="BJ103" s="205">
        <f t="shared" si="64"/>
        <v>0</v>
      </c>
      <c r="BK103" s="205">
        <f t="shared" si="64"/>
        <v>0</v>
      </c>
      <c r="BL103" s="205">
        <f t="shared" si="64"/>
        <v>10000000</v>
      </c>
      <c r="BM103" s="205">
        <f t="shared" si="64"/>
        <v>0</v>
      </c>
      <c r="BN103" s="205">
        <f t="shared" si="64"/>
        <v>0</v>
      </c>
      <c r="BO103" s="205">
        <f t="shared" si="64"/>
        <v>0</v>
      </c>
      <c r="BP103" s="205">
        <f t="shared" si="64"/>
        <v>0</v>
      </c>
      <c r="BQ103" s="205">
        <f t="shared" si="64"/>
        <v>0</v>
      </c>
      <c r="BR103" s="205">
        <f t="shared" si="64"/>
        <v>0</v>
      </c>
      <c r="BS103" s="238">
        <f t="shared" si="68"/>
        <v>0</v>
      </c>
      <c r="BT103" s="218">
        <f t="shared" si="69"/>
        <v>0</v>
      </c>
      <c r="BU103" s="149"/>
      <c r="BV103" s="149"/>
      <c r="BW103" s="149"/>
      <c r="BX103" s="149"/>
      <c r="BY103" s="149"/>
      <c r="BZ103" s="149"/>
      <c r="CA103" s="149"/>
      <c r="CB103" s="149"/>
      <c r="CC103" s="149"/>
      <c r="CD103" s="149"/>
      <c r="CE103" s="149"/>
      <c r="CF103" s="149"/>
      <c r="CG103" s="238">
        <f t="shared" si="70"/>
        <v>1</v>
      </c>
      <c r="CH103" s="218">
        <f t="shared" si="71"/>
        <v>10000000</v>
      </c>
      <c r="CI103" s="205">
        <f t="shared" si="65"/>
        <v>0</v>
      </c>
      <c r="CJ103" s="205">
        <f t="shared" si="65"/>
        <v>0</v>
      </c>
      <c r="CK103" s="205">
        <f t="shared" si="65"/>
        <v>0</v>
      </c>
      <c r="CL103" s="205">
        <f t="shared" si="65"/>
        <v>0</v>
      </c>
      <c r="CM103" s="205">
        <f t="shared" si="65"/>
        <v>0</v>
      </c>
      <c r="CN103" s="205">
        <f t="shared" si="65"/>
        <v>10000000</v>
      </c>
      <c r="CO103" s="205">
        <f t="shared" si="65"/>
        <v>0</v>
      </c>
      <c r="CP103" s="205">
        <f t="shared" si="65"/>
        <v>0</v>
      </c>
      <c r="CQ103" s="205">
        <f t="shared" si="65"/>
        <v>0</v>
      </c>
      <c r="CR103" s="205">
        <f t="shared" si="65"/>
        <v>0</v>
      </c>
      <c r="CS103" s="205">
        <f t="shared" si="65"/>
        <v>0</v>
      </c>
      <c r="CT103" s="205">
        <f t="shared" si="65"/>
        <v>0</v>
      </c>
    </row>
    <row r="104" spans="1:103" ht="42" customHeight="1" x14ac:dyDescent="0.25">
      <c r="A104" s="1209"/>
      <c r="B104" s="1209"/>
      <c r="C104" s="1209"/>
      <c r="D104" s="1209"/>
      <c r="E104" s="1209"/>
      <c r="F104" s="1209"/>
      <c r="G104" s="1214"/>
      <c r="H104" s="1214"/>
      <c r="I104" s="1214"/>
      <c r="J104" s="1209"/>
      <c r="K104" s="1209"/>
      <c r="L104" s="1204"/>
      <c r="M104" s="724"/>
      <c r="N104" s="2" t="s">
        <v>3940</v>
      </c>
      <c r="O104" s="154" t="s">
        <v>3967</v>
      </c>
      <c r="P104" s="155"/>
      <c r="Q104" s="155"/>
      <c r="R104" s="151">
        <v>211</v>
      </c>
      <c r="S104" s="157"/>
      <c r="T104" s="684" t="s">
        <v>3878</v>
      </c>
      <c r="U104" s="149">
        <f t="shared" si="74"/>
        <v>249734000</v>
      </c>
      <c r="V104" s="149"/>
      <c r="W104" s="149"/>
      <c r="X104" s="149"/>
      <c r="Y104" s="149"/>
      <c r="Z104" s="149"/>
      <c r="AA104" s="149"/>
      <c r="AB104" s="149">
        <v>249734000</v>
      </c>
      <c r="AC104" s="149"/>
      <c r="AD104" s="149"/>
      <c r="AE104" s="149"/>
      <c r="AF104" s="149"/>
      <c r="AG104" s="149"/>
      <c r="AH104" s="203"/>
      <c r="AI104" s="204"/>
      <c r="AJ104" s="147"/>
      <c r="AK104" s="147"/>
      <c r="AL104" s="147"/>
      <c r="AM104" s="147"/>
      <c r="AN104" s="147"/>
      <c r="AO104" s="147"/>
      <c r="AP104" s="213"/>
      <c r="AQ104" s="238">
        <f t="shared" si="62"/>
        <v>0</v>
      </c>
      <c r="AR104" s="218"/>
      <c r="AS104" s="149"/>
      <c r="AT104" s="149"/>
      <c r="AU104" s="149"/>
      <c r="AV104" s="149"/>
      <c r="AW104" s="149"/>
      <c r="AX104" s="149"/>
      <c r="AY104" s="149"/>
      <c r="AZ104" s="149"/>
      <c r="BA104" s="149"/>
      <c r="BB104" s="149"/>
      <c r="BC104" s="149"/>
      <c r="BD104" s="149"/>
      <c r="BE104" s="238">
        <f t="shared" si="66"/>
        <v>1</v>
      </c>
      <c r="BF104" s="218">
        <f t="shared" si="67"/>
        <v>249734000</v>
      </c>
      <c r="BG104" s="205">
        <f t="shared" si="64"/>
        <v>0</v>
      </c>
      <c r="BH104" s="205">
        <f t="shared" si="64"/>
        <v>0</v>
      </c>
      <c r="BI104" s="205">
        <f t="shared" si="64"/>
        <v>0</v>
      </c>
      <c r="BJ104" s="205">
        <f t="shared" si="64"/>
        <v>0</v>
      </c>
      <c r="BK104" s="205">
        <f t="shared" si="64"/>
        <v>0</v>
      </c>
      <c r="BL104" s="205">
        <f t="shared" si="64"/>
        <v>0</v>
      </c>
      <c r="BM104" s="205">
        <f t="shared" si="64"/>
        <v>249734000</v>
      </c>
      <c r="BN104" s="205">
        <f t="shared" si="64"/>
        <v>0</v>
      </c>
      <c r="BO104" s="205">
        <f t="shared" si="64"/>
        <v>0</v>
      </c>
      <c r="BP104" s="205">
        <f t="shared" si="64"/>
        <v>0</v>
      </c>
      <c r="BQ104" s="205">
        <f t="shared" si="64"/>
        <v>0</v>
      </c>
      <c r="BR104" s="205">
        <f t="shared" si="64"/>
        <v>0</v>
      </c>
      <c r="BS104" s="238">
        <f t="shared" si="68"/>
        <v>0</v>
      </c>
      <c r="BT104" s="218">
        <f t="shared" si="69"/>
        <v>0</v>
      </c>
      <c r="BU104" s="149"/>
      <c r="BV104" s="149"/>
      <c r="BW104" s="149"/>
      <c r="BX104" s="149"/>
      <c r="BY104" s="149"/>
      <c r="BZ104" s="149"/>
      <c r="CA104" s="149"/>
      <c r="CB104" s="149"/>
      <c r="CC104" s="149"/>
      <c r="CD104" s="149"/>
      <c r="CE104" s="149"/>
      <c r="CF104" s="149"/>
      <c r="CG104" s="238">
        <f t="shared" si="70"/>
        <v>1</v>
      </c>
      <c r="CH104" s="218">
        <f t="shared" si="71"/>
        <v>249734000</v>
      </c>
      <c r="CI104" s="205">
        <f t="shared" ref="CI104:CT125" si="75">+V104-BU104</f>
        <v>0</v>
      </c>
      <c r="CJ104" s="205">
        <f t="shared" si="75"/>
        <v>0</v>
      </c>
      <c r="CK104" s="205">
        <f t="shared" si="75"/>
        <v>0</v>
      </c>
      <c r="CL104" s="205">
        <f t="shared" si="75"/>
        <v>0</v>
      </c>
      <c r="CM104" s="205">
        <f t="shared" si="75"/>
        <v>0</v>
      </c>
      <c r="CN104" s="205">
        <f t="shared" si="75"/>
        <v>0</v>
      </c>
      <c r="CO104" s="205">
        <f t="shared" si="75"/>
        <v>249734000</v>
      </c>
      <c r="CP104" s="205">
        <f t="shared" si="75"/>
        <v>0</v>
      </c>
      <c r="CQ104" s="205">
        <f t="shared" si="75"/>
        <v>0</v>
      </c>
      <c r="CR104" s="205">
        <f t="shared" si="75"/>
        <v>0</v>
      </c>
      <c r="CS104" s="205">
        <f t="shared" si="75"/>
        <v>0</v>
      </c>
      <c r="CT104" s="205">
        <f t="shared" si="75"/>
        <v>0</v>
      </c>
    </row>
    <row r="105" spans="1:103" ht="51.75" customHeight="1" x14ac:dyDescent="0.25">
      <c r="A105" s="1209"/>
      <c r="B105" s="1209"/>
      <c r="C105" s="1209"/>
      <c r="D105" s="1209"/>
      <c r="E105" s="1209"/>
      <c r="F105" s="1209"/>
      <c r="G105" s="1214"/>
      <c r="H105" s="1214"/>
      <c r="I105" s="1214"/>
      <c r="J105" s="1209"/>
      <c r="K105" s="1209"/>
      <c r="L105" s="1204"/>
      <c r="M105" s="724"/>
      <c r="N105" s="2" t="s">
        <v>3928</v>
      </c>
      <c r="O105" s="154" t="s">
        <v>3927</v>
      </c>
      <c r="P105" s="155">
        <v>150000000</v>
      </c>
      <c r="Q105" s="155">
        <v>138901200</v>
      </c>
      <c r="R105" s="151">
        <v>211</v>
      </c>
      <c r="S105" s="157">
        <f t="shared" ref="S105:S116" si="76">+Q105-U105</f>
        <v>88635200</v>
      </c>
      <c r="T105" s="684" t="s">
        <v>3878</v>
      </c>
      <c r="U105" s="149">
        <f t="shared" si="74"/>
        <v>50266000</v>
      </c>
      <c r="V105" s="149"/>
      <c r="W105" s="149"/>
      <c r="X105" s="149"/>
      <c r="Y105" s="149"/>
      <c r="Z105" s="149"/>
      <c r="AA105" s="149"/>
      <c r="AB105" s="149">
        <v>50266000</v>
      </c>
      <c r="AC105" s="149"/>
      <c r="AD105" s="149"/>
      <c r="AE105" s="149"/>
      <c r="AF105" s="149"/>
      <c r="AG105" s="149"/>
      <c r="AH105" s="203"/>
      <c r="AI105" s="204">
        <f t="shared" ref="AI105:AI116" si="77">SUM(AJ105:AP105)</f>
        <v>0</v>
      </c>
      <c r="AJ105" s="147"/>
      <c r="AK105" s="147"/>
      <c r="AL105" s="147"/>
      <c r="AM105" s="147"/>
      <c r="AN105" s="147"/>
      <c r="AO105" s="147"/>
      <c r="AP105" s="213"/>
      <c r="AQ105" s="238">
        <f t="shared" si="62"/>
        <v>0</v>
      </c>
      <c r="AR105" s="218">
        <f t="shared" si="63"/>
        <v>0</v>
      </c>
      <c r="AS105" s="149"/>
      <c r="AT105" s="149"/>
      <c r="AU105" s="149"/>
      <c r="AV105" s="149"/>
      <c r="AW105" s="149"/>
      <c r="AX105" s="149"/>
      <c r="AY105" s="149"/>
      <c r="AZ105" s="149"/>
      <c r="BA105" s="149"/>
      <c r="BB105" s="149"/>
      <c r="BC105" s="149"/>
      <c r="BD105" s="149"/>
      <c r="BE105" s="238">
        <f t="shared" si="66"/>
        <v>1</v>
      </c>
      <c r="BF105" s="218">
        <f t="shared" si="67"/>
        <v>50266000</v>
      </c>
      <c r="BG105" s="205">
        <f t="shared" si="64"/>
        <v>0</v>
      </c>
      <c r="BH105" s="205">
        <f t="shared" si="64"/>
        <v>0</v>
      </c>
      <c r="BI105" s="205">
        <f t="shared" si="64"/>
        <v>0</v>
      </c>
      <c r="BJ105" s="205">
        <f t="shared" si="64"/>
        <v>0</v>
      </c>
      <c r="BK105" s="205">
        <f t="shared" si="64"/>
        <v>0</v>
      </c>
      <c r="BL105" s="205">
        <f t="shared" si="64"/>
        <v>0</v>
      </c>
      <c r="BM105" s="205">
        <f t="shared" si="64"/>
        <v>50266000</v>
      </c>
      <c r="BN105" s="205">
        <f t="shared" si="64"/>
        <v>0</v>
      </c>
      <c r="BO105" s="205">
        <f t="shared" si="64"/>
        <v>0</v>
      </c>
      <c r="BP105" s="205">
        <f t="shared" si="64"/>
        <v>0</v>
      </c>
      <c r="BQ105" s="205">
        <f t="shared" si="64"/>
        <v>0</v>
      </c>
      <c r="BR105" s="205">
        <f t="shared" si="64"/>
        <v>0</v>
      </c>
      <c r="BS105" s="238">
        <f t="shared" si="68"/>
        <v>0</v>
      </c>
      <c r="BT105" s="218">
        <f t="shared" si="69"/>
        <v>0</v>
      </c>
      <c r="BU105" s="149"/>
      <c r="BV105" s="149"/>
      <c r="BW105" s="149"/>
      <c r="BX105" s="149"/>
      <c r="BY105" s="149"/>
      <c r="BZ105" s="149"/>
      <c r="CA105" s="149"/>
      <c r="CB105" s="149"/>
      <c r="CC105" s="149"/>
      <c r="CD105" s="149"/>
      <c r="CE105" s="149"/>
      <c r="CF105" s="149"/>
      <c r="CG105" s="238">
        <f t="shared" si="70"/>
        <v>1</v>
      </c>
      <c r="CH105" s="218">
        <f t="shared" si="71"/>
        <v>50266000</v>
      </c>
      <c r="CI105" s="205">
        <f t="shared" si="75"/>
        <v>0</v>
      </c>
      <c r="CJ105" s="205">
        <f t="shared" si="75"/>
        <v>0</v>
      </c>
      <c r="CK105" s="205">
        <f t="shared" si="75"/>
        <v>0</v>
      </c>
      <c r="CL105" s="205">
        <f t="shared" si="75"/>
        <v>0</v>
      </c>
      <c r="CM105" s="205">
        <f t="shared" si="75"/>
        <v>0</v>
      </c>
      <c r="CN105" s="205">
        <f t="shared" si="75"/>
        <v>0</v>
      </c>
      <c r="CO105" s="205">
        <f t="shared" si="75"/>
        <v>50266000</v>
      </c>
      <c r="CP105" s="205">
        <f t="shared" si="75"/>
        <v>0</v>
      </c>
      <c r="CQ105" s="205">
        <f t="shared" si="75"/>
        <v>0</v>
      </c>
      <c r="CR105" s="205">
        <f t="shared" si="75"/>
        <v>0</v>
      </c>
      <c r="CS105" s="205">
        <f t="shared" si="75"/>
        <v>0</v>
      </c>
      <c r="CT105" s="205">
        <f t="shared" si="75"/>
        <v>0</v>
      </c>
    </row>
    <row r="106" spans="1:103" ht="54.75" customHeight="1" x14ac:dyDescent="0.25">
      <c r="A106" s="1209"/>
      <c r="B106" s="1209"/>
      <c r="C106" s="1209"/>
      <c r="D106" s="1209"/>
      <c r="E106" s="1209"/>
      <c r="F106" s="1209"/>
      <c r="G106" s="1214"/>
      <c r="H106" s="1214"/>
      <c r="I106" s="1214"/>
      <c r="J106" s="1209"/>
      <c r="K106" s="1209"/>
      <c r="L106" s="1204"/>
      <c r="M106" s="102"/>
      <c r="N106" s="2" t="s">
        <v>3929</v>
      </c>
      <c r="O106" s="154" t="s">
        <v>3976</v>
      </c>
      <c r="P106" s="155">
        <v>150000000</v>
      </c>
      <c r="Q106" s="155">
        <v>149998000</v>
      </c>
      <c r="R106" s="151">
        <v>211</v>
      </c>
      <c r="S106" s="157">
        <f t="shared" si="76"/>
        <v>58140800</v>
      </c>
      <c r="T106" s="684" t="s">
        <v>4088</v>
      </c>
      <c r="U106" s="149">
        <f t="shared" si="13"/>
        <v>91857200</v>
      </c>
      <c r="V106" s="149"/>
      <c r="W106" s="149"/>
      <c r="X106" s="149"/>
      <c r="Y106" s="149"/>
      <c r="Z106" s="149"/>
      <c r="AA106" s="149"/>
      <c r="AB106" s="149">
        <v>91857200</v>
      </c>
      <c r="AC106" s="149"/>
      <c r="AD106" s="149"/>
      <c r="AE106" s="149"/>
      <c r="AF106" s="149"/>
      <c r="AG106" s="149"/>
      <c r="AH106" s="203"/>
      <c r="AI106" s="204">
        <f t="shared" si="77"/>
        <v>0</v>
      </c>
      <c r="AJ106" s="147"/>
      <c r="AK106" s="147"/>
      <c r="AL106" s="147"/>
      <c r="AM106" s="147"/>
      <c r="AN106" s="147"/>
      <c r="AO106" s="147"/>
      <c r="AP106" s="213"/>
      <c r="AQ106" s="238">
        <f t="shared" si="62"/>
        <v>0</v>
      </c>
      <c r="AR106" s="218">
        <f t="shared" si="63"/>
        <v>0</v>
      </c>
      <c r="AS106" s="149"/>
      <c r="AT106" s="149"/>
      <c r="AU106" s="149"/>
      <c r="AV106" s="149"/>
      <c r="AW106" s="149"/>
      <c r="AX106" s="149"/>
      <c r="AY106" s="149"/>
      <c r="AZ106" s="149"/>
      <c r="BA106" s="149"/>
      <c r="BB106" s="149"/>
      <c r="BC106" s="149"/>
      <c r="BD106" s="149"/>
      <c r="BE106" s="238">
        <f t="shared" si="66"/>
        <v>1</v>
      </c>
      <c r="BF106" s="218">
        <f t="shared" si="67"/>
        <v>91857200</v>
      </c>
      <c r="BG106" s="205">
        <f t="shared" si="64"/>
        <v>0</v>
      </c>
      <c r="BH106" s="205">
        <f t="shared" si="64"/>
        <v>0</v>
      </c>
      <c r="BI106" s="205">
        <f t="shared" si="64"/>
        <v>0</v>
      </c>
      <c r="BJ106" s="205">
        <f t="shared" si="64"/>
        <v>0</v>
      </c>
      <c r="BK106" s="205">
        <f t="shared" si="64"/>
        <v>0</v>
      </c>
      <c r="BL106" s="205">
        <f t="shared" si="64"/>
        <v>0</v>
      </c>
      <c r="BM106" s="205">
        <f t="shared" si="64"/>
        <v>91857200</v>
      </c>
      <c r="BN106" s="205">
        <f t="shared" si="64"/>
        <v>0</v>
      </c>
      <c r="BO106" s="205">
        <f t="shared" si="64"/>
        <v>0</v>
      </c>
      <c r="BP106" s="205">
        <f t="shared" si="64"/>
        <v>0</v>
      </c>
      <c r="BQ106" s="205">
        <f t="shared" si="64"/>
        <v>0</v>
      </c>
      <c r="BR106" s="205">
        <f t="shared" si="64"/>
        <v>0</v>
      </c>
      <c r="BS106" s="238">
        <f t="shared" si="68"/>
        <v>0</v>
      </c>
      <c r="BT106" s="218">
        <f t="shared" si="69"/>
        <v>0</v>
      </c>
      <c r="BU106" s="149"/>
      <c r="BV106" s="149"/>
      <c r="BW106" s="149"/>
      <c r="BX106" s="149"/>
      <c r="BY106" s="149"/>
      <c r="BZ106" s="149"/>
      <c r="CA106" s="149"/>
      <c r="CB106" s="149"/>
      <c r="CC106" s="149"/>
      <c r="CD106" s="149"/>
      <c r="CE106" s="149"/>
      <c r="CF106" s="149"/>
      <c r="CG106" s="238">
        <f t="shared" si="70"/>
        <v>1</v>
      </c>
      <c r="CH106" s="218">
        <f t="shared" si="71"/>
        <v>91857200</v>
      </c>
      <c r="CI106" s="205">
        <f t="shared" si="75"/>
        <v>0</v>
      </c>
      <c r="CJ106" s="205">
        <f t="shared" si="75"/>
        <v>0</v>
      </c>
      <c r="CK106" s="205">
        <f t="shared" si="75"/>
        <v>0</v>
      </c>
      <c r="CL106" s="205">
        <f t="shared" si="75"/>
        <v>0</v>
      </c>
      <c r="CM106" s="205">
        <f t="shared" si="75"/>
        <v>0</v>
      </c>
      <c r="CN106" s="205">
        <f t="shared" si="75"/>
        <v>0</v>
      </c>
      <c r="CO106" s="205">
        <f t="shared" si="75"/>
        <v>91857200</v>
      </c>
      <c r="CP106" s="205">
        <f t="shared" si="75"/>
        <v>0</v>
      </c>
      <c r="CQ106" s="205">
        <f t="shared" si="75"/>
        <v>0</v>
      </c>
      <c r="CR106" s="205">
        <f t="shared" si="75"/>
        <v>0</v>
      </c>
      <c r="CS106" s="205">
        <f t="shared" si="75"/>
        <v>0</v>
      </c>
      <c r="CT106" s="205">
        <f t="shared" si="75"/>
        <v>0</v>
      </c>
    </row>
    <row r="107" spans="1:103" ht="57" customHeight="1" x14ac:dyDescent="0.25">
      <c r="A107" s="1209"/>
      <c r="B107" s="1209"/>
      <c r="C107" s="1209"/>
      <c r="D107" s="1209"/>
      <c r="E107" s="1209"/>
      <c r="F107" s="1209"/>
      <c r="G107" s="1214"/>
      <c r="H107" s="1214"/>
      <c r="I107" s="1214"/>
      <c r="J107" s="1209"/>
      <c r="K107" s="1209"/>
      <c r="L107" s="1204"/>
      <c r="M107" s="102"/>
      <c r="N107" s="2" t="s">
        <v>3930</v>
      </c>
      <c r="O107" s="154" t="s">
        <v>3983</v>
      </c>
      <c r="P107" s="155">
        <v>50000000</v>
      </c>
      <c r="Q107" s="155">
        <v>28140000</v>
      </c>
      <c r="R107" s="151">
        <v>211</v>
      </c>
      <c r="S107" s="157">
        <f t="shared" si="76"/>
        <v>-75364320</v>
      </c>
      <c r="T107" s="684" t="s">
        <v>4088</v>
      </c>
      <c r="U107" s="149">
        <f>SUM(V107:AG107)</f>
        <v>103504320</v>
      </c>
      <c r="V107" s="149"/>
      <c r="W107" s="149"/>
      <c r="X107" s="149"/>
      <c r="Y107" s="149"/>
      <c r="Z107" s="149"/>
      <c r="AA107" s="149"/>
      <c r="AB107" s="149">
        <v>103504320</v>
      </c>
      <c r="AC107" s="149"/>
      <c r="AD107" s="149"/>
      <c r="AE107" s="149"/>
      <c r="AF107" s="149"/>
      <c r="AG107" s="149"/>
      <c r="AH107" s="203"/>
      <c r="AI107" s="204">
        <f t="shared" si="77"/>
        <v>0</v>
      </c>
      <c r="AJ107" s="147"/>
      <c r="AK107" s="147"/>
      <c r="AL107" s="147"/>
      <c r="AM107" s="147"/>
      <c r="AN107" s="147"/>
      <c r="AO107" s="147"/>
      <c r="AP107" s="213"/>
      <c r="AQ107" s="238">
        <f t="shared" si="62"/>
        <v>0</v>
      </c>
      <c r="AR107" s="218">
        <f t="shared" si="63"/>
        <v>0</v>
      </c>
      <c r="AS107" s="149"/>
      <c r="AT107" s="149"/>
      <c r="AU107" s="149"/>
      <c r="AV107" s="149"/>
      <c r="AW107" s="149"/>
      <c r="AX107" s="149"/>
      <c r="AY107" s="149"/>
      <c r="AZ107" s="149"/>
      <c r="BA107" s="149"/>
      <c r="BB107" s="149"/>
      <c r="BC107" s="149"/>
      <c r="BD107" s="149"/>
      <c r="BE107" s="238">
        <f t="shared" si="66"/>
        <v>1</v>
      </c>
      <c r="BF107" s="218">
        <f t="shared" si="67"/>
        <v>103504320</v>
      </c>
      <c r="BG107" s="205">
        <f t="shared" si="64"/>
        <v>0</v>
      </c>
      <c r="BH107" s="205">
        <f t="shared" si="64"/>
        <v>0</v>
      </c>
      <c r="BI107" s="205">
        <f t="shared" si="64"/>
        <v>0</v>
      </c>
      <c r="BJ107" s="205">
        <f t="shared" si="64"/>
        <v>0</v>
      </c>
      <c r="BK107" s="205">
        <f t="shared" si="64"/>
        <v>0</v>
      </c>
      <c r="BL107" s="205">
        <f t="shared" si="64"/>
        <v>0</v>
      </c>
      <c r="BM107" s="205">
        <f t="shared" si="64"/>
        <v>103504320</v>
      </c>
      <c r="BN107" s="205">
        <f t="shared" si="64"/>
        <v>0</v>
      </c>
      <c r="BO107" s="205">
        <f t="shared" si="64"/>
        <v>0</v>
      </c>
      <c r="BP107" s="205">
        <f t="shared" si="64"/>
        <v>0</v>
      </c>
      <c r="BQ107" s="205">
        <f t="shared" si="64"/>
        <v>0</v>
      </c>
      <c r="BR107" s="205">
        <f t="shared" si="64"/>
        <v>0</v>
      </c>
      <c r="BS107" s="238">
        <f t="shared" si="68"/>
        <v>0</v>
      </c>
      <c r="BT107" s="218">
        <f t="shared" si="69"/>
        <v>0</v>
      </c>
      <c r="BU107" s="149"/>
      <c r="BV107" s="149"/>
      <c r="BW107" s="149"/>
      <c r="BX107" s="149"/>
      <c r="BY107" s="149"/>
      <c r="BZ107" s="149"/>
      <c r="CA107" s="149"/>
      <c r="CB107" s="149"/>
      <c r="CC107" s="149"/>
      <c r="CD107" s="149"/>
      <c r="CE107" s="149"/>
      <c r="CF107" s="149"/>
      <c r="CG107" s="238">
        <f t="shared" si="70"/>
        <v>1</v>
      </c>
      <c r="CH107" s="218">
        <f t="shared" si="71"/>
        <v>103504320</v>
      </c>
      <c r="CI107" s="205">
        <f t="shared" si="75"/>
        <v>0</v>
      </c>
      <c r="CJ107" s="205">
        <f t="shared" si="75"/>
        <v>0</v>
      </c>
      <c r="CK107" s="205">
        <f t="shared" si="75"/>
        <v>0</v>
      </c>
      <c r="CL107" s="205">
        <f t="shared" si="75"/>
        <v>0</v>
      </c>
      <c r="CM107" s="205">
        <f t="shared" si="75"/>
        <v>0</v>
      </c>
      <c r="CN107" s="205">
        <f t="shared" si="75"/>
        <v>0</v>
      </c>
      <c r="CO107" s="205">
        <f t="shared" si="75"/>
        <v>103504320</v>
      </c>
      <c r="CP107" s="205">
        <f t="shared" si="75"/>
        <v>0</v>
      </c>
      <c r="CQ107" s="205">
        <f t="shared" si="75"/>
        <v>0</v>
      </c>
      <c r="CR107" s="205">
        <f t="shared" si="75"/>
        <v>0</v>
      </c>
      <c r="CS107" s="205">
        <f t="shared" si="75"/>
        <v>0</v>
      </c>
      <c r="CT107" s="205">
        <f t="shared" si="75"/>
        <v>0</v>
      </c>
    </row>
    <row r="108" spans="1:103" ht="61.15" customHeight="1" x14ac:dyDescent="0.25">
      <c r="A108" s="1209"/>
      <c r="B108" s="1209"/>
      <c r="C108" s="1209"/>
      <c r="D108" s="1209"/>
      <c r="E108" s="1209"/>
      <c r="F108" s="1209"/>
      <c r="G108" s="1214"/>
      <c r="H108" s="1214"/>
      <c r="I108" s="1214"/>
      <c r="J108" s="1209"/>
      <c r="K108" s="1209"/>
      <c r="L108" s="1204"/>
      <c r="M108" s="102"/>
      <c r="N108" s="2" t="s">
        <v>3931</v>
      </c>
      <c r="O108" s="154" t="s">
        <v>3988</v>
      </c>
      <c r="P108" s="155">
        <v>300000000</v>
      </c>
      <c r="Q108" s="155">
        <v>745245655</v>
      </c>
      <c r="R108" s="151">
        <v>211</v>
      </c>
      <c r="S108" s="157">
        <f t="shared" si="76"/>
        <v>640607175</v>
      </c>
      <c r="T108" s="684" t="s">
        <v>4088</v>
      </c>
      <c r="U108" s="149">
        <f>SUM(V108:AG108)</f>
        <v>104638480</v>
      </c>
      <c r="V108" s="149"/>
      <c r="W108" s="149"/>
      <c r="X108" s="149"/>
      <c r="Y108" s="149"/>
      <c r="Z108" s="149"/>
      <c r="AA108" s="149"/>
      <c r="AB108" s="149">
        <v>104638480</v>
      </c>
      <c r="AC108" s="149"/>
      <c r="AD108" s="149"/>
      <c r="AE108" s="149"/>
      <c r="AF108" s="149"/>
      <c r="AG108" s="149"/>
      <c r="AH108" s="203"/>
      <c r="AI108" s="204">
        <f t="shared" si="77"/>
        <v>0</v>
      </c>
      <c r="AJ108" s="147"/>
      <c r="AK108" s="147"/>
      <c r="AL108" s="147"/>
      <c r="AM108" s="147"/>
      <c r="AN108" s="147"/>
      <c r="AO108" s="147"/>
      <c r="AP108" s="213"/>
      <c r="AQ108" s="238">
        <f t="shared" si="62"/>
        <v>0</v>
      </c>
      <c r="AR108" s="218">
        <f t="shared" si="63"/>
        <v>0</v>
      </c>
      <c r="AS108" s="149"/>
      <c r="AT108" s="149"/>
      <c r="AU108" s="149"/>
      <c r="AV108" s="149"/>
      <c r="AW108" s="149"/>
      <c r="AX108" s="149"/>
      <c r="AY108" s="149"/>
      <c r="AZ108" s="149"/>
      <c r="BA108" s="149"/>
      <c r="BB108" s="149"/>
      <c r="BC108" s="149"/>
      <c r="BD108" s="149"/>
      <c r="BE108" s="238">
        <f t="shared" si="66"/>
        <v>1</v>
      </c>
      <c r="BF108" s="218">
        <f t="shared" si="67"/>
        <v>104638480</v>
      </c>
      <c r="BG108" s="205">
        <f t="shared" si="64"/>
        <v>0</v>
      </c>
      <c r="BH108" s="205">
        <f t="shared" si="64"/>
        <v>0</v>
      </c>
      <c r="BI108" s="205">
        <f t="shared" si="64"/>
        <v>0</v>
      </c>
      <c r="BJ108" s="205">
        <f t="shared" si="64"/>
        <v>0</v>
      </c>
      <c r="BK108" s="205">
        <f t="shared" si="64"/>
        <v>0</v>
      </c>
      <c r="BL108" s="205">
        <f t="shared" si="64"/>
        <v>0</v>
      </c>
      <c r="BM108" s="205">
        <f t="shared" si="64"/>
        <v>104638480</v>
      </c>
      <c r="BN108" s="205">
        <f t="shared" si="64"/>
        <v>0</v>
      </c>
      <c r="BO108" s="205">
        <f t="shared" si="64"/>
        <v>0</v>
      </c>
      <c r="BP108" s="205">
        <f t="shared" si="64"/>
        <v>0</v>
      </c>
      <c r="BQ108" s="205">
        <f t="shared" si="64"/>
        <v>0</v>
      </c>
      <c r="BR108" s="205">
        <f t="shared" si="64"/>
        <v>0</v>
      </c>
      <c r="BS108" s="238">
        <f t="shared" si="68"/>
        <v>0</v>
      </c>
      <c r="BT108" s="218">
        <f t="shared" si="69"/>
        <v>0</v>
      </c>
      <c r="BU108" s="149"/>
      <c r="BV108" s="149"/>
      <c r="BW108" s="149"/>
      <c r="BX108" s="149"/>
      <c r="BY108" s="149"/>
      <c r="BZ108" s="149"/>
      <c r="CA108" s="149"/>
      <c r="CB108" s="149"/>
      <c r="CC108" s="149"/>
      <c r="CD108" s="149"/>
      <c r="CE108" s="149"/>
      <c r="CF108" s="149"/>
      <c r="CG108" s="238">
        <f t="shared" si="70"/>
        <v>1</v>
      </c>
      <c r="CH108" s="218">
        <f t="shared" si="71"/>
        <v>104638480</v>
      </c>
      <c r="CI108" s="205">
        <f t="shared" si="75"/>
        <v>0</v>
      </c>
      <c r="CJ108" s="205">
        <f t="shared" si="75"/>
        <v>0</v>
      </c>
      <c r="CK108" s="205">
        <f t="shared" si="75"/>
        <v>0</v>
      </c>
      <c r="CL108" s="205">
        <f t="shared" si="75"/>
        <v>0</v>
      </c>
      <c r="CM108" s="205">
        <f t="shared" si="75"/>
        <v>0</v>
      </c>
      <c r="CN108" s="205">
        <f t="shared" si="75"/>
        <v>0</v>
      </c>
      <c r="CO108" s="205">
        <f t="shared" si="75"/>
        <v>104638480</v>
      </c>
      <c r="CP108" s="205">
        <f t="shared" si="75"/>
        <v>0</v>
      </c>
      <c r="CQ108" s="205">
        <f t="shared" si="75"/>
        <v>0</v>
      </c>
      <c r="CR108" s="205">
        <f t="shared" si="75"/>
        <v>0</v>
      </c>
      <c r="CS108" s="205">
        <f t="shared" si="75"/>
        <v>0</v>
      </c>
      <c r="CT108" s="205">
        <f t="shared" si="75"/>
        <v>0</v>
      </c>
    </row>
    <row r="109" spans="1:103" ht="97.15" customHeight="1" x14ac:dyDescent="0.25">
      <c r="A109" s="1209"/>
      <c r="B109" s="1209"/>
      <c r="C109" s="1209"/>
      <c r="D109" s="1209"/>
      <c r="E109" s="1209"/>
      <c r="F109" s="1209"/>
      <c r="G109" s="1214"/>
      <c r="H109" s="1214"/>
      <c r="I109" s="1214"/>
      <c r="J109" s="1209"/>
      <c r="K109" s="1209"/>
      <c r="L109" s="1204"/>
      <c r="M109" s="102"/>
      <c r="N109" s="2" t="s">
        <v>3932</v>
      </c>
      <c r="O109" s="154" t="s">
        <v>3941</v>
      </c>
      <c r="P109" s="155">
        <v>200000000</v>
      </c>
      <c r="Q109" s="155">
        <v>1911460000</v>
      </c>
      <c r="R109" s="151">
        <v>211</v>
      </c>
      <c r="S109" s="157">
        <f t="shared" si="76"/>
        <v>1825460000</v>
      </c>
      <c r="T109" s="684" t="s">
        <v>3875</v>
      </c>
      <c r="U109" s="149">
        <f>SUM(V109:AG109)</f>
        <v>86000000</v>
      </c>
      <c r="V109" s="149"/>
      <c r="W109" s="149"/>
      <c r="X109" s="149"/>
      <c r="Y109" s="149"/>
      <c r="Z109" s="149"/>
      <c r="AA109" s="149"/>
      <c r="AB109" s="149">
        <v>86000000</v>
      </c>
      <c r="AC109" s="149"/>
      <c r="AD109" s="149"/>
      <c r="AE109" s="149"/>
      <c r="AF109" s="149"/>
      <c r="AG109" s="149"/>
      <c r="AH109" s="203"/>
      <c r="AI109" s="204">
        <f t="shared" si="77"/>
        <v>0</v>
      </c>
      <c r="AJ109" s="147"/>
      <c r="AK109" s="147"/>
      <c r="AL109" s="147"/>
      <c r="AM109" s="147"/>
      <c r="AN109" s="147"/>
      <c r="AO109" s="147"/>
      <c r="AP109" s="213"/>
      <c r="AQ109" s="238">
        <f t="shared" si="62"/>
        <v>0</v>
      </c>
      <c r="AR109" s="218">
        <f t="shared" si="63"/>
        <v>0</v>
      </c>
      <c r="AS109" s="149"/>
      <c r="AT109" s="149"/>
      <c r="AU109" s="149"/>
      <c r="AV109" s="149"/>
      <c r="AW109" s="149"/>
      <c r="AX109" s="149"/>
      <c r="AY109" s="149"/>
      <c r="AZ109" s="149"/>
      <c r="BA109" s="149"/>
      <c r="BB109" s="149"/>
      <c r="BC109" s="149"/>
      <c r="BD109" s="149"/>
      <c r="BE109" s="238">
        <f t="shared" si="66"/>
        <v>1</v>
      </c>
      <c r="BF109" s="218">
        <f t="shared" si="67"/>
        <v>86000000</v>
      </c>
      <c r="BG109" s="205">
        <f t="shared" si="64"/>
        <v>0</v>
      </c>
      <c r="BH109" s="205">
        <f t="shared" si="64"/>
        <v>0</v>
      </c>
      <c r="BI109" s="205">
        <f t="shared" si="64"/>
        <v>0</v>
      </c>
      <c r="BJ109" s="205">
        <f t="shared" ref="BJ109:BR137" si="78">+Y109-AV109</f>
        <v>0</v>
      </c>
      <c r="BK109" s="205">
        <f t="shared" si="78"/>
        <v>0</v>
      </c>
      <c r="BL109" s="205">
        <f t="shared" si="78"/>
        <v>0</v>
      </c>
      <c r="BM109" s="205">
        <f t="shared" si="78"/>
        <v>86000000</v>
      </c>
      <c r="BN109" s="205">
        <f t="shared" si="78"/>
        <v>0</v>
      </c>
      <c r="BO109" s="205">
        <f t="shared" si="78"/>
        <v>0</v>
      </c>
      <c r="BP109" s="205">
        <f t="shared" si="78"/>
        <v>0</v>
      </c>
      <c r="BQ109" s="205">
        <f t="shared" si="78"/>
        <v>0</v>
      </c>
      <c r="BR109" s="205">
        <f t="shared" si="78"/>
        <v>0</v>
      </c>
      <c r="BS109" s="238">
        <f t="shared" si="68"/>
        <v>0</v>
      </c>
      <c r="BT109" s="218">
        <f t="shared" si="69"/>
        <v>0</v>
      </c>
      <c r="BU109" s="149"/>
      <c r="BV109" s="149"/>
      <c r="BW109" s="149"/>
      <c r="BX109" s="149"/>
      <c r="BY109" s="149"/>
      <c r="BZ109" s="149"/>
      <c r="CA109" s="149"/>
      <c r="CB109" s="149"/>
      <c r="CC109" s="149"/>
      <c r="CD109" s="149"/>
      <c r="CE109" s="149"/>
      <c r="CF109" s="149"/>
      <c r="CG109" s="238">
        <f t="shared" si="70"/>
        <v>1</v>
      </c>
      <c r="CH109" s="218">
        <f t="shared" si="71"/>
        <v>86000000</v>
      </c>
      <c r="CI109" s="205">
        <f t="shared" si="75"/>
        <v>0</v>
      </c>
      <c r="CJ109" s="205">
        <f t="shared" si="75"/>
        <v>0</v>
      </c>
      <c r="CK109" s="205">
        <f t="shared" si="75"/>
        <v>0</v>
      </c>
      <c r="CL109" s="205">
        <f t="shared" si="75"/>
        <v>0</v>
      </c>
      <c r="CM109" s="205">
        <f t="shared" si="75"/>
        <v>0</v>
      </c>
      <c r="CN109" s="205">
        <f t="shared" si="75"/>
        <v>0</v>
      </c>
      <c r="CO109" s="205">
        <f t="shared" si="75"/>
        <v>86000000</v>
      </c>
      <c r="CP109" s="205">
        <f t="shared" si="75"/>
        <v>0</v>
      </c>
      <c r="CQ109" s="205">
        <f t="shared" si="75"/>
        <v>0</v>
      </c>
      <c r="CR109" s="205">
        <f t="shared" si="75"/>
        <v>0</v>
      </c>
      <c r="CS109" s="205">
        <f t="shared" si="75"/>
        <v>0</v>
      </c>
      <c r="CT109" s="205">
        <f t="shared" si="75"/>
        <v>0</v>
      </c>
    </row>
    <row r="110" spans="1:103" ht="93.75" customHeight="1" x14ac:dyDescent="0.25">
      <c r="A110" s="1209"/>
      <c r="B110" s="1209"/>
      <c r="C110" s="1209"/>
      <c r="D110" s="1209"/>
      <c r="E110" s="1209"/>
      <c r="F110" s="1209"/>
      <c r="G110" s="1214"/>
      <c r="H110" s="1214"/>
      <c r="I110" s="1214"/>
      <c r="J110" s="1209"/>
      <c r="K110" s="1209"/>
      <c r="L110" s="1204"/>
      <c r="M110" s="102"/>
      <c r="N110" s="2" t="s">
        <v>3933</v>
      </c>
      <c r="O110" s="154" t="s">
        <v>3989</v>
      </c>
      <c r="P110" s="155">
        <v>200000000</v>
      </c>
      <c r="Q110" s="155">
        <v>230646000</v>
      </c>
      <c r="R110" s="151">
        <v>211</v>
      </c>
      <c r="S110" s="157">
        <f t="shared" si="76"/>
        <v>174846000</v>
      </c>
      <c r="T110" s="684" t="s">
        <v>3875</v>
      </c>
      <c r="U110" s="149">
        <f>SUM(V110:AG110)</f>
        <v>55800000</v>
      </c>
      <c r="V110" s="149"/>
      <c r="W110" s="149"/>
      <c r="X110" s="149"/>
      <c r="Y110" s="149"/>
      <c r="Z110" s="149"/>
      <c r="AA110" s="149"/>
      <c r="AB110" s="149">
        <v>55800000</v>
      </c>
      <c r="AC110" s="149"/>
      <c r="AD110" s="149"/>
      <c r="AE110" s="149"/>
      <c r="AF110" s="149"/>
      <c r="AG110" s="149"/>
      <c r="AH110" s="203"/>
      <c r="AI110" s="204">
        <f t="shared" si="77"/>
        <v>0</v>
      </c>
      <c r="AJ110" s="147"/>
      <c r="AK110" s="147"/>
      <c r="AL110" s="147"/>
      <c r="AM110" s="147"/>
      <c r="AN110" s="147"/>
      <c r="AO110" s="147"/>
      <c r="AP110" s="213"/>
      <c r="AQ110" s="238">
        <f t="shared" si="62"/>
        <v>0</v>
      </c>
      <c r="AR110" s="218">
        <f t="shared" si="63"/>
        <v>0</v>
      </c>
      <c r="AS110" s="149"/>
      <c r="AT110" s="149"/>
      <c r="AU110" s="149"/>
      <c r="AV110" s="149"/>
      <c r="AW110" s="149"/>
      <c r="AX110" s="149"/>
      <c r="AY110" s="149"/>
      <c r="AZ110" s="149"/>
      <c r="BA110" s="149"/>
      <c r="BB110" s="149"/>
      <c r="BC110" s="149"/>
      <c r="BD110" s="149"/>
      <c r="BE110" s="238">
        <f t="shared" si="66"/>
        <v>1</v>
      </c>
      <c r="BF110" s="218">
        <f t="shared" si="67"/>
        <v>55800000</v>
      </c>
      <c r="BG110" s="205">
        <f t="shared" ref="BG110:BL145" si="79">+V110-AS110</f>
        <v>0</v>
      </c>
      <c r="BH110" s="205">
        <f t="shared" si="79"/>
        <v>0</v>
      </c>
      <c r="BI110" s="205">
        <f t="shared" si="79"/>
        <v>0</v>
      </c>
      <c r="BJ110" s="205">
        <f t="shared" si="78"/>
        <v>0</v>
      </c>
      <c r="BK110" s="205">
        <f t="shared" si="78"/>
        <v>0</v>
      </c>
      <c r="BL110" s="205">
        <f t="shared" si="78"/>
        <v>0</v>
      </c>
      <c r="BM110" s="205">
        <f t="shared" si="78"/>
        <v>55800000</v>
      </c>
      <c r="BN110" s="205">
        <f t="shared" si="78"/>
        <v>0</v>
      </c>
      <c r="BO110" s="205">
        <f t="shared" si="78"/>
        <v>0</v>
      </c>
      <c r="BP110" s="205">
        <f t="shared" si="78"/>
        <v>0</v>
      </c>
      <c r="BQ110" s="205">
        <f t="shared" si="78"/>
        <v>0</v>
      </c>
      <c r="BR110" s="205">
        <f t="shared" si="78"/>
        <v>0</v>
      </c>
      <c r="BS110" s="238">
        <f t="shared" si="68"/>
        <v>0</v>
      </c>
      <c r="BT110" s="218">
        <f t="shared" si="69"/>
        <v>0</v>
      </c>
      <c r="BU110" s="149"/>
      <c r="BV110" s="149"/>
      <c r="BW110" s="149"/>
      <c r="BX110" s="149"/>
      <c r="BY110" s="149"/>
      <c r="BZ110" s="149"/>
      <c r="CA110" s="149"/>
      <c r="CB110" s="149"/>
      <c r="CC110" s="149"/>
      <c r="CD110" s="149"/>
      <c r="CE110" s="149"/>
      <c r="CF110" s="149"/>
      <c r="CG110" s="238">
        <f t="shared" si="70"/>
        <v>1</v>
      </c>
      <c r="CH110" s="218">
        <f t="shared" si="71"/>
        <v>55800000</v>
      </c>
      <c r="CI110" s="205">
        <f t="shared" si="75"/>
        <v>0</v>
      </c>
      <c r="CJ110" s="205">
        <f t="shared" si="75"/>
        <v>0</v>
      </c>
      <c r="CK110" s="205">
        <f t="shared" si="75"/>
        <v>0</v>
      </c>
      <c r="CL110" s="205">
        <f t="shared" si="75"/>
        <v>0</v>
      </c>
      <c r="CM110" s="205">
        <f t="shared" si="75"/>
        <v>0</v>
      </c>
      <c r="CN110" s="205">
        <f t="shared" si="75"/>
        <v>0</v>
      </c>
      <c r="CO110" s="205">
        <f t="shared" si="75"/>
        <v>55800000</v>
      </c>
      <c r="CP110" s="205">
        <f t="shared" si="75"/>
        <v>0</v>
      </c>
      <c r="CQ110" s="205">
        <f t="shared" si="75"/>
        <v>0</v>
      </c>
      <c r="CR110" s="205">
        <f t="shared" si="75"/>
        <v>0</v>
      </c>
      <c r="CS110" s="205">
        <f t="shared" si="75"/>
        <v>0</v>
      </c>
      <c r="CT110" s="205">
        <f t="shared" si="75"/>
        <v>0</v>
      </c>
    </row>
    <row r="111" spans="1:103" ht="96.75" customHeight="1" x14ac:dyDescent="0.25">
      <c r="A111" s="1209"/>
      <c r="B111" s="1209"/>
      <c r="C111" s="1209"/>
      <c r="D111" s="1209"/>
      <c r="E111" s="1209"/>
      <c r="F111" s="1209"/>
      <c r="G111" s="1214"/>
      <c r="H111" s="1214"/>
      <c r="I111" s="1214"/>
      <c r="J111" s="1209"/>
      <c r="K111" s="1209"/>
      <c r="L111" s="1204"/>
      <c r="M111" s="102"/>
      <c r="N111" s="2" t="s">
        <v>3934</v>
      </c>
      <c r="O111" s="154" t="s">
        <v>3982</v>
      </c>
      <c r="P111" s="155">
        <v>200000000</v>
      </c>
      <c r="Q111" s="155">
        <v>245963800</v>
      </c>
      <c r="R111" s="151">
        <v>211</v>
      </c>
      <c r="S111" s="157">
        <f t="shared" si="76"/>
        <v>162013800</v>
      </c>
      <c r="T111" s="684" t="s">
        <v>3875</v>
      </c>
      <c r="U111" s="149">
        <f>SUM(V111:AG111)</f>
        <v>83950000</v>
      </c>
      <c r="V111" s="149"/>
      <c r="W111" s="149"/>
      <c r="X111" s="149"/>
      <c r="Y111" s="149"/>
      <c r="Z111" s="149"/>
      <c r="AA111" s="149"/>
      <c r="AB111" s="149">
        <v>83950000</v>
      </c>
      <c r="AC111" s="149"/>
      <c r="AD111" s="149"/>
      <c r="AE111" s="149"/>
      <c r="AF111" s="149"/>
      <c r="AG111" s="149"/>
      <c r="AH111" s="203"/>
      <c r="AI111" s="204">
        <f t="shared" si="77"/>
        <v>0</v>
      </c>
      <c r="AJ111" s="147"/>
      <c r="AK111" s="147"/>
      <c r="AL111" s="147"/>
      <c r="AM111" s="147"/>
      <c r="AN111" s="147"/>
      <c r="AO111" s="147"/>
      <c r="AP111" s="213"/>
      <c r="AQ111" s="238">
        <f t="shared" si="62"/>
        <v>0</v>
      </c>
      <c r="AR111" s="218">
        <f t="shared" si="63"/>
        <v>0</v>
      </c>
      <c r="AS111" s="149"/>
      <c r="AT111" s="149"/>
      <c r="AU111" s="149"/>
      <c r="AV111" s="149"/>
      <c r="AW111" s="149"/>
      <c r="AX111" s="149"/>
      <c r="AY111" s="149"/>
      <c r="AZ111" s="149"/>
      <c r="BA111" s="149"/>
      <c r="BB111" s="149"/>
      <c r="BC111" s="149"/>
      <c r="BD111" s="149"/>
      <c r="BE111" s="238">
        <f t="shared" si="66"/>
        <v>1</v>
      </c>
      <c r="BF111" s="218">
        <f t="shared" si="67"/>
        <v>83950000</v>
      </c>
      <c r="BG111" s="205">
        <f t="shared" si="79"/>
        <v>0</v>
      </c>
      <c r="BH111" s="205">
        <f t="shared" si="79"/>
        <v>0</v>
      </c>
      <c r="BI111" s="205">
        <f t="shared" si="79"/>
        <v>0</v>
      </c>
      <c r="BJ111" s="205">
        <f t="shared" si="78"/>
        <v>0</v>
      </c>
      <c r="BK111" s="205">
        <f t="shared" si="78"/>
        <v>0</v>
      </c>
      <c r="BL111" s="205">
        <f t="shared" si="78"/>
        <v>0</v>
      </c>
      <c r="BM111" s="205">
        <f t="shared" si="78"/>
        <v>83950000</v>
      </c>
      <c r="BN111" s="205">
        <f t="shared" si="78"/>
        <v>0</v>
      </c>
      <c r="BO111" s="205">
        <f t="shared" si="78"/>
        <v>0</v>
      </c>
      <c r="BP111" s="205">
        <f t="shared" si="78"/>
        <v>0</v>
      </c>
      <c r="BQ111" s="205">
        <f t="shared" si="78"/>
        <v>0</v>
      </c>
      <c r="BR111" s="205">
        <f t="shared" si="78"/>
        <v>0</v>
      </c>
      <c r="BS111" s="238">
        <f t="shared" si="68"/>
        <v>0</v>
      </c>
      <c r="BT111" s="218">
        <f t="shared" si="69"/>
        <v>0</v>
      </c>
      <c r="BU111" s="149"/>
      <c r="BV111" s="149"/>
      <c r="BW111" s="149"/>
      <c r="BX111" s="149"/>
      <c r="BY111" s="149"/>
      <c r="BZ111" s="149"/>
      <c r="CA111" s="149"/>
      <c r="CB111" s="149"/>
      <c r="CC111" s="149"/>
      <c r="CD111" s="149"/>
      <c r="CE111" s="149"/>
      <c r="CF111" s="149"/>
      <c r="CG111" s="238">
        <f t="shared" si="70"/>
        <v>1</v>
      </c>
      <c r="CH111" s="218">
        <f t="shared" si="71"/>
        <v>83950000</v>
      </c>
      <c r="CI111" s="205">
        <f t="shared" si="75"/>
        <v>0</v>
      </c>
      <c r="CJ111" s="205">
        <f t="shared" si="75"/>
        <v>0</v>
      </c>
      <c r="CK111" s="205">
        <f t="shared" si="75"/>
        <v>0</v>
      </c>
      <c r="CL111" s="205">
        <f t="shared" si="75"/>
        <v>0</v>
      </c>
      <c r="CM111" s="205">
        <f t="shared" si="75"/>
        <v>0</v>
      </c>
      <c r="CN111" s="205">
        <f t="shared" si="75"/>
        <v>0</v>
      </c>
      <c r="CO111" s="205">
        <f t="shared" si="75"/>
        <v>83950000</v>
      </c>
      <c r="CP111" s="205">
        <f t="shared" si="75"/>
        <v>0</v>
      </c>
      <c r="CQ111" s="205">
        <f t="shared" si="75"/>
        <v>0</v>
      </c>
      <c r="CR111" s="205">
        <f t="shared" si="75"/>
        <v>0</v>
      </c>
      <c r="CS111" s="205">
        <f t="shared" si="75"/>
        <v>0</v>
      </c>
      <c r="CT111" s="205">
        <f t="shared" si="75"/>
        <v>0</v>
      </c>
    </row>
    <row r="112" spans="1:103" ht="76.5" x14ac:dyDescent="0.25">
      <c r="A112" s="1209"/>
      <c r="B112" s="1209"/>
      <c r="C112" s="1209"/>
      <c r="D112" s="1209"/>
      <c r="E112" s="1209"/>
      <c r="F112" s="1209"/>
      <c r="G112" s="1214"/>
      <c r="H112" s="1214"/>
      <c r="I112" s="1214"/>
      <c r="J112" s="1209"/>
      <c r="K112" s="1209"/>
      <c r="L112" s="1204"/>
      <c r="M112" s="102"/>
      <c r="N112" s="2" t="s">
        <v>3935</v>
      </c>
      <c r="O112" s="154" t="s">
        <v>3942</v>
      </c>
      <c r="P112" s="155">
        <v>50000000</v>
      </c>
      <c r="Q112" s="155">
        <v>156188000</v>
      </c>
      <c r="R112" s="151">
        <v>211</v>
      </c>
      <c r="S112" s="157">
        <f t="shared" si="76"/>
        <v>81938000</v>
      </c>
      <c r="T112" s="684" t="s">
        <v>3875</v>
      </c>
      <c r="U112" s="149">
        <f t="shared" si="13"/>
        <v>74250000</v>
      </c>
      <c r="V112" s="149"/>
      <c r="W112" s="149"/>
      <c r="X112" s="149"/>
      <c r="Y112" s="149"/>
      <c r="Z112" s="149"/>
      <c r="AA112" s="149"/>
      <c r="AB112" s="149">
        <v>74250000</v>
      </c>
      <c r="AC112" s="149"/>
      <c r="AD112" s="149"/>
      <c r="AE112" s="149"/>
      <c r="AF112" s="149"/>
      <c r="AG112" s="149"/>
      <c r="AH112" s="203"/>
      <c r="AI112" s="204">
        <f t="shared" si="77"/>
        <v>0</v>
      </c>
      <c r="AJ112" s="147"/>
      <c r="AK112" s="147"/>
      <c r="AL112" s="147"/>
      <c r="AM112" s="147"/>
      <c r="AN112" s="147"/>
      <c r="AO112" s="147"/>
      <c r="AP112" s="213"/>
      <c r="AQ112" s="238">
        <f t="shared" si="62"/>
        <v>0</v>
      </c>
      <c r="AR112" s="218">
        <f t="shared" si="63"/>
        <v>0</v>
      </c>
      <c r="AS112" s="149"/>
      <c r="AT112" s="149"/>
      <c r="AU112" s="149"/>
      <c r="AV112" s="149"/>
      <c r="AW112" s="149"/>
      <c r="AX112" s="149"/>
      <c r="AY112" s="149"/>
      <c r="AZ112" s="149"/>
      <c r="BA112" s="149"/>
      <c r="BB112" s="149"/>
      <c r="BC112" s="149"/>
      <c r="BD112" s="149"/>
      <c r="BE112" s="238">
        <f t="shared" si="66"/>
        <v>1</v>
      </c>
      <c r="BF112" s="218">
        <f t="shared" si="67"/>
        <v>74250000</v>
      </c>
      <c r="BG112" s="205">
        <f t="shared" si="79"/>
        <v>0</v>
      </c>
      <c r="BH112" s="205">
        <f t="shared" si="79"/>
        <v>0</v>
      </c>
      <c r="BI112" s="205">
        <f t="shared" si="79"/>
        <v>0</v>
      </c>
      <c r="BJ112" s="205">
        <f t="shared" si="78"/>
        <v>0</v>
      </c>
      <c r="BK112" s="205">
        <f t="shared" si="78"/>
        <v>0</v>
      </c>
      <c r="BL112" s="205">
        <f t="shared" si="78"/>
        <v>0</v>
      </c>
      <c r="BM112" s="205">
        <f t="shared" si="78"/>
        <v>74250000</v>
      </c>
      <c r="BN112" s="205">
        <f t="shared" si="78"/>
        <v>0</v>
      </c>
      <c r="BO112" s="205">
        <f t="shared" si="78"/>
        <v>0</v>
      </c>
      <c r="BP112" s="205">
        <f t="shared" si="78"/>
        <v>0</v>
      </c>
      <c r="BQ112" s="205">
        <f t="shared" si="78"/>
        <v>0</v>
      </c>
      <c r="BR112" s="205">
        <f t="shared" si="78"/>
        <v>0</v>
      </c>
      <c r="BS112" s="238">
        <f t="shared" si="68"/>
        <v>0</v>
      </c>
      <c r="BT112" s="218">
        <f t="shared" si="69"/>
        <v>0</v>
      </c>
      <c r="BU112" s="149"/>
      <c r="BV112" s="149"/>
      <c r="BW112" s="149"/>
      <c r="BX112" s="149"/>
      <c r="BY112" s="149"/>
      <c r="BZ112" s="149"/>
      <c r="CA112" s="149"/>
      <c r="CB112" s="149"/>
      <c r="CC112" s="149"/>
      <c r="CD112" s="149"/>
      <c r="CE112" s="149"/>
      <c r="CF112" s="149"/>
      <c r="CG112" s="238">
        <f t="shared" si="70"/>
        <v>1</v>
      </c>
      <c r="CH112" s="218">
        <f t="shared" si="71"/>
        <v>74250000</v>
      </c>
      <c r="CI112" s="205">
        <f t="shared" si="75"/>
        <v>0</v>
      </c>
      <c r="CJ112" s="205">
        <f t="shared" si="75"/>
        <v>0</v>
      </c>
      <c r="CK112" s="205">
        <f t="shared" si="75"/>
        <v>0</v>
      </c>
      <c r="CL112" s="205">
        <f t="shared" si="75"/>
        <v>0</v>
      </c>
      <c r="CM112" s="205">
        <f t="shared" si="75"/>
        <v>0</v>
      </c>
      <c r="CN112" s="205">
        <f t="shared" si="75"/>
        <v>0</v>
      </c>
      <c r="CO112" s="205">
        <f t="shared" si="75"/>
        <v>74250000</v>
      </c>
      <c r="CP112" s="205">
        <f t="shared" si="75"/>
        <v>0</v>
      </c>
      <c r="CQ112" s="205">
        <f t="shared" si="75"/>
        <v>0</v>
      </c>
      <c r="CR112" s="205">
        <f t="shared" si="75"/>
        <v>0</v>
      </c>
      <c r="CS112" s="205">
        <f t="shared" si="75"/>
        <v>0</v>
      </c>
      <c r="CT112" s="205">
        <f t="shared" si="75"/>
        <v>0</v>
      </c>
    </row>
    <row r="113" spans="1:98" ht="55.5" customHeight="1" x14ac:dyDescent="0.25">
      <c r="A113" s="1209"/>
      <c r="B113" s="1209"/>
      <c r="C113" s="1209"/>
      <c r="D113" s="1209"/>
      <c r="E113" s="1209"/>
      <c r="F113" s="1209"/>
      <c r="G113" s="1214"/>
      <c r="H113" s="1214"/>
      <c r="I113" s="1214"/>
      <c r="J113" s="1209"/>
      <c r="K113" s="1209"/>
      <c r="L113" s="1204"/>
      <c r="M113" s="102"/>
      <c r="N113" s="2" t="s">
        <v>3936</v>
      </c>
      <c r="O113" s="154" t="s">
        <v>3977</v>
      </c>
      <c r="P113" s="155">
        <v>100000000</v>
      </c>
      <c r="Q113" s="155">
        <v>120379645</v>
      </c>
      <c r="R113" s="151">
        <v>211</v>
      </c>
      <c r="S113" s="157">
        <f t="shared" si="76"/>
        <v>20379645</v>
      </c>
      <c r="T113" s="684" t="s">
        <v>4089</v>
      </c>
      <c r="U113" s="149">
        <f>SUM(V113:AG113)</f>
        <v>100000000</v>
      </c>
      <c r="V113" s="149"/>
      <c r="W113" s="149"/>
      <c r="X113" s="149"/>
      <c r="Y113" s="149"/>
      <c r="Z113" s="149"/>
      <c r="AA113" s="149"/>
      <c r="AB113" s="149">
        <v>100000000</v>
      </c>
      <c r="AC113" s="149"/>
      <c r="AD113" s="149"/>
      <c r="AE113" s="149"/>
      <c r="AF113" s="149"/>
      <c r="AG113" s="149"/>
      <c r="AH113" s="203"/>
      <c r="AI113" s="204">
        <f t="shared" si="77"/>
        <v>0</v>
      </c>
      <c r="AJ113" s="147"/>
      <c r="AK113" s="147"/>
      <c r="AL113" s="147"/>
      <c r="AM113" s="147"/>
      <c r="AN113" s="147"/>
      <c r="AO113" s="147"/>
      <c r="AP113" s="213"/>
      <c r="AQ113" s="238">
        <f t="shared" si="62"/>
        <v>0</v>
      </c>
      <c r="AR113" s="218">
        <f t="shared" ref="AR113:AR176" si="80">SUM(AS113:BD113)</f>
        <v>0</v>
      </c>
      <c r="AS113" s="149"/>
      <c r="AT113" s="149"/>
      <c r="AU113" s="149"/>
      <c r="AV113" s="149"/>
      <c r="AW113" s="149"/>
      <c r="AX113" s="149"/>
      <c r="AY113" s="149"/>
      <c r="AZ113" s="149"/>
      <c r="BA113" s="149"/>
      <c r="BB113" s="149"/>
      <c r="BC113" s="149"/>
      <c r="BD113" s="149"/>
      <c r="BE113" s="238">
        <f t="shared" si="66"/>
        <v>1</v>
      </c>
      <c r="BF113" s="218">
        <f t="shared" si="67"/>
        <v>100000000</v>
      </c>
      <c r="BG113" s="205">
        <f t="shared" si="79"/>
        <v>0</v>
      </c>
      <c r="BH113" s="205">
        <f t="shared" si="79"/>
        <v>0</v>
      </c>
      <c r="BI113" s="205">
        <f t="shared" si="79"/>
        <v>0</v>
      </c>
      <c r="BJ113" s="205">
        <f t="shared" si="78"/>
        <v>0</v>
      </c>
      <c r="BK113" s="205">
        <f t="shared" si="78"/>
        <v>0</v>
      </c>
      <c r="BL113" s="205">
        <f t="shared" si="78"/>
        <v>0</v>
      </c>
      <c r="BM113" s="205">
        <f t="shared" si="78"/>
        <v>100000000</v>
      </c>
      <c r="BN113" s="205">
        <f t="shared" si="78"/>
        <v>0</v>
      </c>
      <c r="BO113" s="205">
        <f t="shared" si="78"/>
        <v>0</v>
      </c>
      <c r="BP113" s="205">
        <f t="shared" si="78"/>
        <v>0</v>
      </c>
      <c r="BQ113" s="205">
        <f t="shared" si="78"/>
        <v>0</v>
      </c>
      <c r="BR113" s="205">
        <f t="shared" si="78"/>
        <v>0</v>
      </c>
      <c r="BS113" s="238">
        <f t="shared" si="68"/>
        <v>0</v>
      </c>
      <c r="BT113" s="218">
        <f t="shared" si="69"/>
        <v>0</v>
      </c>
      <c r="BU113" s="149"/>
      <c r="BV113" s="149"/>
      <c r="BW113" s="149"/>
      <c r="BX113" s="149"/>
      <c r="BY113" s="149"/>
      <c r="BZ113" s="149"/>
      <c r="CA113" s="149"/>
      <c r="CB113" s="149"/>
      <c r="CC113" s="149"/>
      <c r="CD113" s="149"/>
      <c r="CE113" s="149"/>
      <c r="CF113" s="149"/>
      <c r="CG113" s="238">
        <f t="shared" si="70"/>
        <v>1</v>
      </c>
      <c r="CH113" s="218">
        <f t="shared" si="71"/>
        <v>100000000</v>
      </c>
      <c r="CI113" s="205">
        <f t="shared" si="75"/>
        <v>0</v>
      </c>
      <c r="CJ113" s="205">
        <f t="shared" si="75"/>
        <v>0</v>
      </c>
      <c r="CK113" s="205">
        <f t="shared" si="75"/>
        <v>0</v>
      </c>
      <c r="CL113" s="205">
        <f t="shared" si="75"/>
        <v>0</v>
      </c>
      <c r="CM113" s="205">
        <f t="shared" si="75"/>
        <v>0</v>
      </c>
      <c r="CN113" s="205">
        <f t="shared" si="75"/>
        <v>0</v>
      </c>
      <c r="CO113" s="205">
        <f t="shared" si="75"/>
        <v>100000000</v>
      </c>
      <c r="CP113" s="205">
        <f t="shared" si="75"/>
        <v>0</v>
      </c>
      <c r="CQ113" s="205">
        <f t="shared" si="75"/>
        <v>0</v>
      </c>
      <c r="CR113" s="205">
        <f t="shared" si="75"/>
        <v>0</v>
      </c>
      <c r="CS113" s="205">
        <f t="shared" si="75"/>
        <v>0</v>
      </c>
      <c r="CT113" s="205">
        <f t="shared" si="75"/>
        <v>0</v>
      </c>
    </row>
    <row r="114" spans="1:98" ht="58.5" customHeight="1" x14ac:dyDescent="0.25">
      <c r="A114" s="1209"/>
      <c r="B114" s="1209"/>
      <c r="C114" s="1209"/>
      <c r="D114" s="1209"/>
      <c r="E114" s="1209"/>
      <c r="F114" s="1209"/>
      <c r="G114" s="1214"/>
      <c r="H114" s="1214"/>
      <c r="I114" s="1214"/>
      <c r="J114" s="1209"/>
      <c r="K114" s="1209"/>
      <c r="L114" s="1204"/>
      <c r="M114" s="102"/>
      <c r="N114" s="2" t="s">
        <v>3937</v>
      </c>
      <c r="O114" s="154" t="s">
        <v>3943</v>
      </c>
      <c r="P114" s="155">
        <v>100000000</v>
      </c>
      <c r="Q114" s="155">
        <v>1831236000</v>
      </c>
      <c r="R114" s="151">
        <v>211</v>
      </c>
      <c r="S114" s="157">
        <f t="shared" si="76"/>
        <v>1731236000</v>
      </c>
      <c r="T114" s="684" t="s">
        <v>4090</v>
      </c>
      <c r="U114" s="149">
        <f>SUM(V114:AG114)</f>
        <v>100000000</v>
      </c>
      <c r="V114" s="149"/>
      <c r="W114" s="149"/>
      <c r="X114" s="149"/>
      <c r="Y114" s="149"/>
      <c r="Z114" s="149"/>
      <c r="AA114" s="149"/>
      <c r="AB114" s="149">
        <v>100000000</v>
      </c>
      <c r="AC114" s="149"/>
      <c r="AD114" s="149"/>
      <c r="AE114" s="149"/>
      <c r="AF114" s="149"/>
      <c r="AG114" s="149"/>
      <c r="AH114" s="203"/>
      <c r="AI114" s="204">
        <f t="shared" si="77"/>
        <v>0</v>
      </c>
      <c r="AJ114" s="147"/>
      <c r="AK114" s="147"/>
      <c r="AL114" s="147"/>
      <c r="AM114" s="147"/>
      <c r="AN114" s="147"/>
      <c r="AO114" s="147"/>
      <c r="AP114" s="213"/>
      <c r="AQ114" s="238">
        <f t="shared" si="62"/>
        <v>0</v>
      </c>
      <c r="AR114" s="218">
        <f t="shared" si="80"/>
        <v>0</v>
      </c>
      <c r="AS114" s="149"/>
      <c r="AT114" s="149"/>
      <c r="AU114" s="149"/>
      <c r="AV114" s="149"/>
      <c r="AW114" s="149"/>
      <c r="AX114" s="149"/>
      <c r="AY114" s="149"/>
      <c r="AZ114" s="149"/>
      <c r="BA114" s="149"/>
      <c r="BB114" s="149"/>
      <c r="BC114" s="149"/>
      <c r="BD114" s="149"/>
      <c r="BE114" s="238">
        <f t="shared" si="66"/>
        <v>1</v>
      </c>
      <c r="BF114" s="218">
        <f t="shared" si="67"/>
        <v>100000000</v>
      </c>
      <c r="BG114" s="205">
        <f t="shared" si="79"/>
        <v>0</v>
      </c>
      <c r="BH114" s="205">
        <f t="shared" si="79"/>
        <v>0</v>
      </c>
      <c r="BI114" s="205">
        <f t="shared" si="79"/>
        <v>0</v>
      </c>
      <c r="BJ114" s="205">
        <f t="shared" si="78"/>
        <v>0</v>
      </c>
      <c r="BK114" s="205">
        <f t="shared" si="78"/>
        <v>0</v>
      </c>
      <c r="BL114" s="205">
        <f t="shared" si="78"/>
        <v>0</v>
      </c>
      <c r="BM114" s="205">
        <f t="shared" si="78"/>
        <v>100000000</v>
      </c>
      <c r="BN114" s="205">
        <f t="shared" si="78"/>
        <v>0</v>
      </c>
      <c r="BO114" s="205">
        <f t="shared" si="78"/>
        <v>0</v>
      </c>
      <c r="BP114" s="205">
        <f t="shared" si="78"/>
        <v>0</v>
      </c>
      <c r="BQ114" s="205">
        <f t="shared" si="78"/>
        <v>0</v>
      </c>
      <c r="BR114" s="205">
        <f t="shared" si="78"/>
        <v>0</v>
      </c>
      <c r="BS114" s="238">
        <f t="shared" si="68"/>
        <v>0</v>
      </c>
      <c r="BT114" s="218">
        <f t="shared" si="69"/>
        <v>0</v>
      </c>
      <c r="BU114" s="149"/>
      <c r="BV114" s="149"/>
      <c r="BW114" s="149"/>
      <c r="BX114" s="149"/>
      <c r="BY114" s="149"/>
      <c r="BZ114" s="149"/>
      <c r="CA114" s="149"/>
      <c r="CB114" s="149"/>
      <c r="CC114" s="149"/>
      <c r="CD114" s="149"/>
      <c r="CE114" s="149"/>
      <c r="CF114" s="149"/>
      <c r="CG114" s="238">
        <f t="shared" si="70"/>
        <v>1</v>
      </c>
      <c r="CH114" s="218">
        <f t="shared" si="71"/>
        <v>100000000</v>
      </c>
      <c r="CI114" s="205">
        <f t="shared" si="75"/>
        <v>0</v>
      </c>
      <c r="CJ114" s="205">
        <f t="shared" si="75"/>
        <v>0</v>
      </c>
      <c r="CK114" s="205">
        <f t="shared" si="75"/>
        <v>0</v>
      </c>
      <c r="CL114" s="205">
        <f t="shared" si="75"/>
        <v>0</v>
      </c>
      <c r="CM114" s="205">
        <f t="shared" si="75"/>
        <v>0</v>
      </c>
      <c r="CN114" s="205">
        <f t="shared" si="75"/>
        <v>0</v>
      </c>
      <c r="CO114" s="205">
        <f t="shared" si="75"/>
        <v>100000000</v>
      </c>
      <c r="CP114" s="205">
        <f t="shared" si="75"/>
        <v>0</v>
      </c>
      <c r="CQ114" s="205">
        <f t="shared" si="75"/>
        <v>0</v>
      </c>
      <c r="CR114" s="205">
        <f t="shared" si="75"/>
        <v>0</v>
      </c>
      <c r="CS114" s="205">
        <f t="shared" si="75"/>
        <v>0</v>
      </c>
      <c r="CT114" s="205">
        <f t="shared" si="75"/>
        <v>0</v>
      </c>
    </row>
    <row r="115" spans="1:98" ht="76.5" x14ac:dyDescent="0.25">
      <c r="A115" s="1209"/>
      <c r="B115" s="1209"/>
      <c r="C115" s="1209"/>
      <c r="D115" s="1209"/>
      <c r="E115" s="1209"/>
      <c r="F115" s="1209"/>
      <c r="G115" s="1214"/>
      <c r="H115" s="1214"/>
      <c r="I115" s="1214"/>
      <c r="J115" s="1209"/>
      <c r="K115" s="1209"/>
      <c r="L115" s="1204"/>
      <c r="M115" s="102"/>
      <c r="N115" s="2" t="s">
        <v>3938</v>
      </c>
      <c r="O115" s="154" t="s">
        <v>3969</v>
      </c>
      <c r="P115" s="155">
        <v>280000000</v>
      </c>
      <c r="Q115" s="155">
        <v>492473000</v>
      </c>
      <c r="R115" s="151">
        <v>211</v>
      </c>
      <c r="S115" s="157">
        <f t="shared" si="76"/>
        <v>392473000</v>
      </c>
      <c r="T115" s="684" t="s">
        <v>3349</v>
      </c>
      <c r="U115" s="149">
        <f>SUM(V115:AG115)</f>
        <v>100000000</v>
      </c>
      <c r="V115" s="149"/>
      <c r="W115" s="149"/>
      <c r="X115" s="149"/>
      <c r="Y115" s="149"/>
      <c r="Z115" s="149"/>
      <c r="AA115" s="149"/>
      <c r="AB115" s="149">
        <v>100000000</v>
      </c>
      <c r="AC115" s="149"/>
      <c r="AD115" s="149"/>
      <c r="AE115" s="149"/>
      <c r="AF115" s="149"/>
      <c r="AG115" s="149"/>
      <c r="AH115" s="203"/>
      <c r="AI115" s="204">
        <f t="shared" si="77"/>
        <v>5000000</v>
      </c>
      <c r="AJ115" s="244">
        <v>5000000</v>
      </c>
      <c r="AK115" s="147"/>
      <c r="AL115" s="147"/>
      <c r="AM115" s="147"/>
      <c r="AN115" s="147"/>
      <c r="AO115" s="147"/>
      <c r="AP115" s="213"/>
      <c r="AQ115" s="238">
        <f t="shared" si="62"/>
        <v>0</v>
      </c>
      <c r="AR115" s="218">
        <f t="shared" si="80"/>
        <v>0</v>
      </c>
      <c r="AS115" s="149"/>
      <c r="AT115" s="149"/>
      <c r="AU115" s="149"/>
      <c r="AV115" s="149"/>
      <c r="AW115" s="149"/>
      <c r="AX115" s="149"/>
      <c r="AY115" s="149"/>
      <c r="AZ115" s="149"/>
      <c r="BA115" s="149"/>
      <c r="BB115" s="149"/>
      <c r="BC115" s="149"/>
      <c r="BD115" s="149"/>
      <c r="BE115" s="238">
        <f t="shared" si="66"/>
        <v>1</v>
      </c>
      <c r="BF115" s="218">
        <f t="shared" si="67"/>
        <v>100000000</v>
      </c>
      <c r="BG115" s="205">
        <f t="shared" si="79"/>
        <v>0</v>
      </c>
      <c r="BH115" s="205">
        <f t="shared" si="79"/>
        <v>0</v>
      </c>
      <c r="BI115" s="205">
        <f t="shared" si="79"/>
        <v>0</v>
      </c>
      <c r="BJ115" s="205">
        <f t="shared" si="78"/>
        <v>0</v>
      </c>
      <c r="BK115" s="205">
        <f t="shared" si="78"/>
        <v>0</v>
      </c>
      <c r="BL115" s="205">
        <f t="shared" si="78"/>
        <v>0</v>
      </c>
      <c r="BM115" s="205">
        <f t="shared" si="78"/>
        <v>100000000</v>
      </c>
      <c r="BN115" s="205">
        <f t="shared" si="78"/>
        <v>0</v>
      </c>
      <c r="BO115" s="205">
        <f t="shared" si="78"/>
        <v>0</v>
      </c>
      <c r="BP115" s="205">
        <f t="shared" si="78"/>
        <v>0</v>
      </c>
      <c r="BQ115" s="205">
        <f t="shared" si="78"/>
        <v>0</v>
      </c>
      <c r="BR115" s="205">
        <f t="shared" si="78"/>
        <v>0</v>
      </c>
      <c r="BS115" s="238">
        <f t="shared" si="68"/>
        <v>0</v>
      </c>
      <c r="BT115" s="218">
        <f t="shared" si="69"/>
        <v>0</v>
      </c>
      <c r="BU115" s="149"/>
      <c r="BV115" s="149"/>
      <c r="BW115" s="149"/>
      <c r="BX115" s="149"/>
      <c r="BY115" s="149"/>
      <c r="BZ115" s="149"/>
      <c r="CA115" s="149"/>
      <c r="CB115" s="149"/>
      <c r="CC115" s="149"/>
      <c r="CD115" s="149"/>
      <c r="CE115" s="149"/>
      <c r="CF115" s="149"/>
      <c r="CG115" s="238">
        <f t="shared" si="70"/>
        <v>1</v>
      </c>
      <c r="CH115" s="218">
        <f t="shared" si="71"/>
        <v>100000000</v>
      </c>
      <c r="CI115" s="205">
        <f t="shared" si="75"/>
        <v>0</v>
      </c>
      <c r="CJ115" s="205">
        <f t="shared" si="75"/>
        <v>0</v>
      </c>
      <c r="CK115" s="205">
        <f t="shared" si="75"/>
        <v>0</v>
      </c>
      <c r="CL115" s="205">
        <f t="shared" si="75"/>
        <v>0</v>
      </c>
      <c r="CM115" s="205">
        <f t="shared" si="75"/>
        <v>0</v>
      </c>
      <c r="CN115" s="205">
        <f t="shared" si="75"/>
        <v>0</v>
      </c>
      <c r="CO115" s="205">
        <f t="shared" si="75"/>
        <v>100000000</v>
      </c>
      <c r="CP115" s="205">
        <f t="shared" si="75"/>
        <v>0</v>
      </c>
      <c r="CQ115" s="205">
        <f t="shared" si="75"/>
        <v>0</v>
      </c>
      <c r="CR115" s="205">
        <f t="shared" si="75"/>
        <v>0</v>
      </c>
      <c r="CS115" s="205">
        <f t="shared" si="75"/>
        <v>0</v>
      </c>
      <c r="CT115" s="205">
        <f t="shared" si="75"/>
        <v>0</v>
      </c>
    </row>
    <row r="116" spans="1:98" ht="72" customHeight="1" x14ac:dyDescent="0.25">
      <c r="A116" s="1209"/>
      <c r="B116" s="1209"/>
      <c r="C116" s="1209"/>
      <c r="D116" s="1209"/>
      <c r="E116" s="1209"/>
      <c r="F116" s="1209"/>
      <c r="G116" s="1214"/>
      <c r="H116" s="1214"/>
      <c r="I116" s="1214"/>
      <c r="J116" s="1209"/>
      <c r="K116" s="1209"/>
      <c r="L116" s="1204"/>
      <c r="M116" s="102"/>
      <c r="N116" s="2" t="s">
        <v>3939</v>
      </c>
      <c r="O116" s="154" t="s">
        <v>3991</v>
      </c>
      <c r="P116" s="155">
        <v>90000000</v>
      </c>
      <c r="Q116" s="155">
        <v>135290000</v>
      </c>
      <c r="R116" s="151">
        <v>211</v>
      </c>
      <c r="S116" s="157">
        <f t="shared" si="76"/>
        <v>35290000</v>
      </c>
      <c r="T116" s="684" t="s">
        <v>4093</v>
      </c>
      <c r="U116" s="149">
        <f>SUM(V116:AG116)</f>
        <v>100000000</v>
      </c>
      <c r="V116" s="149"/>
      <c r="W116" s="149"/>
      <c r="X116" s="149"/>
      <c r="Y116" s="149"/>
      <c r="Z116" s="149"/>
      <c r="AA116" s="149"/>
      <c r="AB116" s="149">
        <v>100000000</v>
      </c>
      <c r="AC116" s="149"/>
      <c r="AD116" s="149"/>
      <c r="AE116" s="149"/>
      <c r="AF116" s="149"/>
      <c r="AG116" s="149"/>
      <c r="AH116" s="203"/>
      <c r="AI116" s="204">
        <f t="shared" si="77"/>
        <v>5000000</v>
      </c>
      <c r="AJ116" s="244">
        <v>5000000</v>
      </c>
      <c r="AK116" s="147"/>
      <c r="AL116" s="147"/>
      <c r="AM116" s="147"/>
      <c r="AN116" s="147"/>
      <c r="AO116" s="147"/>
      <c r="AP116" s="213"/>
      <c r="AQ116" s="238">
        <f t="shared" si="62"/>
        <v>0</v>
      </c>
      <c r="AR116" s="218">
        <f t="shared" si="80"/>
        <v>0</v>
      </c>
      <c r="AS116" s="149"/>
      <c r="AT116" s="149"/>
      <c r="AU116" s="149"/>
      <c r="AV116" s="149"/>
      <c r="AW116" s="149"/>
      <c r="AX116" s="149"/>
      <c r="AY116" s="149"/>
      <c r="AZ116" s="149"/>
      <c r="BA116" s="149"/>
      <c r="BB116" s="149"/>
      <c r="BC116" s="149"/>
      <c r="BD116" s="149"/>
      <c r="BE116" s="238">
        <f t="shared" si="66"/>
        <v>1</v>
      </c>
      <c r="BF116" s="218">
        <f t="shared" si="67"/>
        <v>100000000</v>
      </c>
      <c r="BG116" s="205">
        <f t="shared" si="79"/>
        <v>0</v>
      </c>
      <c r="BH116" s="205">
        <f t="shared" si="79"/>
        <v>0</v>
      </c>
      <c r="BI116" s="205">
        <f t="shared" si="79"/>
        <v>0</v>
      </c>
      <c r="BJ116" s="205">
        <f t="shared" si="78"/>
        <v>0</v>
      </c>
      <c r="BK116" s="205">
        <f t="shared" si="78"/>
        <v>0</v>
      </c>
      <c r="BL116" s="205">
        <f t="shared" si="78"/>
        <v>0</v>
      </c>
      <c r="BM116" s="205">
        <f t="shared" si="78"/>
        <v>100000000</v>
      </c>
      <c r="BN116" s="205">
        <f t="shared" si="78"/>
        <v>0</v>
      </c>
      <c r="BO116" s="205">
        <f t="shared" si="78"/>
        <v>0</v>
      </c>
      <c r="BP116" s="205">
        <f t="shared" si="78"/>
        <v>0</v>
      </c>
      <c r="BQ116" s="205">
        <f t="shared" si="78"/>
        <v>0</v>
      </c>
      <c r="BR116" s="205">
        <f t="shared" si="78"/>
        <v>0</v>
      </c>
      <c r="BS116" s="238">
        <f t="shared" si="68"/>
        <v>0</v>
      </c>
      <c r="BT116" s="218">
        <f t="shared" si="69"/>
        <v>0</v>
      </c>
      <c r="BU116" s="149"/>
      <c r="BV116" s="149"/>
      <c r="BW116" s="149"/>
      <c r="BX116" s="149"/>
      <c r="BY116" s="149"/>
      <c r="BZ116" s="149"/>
      <c r="CA116" s="149"/>
      <c r="CB116" s="149"/>
      <c r="CC116" s="149"/>
      <c r="CD116" s="149"/>
      <c r="CE116" s="149"/>
      <c r="CF116" s="149"/>
      <c r="CG116" s="238">
        <f t="shared" si="70"/>
        <v>1</v>
      </c>
      <c r="CH116" s="218">
        <f t="shared" si="71"/>
        <v>100000000</v>
      </c>
      <c r="CI116" s="205">
        <f t="shared" si="75"/>
        <v>0</v>
      </c>
      <c r="CJ116" s="205">
        <f t="shared" si="75"/>
        <v>0</v>
      </c>
      <c r="CK116" s="205">
        <f t="shared" si="75"/>
        <v>0</v>
      </c>
      <c r="CL116" s="205">
        <f t="shared" si="75"/>
        <v>0</v>
      </c>
      <c r="CM116" s="205">
        <f t="shared" si="75"/>
        <v>0</v>
      </c>
      <c r="CN116" s="205">
        <f t="shared" si="75"/>
        <v>0</v>
      </c>
      <c r="CO116" s="205">
        <f t="shared" si="75"/>
        <v>100000000</v>
      </c>
      <c r="CP116" s="205">
        <f t="shared" si="75"/>
        <v>0</v>
      </c>
      <c r="CQ116" s="205">
        <f t="shared" si="75"/>
        <v>0</v>
      </c>
      <c r="CR116" s="205">
        <f t="shared" si="75"/>
        <v>0</v>
      </c>
      <c r="CS116" s="205">
        <f t="shared" si="75"/>
        <v>0</v>
      </c>
      <c r="CT116" s="205">
        <f t="shared" si="75"/>
        <v>0</v>
      </c>
    </row>
    <row r="117" spans="1:98" ht="35.450000000000003" customHeight="1" x14ac:dyDescent="0.25">
      <c r="A117" s="1209"/>
      <c r="B117" s="1209"/>
      <c r="C117" s="1204"/>
      <c r="D117" s="1204"/>
      <c r="E117" s="708"/>
      <c r="F117" s="708"/>
      <c r="G117" s="735"/>
      <c r="H117" s="735"/>
      <c r="I117" s="710"/>
      <c r="J117" s="708"/>
      <c r="K117" s="708"/>
      <c r="L117" s="718"/>
      <c r="M117" s="102"/>
      <c r="N117" s="2" t="s">
        <v>3944</v>
      </c>
      <c r="O117" s="171" t="s">
        <v>3986</v>
      </c>
      <c r="P117" s="172"/>
      <c r="Q117" s="172"/>
      <c r="R117" s="561">
        <v>211</v>
      </c>
      <c r="S117" s="232"/>
      <c r="T117" s="681" t="s">
        <v>4091</v>
      </c>
      <c r="U117" s="149">
        <f t="shared" ref="U117:U144" si="81">SUM(V117:AG117)</f>
        <v>121000000</v>
      </c>
      <c r="V117" s="149"/>
      <c r="W117" s="149">
        <v>121000000</v>
      </c>
      <c r="X117" s="149"/>
      <c r="Y117" s="149"/>
      <c r="Z117" s="149"/>
      <c r="AA117" s="149"/>
      <c r="AB117" s="149"/>
      <c r="AC117" s="149"/>
      <c r="AD117" s="149"/>
      <c r="AE117" s="149"/>
      <c r="AF117" s="149"/>
      <c r="AG117" s="149"/>
      <c r="AH117" s="203"/>
      <c r="AI117" s="204"/>
      <c r="AJ117" s="244"/>
      <c r="AK117" s="147"/>
      <c r="AL117" s="147"/>
      <c r="AM117" s="147"/>
      <c r="AN117" s="147"/>
      <c r="AO117" s="147"/>
      <c r="AP117" s="213"/>
      <c r="AQ117" s="238">
        <f t="shared" si="62"/>
        <v>0</v>
      </c>
      <c r="AR117" s="218">
        <f t="shared" si="80"/>
        <v>0</v>
      </c>
      <c r="AS117" s="149"/>
      <c r="AT117" s="149"/>
      <c r="AU117" s="149"/>
      <c r="AV117" s="149"/>
      <c r="AW117" s="149"/>
      <c r="AX117" s="149"/>
      <c r="AY117" s="149"/>
      <c r="AZ117" s="149"/>
      <c r="BA117" s="149"/>
      <c r="BB117" s="149"/>
      <c r="BC117" s="149"/>
      <c r="BD117" s="149"/>
      <c r="BE117" s="238">
        <f t="shared" si="66"/>
        <v>1</v>
      </c>
      <c r="BF117" s="218">
        <f t="shared" si="67"/>
        <v>121000000</v>
      </c>
      <c r="BG117" s="205">
        <f t="shared" si="79"/>
        <v>0</v>
      </c>
      <c r="BH117" s="205">
        <f t="shared" si="79"/>
        <v>121000000</v>
      </c>
      <c r="BI117" s="205">
        <f t="shared" si="79"/>
        <v>0</v>
      </c>
      <c r="BJ117" s="205">
        <f t="shared" si="78"/>
        <v>0</v>
      </c>
      <c r="BK117" s="205">
        <f t="shared" si="78"/>
        <v>0</v>
      </c>
      <c r="BL117" s="205">
        <f t="shared" si="78"/>
        <v>0</v>
      </c>
      <c r="BM117" s="205">
        <f t="shared" si="78"/>
        <v>0</v>
      </c>
      <c r="BN117" s="205">
        <f t="shared" si="78"/>
        <v>0</v>
      </c>
      <c r="BO117" s="205">
        <f t="shared" si="78"/>
        <v>0</v>
      </c>
      <c r="BP117" s="205">
        <f t="shared" si="78"/>
        <v>0</v>
      </c>
      <c r="BQ117" s="205">
        <f t="shared" si="78"/>
        <v>0</v>
      </c>
      <c r="BR117" s="205">
        <f t="shared" si="78"/>
        <v>0</v>
      </c>
      <c r="BS117" s="238">
        <f t="shared" si="68"/>
        <v>0</v>
      </c>
      <c r="BT117" s="218">
        <f t="shared" si="69"/>
        <v>0</v>
      </c>
      <c r="BU117" s="149"/>
      <c r="BV117" s="149"/>
      <c r="BW117" s="149"/>
      <c r="BX117" s="149"/>
      <c r="BY117" s="149"/>
      <c r="BZ117" s="149"/>
      <c r="CA117" s="149"/>
      <c r="CB117" s="149"/>
      <c r="CC117" s="149"/>
      <c r="CD117" s="149"/>
      <c r="CE117" s="149"/>
      <c r="CF117" s="149"/>
      <c r="CG117" s="238">
        <f t="shared" si="70"/>
        <v>1</v>
      </c>
      <c r="CH117" s="218">
        <f t="shared" si="71"/>
        <v>121000000</v>
      </c>
      <c r="CI117" s="205">
        <f t="shared" si="75"/>
        <v>0</v>
      </c>
      <c r="CJ117" s="205">
        <f t="shared" si="75"/>
        <v>121000000</v>
      </c>
      <c r="CK117" s="205">
        <f t="shared" si="75"/>
        <v>0</v>
      </c>
      <c r="CL117" s="205">
        <f t="shared" si="75"/>
        <v>0</v>
      </c>
      <c r="CM117" s="205">
        <f t="shared" si="75"/>
        <v>0</v>
      </c>
      <c r="CN117" s="205">
        <f t="shared" si="75"/>
        <v>0</v>
      </c>
      <c r="CO117" s="205">
        <f t="shared" si="75"/>
        <v>0</v>
      </c>
      <c r="CP117" s="205">
        <f t="shared" si="75"/>
        <v>0</v>
      </c>
      <c r="CQ117" s="205">
        <f t="shared" si="75"/>
        <v>0</v>
      </c>
      <c r="CR117" s="205">
        <f t="shared" si="75"/>
        <v>0</v>
      </c>
      <c r="CS117" s="205">
        <f t="shared" si="75"/>
        <v>0</v>
      </c>
      <c r="CT117" s="205">
        <f t="shared" si="75"/>
        <v>0</v>
      </c>
    </row>
    <row r="118" spans="1:98" ht="108.75" customHeight="1" x14ac:dyDescent="0.25">
      <c r="A118" s="1209"/>
      <c r="B118" s="1209"/>
      <c r="C118" s="1204"/>
      <c r="D118" s="1204"/>
      <c r="E118" s="708"/>
      <c r="F118" s="708"/>
      <c r="G118" s="735"/>
      <c r="H118" s="735"/>
      <c r="I118" s="710"/>
      <c r="J118" s="708"/>
      <c r="K118" s="708"/>
      <c r="L118" s="718"/>
      <c r="M118" s="102"/>
      <c r="N118" s="2" t="s">
        <v>3945</v>
      </c>
      <c r="O118" s="171" t="s">
        <v>3987</v>
      </c>
      <c r="P118" s="172"/>
      <c r="Q118" s="172"/>
      <c r="R118" s="561">
        <v>211</v>
      </c>
      <c r="S118" s="232"/>
      <c r="T118" s="741" t="s">
        <v>3875</v>
      </c>
      <c r="U118" s="149">
        <f t="shared" si="81"/>
        <v>2000000</v>
      </c>
      <c r="V118" s="149"/>
      <c r="W118" s="149"/>
      <c r="X118" s="149">
        <v>2000000</v>
      </c>
      <c r="Y118" s="149"/>
      <c r="Z118" s="149"/>
      <c r="AA118" s="149"/>
      <c r="AB118" s="149"/>
      <c r="AC118" s="149"/>
      <c r="AD118" s="149"/>
      <c r="AE118" s="149"/>
      <c r="AF118" s="149"/>
      <c r="AG118" s="149"/>
      <c r="AH118" s="203"/>
      <c r="AI118" s="204"/>
      <c r="AJ118" s="244"/>
      <c r="AK118" s="147"/>
      <c r="AL118" s="147"/>
      <c r="AM118" s="147"/>
      <c r="AN118" s="147"/>
      <c r="AO118" s="147"/>
      <c r="AP118" s="213"/>
      <c r="AQ118" s="238">
        <f t="shared" si="62"/>
        <v>0</v>
      </c>
      <c r="AR118" s="218">
        <f t="shared" si="80"/>
        <v>0</v>
      </c>
      <c r="AS118" s="149"/>
      <c r="AT118" s="149"/>
      <c r="AU118" s="149"/>
      <c r="AV118" s="149"/>
      <c r="AW118" s="149"/>
      <c r="AX118" s="149"/>
      <c r="AY118" s="149"/>
      <c r="AZ118" s="149"/>
      <c r="BA118" s="149"/>
      <c r="BB118" s="149"/>
      <c r="BC118" s="149"/>
      <c r="BD118" s="149"/>
      <c r="BE118" s="238">
        <f t="shared" si="66"/>
        <v>1</v>
      </c>
      <c r="BF118" s="218">
        <f t="shared" si="67"/>
        <v>2000000</v>
      </c>
      <c r="BG118" s="205">
        <f t="shared" si="79"/>
        <v>0</v>
      </c>
      <c r="BH118" s="205">
        <f t="shared" si="79"/>
        <v>0</v>
      </c>
      <c r="BI118" s="205">
        <f t="shared" si="79"/>
        <v>2000000</v>
      </c>
      <c r="BJ118" s="205">
        <f t="shared" si="78"/>
        <v>0</v>
      </c>
      <c r="BK118" s="205">
        <f t="shared" si="78"/>
        <v>0</v>
      </c>
      <c r="BL118" s="205">
        <f t="shared" si="78"/>
        <v>0</v>
      </c>
      <c r="BM118" s="205">
        <f t="shared" si="78"/>
        <v>0</v>
      </c>
      <c r="BN118" s="205">
        <f t="shared" si="78"/>
        <v>0</v>
      </c>
      <c r="BO118" s="205">
        <f t="shared" si="78"/>
        <v>0</v>
      </c>
      <c r="BP118" s="205">
        <f t="shared" si="78"/>
        <v>0</v>
      </c>
      <c r="BQ118" s="205">
        <f t="shared" si="78"/>
        <v>0</v>
      </c>
      <c r="BR118" s="205">
        <f t="shared" si="78"/>
        <v>0</v>
      </c>
      <c r="BS118" s="238">
        <f t="shared" si="68"/>
        <v>0</v>
      </c>
      <c r="BT118" s="218">
        <f t="shared" si="69"/>
        <v>0</v>
      </c>
      <c r="BU118" s="149"/>
      <c r="BV118" s="149"/>
      <c r="BW118" s="149"/>
      <c r="BX118" s="149"/>
      <c r="BY118" s="149"/>
      <c r="BZ118" s="149"/>
      <c r="CA118" s="149"/>
      <c r="CB118" s="149"/>
      <c r="CC118" s="149"/>
      <c r="CD118" s="149"/>
      <c r="CE118" s="149"/>
      <c r="CF118" s="149"/>
      <c r="CG118" s="238">
        <f t="shared" si="70"/>
        <v>1</v>
      </c>
      <c r="CH118" s="218">
        <f t="shared" si="71"/>
        <v>2000000</v>
      </c>
      <c r="CI118" s="205">
        <f t="shared" si="75"/>
        <v>0</v>
      </c>
      <c r="CJ118" s="205">
        <f t="shared" si="75"/>
        <v>0</v>
      </c>
      <c r="CK118" s="205">
        <f t="shared" si="75"/>
        <v>2000000</v>
      </c>
      <c r="CL118" s="205">
        <f t="shared" si="75"/>
        <v>0</v>
      </c>
      <c r="CM118" s="205">
        <f t="shared" si="75"/>
        <v>0</v>
      </c>
      <c r="CN118" s="205">
        <f t="shared" si="75"/>
        <v>0</v>
      </c>
      <c r="CO118" s="205">
        <f t="shared" si="75"/>
        <v>0</v>
      </c>
      <c r="CP118" s="205">
        <f t="shared" si="75"/>
        <v>0</v>
      </c>
      <c r="CQ118" s="205">
        <f t="shared" si="75"/>
        <v>0</v>
      </c>
      <c r="CR118" s="205">
        <f t="shared" si="75"/>
        <v>0</v>
      </c>
      <c r="CS118" s="205">
        <f t="shared" si="75"/>
        <v>0</v>
      </c>
      <c r="CT118" s="205">
        <f t="shared" si="75"/>
        <v>0</v>
      </c>
    </row>
    <row r="119" spans="1:98" ht="79.5" customHeight="1" x14ac:dyDescent="0.25">
      <c r="A119" s="1209"/>
      <c r="B119" s="1209"/>
      <c r="C119" s="1204"/>
      <c r="D119" s="1204"/>
      <c r="E119" s="708"/>
      <c r="F119" s="708"/>
      <c r="G119" s="735"/>
      <c r="H119" s="735"/>
      <c r="I119" s="710"/>
      <c r="J119" s="708"/>
      <c r="K119" s="708"/>
      <c r="L119" s="718"/>
      <c r="M119" s="102"/>
      <c r="N119" s="2" t="s">
        <v>3946</v>
      </c>
      <c r="O119" s="171" t="s">
        <v>3993</v>
      </c>
      <c r="P119" s="172"/>
      <c r="Q119" s="172"/>
      <c r="R119" s="561">
        <v>211</v>
      </c>
      <c r="S119" s="232"/>
      <c r="T119" s="740" t="s">
        <v>3878</v>
      </c>
      <c r="U119" s="149">
        <f t="shared" si="81"/>
        <v>10800000</v>
      </c>
      <c r="V119" s="149"/>
      <c r="W119" s="149"/>
      <c r="X119" s="149">
        <v>10800000</v>
      </c>
      <c r="Y119" s="149"/>
      <c r="Z119" s="149"/>
      <c r="AA119" s="149"/>
      <c r="AB119" s="149"/>
      <c r="AC119" s="149"/>
      <c r="AD119" s="149"/>
      <c r="AE119" s="149"/>
      <c r="AF119" s="149"/>
      <c r="AG119" s="149"/>
      <c r="AH119" s="203"/>
      <c r="AI119" s="204"/>
      <c r="AJ119" s="244"/>
      <c r="AK119" s="147"/>
      <c r="AL119" s="147"/>
      <c r="AM119" s="147"/>
      <c r="AN119" s="147"/>
      <c r="AO119" s="147"/>
      <c r="AP119" s="213"/>
      <c r="AQ119" s="238">
        <f t="shared" si="62"/>
        <v>0</v>
      </c>
      <c r="AR119" s="218">
        <f t="shared" si="80"/>
        <v>0</v>
      </c>
      <c r="AS119" s="149"/>
      <c r="AT119" s="149"/>
      <c r="AU119" s="149"/>
      <c r="AV119" s="149"/>
      <c r="AW119" s="149"/>
      <c r="AX119" s="149"/>
      <c r="AY119" s="149"/>
      <c r="AZ119" s="149"/>
      <c r="BA119" s="149"/>
      <c r="BB119" s="149"/>
      <c r="BC119" s="149"/>
      <c r="BD119" s="149"/>
      <c r="BE119" s="238">
        <f t="shared" si="66"/>
        <v>1</v>
      </c>
      <c r="BF119" s="218">
        <f t="shared" si="67"/>
        <v>10800000</v>
      </c>
      <c r="BG119" s="205">
        <f t="shared" si="79"/>
        <v>0</v>
      </c>
      <c r="BH119" s="205">
        <f t="shared" si="79"/>
        <v>0</v>
      </c>
      <c r="BI119" s="205">
        <f t="shared" si="79"/>
        <v>10800000</v>
      </c>
      <c r="BJ119" s="205">
        <f t="shared" si="78"/>
        <v>0</v>
      </c>
      <c r="BK119" s="205">
        <f t="shared" si="78"/>
        <v>0</v>
      </c>
      <c r="BL119" s="205">
        <f t="shared" si="78"/>
        <v>0</v>
      </c>
      <c r="BM119" s="205">
        <f t="shared" si="78"/>
        <v>0</v>
      </c>
      <c r="BN119" s="205">
        <f t="shared" si="78"/>
        <v>0</v>
      </c>
      <c r="BO119" s="205">
        <f t="shared" si="78"/>
        <v>0</v>
      </c>
      <c r="BP119" s="205">
        <f t="shared" si="78"/>
        <v>0</v>
      </c>
      <c r="BQ119" s="205">
        <f t="shared" si="78"/>
        <v>0</v>
      </c>
      <c r="BR119" s="205">
        <f t="shared" si="78"/>
        <v>0</v>
      </c>
      <c r="BS119" s="238">
        <f t="shared" si="68"/>
        <v>0</v>
      </c>
      <c r="BT119" s="218">
        <f t="shared" si="69"/>
        <v>0</v>
      </c>
      <c r="BU119" s="149"/>
      <c r="BV119" s="149"/>
      <c r="BW119" s="149"/>
      <c r="BX119" s="149"/>
      <c r="BY119" s="149"/>
      <c r="BZ119" s="149"/>
      <c r="CA119" s="149"/>
      <c r="CB119" s="149"/>
      <c r="CC119" s="149"/>
      <c r="CD119" s="149"/>
      <c r="CE119" s="149"/>
      <c r="CF119" s="149"/>
      <c r="CG119" s="238">
        <f t="shared" si="70"/>
        <v>1</v>
      </c>
      <c r="CH119" s="218">
        <f t="shared" si="71"/>
        <v>10800000</v>
      </c>
      <c r="CI119" s="205">
        <f t="shared" si="75"/>
        <v>0</v>
      </c>
      <c r="CJ119" s="205">
        <f t="shared" si="75"/>
        <v>0</v>
      </c>
      <c r="CK119" s="205">
        <f t="shared" si="75"/>
        <v>10800000</v>
      </c>
      <c r="CL119" s="205">
        <f t="shared" si="75"/>
        <v>0</v>
      </c>
      <c r="CM119" s="205">
        <f t="shared" si="75"/>
        <v>0</v>
      </c>
      <c r="CN119" s="205">
        <f t="shared" si="75"/>
        <v>0</v>
      </c>
      <c r="CO119" s="205">
        <f t="shared" si="75"/>
        <v>0</v>
      </c>
      <c r="CP119" s="205">
        <f t="shared" si="75"/>
        <v>0</v>
      </c>
      <c r="CQ119" s="205">
        <f t="shared" si="75"/>
        <v>0</v>
      </c>
      <c r="CR119" s="205">
        <f t="shared" si="75"/>
        <v>0</v>
      </c>
      <c r="CS119" s="205">
        <f t="shared" si="75"/>
        <v>0</v>
      </c>
      <c r="CT119" s="205">
        <f t="shared" si="75"/>
        <v>0</v>
      </c>
    </row>
    <row r="120" spans="1:98" ht="69" customHeight="1" x14ac:dyDescent="0.25">
      <c r="A120" s="1209"/>
      <c r="B120" s="1209"/>
      <c r="C120" s="1204"/>
      <c r="D120" s="1204"/>
      <c r="E120" s="708"/>
      <c r="F120" s="708"/>
      <c r="G120" s="735"/>
      <c r="H120" s="735"/>
      <c r="I120" s="710"/>
      <c r="J120" s="708"/>
      <c r="K120" s="708"/>
      <c r="L120" s="718"/>
      <c r="M120" s="102"/>
      <c r="N120" s="2" t="s">
        <v>3947</v>
      </c>
      <c r="O120" s="171" t="s">
        <v>3984</v>
      </c>
      <c r="P120" s="172"/>
      <c r="Q120" s="172"/>
      <c r="R120" s="561">
        <v>211</v>
      </c>
      <c r="S120" s="232"/>
      <c r="T120" s="730" t="s">
        <v>4089</v>
      </c>
      <c r="U120" s="149">
        <f t="shared" si="81"/>
        <v>1000000</v>
      </c>
      <c r="V120" s="149"/>
      <c r="W120" s="149">
        <v>1000000</v>
      </c>
      <c r="X120" s="149"/>
      <c r="Y120" s="149"/>
      <c r="Z120" s="149"/>
      <c r="AA120" s="149"/>
      <c r="AB120" s="149"/>
      <c r="AC120" s="149"/>
      <c r="AD120" s="149"/>
      <c r="AE120" s="149"/>
      <c r="AF120" s="149"/>
      <c r="AG120" s="149"/>
      <c r="AH120" s="203"/>
      <c r="AI120" s="204"/>
      <c r="AJ120" s="244"/>
      <c r="AK120" s="147"/>
      <c r="AL120" s="147"/>
      <c r="AM120" s="147"/>
      <c r="AN120" s="147"/>
      <c r="AO120" s="147"/>
      <c r="AP120" s="213"/>
      <c r="AQ120" s="238">
        <f t="shared" si="62"/>
        <v>0</v>
      </c>
      <c r="AR120" s="218">
        <f t="shared" si="80"/>
        <v>0</v>
      </c>
      <c r="AS120" s="149"/>
      <c r="AT120" s="149"/>
      <c r="AU120" s="149"/>
      <c r="AV120" s="149"/>
      <c r="AW120" s="149"/>
      <c r="AX120" s="149"/>
      <c r="AY120" s="149"/>
      <c r="AZ120" s="149"/>
      <c r="BA120" s="149"/>
      <c r="BB120" s="149"/>
      <c r="BC120" s="149"/>
      <c r="BD120" s="149"/>
      <c r="BE120" s="238">
        <f t="shared" si="66"/>
        <v>1</v>
      </c>
      <c r="BF120" s="218">
        <f t="shared" si="67"/>
        <v>1000000</v>
      </c>
      <c r="BG120" s="205">
        <f t="shared" si="79"/>
        <v>0</v>
      </c>
      <c r="BH120" s="205">
        <f t="shared" si="79"/>
        <v>1000000</v>
      </c>
      <c r="BI120" s="205">
        <f t="shared" si="79"/>
        <v>0</v>
      </c>
      <c r="BJ120" s="205">
        <f t="shared" si="78"/>
        <v>0</v>
      </c>
      <c r="BK120" s="205">
        <f t="shared" si="78"/>
        <v>0</v>
      </c>
      <c r="BL120" s="205">
        <f t="shared" si="78"/>
        <v>0</v>
      </c>
      <c r="BM120" s="205">
        <f t="shared" si="78"/>
        <v>0</v>
      </c>
      <c r="BN120" s="205">
        <f t="shared" si="78"/>
        <v>0</v>
      </c>
      <c r="BO120" s="205">
        <f t="shared" si="78"/>
        <v>0</v>
      </c>
      <c r="BP120" s="205">
        <f t="shared" si="78"/>
        <v>0</v>
      </c>
      <c r="BQ120" s="205">
        <f t="shared" si="78"/>
        <v>0</v>
      </c>
      <c r="BR120" s="205">
        <f t="shared" si="78"/>
        <v>0</v>
      </c>
      <c r="BS120" s="238">
        <f t="shared" si="68"/>
        <v>0</v>
      </c>
      <c r="BT120" s="218">
        <f t="shared" si="69"/>
        <v>0</v>
      </c>
      <c r="BU120" s="149"/>
      <c r="BV120" s="149"/>
      <c r="BW120" s="149"/>
      <c r="BX120" s="149"/>
      <c r="BY120" s="149"/>
      <c r="BZ120" s="149"/>
      <c r="CA120" s="149"/>
      <c r="CB120" s="149"/>
      <c r="CC120" s="149"/>
      <c r="CD120" s="149"/>
      <c r="CE120" s="149"/>
      <c r="CF120" s="149"/>
      <c r="CG120" s="238">
        <f t="shared" si="70"/>
        <v>1</v>
      </c>
      <c r="CH120" s="218">
        <f t="shared" si="71"/>
        <v>1000000</v>
      </c>
      <c r="CI120" s="205">
        <f t="shared" si="75"/>
        <v>0</v>
      </c>
      <c r="CJ120" s="205">
        <f t="shared" si="75"/>
        <v>1000000</v>
      </c>
      <c r="CK120" s="205">
        <f t="shared" si="75"/>
        <v>0</v>
      </c>
      <c r="CL120" s="205">
        <f t="shared" si="75"/>
        <v>0</v>
      </c>
      <c r="CM120" s="205">
        <f t="shared" si="75"/>
        <v>0</v>
      </c>
      <c r="CN120" s="205">
        <f t="shared" si="75"/>
        <v>0</v>
      </c>
      <c r="CO120" s="205">
        <f t="shared" si="75"/>
        <v>0</v>
      </c>
      <c r="CP120" s="205">
        <f t="shared" si="75"/>
        <v>0</v>
      </c>
      <c r="CQ120" s="205">
        <f t="shared" si="75"/>
        <v>0</v>
      </c>
      <c r="CR120" s="205">
        <f t="shared" si="75"/>
        <v>0</v>
      </c>
      <c r="CS120" s="205">
        <f t="shared" si="75"/>
        <v>0</v>
      </c>
      <c r="CT120" s="205">
        <f t="shared" si="75"/>
        <v>0</v>
      </c>
    </row>
    <row r="121" spans="1:98" ht="81" customHeight="1" x14ac:dyDescent="0.25">
      <c r="A121" s="1209"/>
      <c r="B121" s="1209"/>
      <c r="C121" s="1204"/>
      <c r="D121" s="1204"/>
      <c r="E121" s="708"/>
      <c r="F121" s="708"/>
      <c r="G121" s="735"/>
      <c r="H121" s="735"/>
      <c r="I121" s="710"/>
      <c r="J121" s="708"/>
      <c r="K121" s="708"/>
      <c r="L121" s="718"/>
      <c r="M121" s="102"/>
      <c r="N121" s="2" t="s">
        <v>3948</v>
      </c>
      <c r="O121" s="171" t="s">
        <v>3994</v>
      </c>
      <c r="P121" s="172"/>
      <c r="Q121" s="172"/>
      <c r="R121" s="561">
        <v>211</v>
      </c>
      <c r="S121" s="232"/>
      <c r="T121" s="730" t="s">
        <v>4088</v>
      </c>
      <c r="U121" s="149">
        <f t="shared" si="81"/>
        <v>7500000</v>
      </c>
      <c r="V121" s="149"/>
      <c r="W121" s="149">
        <v>7500000</v>
      </c>
      <c r="X121" s="149"/>
      <c r="Y121" s="149"/>
      <c r="Z121" s="149"/>
      <c r="AA121" s="149"/>
      <c r="AB121" s="149"/>
      <c r="AC121" s="149"/>
      <c r="AD121" s="149"/>
      <c r="AE121" s="149"/>
      <c r="AF121" s="149"/>
      <c r="AG121" s="149"/>
      <c r="AH121" s="203"/>
      <c r="AI121" s="204"/>
      <c r="AJ121" s="244"/>
      <c r="AK121" s="147"/>
      <c r="AL121" s="147"/>
      <c r="AM121" s="147"/>
      <c r="AN121" s="147"/>
      <c r="AO121" s="147"/>
      <c r="AP121" s="213"/>
      <c r="AQ121" s="238">
        <f t="shared" si="62"/>
        <v>0</v>
      </c>
      <c r="AR121" s="218">
        <f t="shared" si="80"/>
        <v>0</v>
      </c>
      <c r="AS121" s="149"/>
      <c r="AT121" s="149"/>
      <c r="AU121" s="149"/>
      <c r="AV121" s="149"/>
      <c r="AW121" s="149"/>
      <c r="AX121" s="149"/>
      <c r="AY121" s="149"/>
      <c r="AZ121" s="149"/>
      <c r="BA121" s="149"/>
      <c r="BB121" s="149"/>
      <c r="BC121" s="149"/>
      <c r="BD121" s="149"/>
      <c r="BE121" s="238">
        <f t="shared" si="66"/>
        <v>1</v>
      </c>
      <c r="BF121" s="218">
        <f t="shared" si="67"/>
        <v>7500000</v>
      </c>
      <c r="BG121" s="205">
        <f t="shared" si="79"/>
        <v>0</v>
      </c>
      <c r="BH121" s="205">
        <f t="shared" si="79"/>
        <v>7500000</v>
      </c>
      <c r="BI121" s="205">
        <f t="shared" si="79"/>
        <v>0</v>
      </c>
      <c r="BJ121" s="205">
        <f t="shared" si="78"/>
        <v>0</v>
      </c>
      <c r="BK121" s="205">
        <f t="shared" si="78"/>
        <v>0</v>
      </c>
      <c r="BL121" s="205">
        <f t="shared" si="78"/>
        <v>0</v>
      </c>
      <c r="BM121" s="205">
        <f t="shared" si="78"/>
        <v>0</v>
      </c>
      <c r="BN121" s="205">
        <f t="shared" si="78"/>
        <v>0</v>
      </c>
      <c r="BO121" s="205">
        <f t="shared" si="78"/>
        <v>0</v>
      </c>
      <c r="BP121" s="205">
        <f t="shared" si="78"/>
        <v>0</v>
      </c>
      <c r="BQ121" s="205">
        <f t="shared" si="78"/>
        <v>0</v>
      </c>
      <c r="BR121" s="205">
        <f t="shared" si="78"/>
        <v>0</v>
      </c>
      <c r="BS121" s="238">
        <f t="shared" si="68"/>
        <v>0</v>
      </c>
      <c r="BT121" s="218">
        <f t="shared" si="69"/>
        <v>0</v>
      </c>
      <c r="BU121" s="149"/>
      <c r="BV121" s="149"/>
      <c r="BW121" s="149"/>
      <c r="BX121" s="149"/>
      <c r="BY121" s="149"/>
      <c r="BZ121" s="149"/>
      <c r="CA121" s="149"/>
      <c r="CB121" s="149"/>
      <c r="CC121" s="149"/>
      <c r="CD121" s="149"/>
      <c r="CE121" s="149"/>
      <c r="CF121" s="149"/>
      <c r="CG121" s="238">
        <f t="shared" si="70"/>
        <v>1</v>
      </c>
      <c r="CH121" s="218">
        <f t="shared" si="71"/>
        <v>7500000</v>
      </c>
      <c r="CI121" s="205">
        <f t="shared" si="75"/>
        <v>0</v>
      </c>
      <c r="CJ121" s="205">
        <f t="shared" si="75"/>
        <v>7500000</v>
      </c>
      <c r="CK121" s="205">
        <f t="shared" si="75"/>
        <v>0</v>
      </c>
      <c r="CL121" s="205">
        <f t="shared" si="75"/>
        <v>0</v>
      </c>
      <c r="CM121" s="205">
        <f t="shared" si="75"/>
        <v>0</v>
      </c>
      <c r="CN121" s="205">
        <f t="shared" si="75"/>
        <v>0</v>
      </c>
      <c r="CO121" s="205">
        <f t="shared" si="75"/>
        <v>0</v>
      </c>
      <c r="CP121" s="205">
        <f t="shared" si="75"/>
        <v>0</v>
      </c>
      <c r="CQ121" s="205">
        <f t="shared" si="75"/>
        <v>0</v>
      </c>
      <c r="CR121" s="205">
        <f t="shared" si="75"/>
        <v>0</v>
      </c>
      <c r="CS121" s="205">
        <f t="shared" si="75"/>
        <v>0</v>
      </c>
      <c r="CT121" s="205">
        <f t="shared" si="75"/>
        <v>0</v>
      </c>
    </row>
    <row r="122" spans="1:98" ht="83.25" customHeight="1" x14ac:dyDescent="0.25">
      <c r="A122" s="1209"/>
      <c r="B122" s="1209"/>
      <c r="C122" s="1204"/>
      <c r="D122" s="1204"/>
      <c r="E122" s="708"/>
      <c r="F122" s="708"/>
      <c r="G122" s="735"/>
      <c r="H122" s="735"/>
      <c r="I122" s="710"/>
      <c r="J122" s="708"/>
      <c r="K122" s="708"/>
      <c r="L122" s="718"/>
      <c r="M122" s="102"/>
      <c r="N122" s="2" t="s">
        <v>3949</v>
      </c>
      <c r="O122" s="171" t="s">
        <v>3978</v>
      </c>
      <c r="P122" s="172"/>
      <c r="Q122" s="172"/>
      <c r="R122" s="561">
        <v>211</v>
      </c>
      <c r="S122" s="232"/>
      <c r="T122" s="730" t="s">
        <v>4088</v>
      </c>
      <c r="U122" s="149">
        <f t="shared" si="81"/>
        <v>7500000</v>
      </c>
      <c r="V122" s="149"/>
      <c r="W122" s="149">
        <v>7500000</v>
      </c>
      <c r="X122" s="149"/>
      <c r="Y122" s="149"/>
      <c r="Z122" s="149"/>
      <c r="AA122" s="149"/>
      <c r="AB122" s="149"/>
      <c r="AC122" s="149"/>
      <c r="AD122" s="149"/>
      <c r="AE122" s="149"/>
      <c r="AF122" s="149"/>
      <c r="AG122" s="149"/>
      <c r="AH122" s="203"/>
      <c r="AI122" s="204"/>
      <c r="AJ122" s="244"/>
      <c r="AK122" s="147"/>
      <c r="AL122" s="147"/>
      <c r="AM122" s="147"/>
      <c r="AN122" s="147"/>
      <c r="AO122" s="147"/>
      <c r="AP122" s="213"/>
      <c r="AQ122" s="238">
        <f t="shared" si="62"/>
        <v>0</v>
      </c>
      <c r="AR122" s="218">
        <f t="shared" si="80"/>
        <v>0</v>
      </c>
      <c r="AS122" s="149"/>
      <c r="AT122" s="149"/>
      <c r="AU122" s="149"/>
      <c r="AV122" s="149"/>
      <c r="AW122" s="149"/>
      <c r="AX122" s="149"/>
      <c r="AY122" s="149"/>
      <c r="AZ122" s="149"/>
      <c r="BA122" s="149"/>
      <c r="BB122" s="149"/>
      <c r="BC122" s="149"/>
      <c r="BD122" s="149"/>
      <c r="BE122" s="238">
        <f t="shared" si="66"/>
        <v>1</v>
      </c>
      <c r="BF122" s="218">
        <f t="shared" si="67"/>
        <v>7500000</v>
      </c>
      <c r="BG122" s="205">
        <f t="shared" si="79"/>
        <v>0</v>
      </c>
      <c r="BH122" s="205">
        <f t="shared" si="79"/>
        <v>7500000</v>
      </c>
      <c r="BI122" s="205">
        <f t="shared" si="79"/>
        <v>0</v>
      </c>
      <c r="BJ122" s="205">
        <f t="shared" si="78"/>
        <v>0</v>
      </c>
      <c r="BK122" s="205">
        <f t="shared" si="78"/>
        <v>0</v>
      </c>
      <c r="BL122" s="205">
        <f t="shared" si="78"/>
        <v>0</v>
      </c>
      <c r="BM122" s="205">
        <f t="shared" si="78"/>
        <v>0</v>
      </c>
      <c r="BN122" s="205">
        <f t="shared" si="78"/>
        <v>0</v>
      </c>
      <c r="BO122" s="205">
        <f t="shared" si="78"/>
        <v>0</v>
      </c>
      <c r="BP122" s="205">
        <f t="shared" si="78"/>
        <v>0</v>
      </c>
      <c r="BQ122" s="205">
        <f t="shared" si="78"/>
        <v>0</v>
      </c>
      <c r="BR122" s="205">
        <f t="shared" si="78"/>
        <v>0</v>
      </c>
      <c r="BS122" s="238">
        <f t="shared" si="68"/>
        <v>0</v>
      </c>
      <c r="BT122" s="218">
        <f t="shared" si="69"/>
        <v>0</v>
      </c>
      <c r="BU122" s="149"/>
      <c r="BV122" s="149"/>
      <c r="BW122" s="149"/>
      <c r="BX122" s="149"/>
      <c r="BY122" s="149"/>
      <c r="BZ122" s="149"/>
      <c r="CA122" s="149"/>
      <c r="CB122" s="149"/>
      <c r="CC122" s="149"/>
      <c r="CD122" s="149"/>
      <c r="CE122" s="149"/>
      <c r="CF122" s="149"/>
      <c r="CG122" s="238">
        <f t="shared" si="70"/>
        <v>1</v>
      </c>
      <c r="CH122" s="218">
        <f t="shared" si="71"/>
        <v>7500000</v>
      </c>
      <c r="CI122" s="205">
        <f t="shared" si="75"/>
        <v>0</v>
      </c>
      <c r="CJ122" s="205">
        <f t="shared" si="75"/>
        <v>7500000</v>
      </c>
      <c r="CK122" s="205">
        <f t="shared" si="75"/>
        <v>0</v>
      </c>
      <c r="CL122" s="205">
        <f t="shared" si="75"/>
        <v>0</v>
      </c>
      <c r="CM122" s="205">
        <f t="shared" si="75"/>
        <v>0</v>
      </c>
      <c r="CN122" s="205">
        <f t="shared" si="75"/>
        <v>0</v>
      </c>
      <c r="CO122" s="205">
        <f t="shared" si="75"/>
        <v>0</v>
      </c>
      <c r="CP122" s="205">
        <f t="shared" si="75"/>
        <v>0</v>
      </c>
      <c r="CQ122" s="205">
        <f t="shared" si="75"/>
        <v>0</v>
      </c>
      <c r="CR122" s="205">
        <f t="shared" si="75"/>
        <v>0</v>
      </c>
      <c r="CS122" s="205">
        <f t="shared" si="75"/>
        <v>0</v>
      </c>
      <c r="CT122" s="205">
        <f t="shared" si="75"/>
        <v>0</v>
      </c>
    </row>
    <row r="123" spans="1:98" ht="87" customHeight="1" x14ac:dyDescent="0.25">
      <c r="A123" s="1209"/>
      <c r="B123" s="1209"/>
      <c r="C123" s="1204"/>
      <c r="D123" s="1204"/>
      <c r="E123" s="708"/>
      <c r="F123" s="708"/>
      <c r="G123" s="735"/>
      <c r="H123" s="735"/>
      <c r="I123" s="710"/>
      <c r="J123" s="708"/>
      <c r="K123" s="708"/>
      <c r="L123" s="718"/>
      <c r="M123" s="102"/>
      <c r="N123" s="2" t="s">
        <v>3950</v>
      </c>
      <c r="O123" s="171" t="s">
        <v>3952</v>
      </c>
      <c r="P123" s="172"/>
      <c r="Q123" s="172"/>
      <c r="R123" s="561">
        <v>211</v>
      </c>
      <c r="S123" s="232"/>
      <c r="T123" s="730" t="s">
        <v>4088</v>
      </c>
      <c r="U123" s="149">
        <f t="shared" si="81"/>
        <v>5000000</v>
      </c>
      <c r="V123" s="149"/>
      <c r="W123" s="149">
        <v>5000000</v>
      </c>
      <c r="X123" s="149"/>
      <c r="Y123" s="149"/>
      <c r="Z123" s="149"/>
      <c r="AA123" s="149"/>
      <c r="AB123" s="149"/>
      <c r="AC123" s="149"/>
      <c r="AD123" s="149"/>
      <c r="AE123" s="149"/>
      <c r="AF123" s="149"/>
      <c r="AG123" s="149"/>
      <c r="AH123" s="203"/>
      <c r="AI123" s="204"/>
      <c r="AJ123" s="244"/>
      <c r="AK123" s="147"/>
      <c r="AL123" s="147"/>
      <c r="AM123" s="147"/>
      <c r="AN123" s="147"/>
      <c r="AO123" s="147"/>
      <c r="AP123" s="213"/>
      <c r="AQ123" s="238">
        <f t="shared" si="62"/>
        <v>0</v>
      </c>
      <c r="AR123" s="218">
        <f t="shared" si="80"/>
        <v>0</v>
      </c>
      <c r="AS123" s="149"/>
      <c r="AT123" s="149"/>
      <c r="AU123" s="149"/>
      <c r="AV123" s="149"/>
      <c r="AW123" s="149"/>
      <c r="AX123" s="149"/>
      <c r="AY123" s="149"/>
      <c r="AZ123" s="149"/>
      <c r="BA123" s="149"/>
      <c r="BB123" s="149"/>
      <c r="BC123" s="149"/>
      <c r="BD123" s="149"/>
      <c r="BE123" s="238">
        <f t="shared" si="66"/>
        <v>1</v>
      </c>
      <c r="BF123" s="218">
        <f t="shared" si="67"/>
        <v>5000000</v>
      </c>
      <c r="BG123" s="205">
        <f t="shared" si="79"/>
        <v>0</v>
      </c>
      <c r="BH123" s="205">
        <f t="shared" si="79"/>
        <v>5000000</v>
      </c>
      <c r="BI123" s="205">
        <f t="shared" si="79"/>
        <v>0</v>
      </c>
      <c r="BJ123" s="205">
        <f t="shared" si="78"/>
        <v>0</v>
      </c>
      <c r="BK123" s="205">
        <f t="shared" si="78"/>
        <v>0</v>
      </c>
      <c r="BL123" s="205">
        <f t="shared" si="78"/>
        <v>0</v>
      </c>
      <c r="BM123" s="205">
        <f t="shared" si="78"/>
        <v>0</v>
      </c>
      <c r="BN123" s="205">
        <f t="shared" si="78"/>
        <v>0</v>
      </c>
      <c r="BO123" s="205">
        <f t="shared" si="78"/>
        <v>0</v>
      </c>
      <c r="BP123" s="205">
        <f t="shared" si="78"/>
        <v>0</v>
      </c>
      <c r="BQ123" s="205">
        <f t="shared" si="78"/>
        <v>0</v>
      </c>
      <c r="BR123" s="205">
        <f t="shared" si="78"/>
        <v>0</v>
      </c>
      <c r="BS123" s="238">
        <f t="shared" si="68"/>
        <v>0</v>
      </c>
      <c r="BT123" s="218">
        <f t="shared" si="69"/>
        <v>0</v>
      </c>
      <c r="BU123" s="149"/>
      <c r="BV123" s="149"/>
      <c r="BW123" s="149"/>
      <c r="BX123" s="149"/>
      <c r="BY123" s="149"/>
      <c r="BZ123" s="149"/>
      <c r="CA123" s="149"/>
      <c r="CB123" s="149"/>
      <c r="CC123" s="149"/>
      <c r="CD123" s="149"/>
      <c r="CE123" s="149"/>
      <c r="CF123" s="149"/>
      <c r="CG123" s="238">
        <f t="shared" si="70"/>
        <v>1</v>
      </c>
      <c r="CH123" s="218">
        <f t="shared" si="71"/>
        <v>5000000</v>
      </c>
      <c r="CI123" s="205">
        <f t="shared" si="75"/>
        <v>0</v>
      </c>
      <c r="CJ123" s="205">
        <f t="shared" si="75"/>
        <v>5000000</v>
      </c>
      <c r="CK123" s="205">
        <f t="shared" si="75"/>
        <v>0</v>
      </c>
      <c r="CL123" s="205">
        <f t="shared" si="75"/>
        <v>0</v>
      </c>
      <c r="CM123" s="205">
        <f t="shared" si="75"/>
        <v>0</v>
      </c>
      <c r="CN123" s="205">
        <f t="shared" si="75"/>
        <v>0</v>
      </c>
      <c r="CO123" s="205">
        <f t="shared" si="75"/>
        <v>0</v>
      </c>
      <c r="CP123" s="205">
        <f t="shared" si="75"/>
        <v>0</v>
      </c>
      <c r="CQ123" s="205">
        <f t="shared" si="75"/>
        <v>0</v>
      </c>
      <c r="CR123" s="205">
        <f t="shared" si="75"/>
        <v>0</v>
      </c>
      <c r="CS123" s="205">
        <f t="shared" si="75"/>
        <v>0</v>
      </c>
      <c r="CT123" s="205">
        <f t="shared" si="75"/>
        <v>0</v>
      </c>
    </row>
    <row r="124" spans="1:98" ht="82.5" customHeight="1" x14ac:dyDescent="0.25">
      <c r="A124" s="1209"/>
      <c r="B124" s="1209"/>
      <c r="C124" s="1204"/>
      <c r="D124" s="1204"/>
      <c r="E124" s="708"/>
      <c r="F124" s="708"/>
      <c r="G124" s="735"/>
      <c r="H124" s="735"/>
      <c r="I124" s="710"/>
      <c r="J124" s="708"/>
      <c r="K124" s="708"/>
      <c r="L124" s="718"/>
      <c r="M124" s="102"/>
      <c r="N124" s="2" t="s">
        <v>3951</v>
      </c>
      <c r="O124" s="171" t="s">
        <v>3985</v>
      </c>
      <c r="P124" s="172"/>
      <c r="Q124" s="172"/>
      <c r="R124" s="561">
        <v>211</v>
      </c>
      <c r="S124" s="232"/>
      <c r="T124" s="730" t="s">
        <v>4088</v>
      </c>
      <c r="U124" s="149">
        <f t="shared" si="81"/>
        <v>2000000</v>
      </c>
      <c r="V124" s="149"/>
      <c r="W124" s="149">
        <v>2000000</v>
      </c>
      <c r="X124" s="149"/>
      <c r="Y124" s="149"/>
      <c r="Z124" s="149"/>
      <c r="AA124" s="149"/>
      <c r="AB124" s="149"/>
      <c r="AC124" s="149"/>
      <c r="AD124" s="149"/>
      <c r="AE124" s="149"/>
      <c r="AF124" s="149"/>
      <c r="AG124" s="149"/>
      <c r="AH124" s="203"/>
      <c r="AI124" s="204"/>
      <c r="AJ124" s="244"/>
      <c r="AK124" s="147"/>
      <c r="AL124" s="147"/>
      <c r="AM124" s="147"/>
      <c r="AN124" s="147"/>
      <c r="AO124" s="147"/>
      <c r="AP124" s="213"/>
      <c r="AQ124" s="238">
        <f t="shared" si="62"/>
        <v>0</v>
      </c>
      <c r="AR124" s="218">
        <f t="shared" si="80"/>
        <v>0</v>
      </c>
      <c r="AS124" s="149"/>
      <c r="AT124" s="149"/>
      <c r="AU124" s="149"/>
      <c r="AV124" s="149"/>
      <c r="AW124" s="149"/>
      <c r="AX124" s="149"/>
      <c r="AY124" s="149"/>
      <c r="AZ124" s="149"/>
      <c r="BA124" s="149"/>
      <c r="BB124" s="149"/>
      <c r="BC124" s="149"/>
      <c r="BD124" s="149"/>
      <c r="BE124" s="238">
        <f t="shared" si="66"/>
        <v>1</v>
      </c>
      <c r="BF124" s="218">
        <f t="shared" si="67"/>
        <v>2000000</v>
      </c>
      <c r="BG124" s="205">
        <f t="shared" si="79"/>
        <v>0</v>
      </c>
      <c r="BH124" s="205">
        <f t="shared" si="79"/>
        <v>2000000</v>
      </c>
      <c r="BI124" s="205">
        <f t="shared" si="79"/>
        <v>0</v>
      </c>
      <c r="BJ124" s="205">
        <f t="shared" si="78"/>
        <v>0</v>
      </c>
      <c r="BK124" s="205">
        <f t="shared" si="78"/>
        <v>0</v>
      </c>
      <c r="BL124" s="205">
        <f t="shared" si="78"/>
        <v>0</v>
      </c>
      <c r="BM124" s="205">
        <f t="shared" si="78"/>
        <v>0</v>
      </c>
      <c r="BN124" s="205">
        <f t="shared" si="78"/>
        <v>0</v>
      </c>
      <c r="BO124" s="205">
        <f t="shared" si="78"/>
        <v>0</v>
      </c>
      <c r="BP124" s="205">
        <f t="shared" si="78"/>
        <v>0</v>
      </c>
      <c r="BQ124" s="205">
        <f t="shared" si="78"/>
        <v>0</v>
      </c>
      <c r="BR124" s="205">
        <f t="shared" si="78"/>
        <v>0</v>
      </c>
      <c r="BS124" s="238">
        <f t="shared" si="68"/>
        <v>0</v>
      </c>
      <c r="BT124" s="218">
        <f t="shared" si="69"/>
        <v>0</v>
      </c>
      <c r="BU124" s="149"/>
      <c r="BV124" s="149"/>
      <c r="BW124" s="149"/>
      <c r="BX124" s="149"/>
      <c r="BY124" s="149"/>
      <c r="BZ124" s="149"/>
      <c r="CA124" s="149"/>
      <c r="CB124" s="149"/>
      <c r="CC124" s="149"/>
      <c r="CD124" s="149"/>
      <c r="CE124" s="149"/>
      <c r="CF124" s="149"/>
      <c r="CG124" s="238">
        <f t="shared" si="70"/>
        <v>1</v>
      </c>
      <c r="CH124" s="218">
        <f t="shared" si="71"/>
        <v>2000000</v>
      </c>
      <c r="CI124" s="205">
        <f t="shared" si="75"/>
        <v>0</v>
      </c>
      <c r="CJ124" s="205">
        <f t="shared" si="75"/>
        <v>2000000</v>
      </c>
      <c r="CK124" s="205">
        <f t="shared" si="75"/>
        <v>0</v>
      </c>
      <c r="CL124" s="205">
        <f t="shared" si="75"/>
        <v>0</v>
      </c>
      <c r="CM124" s="205">
        <f t="shared" si="75"/>
        <v>0</v>
      </c>
      <c r="CN124" s="205">
        <f t="shared" si="75"/>
        <v>0</v>
      </c>
      <c r="CO124" s="205">
        <f t="shared" si="75"/>
        <v>0</v>
      </c>
      <c r="CP124" s="205">
        <f t="shared" si="75"/>
        <v>0</v>
      </c>
      <c r="CQ124" s="205">
        <f t="shared" si="75"/>
        <v>0</v>
      </c>
      <c r="CR124" s="205">
        <f t="shared" si="75"/>
        <v>0</v>
      </c>
      <c r="CS124" s="205">
        <f t="shared" si="75"/>
        <v>0</v>
      </c>
      <c r="CT124" s="205">
        <f t="shared" si="75"/>
        <v>0</v>
      </c>
    </row>
    <row r="125" spans="1:98" ht="81" customHeight="1" x14ac:dyDescent="0.25">
      <c r="A125" s="1209"/>
      <c r="B125" s="1209"/>
      <c r="C125" s="1204"/>
      <c r="D125" s="1204"/>
      <c r="E125" s="708"/>
      <c r="F125" s="708"/>
      <c r="G125" s="735"/>
      <c r="H125" s="735"/>
      <c r="I125" s="710"/>
      <c r="J125" s="708"/>
      <c r="K125" s="708"/>
      <c r="L125" s="718"/>
      <c r="M125" s="102"/>
      <c r="N125" s="2" t="s">
        <v>3953</v>
      </c>
      <c r="O125" s="171" t="s">
        <v>3990</v>
      </c>
      <c r="P125" s="172"/>
      <c r="Q125" s="172"/>
      <c r="R125" s="561">
        <v>211</v>
      </c>
      <c r="S125" s="232"/>
      <c r="T125" s="730" t="s">
        <v>3349</v>
      </c>
      <c r="U125" s="149">
        <f t="shared" si="81"/>
        <v>5000000</v>
      </c>
      <c r="V125" s="149"/>
      <c r="W125" s="149">
        <v>5000000</v>
      </c>
      <c r="X125" s="149"/>
      <c r="Y125" s="149"/>
      <c r="Z125" s="149"/>
      <c r="AA125" s="149"/>
      <c r="AB125" s="149"/>
      <c r="AC125" s="149"/>
      <c r="AD125" s="149"/>
      <c r="AE125" s="149"/>
      <c r="AF125" s="149"/>
      <c r="AG125" s="149"/>
      <c r="AH125" s="203"/>
      <c r="AI125" s="204"/>
      <c r="AJ125" s="244"/>
      <c r="AK125" s="147"/>
      <c r="AL125" s="147"/>
      <c r="AM125" s="147"/>
      <c r="AN125" s="147"/>
      <c r="AO125" s="147"/>
      <c r="AP125" s="213"/>
      <c r="AQ125" s="238">
        <f t="shared" si="62"/>
        <v>0</v>
      </c>
      <c r="AR125" s="218">
        <f t="shared" si="80"/>
        <v>0</v>
      </c>
      <c r="AS125" s="149"/>
      <c r="AT125" s="149"/>
      <c r="AU125" s="149"/>
      <c r="AV125" s="149"/>
      <c r="AW125" s="149"/>
      <c r="AX125" s="149"/>
      <c r="AY125" s="149"/>
      <c r="AZ125" s="149"/>
      <c r="BA125" s="149"/>
      <c r="BB125" s="149"/>
      <c r="BC125" s="149"/>
      <c r="BD125" s="149"/>
      <c r="BE125" s="238">
        <f t="shared" si="66"/>
        <v>1</v>
      </c>
      <c r="BF125" s="218">
        <f t="shared" si="67"/>
        <v>5000000</v>
      </c>
      <c r="BG125" s="205">
        <f t="shared" si="79"/>
        <v>0</v>
      </c>
      <c r="BH125" s="205">
        <f t="shared" si="79"/>
        <v>5000000</v>
      </c>
      <c r="BI125" s="205">
        <f t="shared" si="79"/>
        <v>0</v>
      </c>
      <c r="BJ125" s="205">
        <f t="shared" si="78"/>
        <v>0</v>
      </c>
      <c r="BK125" s="205">
        <f t="shared" si="78"/>
        <v>0</v>
      </c>
      <c r="BL125" s="205">
        <f t="shared" si="78"/>
        <v>0</v>
      </c>
      <c r="BM125" s="205">
        <f t="shared" si="78"/>
        <v>0</v>
      </c>
      <c r="BN125" s="205">
        <f t="shared" si="78"/>
        <v>0</v>
      </c>
      <c r="BO125" s="205">
        <f t="shared" si="78"/>
        <v>0</v>
      </c>
      <c r="BP125" s="205">
        <f t="shared" si="78"/>
        <v>0</v>
      </c>
      <c r="BQ125" s="205">
        <f t="shared" si="78"/>
        <v>0</v>
      </c>
      <c r="BR125" s="205">
        <f t="shared" si="78"/>
        <v>0</v>
      </c>
      <c r="BS125" s="238">
        <f t="shared" si="68"/>
        <v>0</v>
      </c>
      <c r="BT125" s="218">
        <f t="shared" si="69"/>
        <v>0</v>
      </c>
      <c r="BU125" s="149"/>
      <c r="BV125" s="149"/>
      <c r="BW125" s="149"/>
      <c r="BX125" s="149"/>
      <c r="BY125" s="149"/>
      <c r="BZ125" s="149"/>
      <c r="CA125" s="149"/>
      <c r="CB125" s="149"/>
      <c r="CC125" s="149"/>
      <c r="CD125" s="149"/>
      <c r="CE125" s="149"/>
      <c r="CF125" s="149"/>
      <c r="CG125" s="238">
        <f t="shared" si="70"/>
        <v>1</v>
      </c>
      <c r="CH125" s="218">
        <f t="shared" si="71"/>
        <v>5000000</v>
      </c>
      <c r="CI125" s="205">
        <f t="shared" si="75"/>
        <v>0</v>
      </c>
      <c r="CJ125" s="205">
        <f t="shared" si="75"/>
        <v>5000000</v>
      </c>
      <c r="CK125" s="205">
        <f t="shared" si="75"/>
        <v>0</v>
      </c>
      <c r="CL125" s="205">
        <f t="shared" ref="CL125:CT145" si="82">+Y125-BX125</f>
        <v>0</v>
      </c>
      <c r="CM125" s="205">
        <f t="shared" si="82"/>
        <v>0</v>
      </c>
      <c r="CN125" s="205">
        <f t="shared" si="82"/>
        <v>0</v>
      </c>
      <c r="CO125" s="205">
        <f t="shared" si="82"/>
        <v>0</v>
      </c>
      <c r="CP125" s="205">
        <f t="shared" si="82"/>
        <v>0</v>
      </c>
      <c r="CQ125" s="205">
        <f t="shared" si="82"/>
        <v>0</v>
      </c>
      <c r="CR125" s="205">
        <f t="shared" si="82"/>
        <v>0</v>
      </c>
      <c r="CS125" s="205">
        <f t="shared" si="82"/>
        <v>0</v>
      </c>
      <c r="CT125" s="205">
        <f t="shared" si="82"/>
        <v>0</v>
      </c>
    </row>
    <row r="126" spans="1:98" ht="57" customHeight="1" x14ac:dyDescent="0.25">
      <c r="A126" s="1209"/>
      <c r="B126" s="1209"/>
      <c r="C126" s="1204"/>
      <c r="D126" s="1204"/>
      <c r="E126" s="708"/>
      <c r="F126" s="708"/>
      <c r="G126" s="735"/>
      <c r="H126" s="735"/>
      <c r="I126" s="710"/>
      <c r="J126" s="708"/>
      <c r="K126" s="708"/>
      <c r="L126" s="718"/>
      <c r="M126" s="102"/>
      <c r="N126" s="2" t="s">
        <v>3954</v>
      </c>
      <c r="O126" s="171" t="s">
        <v>3970</v>
      </c>
      <c r="P126" s="172"/>
      <c r="Q126" s="172"/>
      <c r="R126" s="561">
        <v>211</v>
      </c>
      <c r="S126" s="232"/>
      <c r="T126" s="730" t="s">
        <v>4090</v>
      </c>
      <c r="U126" s="149">
        <f t="shared" si="81"/>
        <v>1000000</v>
      </c>
      <c r="V126" s="149"/>
      <c r="W126" s="149">
        <v>1000000</v>
      </c>
      <c r="X126" s="149"/>
      <c r="Y126" s="149"/>
      <c r="Z126" s="149"/>
      <c r="AA126" s="149"/>
      <c r="AB126" s="149"/>
      <c r="AC126" s="149"/>
      <c r="AD126" s="149"/>
      <c r="AE126" s="149"/>
      <c r="AF126" s="149"/>
      <c r="AG126" s="149"/>
      <c r="AH126" s="203"/>
      <c r="AI126" s="204"/>
      <c r="AJ126" s="244"/>
      <c r="AK126" s="147"/>
      <c r="AL126" s="147"/>
      <c r="AM126" s="147"/>
      <c r="AN126" s="147"/>
      <c r="AO126" s="147"/>
      <c r="AP126" s="213"/>
      <c r="AQ126" s="238">
        <f t="shared" si="62"/>
        <v>0</v>
      </c>
      <c r="AR126" s="218">
        <f t="shared" si="80"/>
        <v>0</v>
      </c>
      <c r="AS126" s="149"/>
      <c r="AT126" s="149"/>
      <c r="AU126" s="149"/>
      <c r="AV126" s="149"/>
      <c r="AW126" s="149"/>
      <c r="AX126" s="149"/>
      <c r="AY126" s="149"/>
      <c r="AZ126" s="149"/>
      <c r="BA126" s="149"/>
      <c r="BB126" s="149"/>
      <c r="BC126" s="149"/>
      <c r="BD126" s="149"/>
      <c r="BE126" s="238">
        <f t="shared" si="66"/>
        <v>1</v>
      </c>
      <c r="BF126" s="218">
        <f t="shared" si="67"/>
        <v>1000000</v>
      </c>
      <c r="BG126" s="205">
        <f t="shared" si="79"/>
        <v>0</v>
      </c>
      <c r="BH126" s="205">
        <f t="shared" si="79"/>
        <v>1000000</v>
      </c>
      <c r="BI126" s="205">
        <f t="shared" si="79"/>
        <v>0</v>
      </c>
      <c r="BJ126" s="205">
        <f t="shared" si="78"/>
        <v>0</v>
      </c>
      <c r="BK126" s="205">
        <f t="shared" si="78"/>
        <v>0</v>
      </c>
      <c r="BL126" s="205">
        <f t="shared" si="78"/>
        <v>0</v>
      </c>
      <c r="BM126" s="205">
        <f t="shared" si="78"/>
        <v>0</v>
      </c>
      <c r="BN126" s="205">
        <f t="shared" si="78"/>
        <v>0</v>
      </c>
      <c r="BO126" s="205">
        <f t="shared" si="78"/>
        <v>0</v>
      </c>
      <c r="BP126" s="205">
        <f t="shared" si="78"/>
        <v>0</v>
      </c>
      <c r="BQ126" s="205">
        <f t="shared" si="78"/>
        <v>0</v>
      </c>
      <c r="BR126" s="205">
        <f t="shared" si="78"/>
        <v>0</v>
      </c>
      <c r="BS126" s="238">
        <f t="shared" si="68"/>
        <v>0</v>
      </c>
      <c r="BT126" s="218">
        <f t="shared" si="69"/>
        <v>0</v>
      </c>
      <c r="BU126" s="149"/>
      <c r="BV126" s="149"/>
      <c r="BW126" s="149"/>
      <c r="BX126" s="149"/>
      <c r="BY126" s="149"/>
      <c r="BZ126" s="149"/>
      <c r="CA126" s="149"/>
      <c r="CB126" s="149"/>
      <c r="CC126" s="149"/>
      <c r="CD126" s="149"/>
      <c r="CE126" s="149"/>
      <c r="CF126" s="149"/>
      <c r="CG126" s="238">
        <f t="shared" si="70"/>
        <v>1</v>
      </c>
      <c r="CH126" s="218">
        <f t="shared" si="71"/>
        <v>1000000</v>
      </c>
      <c r="CI126" s="205">
        <f t="shared" ref="CI126:CI145" si="83">+V126-BU126</f>
        <v>0</v>
      </c>
      <c r="CJ126" s="205">
        <f t="shared" ref="CJ126:CJ145" si="84">+W126-BV126</f>
        <v>1000000</v>
      </c>
      <c r="CK126" s="205">
        <f t="shared" ref="CK126:CK145" si="85">+X126-BW126</f>
        <v>0</v>
      </c>
      <c r="CL126" s="205">
        <f t="shared" si="82"/>
        <v>0</v>
      </c>
      <c r="CM126" s="205">
        <f t="shared" si="82"/>
        <v>0</v>
      </c>
      <c r="CN126" s="205">
        <f t="shared" si="82"/>
        <v>0</v>
      </c>
      <c r="CO126" s="205">
        <f t="shared" si="82"/>
        <v>0</v>
      </c>
      <c r="CP126" s="205">
        <f t="shared" si="82"/>
        <v>0</v>
      </c>
      <c r="CQ126" s="205">
        <f t="shared" si="82"/>
        <v>0</v>
      </c>
      <c r="CR126" s="205">
        <f t="shared" si="82"/>
        <v>0</v>
      </c>
      <c r="CS126" s="205">
        <f t="shared" si="82"/>
        <v>0</v>
      </c>
      <c r="CT126" s="205">
        <f t="shared" si="82"/>
        <v>0</v>
      </c>
    </row>
    <row r="127" spans="1:98" ht="69" customHeight="1" x14ac:dyDescent="0.25">
      <c r="A127" s="1209"/>
      <c r="B127" s="1209"/>
      <c r="C127" s="1204"/>
      <c r="D127" s="1204"/>
      <c r="E127" s="708"/>
      <c r="F127" s="708"/>
      <c r="G127" s="735"/>
      <c r="H127" s="735"/>
      <c r="I127" s="710"/>
      <c r="J127" s="708"/>
      <c r="K127" s="708"/>
      <c r="L127" s="718"/>
      <c r="M127" s="102"/>
      <c r="N127" s="2" t="s">
        <v>3955</v>
      </c>
      <c r="O127" s="171" t="s">
        <v>3968</v>
      </c>
      <c r="P127" s="172"/>
      <c r="Q127" s="172"/>
      <c r="R127" s="561">
        <v>211</v>
      </c>
      <c r="S127" s="232"/>
      <c r="T127" s="730" t="s">
        <v>3878</v>
      </c>
      <c r="U127" s="149">
        <f t="shared" si="81"/>
        <v>5000000</v>
      </c>
      <c r="V127" s="149"/>
      <c r="W127" s="149">
        <v>5000000</v>
      </c>
      <c r="X127" s="149"/>
      <c r="Y127" s="149"/>
      <c r="Z127" s="149"/>
      <c r="AA127" s="149"/>
      <c r="AB127" s="149"/>
      <c r="AC127" s="149"/>
      <c r="AD127" s="149"/>
      <c r="AE127" s="149"/>
      <c r="AF127" s="149"/>
      <c r="AG127" s="149"/>
      <c r="AH127" s="203"/>
      <c r="AI127" s="204"/>
      <c r="AJ127" s="244"/>
      <c r="AK127" s="147"/>
      <c r="AL127" s="147"/>
      <c r="AM127" s="147"/>
      <c r="AN127" s="147"/>
      <c r="AO127" s="147"/>
      <c r="AP127" s="213"/>
      <c r="AQ127" s="238">
        <f t="shared" si="62"/>
        <v>0</v>
      </c>
      <c r="AR127" s="218">
        <f t="shared" si="80"/>
        <v>0</v>
      </c>
      <c r="AS127" s="149"/>
      <c r="AT127" s="149"/>
      <c r="AU127" s="149"/>
      <c r="AV127" s="149"/>
      <c r="AW127" s="149"/>
      <c r="AX127" s="149"/>
      <c r="AY127" s="149"/>
      <c r="AZ127" s="149"/>
      <c r="BA127" s="149"/>
      <c r="BB127" s="149"/>
      <c r="BC127" s="149"/>
      <c r="BD127" s="149"/>
      <c r="BE127" s="238">
        <f t="shared" si="66"/>
        <v>1</v>
      </c>
      <c r="BF127" s="218">
        <f t="shared" si="67"/>
        <v>5000000</v>
      </c>
      <c r="BG127" s="205">
        <f t="shared" si="79"/>
        <v>0</v>
      </c>
      <c r="BH127" s="205">
        <f t="shared" si="79"/>
        <v>5000000</v>
      </c>
      <c r="BI127" s="205">
        <f t="shared" si="79"/>
        <v>0</v>
      </c>
      <c r="BJ127" s="205">
        <f t="shared" si="78"/>
        <v>0</v>
      </c>
      <c r="BK127" s="205">
        <f t="shared" si="78"/>
        <v>0</v>
      </c>
      <c r="BL127" s="205">
        <f t="shared" si="78"/>
        <v>0</v>
      </c>
      <c r="BM127" s="205">
        <f t="shared" si="78"/>
        <v>0</v>
      </c>
      <c r="BN127" s="205">
        <f t="shared" si="78"/>
        <v>0</v>
      </c>
      <c r="BO127" s="205">
        <f t="shared" si="78"/>
        <v>0</v>
      </c>
      <c r="BP127" s="205">
        <f t="shared" si="78"/>
        <v>0</v>
      </c>
      <c r="BQ127" s="205">
        <f t="shared" si="78"/>
        <v>0</v>
      </c>
      <c r="BR127" s="205">
        <f t="shared" si="78"/>
        <v>0</v>
      </c>
      <c r="BS127" s="238">
        <f t="shared" si="68"/>
        <v>0</v>
      </c>
      <c r="BT127" s="218">
        <f t="shared" si="69"/>
        <v>0</v>
      </c>
      <c r="BU127" s="149"/>
      <c r="BV127" s="149"/>
      <c r="BW127" s="149"/>
      <c r="BX127" s="149"/>
      <c r="BY127" s="149"/>
      <c r="BZ127" s="149"/>
      <c r="CA127" s="149"/>
      <c r="CB127" s="149"/>
      <c r="CC127" s="149"/>
      <c r="CD127" s="149"/>
      <c r="CE127" s="149"/>
      <c r="CF127" s="149"/>
      <c r="CG127" s="238">
        <f t="shared" si="70"/>
        <v>1</v>
      </c>
      <c r="CH127" s="218">
        <f t="shared" si="71"/>
        <v>5000000</v>
      </c>
      <c r="CI127" s="205">
        <f t="shared" si="83"/>
        <v>0</v>
      </c>
      <c r="CJ127" s="205">
        <f t="shared" si="84"/>
        <v>5000000</v>
      </c>
      <c r="CK127" s="205">
        <f t="shared" si="85"/>
        <v>0</v>
      </c>
      <c r="CL127" s="205">
        <f t="shared" si="82"/>
        <v>0</v>
      </c>
      <c r="CM127" s="205">
        <f t="shared" si="82"/>
        <v>0</v>
      </c>
      <c r="CN127" s="205">
        <f t="shared" si="82"/>
        <v>0</v>
      </c>
      <c r="CO127" s="205">
        <f t="shared" si="82"/>
        <v>0</v>
      </c>
      <c r="CP127" s="205">
        <f t="shared" si="82"/>
        <v>0</v>
      </c>
      <c r="CQ127" s="205">
        <f t="shared" si="82"/>
        <v>0</v>
      </c>
      <c r="CR127" s="205">
        <f t="shared" si="82"/>
        <v>0</v>
      </c>
      <c r="CS127" s="205">
        <f t="shared" si="82"/>
        <v>0</v>
      </c>
      <c r="CT127" s="205">
        <f t="shared" si="82"/>
        <v>0</v>
      </c>
    </row>
    <row r="128" spans="1:98" ht="75" customHeight="1" x14ac:dyDescent="0.25">
      <c r="A128" s="1209"/>
      <c r="B128" s="1209"/>
      <c r="C128" s="1204"/>
      <c r="D128" s="1204"/>
      <c r="E128" s="708"/>
      <c r="F128" s="708"/>
      <c r="G128" s="735"/>
      <c r="H128" s="735"/>
      <c r="I128" s="710"/>
      <c r="J128" s="708"/>
      <c r="K128" s="708"/>
      <c r="L128" s="718"/>
      <c r="M128" s="102"/>
      <c r="N128" s="2" t="s">
        <v>3956</v>
      </c>
      <c r="O128" s="171" t="s">
        <v>3966</v>
      </c>
      <c r="P128" s="172"/>
      <c r="Q128" s="172"/>
      <c r="R128" s="561">
        <v>211</v>
      </c>
      <c r="S128" s="232"/>
      <c r="T128" s="730" t="s">
        <v>3878</v>
      </c>
      <c r="U128" s="149">
        <f t="shared" si="81"/>
        <v>5000000</v>
      </c>
      <c r="V128" s="149"/>
      <c r="W128" s="149">
        <v>5000000</v>
      </c>
      <c r="X128" s="149"/>
      <c r="Y128" s="149"/>
      <c r="Z128" s="149"/>
      <c r="AA128" s="149"/>
      <c r="AB128" s="149"/>
      <c r="AC128" s="149"/>
      <c r="AD128" s="149"/>
      <c r="AE128" s="149"/>
      <c r="AF128" s="149"/>
      <c r="AG128" s="149"/>
      <c r="AH128" s="203"/>
      <c r="AI128" s="204"/>
      <c r="AJ128" s="244"/>
      <c r="AK128" s="147"/>
      <c r="AL128" s="147"/>
      <c r="AM128" s="147"/>
      <c r="AN128" s="147"/>
      <c r="AO128" s="147"/>
      <c r="AP128" s="213"/>
      <c r="AQ128" s="238">
        <f t="shared" si="62"/>
        <v>0</v>
      </c>
      <c r="AR128" s="218">
        <f t="shared" si="80"/>
        <v>0</v>
      </c>
      <c r="AS128" s="149"/>
      <c r="AT128" s="149"/>
      <c r="AU128" s="149"/>
      <c r="AV128" s="149"/>
      <c r="AW128" s="149"/>
      <c r="AX128" s="149"/>
      <c r="AY128" s="149"/>
      <c r="AZ128" s="149"/>
      <c r="BA128" s="149"/>
      <c r="BB128" s="149"/>
      <c r="BC128" s="149"/>
      <c r="BD128" s="149"/>
      <c r="BE128" s="238">
        <f t="shared" si="66"/>
        <v>1</v>
      </c>
      <c r="BF128" s="218">
        <f t="shared" si="67"/>
        <v>5000000</v>
      </c>
      <c r="BG128" s="205">
        <f t="shared" si="79"/>
        <v>0</v>
      </c>
      <c r="BH128" s="205">
        <f t="shared" si="79"/>
        <v>5000000</v>
      </c>
      <c r="BI128" s="205">
        <f t="shared" si="79"/>
        <v>0</v>
      </c>
      <c r="BJ128" s="205">
        <f t="shared" si="78"/>
        <v>0</v>
      </c>
      <c r="BK128" s="205">
        <f t="shared" si="78"/>
        <v>0</v>
      </c>
      <c r="BL128" s="205">
        <f t="shared" si="78"/>
        <v>0</v>
      </c>
      <c r="BM128" s="205">
        <f t="shared" si="78"/>
        <v>0</v>
      </c>
      <c r="BN128" s="205">
        <f t="shared" si="78"/>
        <v>0</v>
      </c>
      <c r="BO128" s="205">
        <f t="shared" si="78"/>
        <v>0</v>
      </c>
      <c r="BP128" s="205">
        <f t="shared" si="78"/>
        <v>0</v>
      </c>
      <c r="BQ128" s="205">
        <f t="shared" si="78"/>
        <v>0</v>
      </c>
      <c r="BR128" s="205">
        <f t="shared" si="78"/>
        <v>0</v>
      </c>
      <c r="BS128" s="238">
        <f t="shared" si="68"/>
        <v>0</v>
      </c>
      <c r="BT128" s="218">
        <f t="shared" si="69"/>
        <v>0</v>
      </c>
      <c r="BU128" s="149"/>
      <c r="BV128" s="149"/>
      <c r="BW128" s="149"/>
      <c r="BX128" s="149"/>
      <c r="BY128" s="149"/>
      <c r="BZ128" s="149"/>
      <c r="CA128" s="149"/>
      <c r="CB128" s="149"/>
      <c r="CC128" s="149"/>
      <c r="CD128" s="149"/>
      <c r="CE128" s="149"/>
      <c r="CF128" s="149"/>
      <c r="CG128" s="238">
        <f t="shared" si="70"/>
        <v>1</v>
      </c>
      <c r="CH128" s="218">
        <f t="shared" si="71"/>
        <v>5000000</v>
      </c>
      <c r="CI128" s="205">
        <f t="shared" si="83"/>
        <v>0</v>
      </c>
      <c r="CJ128" s="205">
        <f t="shared" si="84"/>
        <v>5000000</v>
      </c>
      <c r="CK128" s="205">
        <f t="shared" si="85"/>
        <v>0</v>
      </c>
      <c r="CL128" s="205">
        <f t="shared" si="82"/>
        <v>0</v>
      </c>
      <c r="CM128" s="205">
        <f t="shared" si="82"/>
        <v>0</v>
      </c>
      <c r="CN128" s="205">
        <f t="shared" si="82"/>
        <v>0</v>
      </c>
      <c r="CO128" s="205">
        <f t="shared" si="82"/>
        <v>0</v>
      </c>
      <c r="CP128" s="205">
        <f t="shared" si="82"/>
        <v>0</v>
      </c>
      <c r="CQ128" s="205">
        <f t="shared" si="82"/>
        <v>0</v>
      </c>
      <c r="CR128" s="205">
        <f t="shared" si="82"/>
        <v>0</v>
      </c>
      <c r="CS128" s="205">
        <f t="shared" si="82"/>
        <v>0</v>
      </c>
      <c r="CT128" s="205">
        <f t="shared" si="82"/>
        <v>0</v>
      </c>
    </row>
    <row r="129" spans="1:98" ht="63.75" x14ac:dyDescent="0.25">
      <c r="A129" s="1209"/>
      <c r="B129" s="1209"/>
      <c r="C129" s="1204"/>
      <c r="D129" s="1204"/>
      <c r="E129" s="708"/>
      <c r="F129" s="708"/>
      <c r="G129" s="735"/>
      <c r="H129" s="735"/>
      <c r="I129" s="710"/>
      <c r="J129" s="708"/>
      <c r="K129" s="708"/>
      <c r="L129" s="718"/>
      <c r="M129" s="102"/>
      <c r="N129" s="2" t="s">
        <v>3957</v>
      </c>
      <c r="O129" s="171" t="s">
        <v>3971</v>
      </c>
      <c r="P129" s="172"/>
      <c r="Q129" s="172"/>
      <c r="R129" s="561">
        <v>211</v>
      </c>
      <c r="S129" s="232"/>
      <c r="T129" s="730" t="s">
        <v>3878</v>
      </c>
      <c r="U129" s="149">
        <f t="shared" si="81"/>
        <v>8000000</v>
      </c>
      <c r="V129" s="149"/>
      <c r="W129" s="149">
        <v>8000000</v>
      </c>
      <c r="X129" s="149"/>
      <c r="Y129" s="149"/>
      <c r="Z129" s="149"/>
      <c r="AA129" s="149"/>
      <c r="AB129" s="149"/>
      <c r="AC129" s="149"/>
      <c r="AD129" s="149"/>
      <c r="AE129" s="149"/>
      <c r="AF129" s="149"/>
      <c r="AG129" s="149"/>
      <c r="AH129" s="203"/>
      <c r="AI129" s="204"/>
      <c r="AJ129" s="244"/>
      <c r="AK129" s="147"/>
      <c r="AL129" s="147"/>
      <c r="AM129" s="147"/>
      <c r="AN129" s="147"/>
      <c r="AO129" s="147"/>
      <c r="AP129" s="213"/>
      <c r="AQ129" s="238">
        <f t="shared" si="62"/>
        <v>0</v>
      </c>
      <c r="AR129" s="218">
        <f t="shared" si="80"/>
        <v>0</v>
      </c>
      <c r="AS129" s="149"/>
      <c r="AT129" s="149"/>
      <c r="AU129" s="149"/>
      <c r="AV129" s="149"/>
      <c r="AW129" s="149"/>
      <c r="AX129" s="149"/>
      <c r="AY129" s="149"/>
      <c r="AZ129" s="149"/>
      <c r="BA129" s="149"/>
      <c r="BB129" s="149"/>
      <c r="BC129" s="149"/>
      <c r="BD129" s="149"/>
      <c r="BE129" s="238">
        <f t="shared" si="66"/>
        <v>1</v>
      </c>
      <c r="BF129" s="218">
        <f t="shared" si="67"/>
        <v>8000000</v>
      </c>
      <c r="BG129" s="205">
        <f t="shared" si="79"/>
        <v>0</v>
      </c>
      <c r="BH129" s="205">
        <f t="shared" si="79"/>
        <v>8000000</v>
      </c>
      <c r="BI129" s="205">
        <f t="shared" si="79"/>
        <v>0</v>
      </c>
      <c r="BJ129" s="205">
        <f t="shared" si="78"/>
        <v>0</v>
      </c>
      <c r="BK129" s="205">
        <f t="shared" si="78"/>
        <v>0</v>
      </c>
      <c r="BL129" s="205">
        <f t="shared" si="78"/>
        <v>0</v>
      </c>
      <c r="BM129" s="205">
        <f t="shared" si="78"/>
        <v>0</v>
      </c>
      <c r="BN129" s="205">
        <f t="shared" si="78"/>
        <v>0</v>
      </c>
      <c r="BO129" s="205">
        <f t="shared" si="78"/>
        <v>0</v>
      </c>
      <c r="BP129" s="205">
        <f t="shared" si="78"/>
        <v>0</v>
      </c>
      <c r="BQ129" s="205">
        <f t="shared" si="78"/>
        <v>0</v>
      </c>
      <c r="BR129" s="205">
        <f t="shared" si="78"/>
        <v>0</v>
      </c>
      <c r="BS129" s="238">
        <f t="shared" si="68"/>
        <v>0</v>
      </c>
      <c r="BT129" s="218">
        <f t="shared" si="69"/>
        <v>0</v>
      </c>
      <c r="BU129" s="149"/>
      <c r="BV129" s="149"/>
      <c r="BW129" s="149"/>
      <c r="BX129" s="149"/>
      <c r="BY129" s="149"/>
      <c r="BZ129" s="149"/>
      <c r="CA129" s="149"/>
      <c r="CB129" s="149"/>
      <c r="CC129" s="149"/>
      <c r="CD129" s="149"/>
      <c r="CE129" s="149"/>
      <c r="CF129" s="149"/>
      <c r="CG129" s="238">
        <f t="shared" si="70"/>
        <v>1</v>
      </c>
      <c r="CH129" s="218">
        <f t="shared" si="71"/>
        <v>8000000</v>
      </c>
      <c r="CI129" s="205">
        <f t="shared" si="83"/>
        <v>0</v>
      </c>
      <c r="CJ129" s="205">
        <f t="shared" si="84"/>
        <v>8000000</v>
      </c>
      <c r="CK129" s="205">
        <f t="shared" si="85"/>
        <v>0</v>
      </c>
      <c r="CL129" s="205">
        <f t="shared" si="82"/>
        <v>0</v>
      </c>
      <c r="CM129" s="205">
        <f t="shared" si="82"/>
        <v>0</v>
      </c>
      <c r="CN129" s="205">
        <f t="shared" si="82"/>
        <v>0</v>
      </c>
      <c r="CO129" s="205">
        <f t="shared" si="82"/>
        <v>0</v>
      </c>
      <c r="CP129" s="205">
        <f t="shared" si="82"/>
        <v>0</v>
      </c>
      <c r="CQ129" s="205">
        <f t="shared" si="82"/>
        <v>0</v>
      </c>
      <c r="CR129" s="205">
        <f t="shared" si="82"/>
        <v>0</v>
      </c>
      <c r="CS129" s="205">
        <f t="shared" si="82"/>
        <v>0</v>
      </c>
      <c r="CT129" s="205">
        <f t="shared" si="82"/>
        <v>0</v>
      </c>
    </row>
    <row r="130" spans="1:98" ht="111.6" customHeight="1" x14ac:dyDescent="0.25">
      <c r="A130" s="1209"/>
      <c r="B130" s="1209"/>
      <c r="C130" s="1204"/>
      <c r="D130" s="1204"/>
      <c r="E130" s="708"/>
      <c r="F130" s="708"/>
      <c r="G130" s="735"/>
      <c r="H130" s="735"/>
      <c r="I130" s="710"/>
      <c r="J130" s="708"/>
      <c r="K130" s="708"/>
      <c r="L130" s="718"/>
      <c r="M130" s="102"/>
      <c r="N130" s="2" t="s">
        <v>3958</v>
      </c>
      <c r="O130" s="171" t="s">
        <v>3980</v>
      </c>
      <c r="P130" s="172"/>
      <c r="Q130" s="172"/>
      <c r="R130" s="561">
        <v>211</v>
      </c>
      <c r="S130" s="232"/>
      <c r="T130" s="730" t="s">
        <v>3875</v>
      </c>
      <c r="U130" s="149">
        <f t="shared" si="81"/>
        <v>2200000</v>
      </c>
      <c r="V130" s="149"/>
      <c r="W130" s="149"/>
      <c r="X130" s="149">
        <v>2200000</v>
      </c>
      <c r="Y130" s="149"/>
      <c r="Z130" s="149"/>
      <c r="AA130" s="149"/>
      <c r="AB130" s="149"/>
      <c r="AC130" s="149"/>
      <c r="AD130" s="149"/>
      <c r="AE130" s="149"/>
      <c r="AF130" s="149"/>
      <c r="AG130" s="149"/>
      <c r="AH130" s="203"/>
      <c r="AI130" s="204"/>
      <c r="AJ130" s="244"/>
      <c r="AK130" s="147"/>
      <c r="AL130" s="147"/>
      <c r="AM130" s="147"/>
      <c r="AN130" s="147"/>
      <c r="AO130" s="147"/>
      <c r="AP130" s="213"/>
      <c r="AQ130" s="238">
        <f t="shared" si="62"/>
        <v>0</v>
      </c>
      <c r="AR130" s="218">
        <f t="shared" si="80"/>
        <v>0</v>
      </c>
      <c r="AS130" s="149"/>
      <c r="AT130" s="149"/>
      <c r="AU130" s="149"/>
      <c r="AV130" s="149"/>
      <c r="AW130" s="149"/>
      <c r="AX130" s="149"/>
      <c r="AY130" s="149"/>
      <c r="AZ130" s="149"/>
      <c r="BA130" s="149"/>
      <c r="BB130" s="149"/>
      <c r="BC130" s="149"/>
      <c r="BD130" s="149"/>
      <c r="BE130" s="238">
        <f t="shared" si="66"/>
        <v>1</v>
      </c>
      <c r="BF130" s="218">
        <f t="shared" si="67"/>
        <v>2200000</v>
      </c>
      <c r="BG130" s="205">
        <f t="shared" si="79"/>
        <v>0</v>
      </c>
      <c r="BH130" s="205">
        <f t="shared" si="79"/>
        <v>0</v>
      </c>
      <c r="BI130" s="205">
        <f t="shared" si="79"/>
        <v>2200000</v>
      </c>
      <c r="BJ130" s="205">
        <f t="shared" si="78"/>
        <v>0</v>
      </c>
      <c r="BK130" s="205">
        <f t="shared" si="78"/>
        <v>0</v>
      </c>
      <c r="BL130" s="205">
        <f t="shared" si="78"/>
        <v>0</v>
      </c>
      <c r="BM130" s="205">
        <f t="shared" si="78"/>
        <v>0</v>
      </c>
      <c r="BN130" s="205">
        <f t="shared" si="78"/>
        <v>0</v>
      </c>
      <c r="BO130" s="205">
        <f t="shared" si="78"/>
        <v>0</v>
      </c>
      <c r="BP130" s="205">
        <f t="shared" si="78"/>
        <v>0</v>
      </c>
      <c r="BQ130" s="205">
        <f t="shared" si="78"/>
        <v>0</v>
      </c>
      <c r="BR130" s="205">
        <f t="shared" si="78"/>
        <v>0</v>
      </c>
      <c r="BS130" s="238">
        <f t="shared" si="68"/>
        <v>0</v>
      </c>
      <c r="BT130" s="218">
        <f t="shared" si="69"/>
        <v>0</v>
      </c>
      <c r="BU130" s="149"/>
      <c r="BV130" s="149"/>
      <c r="BW130" s="149"/>
      <c r="BX130" s="149"/>
      <c r="BY130" s="149"/>
      <c r="BZ130" s="149"/>
      <c r="CA130" s="149"/>
      <c r="CB130" s="149"/>
      <c r="CC130" s="149"/>
      <c r="CD130" s="149"/>
      <c r="CE130" s="149"/>
      <c r="CF130" s="149"/>
      <c r="CG130" s="238">
        <f t="shared" si="70"/>
        <v>1</v>
      </c>
      <c r="CH130" s="218">
        <f t="shared" si="71"/>
        <v>2200000</v>
      </c>
      <c r="CI130" s="205">
        <f t="shared" si="83"/>
        <v>0</v>
      </c>
      <c r="CJ130" s="205">
        <f t="shared" si="84"/>
        <v>0</v>
      </c>
      <c r="CK130" s="205">
        <f t="shared" si="85"/>
        <v>2200000</v>
      </c>
      <c r="CL130" s="205">
        <f t="shared" si="82"/>
        <v>0</v>
      </c>
      <c r="CM130" s="205">
        <f t="shared" si="82"/>
        <v>0</v>
      </c>
      <c r="CN130" s="205">
        <f t="shared" si="82"/>
        <v>0</v>
      </c>
      <c r="CO130" s="205">
        <f t="shared" si="82"/>
        <v>0</v>
      </c>
      <c r="CP130" s="205">
        <f t="shared" si="82"/>
        <v>0</v>
      </c>
      <c r="CQ130" s="205">
        <f t="shared" si="82"/>
        <v>0</v>
      </c>
      <c r="CR130" s="205">
        <f t="shared" si="82"/>
        <v>0</v>
      </c>
      <c r="CS130" s="205">
        <f t="shared" si="82"/>
        <v>0</v>
      </c>
      <c r="CT130" s="205">
        <f t="shared" si="82"/>
        <v>0</v>
      </c>
    </row>
    <row r="131" spans="1:98" ht="93.75" customHeight="1" x14ac:dyDescent="0.25">
      <c r="A131" s="1209"/>
      <c r="B131" s="1209"/>
      <c r="C131" s="1204"/>
      <c r="D131" s="1204"/>
      <c r="E131" s="708"/>
      <c r="F131" s="708"/>
      <c r="G131" s="735"/>
      <c r="H131" s="735"/>
      <c r="I131" s="710"/>
      <c r="J131" s="708"/>
      <c r="K131" s="708"/>
      <c r="L131" s="718"/>
      <c r="M131" s="102"/>
      <c r="N131" s="2" t="s">
        <v>3959</v>
      </c>
      <c r="O131" s="171" t="s">
        <v>3965</v>
      </c>
      <c r="P131" s="172"/>
      <c r="Q131" s="172"/>
      <c r="R131" s="561">
        <v>211</v>
      </c>
      <c r="S131" s="232"/>
      <c r="T131" s="730" t="s">
        <v>3875</v>
      </c>
      <c r="U131" s="149">
        <f t="shared" si="81"/>
        <v>2000000</v>
      </c>
      <c r="V131" s="149"/>
      <c r="W131" s="149"/>
      <c r="X131" s="149">
        <v>2000000</v>
      </c>
      <c r="Y131" s="149"/>
      <c r="Z131" s="149"/>
      <c r="AA131" s="149"/>
      <c r="AB131" s="149"/>
      <c r="AC131" s="149"/>
      <c r="AD131" s="149"/>
      <c r="AE131" s="149"/>
      <c r="AF131" s="149"/>
      <c r="AG131" s="149"/>
      <c r="AH131" s="203"/>
      <c r="AI131" s="204"/>
      <c r="AJ131" s="244"/>
      <c r="AK131" s="147"/>
      <c r="AL131" s="147"/>
      <c r="AM131" s="147"/>
      <c r="AN131" s="147"/>
      <c r="AO131" s="147"/>
      <c r="AP131" s="213"/>
      <c r="AQ131" s="238">
        <f t="shared" si="62"/>
        <v>0</v>
      </c>
      <c r="AR131" s="218">
        <f t="shared" si="80"/>
        <v>0</v>
      </c>
      <c r="AS131" s="149"/>
      <c r="AT131" s="149"/>
      <c r="AU131" s="149"/>
      <c r="AV131" s="149"/>
      <c r="AW131" s="149"/>
      <c r="AX131" s="149"/>
      <c r="AY131" s="149"/>
      <c r="AZ131" s="149"/>
      <c r="BA131" s="149"/>
      <c r="BB131" s="149"/>
      <c r="BC131" s="149"/>
      <c r="BD131" s="149"/>
      <c r="BE131" s="238">
        <f t="shared" si="66"/>
        <v>1</v>
      </c>
      <c r="BF131" s="218">
        <f t="shared" si="67"/>
        <v>2000000</v>
      </c>
      <c r="BG131" s="205">
        <f t="shared" si="79"/>
        <v>0</v>
      </c>
      <c r="BH131" s="205">
        <f t="shared" si="79"/>
        <v>0</v>
      </c>
      <c r="BI131" s="205">
        <f t="shared" si="79"/>
        <v>2000000</v>
      </c>
      <c r="BJ131" s="205">
        <f t="shared" si="78"/>
        <v>0</v>
      </c>
      <c r="BK131" s="205">
        <f t="shared" si="78"/>
        <v>0</v>
      </c>
      <c r="BL131" s="205">
        <f t="shared" si="78"/>
        <v>0</v>
      </c>
      <c r="BM131" s="205">
        <f t="shared" si="78"/>
        <v>0</v>
      </c>
      <c r="BN131" s="205">
        <f t="shared" si="78"/>
        <v>0</v>
      </c>
      <c r="BO131" s="205">
        <f t="shared" si="78"/>
        <v>0</v>
      </c>
      <c r="BP131" s="205">
        <f t="shared" si="78"/>
        <v>0</v>
      </c>
      <c r="BQ131" s="205">
        <f t="shared" si="78"/>
        <v>0</v>
      </c>
      <c r="BR131" s="205">
        <f t="shared" si="78"/>
        <v>0</v>
      </c>
      <c r="BS131" s="238">
        <f t="shared" si="68"/>
        <v>0</v>
      </c>
      <c r="BT131" s="218">
        <f t="shared" si="69"/>
        <v>0</v>
      </c>
      <c r="BU131" s="149"/>
      <c r="BV131" s="149"/>
      <c r="BW131" s="149"/>
      <c r="BX131" s="149"/>
      <c r="BY131" s="149"/>
      <c r="BZ131" s="149"/>
      <c r="CA131" s="149"/>
      <c r="CB131" s="149"/>
      <c r="CC131" s="149"/>
      <c r="CD131" s="149"/>
      <c r="CE131" s="149"/>
      <c r="CF131" s="149"/>
      <c r="CG131" s="238">
        <f t="shared" si="70"/>
        <v>1</v>
      </c>
      <c r="CH131" s="218">
        <f t="shared" si="71"/>
        <v>2000000</v>
      </c>
      <c r="CI131" s="205">
        <f t="shared" si="83"/>
        <v>0</v>
      </c>
      <c r="CJ131" s="205">
        <f t="shared" si="84"/>
        <v>0</v>
      </c>
      <c r="CK131" s="205">
        <f t="shared" si="85"/>
        <v>2000000</v>
      </c>
      <c r="CL131" s="205">
        <f t="shared" si="82"/>
        <v>0</v>
      </c>
      <c r="CM131" s="205">
        <f t="shared" si="82"/>
        <v>0</v>
      </c>
      <c r="CN131" s="205">
        <f t="shared" si="82"/>
        <v>0</v>
      </c>
      <c r="CO131" s="205">
        <f t="shared" si="82"/>
        <v>0</v>
      </c>
      <c r="CP131" s="205">
        <f t="shared" si="82"/>
        <v>0</v>
      </c>
      <c r="CQ131" s="205">
        <f t="shared" si="82"/>
        <v>0</v>
      </c>
      <c r="CR131" s="205">
        <f t="shared" si="82"/>
        <v>0</v>
      </c>
      <c r="CS131" s="205">
        <f t="shared" si="82"/>
        <v>0</v>
      </c>
      <c r="CT131" s="205">
        <f t="shared" si="82"/>
        <v>0</v>
      </c>
    </row>
    <row r="132" spans="1:98" ht="70.900000000000006" customHeight="1" x14ac:dyDescent="0.25">
      <c r="A132" s="1209"/>
      <c r="B132" s="1209"/>
      <c r="C132" s="1204"/>
      <c r="D132" s="1204"/>
      <c r="E132" s="708"/>
      <c r="F132" s="708"/>
      <c r="G132" s="735"/>
      <c r="H132" s="735"/>
      <c r="I132" s="710"/>
      <c r="J132" s="708"/>
      <c r="K132" s="708"/>
      <c r="L132" s="718"/>
      <c r="M132" s="102"/>
      <c r="N132" s="2" t="s">
        <v>4076</v>
      </c>
      <c r="O132" s="171" t="s">
        <v>4077</v>
      </c>
      <c r="P132" s="172"/>
      <c r="Q132" s="172"/>
      <c r="R132" s="561">
        <v>211</v>
      </c>
      <c r="S132" s="232"/>
      <c r="T132" s="730" t="s">
        <v>4088</v>
      </c>
      <c r="U132" s="149">
        <f t="shared" si="81"/>
        <v>8000000</v>
      </c>
      <c r="V132" s="149"/>
      <c r="W132" s="149"/>
      <c r="X132" s="149"/>
      <c r="Y132" s="149"/>
      <c r="Z132" s="149"/>
      <c r="AA132" s="149"/>
      <c r="AB132" s="149"/>
      <c r="AC132" s="149"/>
      <c r="AD132" s="149">
        <v>8000000</v>
      </c>
      <c r="AE132" s="149"/>
      <c r="AF132" s="149"/>
      <c r="AG132" s="149"/>
      <c r="AH132" s="203"/>
      <c r="AI132" s="204"/>
      <c r="AJ132" s="244"/>
      <c r="AK132" s="147"/>
      <c r="AL132" s="147"/>
      <c r="AM132" s="147"/>
      <c r="AN132" s="147"/>
      <c r="AO132" s="147"/>
      <c r="AP132" s="213"/>
      <c r="AQ132" s="238">
        <f t="shared" si="62"/>
        <v>0</v>
      </c>
      <c r="AR132" s="218">
        <f t="shared" si="80"/>
        <v>0</v>
      </c>
      <c r="AS132" s="149"/>
      <c r="AT132" s="149"/>
      <c r="AU132" s="149"/>
      <c r="AV132" s="149"/>
      <c r="AW132" s="149"/>
      <c r="AX132" s="149"/>
      <c r="AY132" s="149"/>
      <c r="AZ132" s="149"/>
      <c r="BA132" s="149"/>
      <c r="BB132" s="149"/>
      <c r="BC132" s="149"/>
      <c r="BD132" s="149"/>
      <c r="BE132" s="238">
        <f t="shared" si="66"/>
        <v>1</v>
      </c>
      <c r="BF132" s="218">
        <f t="shared" si="67"/>
        <v>8000000</v>
      </c>
      <c r="BG132" s="205">
        <f t="shared" si="79"/>
        <v>0</v>
      </c>
      <c r="BH132" s="205">
        <f t="shared" si="79"/>
        <v>0</v>
      </c>
      <c r="BI132" s="205">
        <f t="shared" si="79"/>
        <v>0</v>
      </c>
      <c r="BJ132" s="205">
        <f t="shared" si="78"/>
        <v>0</v>
      </c>
      <c r="BK132" s="205">
        <f t="shared" si="78"/>
        <v>0</v>
      </c>
      <c r="BL132" s="205">
        <f t="shared" si="78"/>
        <v>0</v>
      </c>
      <c r="BM132" s="205">
        <f t="shared" si="78"/>
        <v>0</v>
      </c>
      <c r="BN132" s="205">
        <f t="shared" si="78"/>
        <v>0</v>
      </c>
      <c r="BO132" s="205">
        <f t="shared" si="78"/>
        <v>8000000</v>
      </c>
      <c r="BP132" s="205">
        <f t="shared" si="78"/>
        <v>0</v>
      </c>
      <c r="BQ132" s="205">
        <f t="shared" si="78"/>
        <v>0</v>
      </c>
      <c r="BR132" s="205">
        <f t="shared" si="78"/>
        <v>0</v>
      </c>
      <c r="BS132" s="238">
        <f t="shared" si="68"/>
        <v>0</v>
      </c>
      <c r="BT132" s="218">
        <f t="shared" si="69"/>
        <v>0</v>
      </c>
      <c r="BU132" s="149"/>
      <c r="BV132" s="149"/>
      <c r="BW132" s="149"/>
      <c r="BX132" s="149"/>
      <c r="BY132" s="149"/>
      <c r="BZ132" s="149"/>
      <c r="CA132" s="149"/>
      <c r="CB132" s="149"/>
      <c r="CC132" s="149"/>
      <c r="CD132" s="149"/>
      <c r="CE132" s="149"/>
      <c r="CF132" s="149"/>
      <c r="CG132" s="238">
        <f t="shared" si="70"/>
        <v>1</v>
      </c>
      <c r="CH132" s="218">
        <f t="shared" si="71"/>
        <v>8000000</v>
      </c>
      <c r="CI132" s="205">
        <f t="shared" si="83"/>
        <v>0</v>
      </c>
      <c r="CJ132" s="205">
        <f t="shared" si="84"/>
        <v>0</v>
      </c>
      <c r="CK132" s="205">
        <f t="shared" si="85"/>
        <v>0</v>
      </c>
      <c r="CL132" s="205">
        <f t="shared" si="82"/>
        <v>0</v>
      </c>
      <c r="CM132" s="205">
        <f t="shared" si="82"/>
        <v>0</v>
      </c>
      <c r="CN132" s="205">
        <f t="shared" si="82"/>
        <v>0</v>
      </c>
      <c r="CO132" s="205">
        <f t="shared" si="82"/>
        <v>0</v>
      </c>
      <c r="CP132" s="205">
        <f t="shared" si="82"/>
        <v>0</v>
      </c>
      <c r="CQ132" s="205">
        <f t="shared" si="82"/>
        <v>8000000</v>
      </c>
      <c r="CR132" s="205">
        <f t="shared" si="82"/>
        <v>0</v>
      </c>
      <c r="CS132" s="205">
        <f t="shared" si="82"/>
        <v>0</v>
      </c>
      <c r="CT132" s="205">
        <f t="shared" si="82"/>
        <v>0</v>
      </c>
    </row>
    <row r="133" spans="1:98" ht="73.900000000000006" customHeight="1" x14ac:dyDescent="0.25">
      <c r="A133" s="1209"/>
      <c r="B133" s="1209"/>
      <c r="C133" s="1204"/>
      <c r="D133" s="1204"/>
      <c r="E133" s="708"/>
      <c r="F133" s="708"/>
      <c r="G133" s="735"/>
      <c r="H133" s="735"/>
      <c r="I133" s="710"/>
      <c r="J133" s="708"/>
      <c r="K133" s="708"/>
      <c r="L133" s="718"/>
      <c r="M133" s="102"/>
      <c r="N133" s="2" t="s">
        <v>4078</v>
      </c>
      <c r="O133" s="171" t="s">
        <v>4083</v>
      </c>
      <c r="P133" s="172"/>
      <c r="Q133" s="172"/>
      <c r="R133" s="561">
        <v>211</v>
      </c>
      <c r="S133" s="232"/>
      <c r="T133" s="730" t="s">
        <v>3878</v>
      </c>
      <c r="U133" s="149">
        <f t="shared" si="81"/>
        <v>3000000</v>
      </c>
      <c r="V133" s="149"/>
      <c r="W133" s="149"/>
      <c r="X133" s="149"/>
      <c r="Y133" s="149"/>
      <c r="Z133" s="149"/>
      <c r="AA133" s="149"/>
      <c r="AB133" s="149"/>
      <c r="AC133" s="149"/>
      <c r="AD133" s="149">
        <v>3000000</v>
      </c>
      <c r="AE133" s="149"/>
      <c r="AF133" s="149"/>
      <c r="AG133" s="149"/>
      <c r="AH133" s="203"/>
      <c r="AI133" s="204"/>
      <c r="AJ133" s="244"/>
      <c r="AK133" s="147"/>
      <c r="AL133" s="147"/>
      <c r="AM133" s="147"/>
      <c r="AN133" s="147"/>
      <c r="AO133" s="147"/>
      <c r="AP133" s="213"/>
      <c r="AQ133" s="238">
        <f t="shared" si="62"/>
        <v>0</v>
      </c>
      <c r="AR133" s="218">
        <f t="shared" si="80"/>
        <v>0</v>
      </c>
      <c r="AS133" s="149"/>
      <c r="AT133" s="149"/>
      <c r="AU133" s="149"/>
      <c r="AV133" s="149"/>
      <c r="AW133" s="149"/>
      <c r="AX133" s="149"/>
      <c r="AY133" s="149"/>
      <c r="AZ133" s="149"/>
      <c r="BA133" s="149"/>
      <c r="BB133" s="149"/>
      <c r="BC133" s="149"/>
      <c r="BD133" s="149"/>
      <c r="BE133" s="238">
        <f t="shared" si="66"/>
        <v>1</v>
      </c>
      <c r="BF133" s="218">
        <f t="shared" si="67"/>
        <v>3000000</v>
      </c>
      <c r="BG133" s="205">
        <f t="shared" si="79"/>
        <v>0</v>
      </c>
      <c r="BH133" s="205">
        <f t="shared" si="79"/>
        <v>0</v>
      </c>
      <c r="BI133" s="205">
        <f t="shared" si="79"/>
        <v>0</v>
      </c>
      <c r="BJ133" s="205">
        <f t="shared" si="78"/>
        <v>0</v>
      </c>
      <c r="BK133" s="205">
        <f t="shared" si="78"/>
        <v>0</v>
      </c>
      <c r="BL133" s="205">
        <f t="shared" si="78"/>
        <v>0</v>
      </c>
      <c r="BM133" s="205">
        <f t="shared" si="78"/>
        <v>0</v>
      </c>
      <c r="BN133" s="205">
        <f t="shared" si="78"/>
        <v>0</v>
      </c>
      <c r="BO133" s="205">
        <f t="shared" si="78"/>
        <v>3000000</v>
      </c>
      <c r="BP133" s="205">
        <f t="shared" si="78"/>
        <v>0</v>
      </c>
      <c r="BQ133" s="205">
        <f t="shared" si="78"/>
        <v>0</v>
      </c>
      <c r="BR133" s="205">
        <f t="shared" si="78"/>
        <v>0</v>
      </c>
      <c r="BS133" s="238">
        <f t="shared" si="68"/>
        <v>0</v>
      </c>
      <c r="BT133" s="218">
        <f t="shared" si="69"/>
        <v>0</v>
      </c>
      <c r="BU133" s="149"/>
      <c r="BV133" s="149"/>
      <c r="BW133" s="149"/>
      <c r="BX133" s="149"/>
      <c r="BY133" s="149"/>
      <c r="BZ133" s="149"/>
      <c r="CA133" s="149"/>
      <c r="CB133" s="149"/>
      <c r="CC133" s="149"/>
      <c r="CD133" s="149"/>
      <c r="CE133" s="149"/>
      <c r="CF133" s="149"/>
      <c r="CG133" s="238">
        <f t="shared" si="70"/>
        <v>1</v>
      </c>
      <c r="CH133" s="218">
        <f t="shared" si="71"/>
        <v>3000000</v>
      </c>
      <c r="CI133" s="205">
        <f t="shared" si="83"/>
        <v>0</v>
      </c>
      <c r="CJ133" s="205">
        <f t="shared" si="84"/>
        <v>0</v>
      </c>
      <c r="CK133" s="205">
        <f t="shared" si="85"/>
        <v>0</v>
      </c>
      <c r="CL133" s="205">
        <f t="shared" si="82"/>
        <v>0</v>
      </c>
      <c r="CM133" s="205">
        <f t="shared" si="82"/>
        <v>0</v>
      </c>
      <c r="CN133" s="205">
        <f t="shared" si="82"/>
        <v>0</v>
      </c>
      <c r="CO133" s="205">
        <f t="shared" si="82"/>
        <v>0</v>
      </c>
      <c r="CP133" s="205">
        <f t="shared" si="82"/>
        <v>0</v>
      </c>
      <c r="CQ133" s="205">
        <f t="shared" si="82"/>
        <v>3000000</v>
      </c>
      <c r="CR133" s="205">
        <f t="shared" si="82"/>
        <v>0</v>
      </c>
      <c r="CS133" s="205">
        <f t="shared" si="82"/>
        <v>0</v>
      </c>
      <c r="CT133" s="205">
        <f t="shared" si="82"/>
        <v>0</v>
      </c>
    </row>
    <row r="134" spans="1:98" ht="74.45" customHeight="1" x14ac:dyDescent="0.25">
      <c r="A134" s="1209"/>
      <c r="B134" s="1209"/>
      <c r="C134" s="1204"/>
      <c r="D134" s="1204"/>
      <c r="E134" s="708"/>
      <c r="F134" s="708"/>
      <c r="G134" s="735"/>
      <c r="H134" s="735"/>
      <c r="I134" s="710"/>
      <c r="J134" s="708"/>
      <c r="K134" s="708"/>
      <c r="L134" s="718"/>
      <c r="M134" s="102"/>
      <c r="N134" s="2" t="s">
        <v>4079</v>
      </c>
      <c r="O134" s="171" t="s">
        <v>4084</v>
      </c>
      <c r="P134" s="172"/>
      <c r="Q134" s="172"/>
      <c r="R134" s="561">
        <v>211</v>
      </c>
      <c r="S134" s="232"/>
      <c r="T134" s="730" t="s">
        <v>3875</v>
      </c>
      <c r="U134" s="149">
        <f t="shared" si="81"/>
        <v>9300000</v>
      </c>
      <c r="V134" s="149"/>
      <c r="W134" s="149"/>
      <c r="X134" s="149"/>
      <c r="Y134" s="149"/>
      <c r="Z134" s="149"/>
      <c r="AA134" s="149"/>
      <c r="AB134" s="149"/>
      <c r="AC134" s="149"/>
      <c r="AD134" s="149">
        <v>9300000</v>
      </c>
      <c r="AE134" s="149"/>
      <c r="AF134" s="149"/>
      <c r="AG134" s="149"/>
      <c r="AH134" s="203"/>
      <c r="AI134" s="204"/>
      <c r="AJ134" s="244"/>
      <c r="AK134" s="147"/>
      <c r="AL134" s="147"/>
      <c r="AM134" s="147"/>
      <c r="AN134" s="147"/>
      <c r="AO134" s="147"/>
      <c r="AP134" s="213"/>
      <c r="AQ134" s="238">
        <f t="shared" si="62"/>
        <v>0</v>
      </c>
      <c r="AR134" s="218">
        <f t="shared" si="80"/>
        <v>0</v>
      </c>
      <c r="AS134" s="149"/>
      <c r="AT134" s="149"/>
      <c r="AU134" s="149"/>
      <c r="AV134" s="149"/>
      <c r="AW134" s="149"/>
      <c r="AX134" s="149"/>
      <c r="AY134" s="149"/>
      <c r="AZ134" s="149"/>
      <c r="BA134" s="149"/>
      <c r="BB134" s="149"/>
      <c r="BC134" s="149"/>
      <c r="BD134" s="149"/>
      <c r="BE134" s="238">
        <f t="shared" si="66"/>
        <v>1</v>
      </c>
      <c r="BF134" s="218">
        <f t="shared" si="67"/>
        <v>9300000</v>
      </c>
      <c r="BG134" s="205">
        <f t="shared" si="79"/>
        <v>0</v>
      </c>
      <c r="BH134" s="205">
        <f t="shared" si="79"/>
        <v>0</v>
      </c>
      <c r="BI134" s="205">
        <f t="shared" si="79"/>
        <v>0</v>
      </c>
      <c r="BJ134" s="205">
        <f t="shared" si="78"/>
        <v>0</v>
      </c>
      <c r="BK134" s="205">
        <f t="shared" si="78"/>
        <v>0</v>
      </c>
      <c r="BL134" s="205">
        <f t="shared" si="78"/>
        <v>0</v>
      </c>
      <c r="BM134" s="205">
        <f t="shared" si="78"/>
        <v>0</v>
      </c>
      <c r="BN134" s="205">
        <f t="shared" si="78"/>
        <v>0</v>
      </c>
      <c r="BO134" s="205">
        <f t="shared" si="78"/>
        <v>9300000</v>
      </c>
      <c r="BP134" s="205">
        <f t="shared" si="78"/>
        <v>0</v>
      </c>
      <c r="BQ134" s="205">
        <f t="shared" si="78"/>
        <v>0</v>
      </c>
      <c r="BR134" s="205">
        <f t="shared" si="78"/>
        <v>0</v>
      </c>
      <c r="BS134" s="238">
        <f t="shared" si="68"/>
        <v>0</v>
      </c>
      <c r="BT134" s="218">
        <f t="shared" si="69"/>
        <v>0</v>
      </c>
      <c r="BU134" s="149"/>
      <c r="BV134" s="149"/>
      <c r="BW134" s="149"/>
      <c r="BX134" s="149"/>
      <c r="BY134" s="149"/>
      <c r="BZ134" s="149"/>
      <c r="CA134" s="149"/>
      <c r="CB134" s="149"/>
      <c r="CC134" s="149"/>
      <c r="CD134" s="149"/>
      <c r="CE134" s="149"/>
      <c r="CF134" s="149"/>
      <c r="CG134" s="238">
        <f t="shared" si="70"/>
        <v>1</v>
      </c>
      <c r="CH134" s="218">
        <f t="shared" si="71"/>
        <v>9300000</v>
      </c>
      <c r="CI134" s="205">
        <f t="shared" si="83"/>
        <v>0</v>
      </c>
      <c r="CJ134" s="205">
        <f t="shared" si="84"/>
        <v>0</v>
      </c>
      <c r="CK134" s="205">
        <f t="shared" si="85"/>
        <v>0</v>
      </c>
      <c r="CL134" s="205">
        <f t="shared" si="82"/>
        <v>0</v>
      </c>
      <c r="CM134" s="205">
        <f t="shared" si="82"/>
        <v>0</v>
      </c>
      <c r="CN134" s="205">
        <f t="shared" si="82"/>
        <v>0</v>
      </c>
      <c r="CO134" s="205">
        <f t="shared" si="82"/>
        <v>0</v>
      </c>
      <c r="CP134" s="205">
        <f t="shared" si="82"/>
        <v>0</v>
      </c>
      <c r="CQ134" s="205">
        <f t="shared" si="82"/>
        <v>9300000</v>
      </c>
      <c r="CR134" s="205">
        <f t="shared" si="82"/>
        <v>0</v>
      </c>
      <c r="CS134" s="205">
        <f t="shared" si="82"/>
        <v>0</v>
      </c>
      <c r="CT134" s="205">
        <f t="shared" si="82"/>
        <v>0</v>
      </c>
    </row>
    <row r="135" spans="1:98" ht="99" customHeight="1" x14ac:dyDescent="0.25">
      <c r="A135" s="1209"/>
      <c r="B135" s="1209"/>
      <c r="C135" s="1204"/>
      <c r="D135" s="1204"/>
      <c r="E135" s="708"/>
      <c r="F135" s="708"/>
      <c r="G135" s="735"/>
      <c r="H135" s="735"/>
      <c r="I135" s="710"/>
      <c r="J135" s="708"/>
      <c r="K135" s="708"/>
      <c r="L135" s="718"/>
      <c r="M135" s="102"/>
      <c r="N135" s="2" t="s">
        <v>4080</v>
      </c>
      <c r="O135" s="171" t="s">
        <v>4085</v>
      </c>
      <c r="P135" s="172"/>
      <c r="Q135" s="172"/>
      <c r="R135" s="561">
        <v>211</v>
      </c>
      <c r="S135" s="232"/>
      <c r="T135" s="730" t="s">
        <v>4088</v>
      </c>
      <c r="U135" s="149">
        <f t="shared" si="81"/>
        <v>16000000</v>
      </c>
      <c r="V135" s="149"/>
      <c r="W135" s="149"/>
      <c r="X135" s="149"/>
      <c r="Y135" s="149"/>
      <c r="Z135" s="149"/>
      <c r="AA135" s="149"/>
      <c r="AB135" s="149"/>
      <c r="AC135" s="149"/>
      <c r="AD135" s="149">
        <v>16000000</v>
      </c>
      <c r="AE135" s="149"/>
      <c r="AF135" s="149"/>
      <c r="AG135" s="149"/>
      <c r="AH135" s="203"/>
      <c r="AI135" s="204"/>
      <c r="AJ135" s="244"/>
      <c r="AK135" s="147"/>
      <c r="AL135" s="147"/>
      <c r="AM135" s="147"/>
      <c r="AN135" s="147"/>
      <c r="AO135" s="147"/>
      <c r="AP135" s="213"/>
      <c r="AQ135" s="238">
        <f t="shared" si="62"/>
        <v>0</v>
      </c>
      <c r="AR135" s="218">
        <f t="shared" si="80"/>
        <v>0</v>
      </c>
      <c r="AS135" s="149"/>
      <c r="AT135" s="149"/>
      <c r="AU135" s="149"/>
      <c r="AV135" s="149"/>
      <c r="AW135" s="149"/>
      <c r="AX135" s="149"/>
      <c r="AY135" s="149"/>
      <c r="AZ135" s="149"/>
      <c r="BA135" s="149"/>
      <c r="BB135" s="149"/>
      <c r="BC135" s="149"/>
      <c r="BD135" s="149"/>
      <c r="BE135" s="238">
        <f t="shared" si="66"/>
        <v>1</v>
      </c>
      <c r="BF135" s="218">
        <f t="shared" si="67"/>
        <v>16000000</v>
      </c>
      <c r="BG135" s="205">
        <f t="shared" si="79"/>
        <v>0</v>
      </c>
      <c r="BH135" s="205">
        <f t="shared" si="79"/>
        <v>0</v>
      </c>
      <c r="BI135" s="205">
        <f t="shared" si="79"/>
        <v>0</v>
      </c>
      <c r="BJ135" s="205">
        <f t="shared" si="78"/>
        <v>0</v>
      </c>
      <c r="BK135" s="205">
        <f t="shared" si="78"/>
        <v>0</v>
      </c>
      <c r="BL135" s="205">
        <f t="shared" si="78"/>
        <v>0</v>
      </c>
      <c r="BM135" s="205">
        <f t="shared" si="78"/>
        <v>0</v>
      </c>
      <c r="BN135" s="205">
        <f t="shared" si="78"/>
        <v>0</v>
      </c>
      <c r="BO135" s="205">
        <f t="shared" si="78"/>
        <v>16000000</v>
      </c>
      <c r="BP135" s="205">
        <f t="shared" si="78"/>
        <v>0</v>
      </c>
      <c r="BQ135" s="205">
        <f t="shared" si="78"/>
        <v>0</v>
      </c>
      <c r="BR135" s="205">
        <f t="shared" si="78"/>
        <v>0</v>
      </c>
      <c r="BS135" s="238">
        <f t="shared" si="68"/>
        <v>0</v>
      </c>
      <c r="BT135" s="218">
        <f t="shared" si="69"/>
        <v>0</v>
      </c>
      <c r="BU135" s="149"/>
      <c r="BV135" s="149"/>
      <c r="BW135" s="149"/>
      <c r="BX135" s="149"/>
      <c r="BY135" s="149"/>
      <c r="BZ135" s="149"/>
      <c r="CA135" s="149"/>
      <c r="CB135" s="149"/>
      <c r="CC135" s="149"/>
      <c r="CD135" s="149"/>
      <c r="CE135" s="149"/>
      <c r="CF135" s="149"/>
      <c r="CG135" s="238">
        <f t="shared" si="70"/>
        <v>1</v>
      </c>
      <c r="CH135" s="218">
        <f t="shared" si="71"/>
        <v>16000000</v>
      </c>
      <c r="CI135" s="205">
        <f t="shared" si="83"/>
        <v>0</v>
      </c>
      <c r="CJ135" s="205">
        <f t="shared" si="84"/>
        <v>0</v>
      </c>
      <c r="CK135" s="205">
        <f t="shared" si="85"/>
        <v>0</v>
      </c>
      <c r="CL135" s="205">
        <f t="shared" si="82"/>
        <v>0</v>
      </c>
      <c r="CM135" s="205">
        <f t="shared" si="82"/>
        <v>0</v>
      </c>
      <c r="CN135" s="205">
        <f t="shared" si="82"/>
        <v>0</v>
      </c>
      <c r="CO135" s="205">
        <f t="shared" si="82"/>
        <v>0</v>
      </c>
      <c r="CP135" s="205">
        <f t="shared" si="82"/>
        <v>0</v>
      </c>
      <c r="CQ135" s="205">
        <f t="shared" si="82"/>
        <v>16000000</v>
      </c>
      <c r="CR135" s="205">
        <f t="shared" si="82"/>
        <v>0</v>
      </c>
      <c r="CS135" s="205">
        <f t="shared" si="82"/>
        <v>0</v>
      </c>
      <c r="CT135" s="205">
        <f t="shared" si="82"/>
        <v>0</v>
      </c>
    </row>
    <row r="136" spans="1:98" ht="89.45" customHeight="1" x14ac:dyDescent="0.25">
      <c r="A136" s="1209"/>
      <c r="B136" s="1209"/>
      <c r="C136" s="1204"/>
      <c r="D136" s="1204"/>
      <c r="E136" s="708"/>
      <c r="F136" s="708"/>
      <c r="G136" s="735"/>
      <c r="H136" s="735"/>
      <c r="I136" s="710"/>
      <c r="J136" s="708"/>
      <c r="K136" s="708"/>
      <c r="L136" s="718"/>
      <c r="M136" s="102"/>
      <c r="N136" s="2" t="s">
        <v>4081</v>
      </c>
      <c r="O136" s="171" t="s">
        <v>4086</v>
      </c>
      <c r="P136" s="172"/>
      <c r="Q136" s="172"/>
      <c r="R136" s="561">
        <v>211</v>
      </c>
      <c r="S136" s="232"/>
      <c r="T136" s="730" t="s">
        <v>4091</v>
      </c>
      <c r="U136" s="149">
        <f t="shared" si="81"/>
        <v>3000000</v>
      </c>
      <c r="V136" s="149"/>
      <c r="W136" s="149"/>
      <c r="X136" s="149"/>
      <c r="Y136" s="149"/>
      <c r="Z136" s="149"/>
      <c r="AA136" s="149"/>
      <c r="AB136" s="149"/>
      <c r="AC136" s="149"/>
      <c r="AD136" s="149">
        <v>3000000</v>
      </c>
      <c r="AE136" s="149"/>
      <c r="AF136" s="149"/>
      <c r="AG136" s="149"/>
      <c r="AH136" s="203"/>
      <c r="AI136" s="204"/>
      <c r="AJ136" s="244"/>
      <c r="AK136" s="147"/>
      <c r="AL136" s="147"/>
      <c r="AM136" s="147"/>
      <c r="AN136" s="147"/>
      <c r="AO136" s="147"/>
      <c r="AP136" s="213"/>
      <c r="AQ136" s="238">
        <f t="shared" si="62"/>
        <v>0</v>
      </c>
      <c r="AR136" s="218">
        <f t="shared" si="80"/>
        <v>0</v>
      </c>
      <c r="AS136" s="149"/>
      <c r="AT136" s="149"/>
      <c r="AU136" s="149"/>
      <c r="AV136" s="149"/>
      <c r="AW136" s="149"/>
      <c r="AX136" s="149"/>
      <c r="AY136" s="149"/>
      <c r="AZ136" s="149"/>
      <c r="BA136" s="149"/>
      <c r="BB136" s="149"/>
      <c r="BC136" s="149"/>
      <c r="BD136" s="149"/>
      <c r="BE136" s="238">
        <f t="shared" si="66"/>
        <v>1</v>
      </c>
      <c r="BF136" s="218">
        <f t="shared" si="67"/>
        <v>3000000</v>
      </c>
      <c r="BG136" s="205">
        <f t="shared" si="79"/>
        <v>0</v>
      </c>
      <c r="BH136" s="205">
        <f t="shared" si="79"/>
        <v>0</v>
      </c>
      <c r="BI136" s="205">
        <f t="shared" si="79"/>
        <v>0</v>
      </c>
      <c r="BJ136" s="205">
        <f t="shared" si="78"/>
        <v>0</v>
      </c>
      <c r="BK136" s="205">
        <f t="shared" si="78"/>
        <v>0</v>
      </c>
      <c r="BL136" s="205">
        <f t="shared" si="78"/>
        <v>0</v>
      </c>
      <c r="BM136" s="205">
        <f t="shared" si="78"/>
        <v>0</v>
      </c>
      <c r="BN136" s="205">
        <f t="shared" si="78"/>
        <v>0</v>
      </c>
      <c r="BO136" s="205">
        <f t="shared" si="78"/>
        <v>3000000</v>
      </c>
      <c r="BP136" s="205">
        <f t="shared" si="78"/>
        <v>0</v>
      </c>
      <c r="BQ136" s="205">
        <f t="shared" si="78"/>
        <v>0</v>
      </c>
      <c r="BR136" s="205">
        <f t="shared" si="78"/>
        <v>0</v>
      </c>
      <c r="BS136" s="238">
        <f t="shared" si="68"/>
        <v>0</v>
      </c>
      <c r="BT136" s="218">
        <f t="shared" si="69"/>
        <v>0</v>
      </c>
      <c r="BU136" s="149"/>
      <c r="BV136" s="149"/>
      <c r="BW136" s="149"/>
      <c r="BX136" s="149"/>
      <c r="BY136" s="149"/>
      <c r="BZ136" s="149"/>
      <c r="CA136" s="149"/>
      <c r="CB136" s="149"/>
      <c r="CC136" s="149"/>
      <c r="CD136" s="149"/>
      <c r="CE136" s="149"/>
      <c r="CF136" s="149"/>
      <c r="CG136" s="238">
        <f t="shared" si="70"/>
        <v>1</v>
      </c>
      <c r="CH136" s="218">
        <f t="shared" si="71"/>
        <v>3000000</v>
      </c>
      <c r="CI136" s="205">
        <f t="shared" si="83"/>
        <v>0</v>
      </c>
      <c r="CJ136" s="205">
        <f t="shared" si="84"/>
        <v>0</v>
      </c>
      <c r="CK136" s="205">
        <f t="shared" si="85"/>
        <v>0</v>
      </c>
      <c r="CL136" s="205">
        <f t="shared" si="82"/>
        <v>0</v>
      </c>
      <c r="CM136" s="205">
        <f t="shared" si="82"/>
        <v>0</v>
      </c>
      <c r="CN136" s="205">
        <f t="shared" si="82"/>
        <v>0</v>
      </c>
      <c r="CO136" s="205">
        <f t="shared" si="82"/>
        <v>0</v>
      </c>
      <c r="CP136" s="205">
        <f t="shared" si="82"/>
        <v>0</v>
      </c>
      <c r="CQ136" s="205">
        <f t="shared" si="82"/>
        <v>3000000</v>
      </c>
      <c r="CR136" s="205">
        <f t="shared" si="82"/>
        <v>0</v>
      </c>
      <c r="CS136" s="205">
        <f t="shared" si="82"/>
        <v>0</v>
      </c>
      <c r="CT136" s="205">
        <f t="shared" si="82"/>
        <v>0</v>
      </c>
    </row>
    <row r="137" spans="1:98" ht="51.6" customHeight="1" x14ac:dyDescent="0.25">
      <c r="A137" s="1209"/>
      <c r="B137" s="1209"/>
      <c r="C137" s="1204"/>
      <c r="D137" s="1204"/>
      <c r="E137" s="708"/>
      <c r="F137" s="708"/>
      <c r="G137" s="735"/>
      <c r="H137" s="735"/>
      <c r="I137" s="710"/>
      <c r="J137" s="708"/>
      <c r="K137" s="708"/>
      <c r="L137" s="718"/>
      <c r="M137" s="102"/>
      <c r="N137" s="2" t="s">
        <v>4082</v>
      </c>
      <c r="O137" s="171" t="s">
        <v>4087</v>
      </c>
      <c r="P137" s="172"/>
      <c r="Q137" s="172"/>
      <c r="R137" s="561">
        <v>211</v>
      </c>
      <c r="S137" s="232"/>
      <c r="T137" s="730" t="s">
        <v>4088</v>
      </c>
      <c r="U137" s="149">
        <f t="shared" si="81"/>
        <v>20700000</v>
      </c>
      <c r="V137" s="149"/>
      <c r="W137" s="149"/>
      <c r="X137" s="149"/>
      <c r="Y137" s="149"/>
      <c r="Z137" s="149"/>
      <c r="AA137" s="149"/>
      <c r="AB137" s="149"/>
      <c r="AC137" s="149"/>
      <c r="AD137" s="149">
        <v>20700000</v>
      </c>
      <c r="AE137" s="149"/>
      <c r="AF137" s="149"/>
      <c r="AG137" s="149"/>
      <c r="AH137" s="203"/>
      <c r="AI137" s="204"/>
      <c r="AJ137" s="244"/>
      <c r="AK137" s="147"/>
      <c r="AL137" s="147"/>
      <c r="AM137" s="147"/>
      <c r="AN137" s="147"/>
      <c r="AO137" s="147"/>
      <c r="AP137" s="213"/>
      <c r="AQ137" s="238">
        <f t="shared" si="62"/>
        <v>0</v>
      </c>
      <c r="AR137" s="218">
        <f t="shared" si="80"/>
        <v>0</v>
      </c>
      <c r="AS137" s="149"/>
      <c r="AT137" s="149"/>
      <c r="AU137" s="149"/>
      <c r="AV137" s="149"/>
      <c r="AW137" s="149"/>
      <c r="AX137" s="149"/>
      <c r="AY137" s="149"/>
      <c r="AZ137" s="149"/>
      <c r="BA137" s="149"/>
      <c r="BB137" s="149"/>
      <c r="BC137" s="149"/>
      <c r="BD137" s="149"/>
      <c r="BE137" s="238">
        <f t="shared" si="66"/>
        <v>1</v>
      </c>
      <c r="BF137" s="218">
        <f t="shared" si="67"/>
        <v>20700000</v>
      </c>
      <c r="BG137" s="205">
        <f t="shared" si="79"/>
        <v>0</v>
      </c>
      <c r="BH137" s="205">
        <f t="shared" si="79"/>
        <v>0</v>
      </c>
      <c r="BI137" s="205">
        <f t="shared" si="79"/>
        <v>0</v>
      </c>
      <c r="BJ137" s="205">
        <f t="shared" si="78"/>
        <v>0</v>
      </c>
      <c r="BK137" s="205">
        <f t="shared" si="78"/>
        <v>0</v>
      </c>
      <c r="BL137" s="205">
        <f t="shared" si="78"/>
        <v>0</v>
      </c>
      <c r="BM137" s="205">
        <f t="shared" ref="BM137:BR145" si="86">+AB137-AY137</f>
        <v>0</v>
      </c>
      <c r="BN137" s="205">
        <f t="shared" si="86"/>
        <v>0</v>
      </c>
      <c r="BO137" s="205">
        <f t="shared" si="86"/>
        <v>20700000</v>
      </c>
      <c r="BP137" s="205">
        <f t="shared" si="86"/>
        <v>0</v>
      </c>
      <c r="BQ137" s="205">
        <f t="shared" si="86"/>
        <v>0</v>
      </c>
      <c r="BR137" s="205">
        <f t="shared" si="86"/>
        <v>0</v>
      </c>
      <c r="BS137" s="238">
        <f t="shared" si="68"/>
        <v>0</v>
      </c>
      <c r="BT137" s="218">
        <f t="shared" si="69"/>
        <v>0</v>
      </c>
      <c r="BU137" s="149"/>
      <c r="BV137" s="149"/>
      <c r="BW137" s="149"/>
      <c r="BX137" s="149"/>
      <c r="BY137" s="149"/>
      <c r="BZ137" s="149"/>
      <c r="CA137" s="149"/>
      <c r="CB137" s="149"/>
      <c r="CC137" s="149"/>
      <c r="CD137" s="149"/>
      <c r="CE137" s="149"/>
      <c r="CF137" s="149"/>
      <c r="CG137" s="238">
        <f t="shared" si="70"/>
        <v>1</v>
      </c>
      <c r="CH137" s="218">
        <f t="shared" si="71"/>
        <v>20700000</v>
      </c>
      <c r="CI137" s="205">
        <f t="shared" si="83"/>
        <v>0</v>
      </c>
      <c r="CJ137" s="205">
        <f t="shared" si="84"/>
        <v>0</v>
      </c>
      <c r="CK137" s="205">
        <f t="shared" si="85"/>
        <v>0</v>
      </c>
      <c r="CL137" s="205">
        <f t="shared" si="82"/>
        <v>0</v>
      </c>
      <c r="CM137" s="205">
        <f t="shared" si="82"/>
        <v>0</v>
      </c>
      <c r="CN137" s="205">
        <f t="shared" si="82"/>
        <v>0</v>
      </c>
      <c r="CO137" s="205">
        <f t="shared" si="82"/>
        <v>0</v>
      </c>
      <c r="CP137" s="205">
        <f t="shared" si="82"/>
        <v>0</v>
      </c>
      <c r="CQ137" s="205">
        <f t="shared" si="82"/>
        <v>20700000</v>
      </c>
      <c r="CR137" s="205">
        <f t="shared" si="82"/>
        <v>0</v>
      </c>
      <c r="CS137" s="205">
        <f t="shared" si="82"/>
        <v>0</v>
      </c>
      <c r="CT137" s="205">
        <f t="shared" si="82"/>
        <v>0</v>
      </c>
    </row>
    <row r="138" spans="1:98" ht="97.9" customHeight="1" x14ac:dyDescent="0.25">
      <c r="A138" s="1209"/>
      <c r="B138" s="1209"/>
      <c r="C138" s="1204"/>
      <c r="D138" s="1204"/>
      <c r="E138" s="708"/>
      <c r="F138" s="708"/>
      <c r="G138" s="735"/>
      <c r="H138" s="735"/>
      <c r="I138" s="710"/>
      <c r="J138" s="708"/>
      <c r="K138" s="708"/>
      <c r="L138" s="718"/>
      <c r="M138" s="102"/>
      <c r="N138" s="2" t="s">
        <v>3960</v>
      </c>
      <c r="O138" s="171" t="s">
        <v>3979</v>
      </c>
      <c r="P138" s="172"/>
      <c r="Q138" s="172"/>
      <c r="R138" s="561">
        <v>211</v>
      </c>
      <c r="S138" s="232"/>
      <c r="T138" s="730" t="s">
        <v>3875</v>
      </c>
      <c r="U138" s="149">
        <f t="shared" si="81"/>
        <v>7000000</v>
      </c>
      <c r="V138" s="149"/>
      <c r="W138" s="149"/>
      <c r="X138" s="149">
        <v>7000000</v>
      </c>
      <c r="Y138" s="149"/>
      <c r="Z138" s="149"/>
      <c r="AA138" s="149"/>
      <c r="AB138" s="149"/>
      <c r="AC138" s="149"/>
      <c r="AD138" s="149"/>
      <c r="AE138" s="149"/>
      <c r="AF138" s="149"/>
      <c r="AG138" s="149"/>
      <c r="AH138" s="203"/>
      <c r="AI138" s="204"/>
      <c r="AJ138" s="244"/>
      <c r="AK138" s="147"/>
      <c r="AL138" s="147"/>
      <c r="AM138" s="147"/>
      <c r="AN138" s="147"/>
      <c r="AO138" s="147"/>
      <c r="AP138" s="213"/>
      <c r="AQ138" s="238">
        <f t="shared" si="62"/>
        <v>0</v>
      </c>
      <c r="AR138" s="218">
        <f t="shared" si="80"/>
        <v>0</v>
      </c>
      <c r="AS138" s="149"/>
      <c r="AT138" s="149"/>
      <c r="AU138" s="149"/>
      <c r="AV138" s="149"/>
      <c r="AW138" s="149"/>
      <c r="AX138" s="149"/>
      <c r="AY138" s="149"/>
      <c r="AZ138" s="149"/>
      <c r="BA138" s="149"/>
      <c r="BB138" s="149"/>
      <c r="BC138" s="149"/>
      <c r="BD138" s="149"/>
      <c r="BE138" s="238">
        <f t="shared" si="66"/>
        <v>1</v>
      </c>
      <c r="BF138" s="218">
        <f t="shared" si="67"/>
        <v>7000000</v>
      </c>
      <c r="BG138" s="205">
        <f t="shared" si="79"/>
        <v>0</v>
      </c>
      <c r="BH138" s="205">
        <f t="shared" si="79"/>
        <v>0</v>
      </c>
      <c r="BI138" s="205">
        <f t="shared" si="79"/>
        <v>7000000</v>
      </c>
      <c r="BJ138" s="205">
        <f t="shared" si="79"/>
        <v>0</v>
      </c>
      <c r="BK138" s="205">
        <f t="shared" si="79"/>
        <v>0</v>
      </c>
      <c r="BL138" s="205">
        <f t="shared" si="79"/>
        <v>0</v>
      </c>
      <c r="BM138" s="205">
        <f t="shared" si="86"/>
        <v>0</v>
      </c>
      <c r="BN138" s="205">
        <f t="shared" si="86"/>
        <v>0</v>
      </c>
      <c r="BO138" s="205">
        <f t="shared" si="86"/>
        <v>0</v>
      </c>
      <c r="BP138" s="205">
        <f t="shared" si="86"/>
        <v>0</v>
      </c>
      <c r="BQ138" s="205">
        <f t="shared" si="86"/>
        <v>0</v>
      </c>
      <c r="BR138" s="205">
        <f t="shared" si="86"/>
        <v>0</v>
      </c>
      <c r="BS138" s="238">
        <f t="shared" si="68"/>
        <v>0</v>
      </c>
      <c r="BT138" s="218">
        <f t="shared" si="69"/>
        <v>0</v>
      </c>
      <c r="BU138" s="149"/>
      <c r="BV138" s="149"/>
      <c r="BW138" s="149"/>
      <c r="BX138" s="149"/>
      <c r="BY138" s="149"/>
      <c r="BZ138" s="149"/>
      <c r="CA138" s="149"/>
      <c r="CB138" s="149"/>
      <c r="CC138" s="149"/>
      <c r="CD138" s="149"/>
      <c r="CE138" s="149"/>
      <c r="CF138" s="149"/>
      <c r="CG138" s="238">
        <f t="shared" si="70"/>
        <v>1</v>
      </c>
      <c r="CH138" s="218">
        <f t="shared" si="71"/>
        <v>7000000</v>
      </c>
      <c r="CI138" s="205">
        <f t="shared" si="83"/>
        <v>0</v>
      </c>
      <c r="CJ138" s="205">
        <f t="shared" si="84"/>
        <v>0</v>
      </c>
      <c r="CK138" s="205">
        <f t="shared" si="85"/>
        <v>7000000</v>
      </c>
      <c r="CL138" s="205">
        <f t="shared" si="82"/>
        <v>0</v>
      </c>
      <c r="CM138" s="205">
        <f t="shared" si="82"/>
        <v>0</v>
      </c>
      <c r="CN138" s="205">
        <f t="shared" si="82"/>
        <v>0</v>
      </c>
      <c r="CO138" s="205">
        <f t="shared" si="82"/>
        <v>0</v>
      </c>
      <c r="CP138" s="205">
        <f t="shared" si="82"/>
        <v>0</v>
      </c>
      <c r="CQ138" s="205">
        <f t="shared" si="82"/>
        <v>0</v>
      </c>
      <c r="CR138" s="205">
        <f t="shared" si="82"/>
        <v>0</v>
      </c>
      <c r="CS138" s="205">
        <f t="shared" si="82"/>
        <v>0</v>
      </c>
      <c r="CT138" s="205">
        <f t="shared" si="82"/>
        <v>0</v>
      </c>
    </row>
    <row r="139" spans="1:98" ht="93.75" customHeight="1" x14ac:dyDescent="0.25">
      <c r="A139" s="1209"/>
      <c r="B139" s="1209"/>
      <c r="C139" s="1204"/>
      <c r="D139" s="1204"/>
      <c r="E139" s="708"/>
      <c r="F139" s="708"/>
      <c r="G139" s="735"/>
      <c r="H139" s="735"/>
      <c r="I139" s="710"/>
      <c r="J139" s="708"/>
      <c r="K139" s="708"/>
      <c r="L139" s="718"/>
      <c r="M139" s="102"/>
      <c r="N139" s="2" t="s">
        <v>3961</v>
      </c>
      <c r="O139" s="171" t="s">
        <v>3964</v>
      </c>
      <c r="P139" s="172"/>
      <c r="Q139" s="172"/>
      <c r="R139" s="561">
        <v>211</v>
      </c>
      <c r="S139" s="232"/>
      <c r="T139" s="730" t="s">
        <v>3875</v>
      </c>
      <c r="U139" s="149">
        <f t="shared" si="81"/>
        <v>33000000</v>
      </c>
      <c r="V139" s="149"/>
      <c r="W139" s="149"/>
      <c r="X139" s="149">
        <v>33000000</v>
      </c>
      <c r="Y139" s="149"/>
      <c r="Z139" s="149"/>
      <c r="AA139" s="149"/>
      <c r="AB139" s="149"/>
      <c r="AC139" s="149"/>
      <c r="AD139" s="149"/>
      <c r="AE139" s="149"/>
      <c r="AF139" s="149"/>
      <c r="AG139" s="149"/>
      <c r="AH139" s="203"/>
      <c r="AI139" s="204"/>
      <c r="AJ139" s="244"/>
      <c r="AK139" s="147"/>
      <c r="AL139" s="147"/>
      <c r="AM139" s="147"/>
      <c r="AN139" s="147"/>
      <c r="AO139" s="147"/>
      <c r="AP139" s="213"/>
      <c r="AQ139" s="238">
        <f t="shared" si="62"/>
        <v>0</v>
      </c>
      <c r="AR139" s="218">
        <f t="shared" si="80"/>
        <v>0</v>
      </c>
      <c r="AS139" s="149"/>
      <c r="AT139" s="149"/>
      <c r="AU139" s="149"/>
      <c r="AV139" s="149"/>
      <c r="AW139" s="149"/>
      <c r="AX139" s="149"/>
      <c r="AY139" s="149"/>
      <c r="AZ139" s="149"/>
      <c r="BA139" s="149"/>
      <c r="BB139" s="149"/>
      <c r="BC139" s="149"/>
      <c r="BD139" s="149"/>
      <c r="BE139" s="238">
        <f t="shared" si="66"/>
        <v>1</v>
      </c>
      <c r="BF139" s="218">
        <f t="shared" si="67"/>
        <v>33000000</v>
      </c>
      <c r="BG139" s="205">
        <f t="shared" si="79"/>
        <v>0</v>
      </c>
      <c r="BH139" s="205">
        <f t="shared" si="79"/>
        <v>0</v>
      </c>
      <c r="BI139" s="205">
        <f t="shared" si="79"/>
        <v>33000000</v>
      </c>
      <c r="BJ139" s="205">
        <f t="shared" si="79"/>
        <v>0</v>
      </c>
      <c r="BK139" s="205">
        <f t="shared" si="79"/>
        <v>0</v>
      </c>
      <c r="BL139" s="205">
        <f t="shared" si="79"/>
        <v>0</v>
      </c>
      <c r="BM139" s="205">
        <f t="shared" si="86"/>
        <v>0</v>
      </c>
      <c r="BN139" s="205">
        <f t="shared" si="86"/>
        <v>0</v>
      </c>
      <c r="BO139" s="205">
        <f t="shared" si="86"/>
        <v>0</v>
      </c>
      <c r="BP139" s="205">
        <f t="shared" si="86"/>
        <v>0</v>
      </c>
      <c r="BQ139" s="205">
        <f t="shared" si="86"/>
        <v>0</v>
      </c>
      <c r="BR139" s="205">
        <f t="shared" si="86"/>
        <v>0</v>
      </c>
      <c r="BS139" s="238">
        <f t="shared" si="68"/>
        <v>0</v>
      </c>
      <c r="BT139" s="218">
        <f t="shared" si="69"/>
        <v>0</v>
      </c>
      <c r="BU139" s="149"/>
      <c r="BV139" s="149"/>
      <c r="BW139" s="149"/>
      <c r="BX139" s="149"/>
      <c r="BY139" s="149"/>
      <c r="BZ139" s="149"/>
      <c r="CA139" s="149"/>
      <c r="CB139" s="149"/>
      <c r="CC139" s="149"/>
      <c r="CD139" s="149"/>
      <c r="CE139" s="149"/>
      <c r="CF139" s="149"/>
      <c r="CG139" s="238">
        <f t="shared" si="70"/>
        <v>1</v>
      </c>
      <c r="CH139" s="218">
        <f t="shared" si="71"/>
        <v>33000000</v>
      </c>
      <c r="CI139" s="205">
        <f t="shared" si="83"/>
        <v>0</v>
      </c>
      <c r="CJ139" s="205">
        <f t="shared" si="84"/>
        <v>0</v>
      </c>
      <c r="CK139" s="205">
        <f t="shared" si="85"/>
        <v>33000000</v>
      </c>
      <c r="CL139" s="205">
        <f t="shared" si="82"/>
        <v>0</v>
      </c>
      <c r="CM139" s="205">
        <f t="shared" si="82"/>
        <v>0</v>
      </c>
      <c r="CN139" s="205">
        <f t="shared" si="82"/>
        <v>0</v>
      </c>
      <c r="CO139" s="205">
        <f t="shared" si="82"/>
        <v>0</v>
      </c>
      <c r="CP139" s="205">
        <f t="shared" si="82"/>
        <v>0</v>
      </c>
      <c r="CQ139" s="205">
        <f t="shared" si="82"/>
        <v>0</v>
      </c>
      <c r="CR139" s="205">
        <f t="shared" si="82"/>
        <v>0</v>
      </c>
      <c r="CS139" s="205">
        <f t="shared" si="82"/>
        <v>0</v>
      </c>
      <c r="CT139" s="205">
        <f t="shared" si="82"/>
        <v>0</v>
      </c>
    </row>
    <row r="140" spans="1:98" ht="72.599999999999994" customHeight="1" x14ac:dyDescent="0.25">
      <c r="A140" s="1209"/>
      <c r="B140" s="1209"/>
      <c r="C140" s="1204"/>
      <c r="D140" s="1204"/>
      <c r="E140" s="708"/>
      <c r="F140" s="708"/>
      <c r="G140" s="735"/>
      <c r="H140" s="735"/>
      <c r="I140" s="710"/>
      <c r="J140" s="708"/>
      <c r="K140" s="708"/>
      <c r="L140" s="718"/>
      <c r="M140" s="102"/>
      <c r="N140" s="2" t="s">
        <v>3962</v>
      </c>
      <c r="O140" s="171" t="s">
        <v>3966</v>
      </c>
      <c r="P140" s="172"/>
      <c r="Q140" s="172"/>
      <c r="R140" s="561">
        <v>211</v>
      </c>
      <c r="S140" s="232"/>
      <c r="T140" s="730" t="s">
        <v>3878</v>
      </c>
      <c r="U140" s="149">
        <f t="shared" si="81"/>
        <v>20000000</v>
      </c>
      <c r="V140" s="149"/>
      <c r="W140" s="149"/>
      <c r="X140" s="149">
        <v>20000000</v>
      </c>
      <c r="Y140" s="149"/>
      <c r="Z140" s="149"/>
      <c r="AA140" s="149"/>
      <c r="AB140" s="149"/>
      <c r="AC140" s="149"/>
      <c r="AD140" s="149"/>
      <c r="AE140" s="149"/>
      <c r="AF140" s="149"/>
      <c r="AG140" s="149"/>
      <c r="AH140" s="203"/>
      <c r="AI140" s="204"/>
      <c r="AJ140" s="244"/>
      <c r="AK140" s="147"/>
      <c r="AL140" s="147"/>
      <c r="AM140" s="147"/>
      <c r="AN140" s="147"/>
      <c r="AO140" s="147"/>
      <c r="AP140" s="213"/>
      <c r="AQ140" s="238">
        <f t="shared" si="62"/>
        <v>0</v>
      </c>
      <c r="AR140" s="218">
        <f t="shared" si="80"/>
        <v>0</v>
      </c>
      <c r="AS140" s="149"/>
      <c r="AT140" s="149"/>
      <c r="AU140" s="149"/>
      <c r="AV140" s="149"/>
      <c r="AW140" s="149"/>
      <c r="AX140" s="149"/>
      <c r="AY140" s="149"/>
      <c r="AZ140" s="149"/>
      <c r="BA140" s="149"/>
      <c r="BB140" s="149"/>
      <c r="BC140" s="149"/>
      <c r="BD140" s="149"/>
      <c r="BE140" s="238">
        <f t="shared" si="66"/>
        <v>1</v>
      </c>
      <c r="BF140" s="218">
        <f t="shared" si="67"/>
        <v>20000000</v>
      </c>
      <c r="BG140" s="205">
        <f t="shared" si="79"/>
        <v>0</v>
      </c>
      <c r="BH140" s="205">
        <f t="shared" si="79"/>
        <v>0</v>
      </c>
      <c r="BI140" s="205">
        <f t="shared" si="79"/>
        <v>20000000</v>
      </c>
      <c r="BJ140" s="205">
        <f t="shared" si="79"/>
        <v>0</v>
      </c>
      <c r="BK140" s="205">
        <f t="shared" si="79"/>
        <v>0</v>
      </c>
      <c r="BL140" s="205">
        <f t="shared" si="79"/>
        <v>0</v>
      </c>
      <c r="BM140" s="205">
        <f t="shared" si="86"/>
        <v>0</v>
      </c>
      <c r="BN140" s="205">
        <f t="shared" si="86"/>
        <v>0</v>
      </c>
      <c r="BO140" s="205">
        <f t="shared" si="86"/>
        <v>0</v>
      </c>
      <c r="BP140" s="205">
        <f t="shared" si="86"/>
        <v>0</v>
      </c>
      <c r="BQ140" s="205">
        <f t="shared" si="86"/>
        <v>0</v>
      </c>
      <c r="BR140" s="205">
        <f t="shared" si="86"/>
        <v>0</v>
      </c>
      <c r="BS140" s="238">
        <f t="shared" si="68"/>
        <v>0</v>
      </c>
      <c r="BT140" s="218">
        <f t="shared" si="69"/>
        <v>0</v>
      </c>
      <c r="BU140" s="149"/>
      <c r="BV140" s="149"/>
      <c r="BW140" s="149"/>
      <c r="BX140" s="149"/>
      <c r="BY140" s="149"/>
      <c r="BZ140" s="149"/>
      <c r="CA140" s="149"/>
      <c r="CB140" s="149"/>
      <c r="CC140" s="149"/>
      <c r="CD140" s="149"/>
      <c r="CE140" s="149"/>
      <c r="CF140" s="149"/>
      <c r="CG140" s="238">
        <f t="shared" si="70"/>
        <v>1</v>
      </c>
      <c r="CH140" s="218">
        <f t="shared" si="71"/>
        <v>20000000</v>
      </c>
      <c r="CI140" s="205">
        <f t="shared" si="83"/>
        <v>0</v>
      </c>
      <c r="CJ140" s="205">
        <f t="shared" si="84"/>
        <v>0</v>
      </c>
      <c r="CK140" s="205">
        <f t="shared" si="85"/>
        <v>20000000</v>
      </c>
      <c r="CL140" s="205">
        <f t="shared" si="82"/>
        <v>0</v>
      </c>
      <c r="CM140" s="205">
        <f t="shared" si="82"/>
        <v>0</v>
      </c>
      <c r="CN140" s="205">
        <f t="shared" si="82"/>
        <v>0</v>
      </c>
      <c r="CO140" s="205">
        <f t="shared" si="82"/>
        <v>0</v>
      </c>
      <c r="CP140" s="205">
        <f t="shared" si="82"/>
        <v>0</v>
      </c>
      <c r="CQ140" s="205">
        <f t="shared" si="82"/>
        <v>0</v>
      </c>
      <c r="CR140" s="205">
        <f t="shared" si="82"/>
        <v>0</v>
      </c>
      <c r="CS140" s="205">
        <f t="shared" si="82"/>
        <v>0</v>
      </c>
      <c r="CT140" s="205">
        <f t="shared" si="82"/>
        <v>0</v>
      </c>
    </row>
    <row r="141" spans="1:98" ht="68.25" customHeight="1" x14ac:dyDescent="0.25">
      <c r="A141" s="1209"/>
      <c r="B141" s="1209"/>
      <c r="C141" s="1204"/>
      <c r="D141" s="1204"/>
      <c r="E141" s="708"/>
      <c r="F141" s="708"/>
      <c r="G141" s="735"/>
      <c r="H141" s="735"/>
      <c r="I141" s="710"/>
      <c r="J141" s="708"/>
      <c r="K141" s="708"/>
      <c r="L141" s="718"/>
      <c r="M141" s="102"/>
      <c r="N141" s="2" t="s">
        <v>3963</v>
      </c>
      <c r="O141" s="171" t="s">
        <v>3981</v>
      </c>
      <c r="P141" s="172"/>
      <c r="Q141" s="172"/>
      <c r="R141" s="561">
        <v>211</v>
      </c>
      <c r="S141" s="232"/>
      <c r="T141" s="730" t="s">
        <v>4089</v>
      </c>
      <c r="U141" s="149">
        <f t="shared" si="81"/>
        <v>12000000</v>
      </c>
      <c r="V141" s="149"/>
      <c r="W141" s="149">
        <v>12000000</v>
      </c>
      <c r="X141" s="149"/>
      <c r="Y141" s="149"/>
      <c r="Z141" s="149"/>
      <c r="AA141" s="149"/>
      <c r="AB141" s="149"/>
      <c r="AC141" s="149"/>
      <c r="AD141" s="149"/>
      <c r="AE141" s="149"/>
      <c r="AF141" s="149"/>
      <c r="AG141" s="149"/>
      <c r="AH141" s="203"/>
      <c r="AI141" s="204"/>
      <c r="AJ141" s="244"/>
      <c r="AK141" s="147"/>
      <c r="AL141" s="147"/>
      <c r="AM141" s="147"/>
      <c r="AN141" s="147"/>
      <c r="AO141" s="147"/>
      <c r="AP141" s="213"/>
      <c r="AQ141" s="238">
        <f t="shared" si="62"/>
        <v>0</v>
      </c>
      <c r="AR141" s="218">
        <f t="shared" si="80"/>
        <v>0</v>
      </c>
      <c r="AS141" s="149"/>
      <c r="AT141" s="149"/>
      <c r="AU141" s="149"/>
      <c r="AV141" s="149"/>
      <c r="AW141" s="149"/>
      <c r="AX141" s="149"/>
      <c r="AY141" s="149"/>
      <c r="AZ141" s="149"/>
      <c r="BA141" s="149"/>
      <c r="BB141" s="149"/>
      <c r="BC141" s="149"/>
      <c r="BD141" s="149"/>
      <c r="BE141" s="238">
        <f t="shared" si="66"/>
        <v>1</v>
      </c>
      <c r="BF141" s="218">
        <f t="shared" si="67"/>
        <v>12000000</v>
      </c>
      <c r="BG141" s="205">
        <f t="shared" si="79"/>
        <v>0</v>
      </c>
      <c r="BH141" s="205">
        <f t="shared" si="79"/>
        <v>12000000</v>
      </c>
      <c r="BI141" s="205">
        <f t="shared" si="79"/>
        <v>0</v>
      </c>
      <c r="BJ141" s="205">
        <f t="shared" si="79"/>
        <v>0</v>
      </c>
      <c r="BK141" s="205">
        <f t="shared" si="79"/>
        <v>0</v>
      </c>
      <c r="BL141" s="205">
        <f t="shared" si="79"/>
        <v>0</v>
      </c>
      <c r="BM141" s="205">
        <f t="shared" si="86"/>
        <v>0</v>
      </c>
      <c r="BN141" s="205">
        <f t="shared" si="86"/>
        <v>0</v>
      </c>
      <c r="BO141" s="205">
        <f t="shared" si="86"/>
        <v>0</v>
      </c>
      <c r="BP141" s="205">
        <f t="shared" si="86"/>
        <v>0</v>
      </c>
      <c r="BQ141" s="205">
        <f t="shared" si="86"/>
        <v>0</v>
      </c>
      <c r="BR141" s="205">
        <f t="shared" si="86"/>
        <v>0</v>
      </c>
      <c r="BS141" s="238">
        <f t="shared" si="68"/>
        <v>0</v>
      </c>
      <c r="BT141" s="218">
        <f t="shared" si="69"/>
        <v>0</v>
      </c>
      <c r="BU141" s="149"/>
      <c r="BV141" s="149"/>
      <c r="BW141" s="149"/>
      <c r="BX141" s="149"/>
      <c r="BY141" s="149"/>
      <c r="BZ141" s="149"/>
      <c r="CA141" s="149"/>
      <c r="CB141" s="149"/>
      <c r="CC141" s="149"/>
      <c r="CD141" s="149"/>
      <c r="CE141" s="149"/>
      <c r="CF141" s="149"/>
      <c r="CG141" s="238">
        <f t="shared" si="70"/>
        <v>1</v>
      </c>
      <c r="CH141" s="218">
        <f t="shared" si="71"/>
        <v>12000000</v>
      </c>
      <c r="CI141" s="205">
        <f t="shared" si="83"/>
        <v>0</v>
      </c>
      <c r="CJ141" s="205">
        <f t="shared" si="84"/>
        <v>12000000</v>
      </c>
      <c r="CK141" s="205">
        <f t="shared" si="85"/>
        <v>0</v>
      </c>
      <c r="CL141" s="205">
        <f t="shared" si="82"/>
        <v>0</v>
      </c>
      <c r="CM141" s="205">
        <f t="shared" si="82"/>
        <v>0</v>
      </c>
      <c r="CN141" s="205">
        <f t="shared" si="82"/>
        <v>0</v>
      </c>
      <c r="CO141" s="205">
        <f t="shared" si="82"/>
        <v>0</v>
      </c>
      <c r="CP141" s="205">
        <f t="shared" si="82"/>
        <v>0</v>
      </c>
      <c r="CQ141" s="205">
        <f t="shared" si="82"/>
        <v>0</v>
      </c>
      <c r="CR141" s="205">
        <f t="shared" si="82"/>
        <v>0</v>
      </c>
      <c r="CS141" s="205">
        <f t="shared" si="82"/>
        <v>0</v>
      </c>
      <c r="CT141" s="205">
        <f t="shared" si="82"/>
        <v>0</v>
      </c>
    </row>
    <row r="142" spans="1:98" ht="99" customHeight="1" x14ac:dyDescent="0.25">
      <c r="A142" s="1209"/>
      <c r="B142" s="1209"/>
      <c r="C142" s="1204"/>
      <c r="D142" s="1204"/>
      <c r="E142" s="708"/>
      <c r="F142" s="708"/>
      <c r="G142" s="735"/>
      <c r="H142" s="735"/>
      <c r="I142" s="710"/>
      <c r="J142" s="708"/>
      <c r="K142" s="708"/>
      <c r="L142" s="718"/>
      <c r="M142" s="102"/>
      <c r="N142" s="2" t="s">
        <v>3972</v>
      </c>
      <c r="O142" s="171" t="s">
        <v>3995</v>
      </c>
      <c r="P142" s="172"/>
      <c r="Q142" s="172"/>
      <c r="R142" s="561">
        <v>211</v>
      </c>
      <c r="S142" s="232"/>
      <c r="T142" s="730" t="s">
        <v>3875</v>
      </c>
      <c r="U142" s="149">
        <f t="shared" si="81"/>
        <v>10000000</v>
      </c>
      <c r="V142" s="149"/>
      <c r="W142" s="149">
        <v>10000000</v>
      </c>
      <c r="X142" s="149"/>
      <c r="Y142" s="149"/>
      <c r="Z142" s="149"/>
      <c r="AA142" s="149"/>
      <c r="AB142" s="149"/>
      <c r="AC142" s="149"/>
      <c r="AD142" s="149"/>
      <c r="AE142" s="149"/>
      <c r="AF142" s="149"/>
      <c r="AG142" s="149"/>
      <c r="AH142" s="203"/>
      <c r="AI142" s="204"/>
      <c r="AJ142" s="244"/>
      <c r="AK142" s="147"/>
      <c r="AL142" s="147"/>
      <c r="AM142" s="147"/>
      <c r="AN142" s="147"/>
      <c r="AO142" s="147"/>
      <c r="AP142" s="213"/>
      <c r="AQ142" s="238">
        <f t="shared" si="62"/>
        <v>0</v>
      </c>
      <c r="AR142" s="218">
        <f t="shared" si="80"/>
        <v>0</v>
      </c>
      <c r="AS142" s="149"/>
      <c r="AT142" s="149"/>
      <c r="AU142" s="149"/>
      <c r="AV142" s="149"/>
      <c r="AW142" s="149"/>
      <c r="AX142" s="149"/>
      <c r="AY142" s="149"/>
      <c r="AZ142" s="149"/>
      <c r="BA142" s="149"/>
      <c r="BB142" s="149"/>
      <c r="BC142" s="149"/>
      <c r="BD142" s="149"/>
      <c r="BE142" s="238">
        <f t="shared" si="66"/>
        <v>1</v>
      </c>
      <c r="BF142" s="218">
        <f t="shared" si="67"/>
        <v>10000000</v>
      </c>
      <c r="BG142" s="205">
        <f t="shared" si="79"/>
        <v>0</v>
      </c>
      <c r="BH142" s="205">
        <f t="shared" si="79"/>
        <v>10000000</v>
      </c>
      <c r="BI142" s="205">
        <f t="shared" si="79"/>
        <v>0</v>
      </c>
      <c r="BJ142" s="205">
        <f t="shared" si="79"/>
        <v>0</v>
      </c>
      <c r="BK142" s="205">
        <f t="shared" si="79"/>
        <v>0</v>
      </c>
      <c r="BL142" s="205">
        <f t="shared" si="79"/>
        <v>0</v>
      </c>
      <c r="BM142" s="205">
        <f t="shared" si="86"/>
        <v>0</v>
      </c>
      <c r="BN142" s="205">
        <f t="shared" si="86"/>
        <v>0</v>
      </c>
      <c r="BO142" s="205">
        <f t="shared" si="86"/>
        <v>0</v>
      </c>
      <c r="BP142" s="205">
        <f t="shared" si="86"/>
        <v>0</v>
      </c>
      <c r="BQ142" s="205">
        <f t="shared" si="86"/>
        <v>0</v>
      </c>
      <c r="BR142" s="205">
        <f t="shared" si="86"/>
        <v>0</v>
      </c>
      <c r="BS142" s="238">
        <f t="shared" si="68"/>
        <v>0</v>
      </c>
      <c r="BT142" s="218">
        <f t="shared" si="69"/>
        <v>0</v>
      </c>
      <c r="BU142" s="149"/>
      <c r="BV142" s="149"/>
      <c r="BW142" s="149"/>
      <c r="BX142" s="149"/>
      <c r="BY142" s="149"/>
      <c r="BZ142" s="149"/>
      <c r="CA142" s="149"/>
      <c r="CB142" s="149"/>
      <c r="CC142" s="149"/>
      <c r="CD142" s="149"/>
      <c r="CE142" s="149"/>
      <c r="CF142" s="149"/>
      <c r="CG142" s="238">
        <f t="shared" si="70"/>
        <v>1</v>
      </c>
      <c r="CH142" s="218">
        <f t="shared" si="71"/>
        <v>10000000</v>
      </c>
      <c r="CI142" s="205">
        <f t="shared" si="83"/>
        <v>0</v>
      </c>
      <c r="CJ142" s="205">
        <f t="shared" si="84"/>
        <v>10000000</v>
      </c>
      <c r="CK142" s="205">
        <f t="shared" si="85"/>
        <v>0</v>
      </c>
      <c r="CL142" s="205">
        <f t="shared" si="82"/>
        <v>0</v>
      </c>
      <c r="CM142" s="205">
        <f t="shared" si="82"/>
        <v>0</v>
      </c>
      <c r="CN142" s="205">
        <f t="shared" si="82"/>
        <v>0</v>
      </c>
      <c r="CO142" s="205">
        <f t="shared" si="82"/>
        <v>0</v>
      </c>
      <c r="CP142" s="205">
        <f t="shared" si="82"/>
        <v>0</v>
      </c>
      <c r="CQ142" s="205">
        <f t="shared" si="82"/>
        <v>0</v>
      </c>
      <c r="CR142" s="205">
        <f t="shared" si="82"/>
        <v>0</v>
      </c>
      <c r="CS142" s="205">
        <f t="shared" si="82"/>
        <v>0</v>
      </c>
      <c r="CT142" s="205">
        <f t="shared" si="82"/>
        <v>0</v>
      </c>
    </row>
    <row r="143" spans="1:98" ht="76.5" x14ac:dyDescent="0.25">
      <c r="A143" s="1209"/>
      <c r="B143" s="1209"/>
      <c r="C143" s="1204"/>
      <c r="D143" s="1204"/>
      <c r="E143" s="708"/>
      <c r="F143" s="708"/>
      <c r="G143" s="735"/>
      <c r="H143" s="735"/>
      <c r="I143" s="710"/>
      <c r="J143" s="708"/>
      <c r="K143" s="708"/>
      <c r="L143" s="718"/>
      <c r="M143" s="102"/>
      <c r="N143" s="2" t="s">
        <v>3973</v>
      </c>
      <c r="O143" s="171" t="s">
        <v>3992</v>
      </c>
      <c r="P143" s="172"/>
      <c r="Q143" s="172"/>
      <c r="R143" s="561">
        <v>211</v>
      </c>
      <c r="S143" s="232"/>
      <c r="T143" s="730" t="s">
        <v>3878</v>
      </c>
      <c r="U143" s="149">
        <f t="shared" si="81"/>
        <v>5000000</v>
      </c>
      <c r="V143" s="149"/>
      <c r="W143" s="149">
        <v>5000000</v>
      </c>
      <c r="X143" s="149"/>
      <c r="Y143" s="149"/>
      <c r="Z143" s="149"/>
      <c r="AA143" s="149"/>
      <c r="AB143" s="149"/>
      <c r="AC143" s="149"/>
      <c r="AD143" s="149"/>
      <c r="AE143" s="149"/>
      <c r="AF143" s="149"/>
      <c r="AG143" s="149"/>
      <c r="AH143" s="203"/>
      <c r="AI143" s="204"/>
      <c r="AJ143" s="244"/>
      <c r="AK143" s="147"/>
      <c r="AL143" s="147"/>
      <c r="AM143" s="147"/>
      <c r="AN143" s="147"/>
      <c r="AO143" s="147"/>
      <c r="AP143" s="213"/>
      <c r="AQ143" s="238">
        <f t="shared" si="62"/>
        <v>0</v>
      </c>
      <c r="AR143" s="218">
        <f t="shared" si="80"/>
        <v>0</v>
      </c>
      <c r="AS143" s="149"/>
      <c r="AT143" s="149"/>
      <c r="AU143" s="149"/>
      <c r="AV143" s="149"/>
      <c r="AW143" s="149"/>
      <c r="AX143" s="149"/>
      <c r="AY143" s="149"/>
      <c r="AZ143" s="149"/>
      <c r="BA143" s="149"/>
      <c r="BB143" s="149"/>
      <c r="BC143" s="149"/>
      <c r="BD143" s="149"/>
      <c r="BE143" s="238">
        <f t="shared" si="66"/>
        <v>1</v>
      </c>
      <c r="BF143" s="218">
        <f t="shared" si="67"/>
        <v>5000000</v>
      </c>
      <c r="BG143" s="205">
        <f t="shared" si="79"/>
        <v>0</v>
      </c>
      <c r="BH143" s="205">
        <f t="shared" si="79"/>
        <v>5000000</v>
      </c>
      <c r="BI143" s="205">
        <f t="shared" si="79"/>
        <v>0</v>
      </c>
      <c r="BJ143" s="205">
        <f t="shared" si="79"/>
        <v>0</v>
      </c>
      <c r="BK143" s="205">
        <f t="shared" si="79"/>
        <v>0</v>
      </c>
      <c r="BL143" s="205">
        <f t="shared" si="79"/>
        <v>0</v>
      </c>
      <c r="BM143" s="205">
        <f t="shared" si="86"/>
        <v>0</v>
      </c>
      <c r="BN143" s="205">
        <f t="shared" si="86"/>
        <v>0</v>
      </c>
      <c r="BO143" s="205">
        <f t="shared" si="86"/>
        <v>0</v>
      </c>
      <c r="BP143" s="205">
        <f t="shared" si="86"/>
        <v>0</v>
      </c>
      <c r="BQ143" s="205">
        <f t="shared" si="86"/>
        <v>0</v>
      </c>
      <c r="BR143" s="205">
        <f t="shared" si="86"/>
        <v>0</v>
      </c>
      <c r="BS143" s="238">
        <f t="shared" si="68"/>
        <v>0</v>
      </c>
      <c r="BT143" s="218">
        <f t="shared" si="69"/>
        <v>0</v>
      </c>
      <c r="BU143" s="149"/>
      <c r="BV143" s="149"/>
      <c r="BW143" s="149"/>
      <c r="BX143" s="149"/>
      <c r="BY143" s="149"/>
      <c r="BZ143" s="149"/>
      <c r="CA143" s="149"/>
      <c r="CB143" s="149"/>
      <c r="CC143" s="149"/>
      <c r="CD143" s="149"/>
      <c r="CE143" s="149"/>
      <c r="CF143" s="149"/>
      <c r="CG143" s="238">
        <f t="shared" si="70"/>
        <v>1</v>
      </c>
      <c r="CH143" s="218">
        <f t="shared" si="71"/>
        <v>5000000</v>
      </c>
      <c r="CI143" s="205">
        <f t="shared" si="83"/>
        <v>0</v>
      </c>
      <c r="CJ143" s="205">
        <f t="shared" si="84"/>
        <v>5000000</v>
      </c>
      <c r="CK143" s="205">
        <f t="shared" si="85"/>
        <v>0</v>
      </c>
      <c r="CL143" s="205">
        <f t="shared" si="82"/>
        <v>0</v>
      </c>
      <c r="CM143" s="205">
        <f t="shared" si="82"/>
        <v>0</v>
      </c>
      <c r="CN143" s="205">
        <f t="shared" si="82"/>
        <v>0</v>
      </c>
      <c r="CO143" s="205">
        <f t="shared" si="82"/>
        <v>0</v>
      </c>
      <c r="CP143" s="205">
        <f t="shared" si="82"/>
        <v>0</v>
      </c>
      <c r="CQ143" s="205">
        <f t="shared" si="82"/>
        <v>0</v>
      </c>
      <c r="CR143" s="205">
        <f t="shared" si="82"/>
        <v>0</v>
      </c>
      <c r="CS143" s="205">
        <f t="shared" si="82"/>
        <v>0</v>
      </c>
      <c r="CT143" s="205">
        <f t="shared" si="82"/>
        <v>0</v>
      </c>
    </row>
    <row r="144" spans="1:98" ht="63.75" x14ac:dyDescent="0.25">
      <c r="A144" s="1209"/>
      <c r="B144" s="1209"/>
      <c r="C144" s="1204"/>
      <c r="D144" s="1204"/>
      <c r="E144" s="708"/>
      <c r="F144" s="708"/>
      <c r="G144" s="735"/>
      <c r="H144" s="735"/>
      <c r="I144" s="710"/>
      <c r="J144" s="708"/>
      <c r="K144" s="708"/>
      <c r="L144" s="718"/>
      <c r="M144" s="102"/>
      <c r="N144" s="2" t="s">
        <v>3974</v>
      </c>
      <c r="O144" s="171" t="s">
        <v>3975</v>
      </c>
      <c r="P144" s="172"/>
      <c r="Q144" s="172"/>
      <c r="R144" s="561">
        <v>211</v>
      </c>
      <c r="S144" s="232"/>
      <c r="T144" s="730" t="s">
        <v>3349</v>
      </c>
      <c r="U144" s="149">
        <f t="shared" si="81"/>
        <v>5000000</v>
      </c>
      <c r="V144" s="149"/>
      <c r="W144" s="149">
        <v>5000000</v>
      </c>
      <c r="X144" s="149"/>
      <c r="Y144" s="149"/>
      <c r="Z144" s="149"/>
      <c r="AA144" s="149"/>
      <c r="AB144" s="149"/>
      <c r="AC144" s="149"/>
      <c r="AD144" s="149"/>
      <c r="AE144" s="149"/>
      <c r="AF144" s="149"/>
      <c r="AG144" s="149"/>
      <c r="AH144" s="203"/>
      <c r="AI144" s="204"/>
      <c r="AJ144" s="244"/>
      <c r="AK144" s="147"/>
      <c r="AL144" s="147"/>
      <c r="AM144" s="147"/>
      <c r="AN144" s="147"/>
      <c r="AO144" s="147"/>
      <c r="AP144" s="213"/>
      <c r="AQ144" s="238">
        <f t="shared" si="62"/>
        <v>0</v>
      </c>
      <c r="AR144" s="218">
        <f t="shared" si="80"/>
        <v>0</v>
      </c>
      <c r="AS144" s="149"/>
      <c r="AT144" s="149"/>
      <c r="AU144" s="149"/>
      <c r="AV144" s="149"/>
      <c r="AW144" s="149"/>
      <c r="AX144" s="149"/>
      <c r="AY144" s="149"/>
      <c r="AZ144" s="149"/>
      <c r="BA144" s="149"/>
      <c r="BB144" s="149"/>
      <c r="BC144" s="149"/>
      <c r="BD144" s="149"/>
      <c r="BE144" s="238">
        <f t="shared" si="66"/>
        <v>1</v>
      </c>
      <c r="BF144" s="218">
        <f t="shared" si="67"/>
        <v>5000000</v>
      </c>
      <c r="BG144" s="205">
        <f t="shared" si="79"/>
        <v>0</v>
      </c>
      <c r="BH144" s="205">
        <f t="shared" si="79"/>
        <v>5000000</v>
      </c>
      <c r="BI144" s="205">
        <f t="shared" si="79"/>
        <v>0</v>
      </c>
      <c r="BJ144" s="205">
        <f t="shared" si="79"/>
        <v>0</v>
      </c>
      <c r="BK144" s="205">
        <f t="shared" si="79"/>
        <v>0</v>
      </c>
      <c r="BL144" s="205">
        <f t="shared" si="79"/>
        <v>0</v>
      </c>
      <c r="BM144" s="205">
        <f t="shared" si="86"/>
        <v>0</v>
      </c>
      <c r="BN144" s="205">
        <f t="shared" si="86"/>
        <v>0</v>
      </c>
      <c r="BO144" s="205">
        <f t="shared" si="86"/>
        <v>0</v>
      </c>
      <c r="BP144" s="205">
        <f t="shared" si="86"/>
        <v>0</v>
      </c>
      <c r="BQ144" s="205">
        <f t="shared" si="86"/>
        <v>0</v>
      </c>
      <c r="BR144" s="205">
        <f t="shared" si="86"/>
        <v>0</v>
      </c>
      <c r="BS144" s="238">
        <f t="shared" si="68"/>
        <v>0</v>
      </c>
      <c r="BT144" s="218">
        <f t="shared" si="69"/>
        <v>0</v>
      </c>
      <c r="BU144" s="149"/>
      <c r="BV144" s="149"/>
      <c r="BW144" s="149"/>
      <c r="BX144" s="149"/>
      <c r="BY144" s="149"/>
      <c r="BZ144" s="149"/>
      <c r="CA144" s="149"/>
      <c r="CB144" s="149"/>
      <c r="CC144" s="149"/>
      <c r="CD144" s="149"/>
      <c r="CE144" s="149"/>
      <c r="CF144" s="149"/>
      <c r="CG144" s="238">
        <f t="shared" si="70"/>
        <v>1</v>
      </c>
      <c r="CH144" s="218">
        <f t="shared" si="71"/>
        <v>5000000</v>
      </c>
      <c r="CI144" s="205">
        <f t="shared" si="83"/>
        <v>0</v>
      </c>
      <c r="CJ144" s="205">
        <f t="shared" si="84"/>
        <v>5000000</v>
      </c>
      <c r="CK144" s="205">
        <f t="shared" si="85"/>
        <v>0</v>
      </c>
      <c r="CL144" s="205">
        <f t="shared" si="82"/>
        <v>0</v>
      </c>
      <c r="CM144" s="205">
        <f t="shared" si="82"/>
        <v>0</v>
      </c>
      <c r="CN144" s="205">
        <f t="shared" si="82"/>
        <v>0</v>
      </c>
      <c r="CO144" s="205">
        <f t="shared" si="82"/>
        <v>0</v>
      </c>
      <c r="CP144" s="205">
        <f t="shared" si="82"/>
        <v>0</v>
      </c>
      <c r="CQ144" s="205">
        <f t="shared" si="82"/>
        <v>0</v>
      </c>
      <c r="CR144" s="205">
        <f t="shared" si="82"/>
        <v>0</v>
      </c>
      <c r="CS144" s="205">
        <f t="shared" si="82"/>
        <v>0</v>
      </c>
      <c r="CT144" s="205">
        <f t="shared" si="82"/>
        <v>0</v>
      </c>
    </row>
    <row r="145" spans="1:98" ht="43.15" customHeight="1" x14ac:dyDescent="0.25">
      <c r="A145" s="1209"/>
      <c r="B145" s="1209"/>
      <c r="C145" s="1210"/>
      <c r="D145" s="1210"/>
      <c r="E145" s="709" t="s">
        <v>3076</v>
      </c>
      <c r="F145" s="131" t="s">
        <v>237</v>
      </c>
      <c r="G145" s="728">
        <v>10000000</v>
      </c>
      <c r="H145" s="728">
        <v>90000000</v>
      </c>
      <c r="I145" s="728">
        <v>90000000</v>
      </c>
      <c r="J145" s="709" t="s">
        <v>3077</v>
      </c>
      <c r="K145" s="131" t="s">
        <v>3258</v>
      </c>
      <c r="L145" s="719">
        <v>1</v>
      </c>
      <c r="M145" s="116">
        <v>0</v>
      </c>
      <c r="N145" s="714" t="s">
        <v>3996</v>
      </c>
      <c r="O145" s="171" t="s">
        <v>237</v>
      </c>
      <c r="P145" s="172">
        <v>90000000</v>
      </c>
      <c r="Q145" s="172">
        <v>1000000000</v>
      </c>
      <c r="R145" s="561">
        <v>111</v>
      </c>
      <c r="S145" s="232">
        <f>+Q145-U145</f>
        <v>1000000000</v>
      </c>
      <c r="T145" s="740" t="s">
        <v>3348</v>
      </c>
      <c r="U145" s="149">
        <f>SUM(V145:AG145)</f>
        <v>0</v>
      </c>
      <c r="V145" s="149"/>
      <c r="W145" s="149"/>
      <c r="X145" s="149"/>
      <c r="Y145" s="149"/>
      <c r="Z145" s="149"/>
      <c r="AA145" s="149"/>
      <c r="AB145" s="149"/>
      <c r="AC145" s="149"/>
      <c r="AD145" s="149"/>
      <c r="AE145" s="149"/>
      <c r="AF145" s="149"/>
      <c r="AG145" s="149"/>
      <c r="AI145" s="739">
        <f>SUM(AJ145:AP145)</f>
        <v>0</v>
      </c>
      <c r="AJ145" s="728"/>
      <c r="AK145" s="728"/>
      <c r="AL145" s="728"/>
      <c r="AM145" s="728"/>
      <c r="AN145" s="728"/>
      <c r="AO145" s="728"/>
      <c r="AP145" s="212"/>
      <c r="AQ145" s="238" t="e">
        <f t="shared" si="62"/>
        <v>#DIV/0!</v>
      </c>
      <c r="AR145" s="218">
        <f t="shared" si="80"/>
        <v>0</v>
      </c>
      <c r="AS145" s="149"/>
      <c r="AT145" s="149"/>
      <c r="AU145" s="149"/>
      <c r="AV145" s="149"/>
      <c r="AW145" s="149"/>
      <c r="AX145" s="149"/>
      <c r="AY145" s="149"/>
      <c r="AZ145" s="149"/>
      <c r="BA145" s="149"/>
      <c r="BB145" s="149"/>
      <c r="BC145" s="149"/>
      <c r="BD145" s="149"/>
      <c r="BE145" s="238" t="e">
        <f t="shared" si="66"/>
        <v>#DIV/0!</v>
      </c>
      <c r="BF145" s="218">
        <f t="shared" si="67"/>
        <v>0</v>
      </c>
      <c r="BG145" s="205">
        <f t="shared" si="79"/>
        <v>0</v>
      </c>
      <c r="BH145" s="205">
        <f t="shared" si="79"/>
        <v>0</v>
      </c>
      <c r="BI145" s="205">
        <f t="shared" si="79"/>
        <v>0</v>
      </c>
      <c r="BJ145" s="205">
        <f t="shared" si="79"/>
        <v>0</v>
      </c>
      <c r="BK145" s="205">
        <f t="shared" si="79"/>
        <v>0</v>
      </c>
      <c r="BL145" s="205">
        <f t="shared" si="79"/>
        <v>0</v>
      </c>
      <c r="BM145" s="205">
        <f t="shared" si="86"/>
        <v>0</v>
      </c>
      <c r="BN145" s="205">
        <f t="shared" si="86"/>
        <v>0</v>
      </c>
      <c r="BO145" s="205">
        <f t="shared" si="86"/>
        <v>0</v>
      </c>
      <c r="BP145" s="205">
        <f t="shared" si="86"/>
        <v>0</v>
      </c>
      <c r="BQ145" s="205">
        <f t="shared" si="86"/>
        <v>0</v>
      </c>
      <c r="BR145" s="205">
        <f t="shared" si="86"/>
        <v>0</v>
      </c>
      <c r="BS145" s="238" t="e">
        <f t="shared" si="68"/>
        <v>#DIV/0!</v>
      </c>
      <c r="BT145" s="218">
        <f t="shared" si="69"/>
        <v>0</v>
      </c>
      <c r="BU145" s="149"/>
      <c r="BV145" s="149"/>
      <c r="BW145" s="149"/>
      <c r="BX145" s="149"/>
      <c r="BY145" s="149"/>
      <c r="BZ145" s="149"/>
      <c r="CA145" s="149"/>
      <c r="CB145" s="149"/>
      <c r="CC145" s="149"/>
      <c r="CD145" s="149"/>
      <c r="CE145" s="149"/>
      <c r="CF145" s="149"/>
      <c r="CG145" s="238" t="e">
        <f t="shared" si="70"/>
        <v>#DIV/0!</v>
      </c>
      <c r="CH145" s="218">
        <f t="shared" si="71"/>
        <v>0</v>
      </c>
      <c r="CI145" s="205">
        <f t="shared" si="83"/>
        <v>0</v>
      </c>
      <c r="CJ145" s="205">
        <f t="shared" si="84"/>
        <v>0</v>
      </c>
      <c r="CK145" s="205">
        <f t="shared" si="85"/>
        <v>0</v>
      </c>
      <c r="CL145" s="205">
        <f>+Y145-BX145</f>
        <v>0</v>
      </c>
      <c r="CM145" s="205">
        <f>+Z145-BY145</f>
        <v>0</v>
      </c>
      <c r="CN145" s="205">
        <f>+AA145-BZ145</f>
        <v>0</v>
      </c>
      <c r="CO145" s="205">
        <f>+AB145-CA145</f>
        <v>0</v>
      </c>
      <c r="CP145" s="205">
        <f>+AC145-CB145</f>
        <v>0</v>
      </c>
      <c r="CQ145" s="205">
        <f t="shared" si="82"/>
        <v>0</v>
      </c>
      <c r="CR145" s="205">
        <f t="shared" si="82"/>
        <v>0</v>
      </c>
      <c r="CS145" s="205">
        <f t="shared" si="82"/>
        <v>0</v>
      </c>
      <c r="CT145" s="205">
        <f t="shared" si="82"/>
        <v>0</v>
      </c>
    </row>
    <row r="146" spans="1:98" ht="31.5" customHeight="1" x14ac:dyDescent="0.25">
      <c r="A146" s="1209" t="s">
        <v>3408</v>
      </c>
      <c r="B146" s="1209"/>
      <c r="C146" s="1209"/>
      <c r="D146" s="1209"/>
      <c r="E146" s="1209"/>
      <c r="F146" s="1209"/>
      <c r="G146" s="728">
        <f>SUM(G88:G145)</f>
        <v>7265000000</v>
      </c>
      <c r="H146" s="728">
        <f>SUM(H88:H145)</f>
        <v>7025000000</v>
      </c>
      <c r="I146" s="728">
        <f>SUM(I88:I145)</f>
        <v>7125000000</v>
      </c>
      <c r="J146" s="1207"/>
      <c r="K146" s="1208"/>
      <c r="L146" s="1208"/>
      <c r="M146" s="1217"/>
      <c r="N146" s="1209" t="s">
        <v>3408</v>
      </c>
      <c r="O146" s="1209"/>
      <c r="P146" s="1209"/>
      <c r="Q146" s="1209"/>
      <c r="R146" s="1209"/>
      <c r="S146" s="1209"/>
      <c r="T146" s="1209"/>
      <c r="U146" s="149" t="e">
        <f>SUM(U88:U145)</f>
        <v>#REF!</v>
      </c>
      <c r="V146" s="149">
        <f t="shared" ref="V146:AG146" si="87">SUM(V88:V145)</f>
        <v>40000000</v>
      </c>
      <c r="W146" s="149" t="e">
        <f t="shared" si="87"/>
        <v>#REF!</v>
      </c>
      <c r="X146" s="149" t="e">
        <f t="shared" si="87"/>
        <v>#REF!</v>
      </c>
      <c r="Y146" s="149">
        <f t="shared" si="87"/>
        <v>73270400</v>
      </c>
      <c r="Z146" s="149">
        <f t="shared" si="87"/>
        <v>20000000</v>
      </c>
      <c r="AA146" s="149">
        <f t="shared" si="87"/>
        <v>47000740</v>
      </c>
      <c r="AB146" s="149" t="e">
        <f t="shared" si="87"/>
        <v>#REF!</v>
      </c>
      <c r="AC146" s="149">
        <f t="shared" si="87"/>
        <v>0</v>
      </c>
      <c r="AD146" s="149" t="e">
        <f t="shared" si="87"/>
        <v>#REF!</v>
      </c>
      <c r="AE146" s="149">
        <f t="shared" si="87"/>
        <v>0</v>
      </c>
      <c r="AF146" s="149">
        <f t="shared" si="87"/>
        <v>0</v>
      </c>
      <c r="AG146" s="149">
        <f t="shared" si="87"/>
        <v>0</v>
      </c>
      <c r="AI146" s="149">
        <f t="shared" ref="AI146:AP146" si="88">SUM(AI88:AI145)</f>
        <v>153196662</v>
      </c>
      <c r="AJ146" s="149">
        <f t="shared" si="88"/>
        <v>21314467</v>
      </c>
      <c r="AK146" s="149">
        <f t="shared" si="88"/>
        <v>0</v>
      </c>
      <c r="AL146" s="149">
        <f t="shared" si="88"/>
        <v>0</v>
      </c>
      <c r="AM146" s="149">
        <f t="shared" si="88"/>
        <v>131882195</v>
      </c>
      <c r="AN146" s="149">
        <f t="shared" si="88"/>
        <v>0</v>
      </c>
      <c r="AO146" s="149">
        <f t="shared" si="88"/>
        <v>0</v>
      </c>
      <c r="AP146" s="149">
        <f t="shared" si="88"/>
        <v>0</v>
      </c>
      <c r="AQ146" s="238" t="e">
        <f t="shared" si="62"/>
        <v>#REF!</v>
      </c>
      <c r="AR146" s="149" t="e">
        <f t="shared" ref="AR146:BD146" si="89">SUM(AR88:AR145)</f>
        <v>#REF!</v>
      </c>
      <c r="AS146" s="149">
        <f t="shared" si="89"/>
        <v>29245683</v>
      </c>
      <c r="AT146" s="149" t="e">
        <f t="shared" si="89"/>
        <v>#REF!</v>
      </c>
      <c r="AU146" s="149">
        <f t="shared" si="89"/>
        <v>642607943</v>
      </c>
      <c r="AV146" s="149">
        <f t="shared" si="89"/>
        <v>0</v>
      </c>
      <c r="AW146" s="149">
        <f t="shared" si="89"/>
        <v>0</v>
      </c>
      <c r="AX146" s="149">
        <f t="shared" si="89"/>
        <v>0</v>
      </c>
      <c r="AY146" s="149">
        <f t="shared" si="89"/>
        <v>1000000000</v>
      </c>
      <c r="AZ146" s="149">
        <f t="shared" si="89"/>
        <v>0</v>
      </c>
      <c r="BA146" s="149" t="e">
        <f t="shared" si="89"/>
        <v>#REF!</v>
      </c>
      <c r="BB146" s="149">
        <f t="shared" si="89"/>
        <v>0</v>
      </c>
      <c r="BC146" s="149">
        <f t="shared" si="89"/>
        <v>0</v>
      </c>
      <c r="BD146" s="149">
        <f t="shared" si="89"/>
        <v>0</v>
      </c>
      <c r="BE146" s="238" t="e">
        <f>1-AQ146</f>
        <v>#REF!</v>
      </c>
      <c r="BF146" s="149" t="e">
        <f t="shared" ref="BF146:BR146" si="90">SUM(BF88:BF145)</f>
        <v>#REF!</v>
      </c>
      <c r="BG146" s="149">
        <f t="shared" si="90"/>
        <v>10754317</v>
      </c>
      <c r="BH146" s="149" t="e">
        <f t="shared" si="90"/>
        <v>#REF!</v>
      </c>
      <c r="BI146" s="149" t="e">
        <f t="shared" si="90"/>
        <v>#REF!</v>
      </c>
      <c r="BJ146" s="149">
        <f t="shared" si="90"/>
        <v>73270400</v>
      </c>
      <c r="BK146" s="149">
        <f t="shared" si="90"/>
        <v>20000000</v>
      </c>
      <c r="BL146" s="149">
        <f t="shared" si="90"/>
        <v>47000740</v>
      </c>
      <c r="BM146" s="149" t="e">
        <f t="shared" si="90"/>
        <v>#REF!</v>
      </c>
      <c r="BN146" s="149">
        <f t="shared" si="90"/>
        <v>0</v>
      </c>
      <c r="BO146" s="149" t="e">
        <f t="shared" si="90"/>
        <v>#REF!</v>
      </c>
      <c r="BP146" s="149">
        <f t="shared" si="90"/>
        <v>0</v>
      </c>
      <c r="BQ146" s="149">
        <f t="shared" si="90"/>
        <v>0</v>
      </c>
      <c r="BR146" s="149">
        <f t="shared" si="90"/>
        <v>0</v>
      </c>
      <c r="BS146" s="238" t="e">
        <f>+BT146/U146</f>
        <v>#REF!</v>
      </c>
      <c r="BT146" s="149">
        <f t="shared" ref="BT146:CF146" si="91">SUM(BT88:BT145)</f>
        <v>29245323</v>
      </c>
      <c r="BU146" s="149">
        <f t="shared" si="91"/>
        <v>29245323</v>
      </c>
      <c r="BV146" s="149">
        <f t="shared" si="91"/>
        <v>0</v>
      </c>
      <c r="BW146" s="149">
        <f t="shared" si="91"/>
        <v>0</v>
      </c>
      <c r="BX146" s="149">
        <f t="shared" si="91"/>
        <v>0</v>
      </c>
      <c r="BY146" s="149">
        <f t="shared" si="91"/>
        <v>0</v>
      </c>
      <c r="BZ146" s="149">
        <f t="shared" si="91"/>
        <v>0</v>
      </c>
      <c r="CA146" s="149">
        <f t="shared" si="91"/>
        <v>0</v>
      </c>
      <c r="CB146" s="149">
        <f t="shared" si="91"/>
        <v>0</v>
      </c>
      <c r="CC146" s="149">
        <f t="shared" si="91"/>
        <v>0</v>
      </c>
      <c r="CD146" s="149">
        <f t="shared" si="91"/>
        <v>0</v>
      </c>
      <c r="CE146" s="149">
        <f t="shared" si="91"/>
        <v>0</v>
      </c>
      <c r="CF146" s="149">
        <f t="shared" si="91"/>
        <v>0</v>
      </c>
      <c r="CG146" s="238" t="e">
        <f>1-BS146</f>
        <v>#REF!</v>
      </c>
      <c r="CH146" s="149" t="e">
        <f t="shared" ref="CH146:CT146" si="92">SUM(CH88:CH145)</f>
        <v>#REF!</v>
      </c>
      <c r="CI146" s="149">
        <f t="shared" si="92"/>
        <v>10754677</v>
      </c>
      <c r="CJ146" s="149" t="e">
        <f t="shared" si="92"/>
        <v>#REF!</v>
      </c>
      <c r="CK146" s="149" t="e">
        <f t="shared" si="92"/>
        <v>#REF!</v>
      </c>
      <c r="CL146" s="149">
        <f t="shared" si="92"/>
        <v>73270400</v>
      </c>
      <c r="CM146" s="149">
        <f t="shared" si="92"/>
        <v>20000000</v>
      </c>
      <c r="CN146" s="149">
        <f t="shared" si="92"/>
        <v>47000740</v>
      </c>
      <c r="CO146" s="149" t="e">
        <f t="shared" si="92"/>
        <v>#REF!</v>
      </c>
      <c r="CP146" s="149">
        <f t="shared" si="92"/>
        <v>0</v>
      </c>
      <c r="CQ146" s="149" t="e">
        <f t="shared" si="92"/>
        <v>#REF!</v>
      </c>
      <c r="CR146" s="149">
        <f t="shared" si="92"/>
        <v>0</v>
      </c>
      <c r="CS146" s="149">
        <f t="shared" si="92"/>
        <v>0</v>
      </c>
      <c r="CT146" s="149">
        <f t="shared" si="92"/>
        <v>0</v>
      </c>
    </row>
    <row r="147" spans="1:98" ht="19.5" customHeight="1" x14ac:dyDescent="0.25">
      <c r="A147" s="747"/>
      <c r="B147" s="747"/>
      <c r="C147" s="747"/>
      <c r="D147" s="747"/>
      <c r="E147" s="747"/>
      <c r="F147" s="747"/>
      <c r="G147" s="129"/>
      <c r="H147" s="129"/>
      <c r="I147" s="129"/>
      <c r="J147" s="747"/>
      <c r="K147" s="747"/>
      <c r="L147" s="747"/>
      <c r="M147" s="121"/>
      <c r="N147" s="233"/>
      <c r="O147" s="685"/>
      <c r="P147" s="686"/>
      <c r="Q147" s="686"/>
      <c r="R147" s="688"/>
      <c r="S147" s="688"/>
      <c r="T147" s="692"/>
      <c r="U147" s="690" t="e">
        <f>+U146-AG146+BD146</f>
        <v>#REF!</v>
      </c>
      <c r="V147" s="686"/>
      <c r="W147" s="686"/>
      <c r="X147" s="686"/>
      <c r="Y147" s="686"/>
      <c r="Z147" s="686"/>
      <c r="AA147" s="686"/>
      <c r="AB147" s="686"/>
      <c r="AC147" s="686"/>
      <c r="AD147" s="686"/>
      <c r="AE147" s="686"/>
      <c r="AF147" s="686"/>
      <c r="AG147" s="686"/>
      <c r="AI147" s="122"/>
      <c r="AJ147" s="122"/>
      <c r="AK147" s="122"/>
      <c r="AL147" s="122"/>
      <c r="AM147" s="122"/>
      <c r="AN147" s="122"/>
      <c r="AO147" s="122"/>
      <c r="AP147" s="122"/>
      <c r="AQ147" s="239"/>
      <c r="AR147" s="150"/>
      <c r="AS147" s="153"/>
      <c r="AT147" s="153"/>
      <c r="AU147" s="153"/>
      <c r="AV147" s="153"/>
      <c r="AW147" s="153"/>
      <c r="AX147" s="153"/>
      <c r="AY147" s="153"/>
      <c r="AZ147" s="153"/>
      <c r="BA147" s="153"/>
      <c r="BB147" s="153"/>
      <c r="BC147" s="153"/>
      <c r="BD147" s="153"/>
      <c r="BE147" s="239"/>
      <c r="BF147" s="150"/>
      <c r="BG147" s="206"/>
      <c r="BH147" s="206"/>
      <c r="BI147" s="206"/>
      <c r="BJ147" s="206"/>
      <c r="BK147" s="206"/>
      <c r="BL147" s="206"/>
      <c r="BM147" s="206"/>
      <c r="BN147" s="206"/>
      <c r="BO147" s="206"/>
      <c r="BP147" s="206"/>
      <c r="BQ147" s="206"/>
      <c r="BR147" s="206"/>
      <c r="BS147" s="239"/>
      <c r="BT147" s="150"/>
      <c r="BU147" s="153"/>
      <c r="BV147" s="153"/>
      <c r="BW147" s="153"/>
      <c r="BX147" s="153"/>
      <c r="BY147" s="153"/>
      <c r="BZ147" s="153"/>
      <c r="CA147" s="153"/>
      <c r="CB147" s="153"/>
      <c r="CC147" s="153"/>
      <c r="CD147" s="153"/>
      <c r="CE147" s="153"/>
      <c r="CF147" s="153"/>
      <c r="CG147" s="239"/>
      <c r="CH147" s="150"/>
      <c r="CI147" s="206"/>
      <c r="CJ147" s="206"/>
      <c r="CK147" s="206"/>
      <c r="CL147" s="206"/>
      <c r="CM147" s="206"/>
      <c r="CN147" s="206"/>
      <c r="CO147" s="206"/>
      <c r="CP147" s="206"/>
      <c r="CQ147" s="206"/>
      <c r="CR147" s="206"/>
      <c r="CS147" s="206"/>
      <c r="CT147" s="206"/>
    </row>
    <row r="148" spans="1:98" ht="58.9" customHeight="1" x14ac:dyDescent="0.25">
      <c r="A148" s="2" t="s">
        <v>3111</v>
      </c>
      <c r="B148" s="100" t="s">
        <v>3112</v>
      </c>
      <c r="C148" s="2" t="s">
        <v>3113</v>
      </c>
      <c r="D148" s="100" t="s">
        <v>3202</v>
      </c>
      <c r="E148" s="2" t="s">
        <v>3115</v>
      </c>
      <c r="F148" s="100" t="s">
        <v>3266</v>
      </c>
      <c r="G148" s="107">
        <v>25000000</v>
      </c>
      <c r="H148" s="107">
        <v>25000000</v>
      </c>
      <c r="I148" s="107">
        <v>25000000</v>
      </c>
      <c r="J148" s="2" t="s">
        <v>3117</v>
      </c>
      <c r="K148" s="100" t="s">
        <v>3277</v>
      </c>
      <c r="L148" s="2">
        <v>30</v>
      </c>
      <c r="M148" s="101">
        <v>0</v>
      </c>
      <c r="N148" s="2" t="s">
        <v>3997</v>
      </c>
      <c r="O148" s="154" t="s">
        <v>3207</v>
      </c>
      <c r="P148" s="155">
        <v>25000000</v>
      </c>
      <c r="Q148" s="155">
        <v>25443075</v>
      </c>
      <c r="R148" s="151">
        <v>510</v>
      </c>
      <c r="S148" s="157">
        <f>+Q148-U148</f>
        <v>-9556925</v>
      </c>
      <c r="T148" s="734" t="s">
        <v>3359</v>
      </c>
      <c r="U148" s="149">
        <f>SUM(V148:AG148)</f>
        <v>35000000</v>
      </c>
      <c r="V148" s="149">
        <v>35000000</v>
      </c>
      <c r="W148" s="149"/>
      <c r="X148" s="149"/>
      <c r="Y148" s="149"/>
      <c r="Z148" s="149"/>
      <c r="AA148" s="149"/>
      <c r="AB148" s="149"/>
      <c r="AC148" s="149"/>
      <c r="AD148" s="149"/>
      <c r="AE148" s="149"/>
      <c r="AF148" s="149"/>
      <c r="AG148" s="149"/>
      <c r="AI148" s="739">
        <f>SUM(AJ148:AP148)</f>
        <v>0</v>
      </c>
      <c r="AJ148" s="728"/>
      <c r="AK148" s="728"/>
      <c r="AL148" s="728"/>
      <c r="AM148" s="728"/>
      <c r="AN148" s="728"/>
      <c r="AO148" s="728"/>
      <c r="AP148" s="212"/>
      <c r="AQ148" s="238">
        <f>+AR148/U148</f>
        <v>0.7801950571428572</v>
      </c>
      <c r="AR148" s="218">
        <f t="shared" si="80"/>
        <v>27306827</v>
      </c>
      <c r="AS148" s="149">
        <v>27306827</v>
      </c>
      <c r="AT148" s="149"/>
      <c r="AU148" s="149"/>
      <c r="AV148" s="149"/>
      <c r="AW148" s="149"/>
      <c r="AX148" s="149"/>
      <c r="AY148" s="149"/>
      <c r="AZ148" s="149"/>
      <c r="BA148" s="149"/>
      <c r="BB148" s="149"/>
      <c r="BC148" s="149"/>
      <c r="BD148" s="149"/>
      <c r="BE148" s="238">
        <f>1-AQ148</f>
        <v>0.2198049428571428</v>
      </c>
      <c r="BF148" s="218">
        <f>SUM(BG148:BR148)</f>
        <v>7693173</v>
      </c>
      <c r="BG148" s="205">
        <f t="shared" ref="BG148:BR149" si="93">+V148-AS148</f>
        <v>7693173</v>
      </c>
      <c r="BH148" s="205">
        <f t="shared" si="93"/>
        <v>0</v>
      </c>
      <c r="BI148" s="205">
        <f t="shared" si="93"/>
        <v>0</v>
      </c>
      <c r="BJ148" s="205">
        <f t="shared" si="93"/>
        <v>0</v>
      </c>
      <c r="BK148" s="205">
        <f t="shared" si="93"/>
        <v>0</v>
      </c>
      <c r="BL148" s="205">
        <f t="shared" si="93"/>
        <v>0</v>
      </c>
      <c r="BM148" s="205">
        <f t="shared" si="93"/>
        <v>0</v>
      </c>
      <c r="BN148" s="205">
        <f t="shared" si="93"/>
        <v>0</v>
      </c>
      <c r="BO148" s="205">
        <f t="shared" si="93"/>
        <v>0</v>
      </c>
      <c r="BP148" s="205">
        <f t="shared" si="93"/>
        <v>0</v>
      </c>
      <c r="BQ148" s="205">
        <f t="shared" si="93"/>
        <v>0</v>
      </c>
      <c r="BR148" s="205">
        <f t="shared" si="93"/>
        <v>0</v>
      </c>
      <c r="BS148" s="238">
        <f>+BT148/U148</f>
        <v>0.73745357142857138</v>
      </c>
      <c r="BT148" s="218">
        <f>SUM(BU148:CF148)</f>
        <v>25810875</v>
      </c>
      <c r="BU148" s="149">
        <v>25810875</v>
      </c>
      <c r="BV148" s="149"/>
      <c r="BW148" s="149"/>
      <c r="BX148" s="149"/>
      <c r="BY148" s="149"/>
      <c r="BZ148" s="149"/>
      <c r="CA148" s="149"/>
      <c r="CB148" s="149"/>
      <c r="CC148" s="149"/>
      <c r="CD148" s="149"/>
      <c r="CE148" s="149"/>
      <c r="CF148" s="149"/>
      <c r="CG148" s="238">
        <f>1-BS148</f>
        <v>0.26254642857142862</v>
      </c>
      <c r="CH148" s="218">
        <f>SUM(CI148:CT148)</f>
        <v>9189125</v>
      </c>
      <c r="CI148" s="205">
        <f t="shared" ref="CI148:CT149" si="94">+V148-BU148</f>
        <v>9189125</v>
      </c>
      <c r="CJ148" s="205">
        <f t="shared" si="94"/>
        <v>0</v>
      </c>
      <c r="CK148" s="205">
        <f t="shared" si="94"/>
        <v>0</v>
      </c>
      <c r="CL148" s="205">
        <f t="shared" si="94"/>
        <v>0</v>
      </c>
      <c r="CM148" s="205">
        <f t="shared" si="94"/>
        <v>0</v>
      </c>
      <c r="CN148" s="205">
        <f t="shared" si="94"/>
        <v>0</v>
      </c>
      <c r="CO148" s="205">
        <f t="shared" si="94"/>
        <v>0</v>
      </c>
      <c r="CP148" s="205">
        <f t="shared" si="94"/>
        <v>0</v>
      </c>
      <c r="CQ148" s="205">
        <f t="shared" si="94"/>
        <v>0</v>
      </c>
      <c r="CR148" s="205">
        <f t="shared" si="94"/>
        <v>0</v>
      </c>
      <c r="CS148" s="205">
        <f t="shared" si="94"/>
        <v>0</v>
      </c>
      <c r="CT148" s="205">
        <f t="shared" si="94"/>
        <v>0</v>
      </c>
    </row>
    <row r="149" spans="1:98" ht="72" customHeight="1" x14ac:dyDescent="0.25">
      <c r="A149" s="718"/>
      <c r="B149" s="235"/>
      <c r="C149" s="718"/>
      <c r="D149" s="235"/>
      <c r="E149" s="718"/>
      <c r="F149" s="235"/>
      <c r="G149" s="236"/>
      <c r="H149" s="236"/>
      <c r="I149" s="236"/>
      <c r="J149" s="718"/>
      <c r="K149" s="235"/>
      <c r="L149" s="718"/>
      <c r="M149" s="237"/>
      <c r="N149" s="2" t="s">
        <v>4063</v>
      </c>
      <c r="O149" s="683" t="s">
        <v>195</v>
      </c>
      <c r="P149" s="222"/>
      <c r="Q149" s="222"/>
      <c r="R149" s="151">
        <v>510</v>
      </c>
      <c r="S149" s="157">
        <f>+Q149-U149</f>
        <v>-10000000</v>
      </c>
      <c r="T149" s="734" t="s">
        <v>3359</v>
      </c>
      <c r="U149" s="149">
        <f>SUM(V149:AG149)</f>
        <v>10000000</v>
      </c>
      <c r="V149" s="149"/>
      <c r="W149" s="149"/>
      <c r="X149" s="149"/>
      <c r="Y149" s="149"/>
      <c r="Z149" s="149"/>
      <c r="AA149" s="149"/>
      <c r="AB149" s="149"/>
      <c r="AC149" s="149"/>
      <c r="AD149" s="149">
        <f>+'PLANINDICATIVO PD'!BH49</f>
        <v>10000000</v>
      </c>
      <c r="AE149" s="149"/>
      <c r="AF149" s="149"/>
      <c r="AG149" s="149"/>
      <c r="AI149" s="739"/>
      <c r="AJ149" s="728"/>
      <c r="AK149" s="728"/>
      <c r="AL149" s="728"/>
      <c r="AM149" s="728"/>
      <c r="AN149" s="728"/>
      <c r="AO149" s="728"/>
      <c r="AP149" s="212"/>
      <c r="AQ149" s="238">
        <f>+AR149/U149</f>
        <v>0</v>
      </c>
      <c r="AR149" s="218">
        <f t="shared" si="80"/>
        <v>0</v>
      </c>
      <c r="AS149" s="149"/>
      <c r="AT149" s="149"/>
      <c r="AU149" s="149"/>
      <c r="AV149" s="149"/>
      <c r="AW149" s="149"/>
      <c r="AX149" s="149"/>
      <c r="AY149" s="149"/>
      <c r="AZ149" s="149"/>
      <c r="BA149" s="149"/>
      <c r="BB149" s="149"/>
      <c r="BC149" s="149"/>
      <c r="BD149" s="149"/>
      <c r="BE149" s="238">
        <f>1-AQ149</f>
        <v>1</v>
      </c>
      <c r="BF149" s="218">
        <f>SUM(BG149:BR149)</f>
        <v>10000000</v>
      </c>
      <c r="BG149" s="205">
        <f t="shared" si="93"/>
        <v>0</v>
      </c>
      <c r="BH149" s="205">
        <f t="shared" si="93"/>
        <v>0</v>
      </c>
      <c r="BI149" s="205">
        <f t="shared" si="93"/>
        <v>0</v>
      </c>
      <c r="BJ149" s="205">
        <f t="shared" si="93"/>
        <v>0</v>
      </c>
      <c r="BK149" s="205">
        <f t="shared" si="93"/>
        <v>0</v>
      </c>
      <c r="BL149" s="205">
        <f t="shared" si="93"/>
        <v>0</v>
      </c>
      <c r="BM149" s="205">
        <f t="shared" si="93"/>
        <v>0</v>
      </c>
      <c r="BN149" s="205">
        <f t="shared" si="93"/>
        <v>0</v>
      </c>
      <c r="BO149" s="205">
        <f t="shared" si="93"/>
        <v>10000000</v>
      </c>
      <c r="BP149" s="205">
        <f t="shared" si="93"/>
        <v>0</v>
      </c>
      <c r="BQ149" s="205">
        <f t="shared" si="93"/>
        <v>0</v>
      </c>
      <c r="BR149" s="205">
        <f t="shared" si="93"/>
        <v>0</v>
      </c>
      <c r="BS149" s="238">
        <f>+BT149/U149</f>
        <v>0</v>
      </c>
      <c r="BT149" s="218">
        <f>SUM(BU149:CF149)</f>
        <v>0</v>
      </c>
      <c r="BU149" s="149"/>
      <c r="BV149" s="149"/>
      <c r="BW149" s="149"/>
      <c r="BX149" s="149"/>
      <c r="BY149" s="149"/>
      <c r="BZ149" s="149"/>
      <c r="CA149" s="149"/>
      <c r="CB149" s="149"/>
      <c r="CC149" s="149"/>
      <c r="CD149" s="149"/>
      <c r="CE149" s="149"/>
      <c r="CF149" s="149"/>
      <c r="CG149" s="238">
        <f>1-BS149</f>
        <v>1</v>
      </c>
      <c r="CH149" s="218">
        <f>SUM(CI149:CT149)</f>
        <v>10000000</v>
      </c>
      <c r="CI149" s="205">
        <f t="shared" si="94"/>
        <v>0</v>
      </c>
      <c r="CJ149" s="205">
        <f t="shared" si="94"/>
        <v>0</v>
      </c>
      <c r="CK149" s="205">
        <f t="shared" si="94"/>
        <v>0</v>
      </c>
      <c r="CL149" s="205">
        <f t="shared" si="94"/>
        <v>0</v>
      </c>
      <c r="CM149" s="205">
        <f t="shared" si="94"/>
        <v>0</v>
      </c>
      <c r="CN149" s="205">
        <f t="shared" si="94"/>
        <v>0</v>
      </c>
      <c r="CO149" s="205">
        <f t="shared" si="94"/>
        <v>0</v>
      </c>
      <c r="CP149" s="205">
        <f t="shared" si="94"/>
        <v>0</v>
      </c>
      <c r="CQ149" s="205">
        <f t="shared" si="94"/>
        <v>10000000</v>
      </c>
      <c r="CR149" s="205">
        <f t="shared" si="94"/>
        <v>0</v>
      </c>
      <c r="CS149" s="205">
        <f t="shared" si="94"/>
        <v>0</v>
      </c>
      <c r="CT149" s="205">
        <f t="shared" si="94"/>
        <v>0</v>
      </c>
    </row>
    <row r="150" spans="1:98" ht="28.5" customHeight="1" x14ac:dyDescent="0.25">
      <c r="A150" s="1209" t="s">
        <v>3409</v>
      </c>
      <c r="B150" s="1209"/>
      <c r="C150" s="1209"/>
      <c r="D150" s="1209"/>
      <c r="E150" s="1209"/>
      <c r="F150" s="1209"/>
      <c r="G150" s="728">
        <f>SUM(G148:G148)</f>
        <v>25000000</v>
      </c>
      <c r="H150" s="728">
        <f>SUM(H148:H148)</f>
        <v>25000000</v>
      </c>
      <c r="I150" s="728"/>
      <c r="J150" s="1209"/>
      <c r="K150" s="1209"/>
      <c r="L150" s="1209"/>
      <c r="M150" s="1209"/>
      <c r="N150" s="1209" t="s">
        <v>3409</v>
      </c>
      <c r="O150" s="1209"/>
      <c r="P150" s="1209"/>
      <c r="Q150" s="1209"/>
      <c r="R150" s="1209"/>
      <c r="S150" s="1209"/>
      <c r="T150" s="1209"/>
      <c r="U150" s="149">
        <f>SUM(U148:U149)</f>
        <v>45000000</v>
      </c>
      <c r="V150" s="149">
        <f t="shared" ref="V150:AG150" si="95">SUM(V148:V149)</f>
        <v>35000000</v>
      </c>
      <c r="W150" s="149">
        <f t="shared" si="95"/>
        <v>0</v>
      </c>
      <c r="X150" s="149">
        <f t="shared" si="95"/>
        <v>0</v>
      </c>
      <c r="Y150" s="149">
        <f t="shared" si="95"/>
        <v>0</v>
      </c>
      <c r="Z150" s="149">
        <f t="shared" si="95"/>
        <v>0</v>
      </c>
      <c r="AA150" s="149">
        <f t="shared" si="95"/>
        <v>0</v>
      </c>
      <c r="AB150" s="149">
        <f t="shared" si="95"/>
        <v>0</v>
      </c>
      <c r="AC150" s="149">
        <f t="shared" si="95"/>
        <v>0</v>
      </c>
      <c r="AD150" s="149">
        <f t="shared" si="95"/>
        <v>10000000</v>
      </c>
      <c r="AE150" s="149">
        <f t="shared" si="95"/>
        <v>0</v>
      </c>
      <c r="AF150" s="149">
        <f t="shared" si="95"/>
        <v>0</v>
      </c>
      <c r="AG150" s="149">
        <f t="shared" si="95"/>
        <v>0</v>
      </c>
      <c r="AI150" s="149">
        <f>SUM(AI148:AI149)</f>
        <v>0</v>
      </c>
      <c r="AJ150" s="149">
        <f t="shared" ref="AJ150:AP150" si="96">SUM(AJ148:AJ149)</f>
        <v>0</v>
      </c>
      <c r="AK150" s="149">
        <f t="shared" si="96"/>
        <v>0</v>
      </c>
      <c r="AL150" s="149">
        <f t="shared" si="96"/>
        <v>0</v>
      </c>
      <c r="AM150" s="149">
        <f t="shared" si="96"/>
        <v>0</v>
      </c>
      <c r="AN150" s="149">
        <f t="shared" si="96"/>
        <v>0</v>
      </c>
      <c r="AO150" s="149">
        <f t="shared" si="96"/>
        <v>0</v>
      </c>
      <c r="AP150" s="149">
        <f t="shared" si="96"/>
        <v>0</v>
      </c>
      <c r="AQ150" s="238">
        <f>+AR150/U150</f>
        <v>0.60681837777777781</v>
      </c>
      <c r="AR150" s="149">
        <f>SUM(AR148:AR149)</f>
        <v>27306827</v>
      </c>
      <c r="AS150" s="149">
        <f t="shared" ref="AS150:BD150" si="97">SUM(AS148:AS149)</f>
        <v>27306827</v>
      </c>
      <c r="AT150" s="149">
        <f t="shared" si="97"/>
        <v>0</v>
      </c>
      <c r="AU150" s="149">
        <f t="shared" si="97"/>
        <v>0</v>
      </c>
      <c r="AV150" s="149">
        <f t="shared" si="97"/>
        <v>0</v>
      </c>
      <c r="AW150" s="149">
        <f t="shared" si="97"/>
        <v>0</v>
      </c>
      <c r="AX150" s="149">
        <f t="shared" si="97"/>
        <v>0</v>
      </c>
      <c r="AY150" s="149">
        <f t="shared" si="97"/>
        <v>0</v>
      </c>
      <c r="AZ150" s="149">
        <f t="shared" si="97"/>
        <v>0</v>
      </c>
      <c r="BA150" s="149">
        <f t="shared" si="97"/>
        <v>0</v>
      </c>
      <c r="BB150" s="149">
        <f t="shared" si="97"/>
        <v>0</v>
      </c>
      <c r="BC150" s="149">
        <f t="shared" si="97"/>
        <v>0</v>
      </c>
      <c r="BD150" s="149">
        <f t="shared" si="97"/>
        <v>0</v>
      </c>
      <c r="BE150" s="238">
        <f>1-AQ150</f>
        <v>0.39318162222222219</v>
      </c>
      <c r="BF150" s="149">
        <f>SUM(BF148:BF149)</f>
        <v>17693173</v>
      </c>
      <c r="BG150" s="149">
        <f t="shared" ref="BG150:BR150" si="98">SUM(BG148:BG149)</f>
        <v>7693173</v>
      </c>
      <c r="BH150" s="149">
        <f t="shared" si="98"/>
        <v>0</v>
      </c>
      <c r="BI150" s="149">
        <f t="shared" si="98"/>
        <v>0</v>
      </c>
      <c r="BJ150" s="149">
        <f t="shared" si="98"/>
        <v>0</v>
      </c>
      <c r="BK150" s="149">
        <f t="shared" si="98"/>
        <v>0</v>
      </c>
      <c r="BL150" s="149">
        <f t="shared" si="98"/>
        <v>0</v>
      </c>
      <c r="BM150" s="149">
        <f t="shared" si="98"/>
        <v>0</v>
      </c>
      <c r="BN150" s="149">
        <f t="shared" si="98"/>
        <v>0</v>
      </c>
      <c r="BO150" s="149">
        <f t="shared" si="98"/>
        <v>10000000</v>
      </c>
      <c r="BP150" s="149">
        <f t="shared" si="98"/>
        <v>0</v>
      </c>
      <c r="BQ150" s="149">
        <f t="shared" si="98"/>
        <v>0</v>
      </c>
      <c r="BR150" s="149">
        <f t="shared" si="98"/>
        <v>0</v>
      </c>
      <c r="BS150" s="238">
        <f>+BT150/U150</f>
        <v>0.57357499999999995</v>
      </c>
      <c r="BT150" s="149">
        <f t="shared" ref="BT150:CF150" si="99">SUM(BT148:BT148)</f>
        <v>25810875</v>
      </c>
      <c r="BU150" s="149">
        <f t="shared" si="99"/>
        <v>25810875</v>
      </c>
      <c r="BV150" s="149">
        <f t="shared" si="99"/>
        <v>0</v>
      </c>
      <c r="BW150" s="149">
        <f t="shared" si="99"/>
        <v>0</v>
      </c>
      <c r="BX150" s="149">
        <f t="shared" si="99"/>
        <v>0</v>
      </c>
      <c r="BY150" s="149">
        <f t="shared" si="99"/>
        <v>0</v>
      </c>
      <c r="BZ150" s="149">
        <f t="shared" si="99"/>
        <v>0</v>
      </c>
      <c r="CA150" s="149">
        <f t="shared" si="99"/>
        <v>0</v>
      </c>
      <c r="CB150" s="149">
        <f t="shared" si="99"/>
        <v>0</v>
      </c>
      <c r="CC150" s="149">
        <f t="shared" si="99"/>
        <v>0</v>
      </c>
      <c r="CD150" s="149">
        <f t="shared" si="99"/>
        <v>0</v>
      </c>
      <c r="CE150" s="149">
        <f t="shared" si="99"/>
        <v>0</v>
      </c>
      <c r="CF150" s="149">
        <f t="shared" si="99"/>
        <v>0</v>
      </c>
      <c r="CG150" s="238">
        <f>1-BS150</f>
        <v>0.42642500000000005</v>
      </c>
      <c r="CH150" s="149">
        <f t="shared" ref="CH150:CT150" si="100">SUM(CH148:CH148)</f>
        <v>9189125</v>
      </c>
      <c r="CI150" s="149">
        <f t="shared" si="100"/>
        <v>9189125</v>
      </c>
      <c r="CJ150" s="149">
        <f t="shared" si="100"/>
        <v>0</v>
      </c>
      <c r="CK150" s="149">
        <f t="shared" si="100"/>
        <v>0</v>
      </c>
      <c r="CL150" s="149">
        <f t="shared" si="100"/>
        <v>0</v>
      </c>
      <c r="CM150" s="149">
        <f t="shared" si="100"/>
        <v>0</v>
      </c>
      <c r="CN150" s="149">
        <f t="shared" si="100"/>
        <v>0</v>
      </c>
      <c r="CO150" s="149">
        <f t="shared" si="100"/>
        <v>0</v>
      </c>
      <c r="CP150" s="149">
        <f t="shared" si="100"/>
        <v>0</v>
      </c>
      <c r="CQ150" s="149">
        <f t="shared" si="100"/>
        <v>0</v>
      </c>
      <c r="CR150" s="149">
        <f t="shared" si="100"/>
        <v>0</v>
      </c>
      <c r="CS150" s="149">
        <f t="shared" si="100"/>
        <v>0</v>
      </c>
      <c r="CT150" s="149">
        <f t="shared" si="100"/>
        <v>0</v>
      </c>
    </row>
    <row r="151" spans="1:98" ht="15.75" customHeight="1" x14ac:dyDescent="0.25">
      <c r="A151" s="747"/>
      <c r="B151" s="747"/>
      <c r="C151" s="747"/>
      <c r="D151" s="747"/>
      <c r="E151" s="747"/>
      <c r="F151" s="747"/>
      <c r="G151" s="129"/>
      <c r="H151" s="129"/>
      <c r="I151" s="129"/>
      <c r="J151" s="747"/>
      <c r="K151" s="747"/>
      <c r="L151" s="747"/>
      <c r="M151" s="121"/>
      <c r="N151" s="233"/>
      <c r="O151" s="685"/>
      <c r="P151" s="686"/>
      <c r="Q151" s="686"/>
      <c r="R151" s="688"/>
      <c r="S151" s="688"/>
      <c r="T151" s="692"/>
      <c r="U151" s="690">
        <f>+U150-AG150</f>
        <v>45000000</v>
      </c>
      <c r="V151" s="686"/>
      <c r="W151" s="686"/>
      <c r="X151" s="686"/>
      <c r="Y151" s="686"/>
      <c r="Z151" s="686"/>
      <c r="AA151" s="686"/>
      <c r="AB151" s="686"/>
      <c r="AC151" s="686"/>
      <c r="AD151" s="686"/>
      <c r="AE151" s="686"/>
      <c r="AF151" s="686"/>
      <c r="AG151" s="686"/>
      <c r="AI151" s="122"/>
      <c r="AJ151" s="122"/>
      <c r="AK151" s="122"/>
      <c r="AL151" s="122"/>
      <c r="AM151" s="122"/>
      <c r="AN151" s="122"/>
      <c r="AO151" s="122"/>
      <c r="AP151" s="122"/>
      <c r="AQ151" s="239"/>
      <c r="AR151" s="150"/>
      <c r="AS151" s="153"/>
      <c r="AT151" s="153"/>
      <c r="AU151" s="153"/>
      <c r="AV151" s="153"/>
      <c r="AW151" s="153"/>
      <c r="AX151" s="153"/>
      <c r="AY151" s="153"/>
      <c r="AZ151" s="153"/>
      <c r="BA151" s="153"/>
      <c r="BB151" s="153"/>
      <c r="BC151" s="153"/>
      <c r="BD151" s="153"/>
      <c r="BE151" s="239"/>
      <c r="BF151" s="150"/>
      <c r="BG151" s="206"/>
      <c r="BH151" s="206"/>
      <c r="BI151" s="206"/>
      <c r="BJ151" s="206"/>
      <c r="BK151" s="206"/>
      <c r="BL151" s="206"/>
      <c r="BM151" s="206"/>
      <c r="BN151" s="206"/>
      <c r="BO151" s="206"/>
      <c r="BP151" s="206"/>
      <c r="BQ151" s="206"/>
      <c r="BR151" s="206"/>
      <c r="BS151" s="239"/>
      <c r="BT151" s="150"/>
      <c r="BU151" s="153"/>
      <c r="BV151" s="153"/>
      <c r="BW151" s="153"/>
      <c r="BX151" s="153"/>
      <c r="BY151" s="153"/>
      <c r="BZ151" s="153"/>
      <c r="CA151" s="153"/>
      <c r="CB151" s="153"/>
      <c r="CC151" s="153"/>
      <c r="CD151" s="153"/>
      <c r="CE151" s="153"/>
      <c r="CF151" s="153"/>
      <c r="CG151" s="239"/>
      <c r="CH151" s="150"/>
      <c r="CI151" s="206"/>
      <c r="CJ151" s="206"/>
      <c r="CK151" s="206"/>
      <c r="CL151" s="206"/>
      <c r="CM151" s="206"/>
      <c r="CN151" s="206"/>
      <c r="CO151" s="206"/>
      <c r="CP151" s="206"/>
      <c r="CQ151" s="206"/>
      <c r="CR151" s="206"/>
      <c r="CS151" s="206"/>
      <c r="CT151" s="206"/>
    </row>
    <row r="152" spans="1:98" ht="32.450000000000003" customHeight="1" x14ac:dyDescent="0.25">
      <c r="A152" s="2" t="s">
        <v>2826</v>
      </c>
      <c r="B152" s="100" t="s">
        <v>2827</v>
      </c>
      <c r="C152" s="2" t="s">
        <v>2828</v>
      </c>
      <c r="D152" s="100" t="s">
        <v>3371</v>
      </c>
      <c r="E152" s="2" t="s">
        <v>2830</v>
      </c>
      <c r="F152" s="100" t="s">
        <v>3372</v>
      </c>
      <c r="G152" s="107">
        <v>150000000</v>
      </c>
      <c r="H152" s="107">
        <v>150000000</v>
      </c>
      <c r="I152" s="107">
        <v>150000000</v>
      </c>
      <c r="J152" s="714" t="s">
        <v>2832</v>
      </c>
      <c r="K152" s="721" t="s">
        <v>3386</v>
      </c>
      <c r="L152" s="714">
        <v>50</v>
      </c>
      <c r="M152" s="101">
        <v>0</v>
      </c>
      <c r="N152" s="2" t="s">
        <v>3998</v>
      </c>
      <c r="O152" s="154" t="s">
        <v>3999</v>
      </c>
      <c r="P152" s="155">
        <v>150000000</v>
      </c>
      <c r="Q152" s="155">
        <v>610600800</v>
      </c>
      <c r="R152" s="151">
        <v>310</v>
      </c>
      <c r="S152" s="157">
        <f t="shared" ref="S152:S166" si="101">+Q152-U152</f>
        <v>588100800</v>
      </c>
      <c r="T152" s="1428" t="s">
        <v>3361</v>
      </c>
      <c r="U152" s="149">
        <f t="shared" ref="U152:U166" si="102">SUM(V152:AG152)</f>
        <v>22500000</v>
      </c>
      <c r="V152" s="155">
        <v>22500000</v>
      </c>
      <c r="W152" s="155"/>
      <c r="X152" s="155"/>
      <c r="Y152" s="155"/>
      <c r="Z152" s="155"/>
      <c r="AA152" s="155"/>
      <c r="AB152" s="155"/>
      <c r="AC152" s="155"/>
      <c r="AD152" s="155"/>
      <c r="AE152" s="155"/>
      <c r="AF152" s="155"/>
      <c r="AG152" s="155"/>
      <c r="AI152" s="739">
        <f t="shared" ref="AI152:AI166" si="103">SUM(AJ152:AP152)</f>
        <v>6000000</v>
      </c>
      <c r="AJ152" s="245">
        <v>6000000</v>
      </c>
      <c r="AK152" s="107"/>
      <c r="AL152" s="107"/>
      <c r="AM152" s="107"/>
      <c r="AN152" s="107"/>
      <c r="AO152" s="107"/>
      <c r="AP152" s="130"/>
      <c r="AQ152" s="238">
        <f t="shared" ref="AQ152:AQ181" si="104">+AR152/U152</f>
        <v>0</v>
      </c>
      <c r="AR152" s="218">
        <f t="shared" si="80"/>
        <v>0</v>
      </c>
      <c r="AS152" s="155"/>
      <c r="AT152" s="155"/>
      <c r="AU152" s="155"/>
      <c r="AV152" s="155"/>
      <c r="AW152" s="155"/>
      <c r="AX152" s="155"/>
      <c r="AY152" s="155"/>
      <c r="AZ152" s="155"/>
      <c r="BA152" s="155"/>
      <c r="BB152" s="155"/>
      <c r="BC152" s="155"/>
      <c r="BD152" s="155"/>
      <c r="BE152" s="238">
        <f>1-AQ152</f>
        <v>1</v>
      </c>
      <c r="BF152" s="218">
        <f>SUM(BG152:BR152)</f>
        <v>22500000</v>
      </c>
      <c r="BG152" s="205">
        <f t="shared" ref="BG152:BR166" si="105">+V152-AS152</f>
        <v>22500000</v>
      </c>
      <c r="BH152" s="205">
        <f t="shared" si="105"/>
        <v>0</v>
      </c>
      <c r="BI152" s="205">
        <f t="shared" si="105"/>
        <v>0</v>
      </c>
      <c r="BJ152" s="205">
        <f t="shared" si="105"/>
        <v>0</v>
      </c>
      <c r="BK152" s="205">
        <f t="shared" si="105"/>
        <v>0</v>
      </c>
      <c r="BL152" s="205">
        <f t="shared" si="105"/>
        <v>0</v>
      </c>
      <c r="BM152" s="205">
        <f t="shared" si="105"/>
        <v>0</v>
      </c>
      <c r="BN152" s="205">
        <f t="shared" si="105"/>
        <v>0</v>
      </c>
      <c r="BO152" s="205">
        <f t="shared" si="105"/>
        <v>0</v>
      </c>
      <c r="BP152" s="205">
        <f t="shared" si="105"/>
        <v>0</v>
      </c>
      <c r="BQ152" s="205">
        <f t="shared" si="105"/>
        <v>0</v>
      </c>
      <c r="BR152" s="205">
        <f t="shared" si="105"/>
        <v>0</v>
      </c>
      <c r="BS152" s="238">
        <f>+BT152/U152</f>
        <v>0</v>
      </c>
      <c r="BT152" s="218">
        <f>SUM(BU152:CF152)</f>
        <v>0</v>
      </c>
      <c r="BU152" s="155"/>
      <c r="BV152" s="155"/>
      <c r="BW152" s="155"/>
      <c r="BX152" s="155"/>
      <c r="BY152" s="155"/>
      <c r="BZ152" s="155"/>
      <c r="CA152" s="155"/>
      <c r="CB152" s="155"/>
      <c r="CC152" s="155"/>
      <c r="CD152" s="155"/>
      <c r="CE152" s="155"/>
      <c r="CF152" s="155"/>
      <c r="CG152" s="238">
        <f>1-BS152</f>
        <v>1</v>
      </c>
      <c r="CH152" s="218">
        <f>SUM(CI152:CT152)</f>
        <v>22500000</v>
      </c>
      <c r="CI152" s="205">
        <f t="shared" ref="CI152:CT166" si="106">+V152-BU152</f>
        <v>22500000</v>
      </c>
      <c r="CJ152" s="205">
        <f t="shared" si="106"/>
        <v>0</v>
      </c>
      <c r="CK152" s="205">
        <f t="shared" si="106"/>
        <v>0</v>
      </c>
      <c r="CL152" s="205">
        <f t="shared" si="106"/>
        <v>0</v>
      </c>
      <c r="CM152" s="205">
        <f t="shared" si="106"/>
        <v>0</v>
      </c>
      <c r="CN152" s="205">
        <f t="shared" si="106"/>
        <v>0</v>
      </c>
      <c r="CO152" s="205">
        <f t="shared" si="106"/>
        <v>0</v>
      </c>
      <c r="CP152" s="205">
        <f t="shared" si="106"/>
        <v>0</v>
      </c>
      <c r="CQ152" s="205">
        <f t="shared" si="106"/>
        <v>0</v>
      </c>
      <c r="CR152" s="205">
        <f t="shared" si="106"/>
        <v>0</v>
      </c>
      <c r="CS152" s="205">
        <f t="shared" si="106"/>
        <v>0</v>
      </c>
      <c r="CT152" s="205">
        <f t="shared" si="106"/>
        <v>0</v>
      </c>
    </row>
    <row r="153" spans="1:98" ht="28.9" customHeight="1" x14ac:dyDescent="0.25">
      <c r="A153" s="2"/>
      <c r="B153" s="100"/>
      <c r="C153" s="2"/>
      <c r="D153" s="100"/>
      <c r="E153" s="2"/>
      <c r="F153" s="100"/>
      <c r="G153" s="107"/>
      <c r="H153" s="107"/>
      <c r="I153" s="107"/>
      <c r="J153" s="714"/>
      <c r="K153" s="721"/>
      <c r="L153" s="714"/>
      <c r="M153" s="101"/>
      <c r="N153" s="2" t="s">
        <v>4000</v>
      </c>
      <c r="O153" s="154" t="s">
        <v>4001</v>
      </c>
      <c r="P153" s="155"/>
      <c r="Q153" s="155"/>
      <c r="R153" s="151">
        <v>310</v>
      </c>
      <c r="S153" s="157"/>
      <c r="T153" s="1429"/>
      <c r="U153" s="149">
        <f t="shared" si="102"/>
        <v>67500000</v>
      </c>
      <c r="V153" s="155">
        <v>67500000</v>
      </c>
      <c r="W153" s="155"/>
      <c r="X153" s="155"/>
      <c r="Y153" s="155"/>
      <c r="Z153" s="155"/>
      <c r="AA153" s="155"/>
      <c r="AB153" s="155"/>
      <c r="AC153" s="155"/>
      <c r="AD153" s="155"/>
      <c r="AE153" s="155"/>
      <c r="AF153" s="155"/>
      <c r="AG153" s="155"/>
      <c r="AI153" s="739"/>
      <c r="AJ153" s="245"/>
      <c r="AK153" s="107"/>
      <c r="AL153" s="107"/>
      <c r="AM153" s="107"/>
      <c r="AN153" s="107"/>
      <c r="AO153" s="107"/>
      <c r="AP153" s="130"/>
      <c r="AQ153" s="238">
        <f t="shared" si="104"/>
        <v>0.13392487407407408</v>
      </c>
      <c r="AR153" s="218">
        <f t="shared" si="80"/>
        <v>9039929</v>
      </c>
      <c r="AS153" s="155">
        <v>9039929</v>
      </c>
      <c r="AT153" s="155"/>
      <c r="AU153" s="155"/>
      <c r="AV153" s="155"/>
      <c r="AW153" s="155"/>
      <c r="AX153" s="155"/>
      <c r="AY153" s="155"/>
      <c r="AZ153" s="155"/>
      <c r="BA153" s="155"/>
      <c r="BB153" s="155"/>
      <c r="BC153" s="155"/>
      <c r="BD153" s="155"/>
      <c r="BE153" s="238">
        <f t="shared" ref="BE153:BE166" si="107">1-AQ153</f>
        <v>0.86607512592592595</v>
      </c>
      <c r="BF153" s="218">
        <f t="shared" ref="BF153:BF166" si="108">SUM(BG153:BR153)</f>
        <v>58460071</v>
      </c>
      <c r="BG153" s="205">
        <f t="shared" si="105"/>
        <v>58460071</v>
      </c>
      <c r="BH153" s="205">
        <f t="shared" si="105"/>
        <v>0</v>
      </c>
      <c r="BI153" s="205">
        <f t="shared" si="105"/>
        <v>0</v>
      </c>
      <c r="BJ153" s="205">
        <f t="shared" si="105"/>
        <v>0</v>
      </c>
      <c r="BK153" s="205">
        <f t="shared" si="105"/>
        <v>0</v>
      </c>
      <c r="BL153" s="205">
        <f t="shared" si="105"/>
        <v>0</v>
      </c>
      <c r="BM153" s="205">
        <f t="shared" si="105"/>
        <v>0</v>
      </c>
      <c r="BN153" s="205">
        <f t="shared" si="105"/>
        <v>0</v>
      </c>
      <c r="BO153" s="205">
        <f t="shared" si="105"/>
        <v>0</v>
      </c>
      <c r="BP153" s="205">
        <f t="shared" si="105"/>
        <v>0</v>
      </c>
      <c r="BQ153" s="205">
        <f t="shared" si="105"/>
        <v>0</v>
      </c>
      <c r="BR153" s="205">
        <f t="shared" si="105"/>
        <v>0</v>
      </c>
      <c r="BS153" s="238">
        <f t="shared" ref="BS153:BS166" si="109">+BT153/U153</f>
        <v>0.13392487407407408</v>
      </c>
      <c r="BT153" s="218">
        <f t="shared" ref="BT153:BT166" si="110">SUM(BU153:CF153)</f>
        <v>9039929</v>
      </c>
      <c r="BU153" s="155">
        <v>9039929</v>
      </c>
      <c r="BV153" s="155"/>
      <c r="BW153" s="155"/>
      <c r="BX153" s="155"/>
      <c r="BY153" s="155"/>
      <c r="BZ153" s="155"/>
      <c r="CA153" s="155"/>
      <c r="CB153" s="155"/>
      <c r="CC153" s="155"/>
      <c r="CD153" s="155"/>
      <c r="CE153" s="155"/>
      <c r="CF153" s="155"/>
      <c r="CG153" s="238">
        <f t="shared" ref="CG153:CG166" si="111">1-BS153</f>
        <v>0.86607512592592595</v>
      </c>
      <c r="CH153" s="218">
        <f t="shared" ref="CH153:CH166" si="112">SUM(CI153:CT153)</f>
        <v>0</v>
      </c>
      <c r="CI153" s="205"/>
      <c r="CJ153" s="205">
        <f t="shared" si="106"/>
        <v>0</v>
      </c>
      <c r="CK153" s="205">
        <f t="shared" si="106"/>
        <v>0</v>
      </c>
      <c r="CL153" s="205">
        <f t="shared" si="106"/>
        <v>0</v>
      </c>
      <c r="CM153" s="205">
        <f t="shared" si="106"/>
        <v>0</v>
      </c>
      <c r="CN153" s="205">
        <f t="shared" si="106"/>
        <v>0</v>
      </c>
      <c r="CO153" s="205">
        <f t="shared" si="106"/>
        <v>0</v>
      </c>
      <c r="CP153" s="205">
        <f t="shared" si="106"/>
        <v>0</v>
      </c>
      <c r="CQ153" s="205">
        <f t="shared" si="106"/>
        <v>0</v>
      </c>
      <c r="CR153" s="205">
        <f t="shared" si="106"/>
        <v>0</v>
      </c>
      <c r="CS153" s="205">
        <f t="shared" si="106"/>
        <v>0</v>
      </c>
      <c r="CT153" s="205">
        <f t="shared" si="106"/>
        <v>0</v>
      </c>
    </row>
    <row r="154" spans="1:98" ht="31.15" customHeight="1" x14ac:dyDescent="0.25">
      <c r="A154" s="2"/>
      <c r="B154" s="100"/>
      <c r="C154" s="2"/>
      <c r="D154" s="100"/>
      <c r="E154" s="2"/>
      <c r="F154" s="100"/>
      <c r="G154" s="107"/>
      <c r="H154" s="107"/>
      <c r="I154" s="107"/>
      <c r="J154" s="714"/>
      <c r="K154" s="721"/>
      <c r="L154" s="714"/>
      <c r="M154" s="101"/>
      <c r="N154" s="2" t="s">
        <v>4002</v>
      </c>
      <c r="O154" s="154" t="s">
        <v>4003</v>
      </c>
      <c r="P154" s="155"/>
      <c r="Q154" s="155"/>
      <c r="R154" s="151">
        <v>310</v>
      </c>
      <c r="S154" s="157"/>
      <c r="T154" s="1429"/>
      <c r="U154" s="149">
        <f t="shared" si="102"/>
        <v>30000000</v>
      </c>
      <c r="V154" s="155">
        <v>30000000</v>
      </c>
      <c r="W154" s="155"/>
      <c r="X154" s="155"/>
      <c r="Y154" s="155"/>
      <c r="Z154" s="155"/>
      <c r="AA154" s="155"/>
      <c r="AB154" s="155"/>
      <c r="AC154" s="155"/>
      <c r="AD154" s="155"/>
      <c r="AE154" s="155"/>
      <c r="AF154" s="155"/>
      <c r="AG154" s="155"/>
      <c r="AI154" s="739"/>
      <c r="AJ154" s="245"/>
      <c r="AK154" s="107"/>
      <c r="AL154" s="107"/>
      <c r="AM154" s="107"/>
      <c r="AN154" s="107"/>
      <c r="AO154" s="107"/>
      <c r="AP154" s="130"/>
      <c r="AQ154" s="238">
        <f t="shared" si="104"/>
        <v>8.4344266666666667E-2</v>
      </c>
      <c r="AR154" s="218">
        <f t="shared" si="80"/>
        <v>2530328</v>
      </c>
      <c r="AS154" s="155">
        <v>2530328</v>
      </c>
      <c r="AT154" s="155"/>
      <c r="AU154" s="155"/>
      <c r="AV154" s="155"/>
      <c r="AW154" s="155"/>
      <c r="AX154" s="155"/>
      <c r="AY154" s="155"/>
      <c r="AZ154" s="155"/>
      <c r="BA154" s="155"/>
      <c r="BB154" s="155"/>
      <c r="BC154" s="155"/>
      <c r="BD154" s="155"/>
      <c r="BE154" s="238">
        <f t="shared" si="107"/>
        <v>0.91565573333333328</v>
      </c>
      <c r="BF154" s="218">
        <f t="shared" si="108"/>
        <v>27469672</v>
      </c>
      <c r="BG154" s="205">
        <f t="shared" si="105"/>
        <v>27469672</v>
      </c>
      <c r="BH154" s="205">
        <f t="shared" si="105"/>
        <v>0</v>
      </c>
      <c r="BI154" s="205">
        <f t="shared" si="105"/>
        <v>0</v>
      </c>
      <c r="BJ154" s="205">
        <f t="shared" si="105"/>
        <v>0</v>
      </c>
      <c r="BK154" s="205">
        <f t="shared" si="105"/>
        <v>0</v>
      </c>
      <c r="BL154" s="205">
        <f t="shared" si="105"/>
        <v>0</v>
      </c>
      <c r="BM154" s="205">
        <f t="shared" si="105"/>
        <v>0</v>
      </c>
      <c r="BN154" s="205">
        <f t="shared" si="105"/>
        <v>0</v>
      </c>
      <c r="BO154" s="205">
        <f t="shared" si="105"/>
        <v>0</v>
      </c>
      <c r="BP154" s="205">
        <f t="shared" si="105"/>
        <v>0</v>
      </c>
      <c r="BQ154" s="205">
        <f t="shared" si="105"/>
        <v>0</v>
      </c>
      <c r="BR154" s="205">
        <f t="shared" si="105"/>
        <v>0</v>
      </c>
      <c r="BS154" s="238">
        <f t="shared" si="109"/>
        <v>8.4344266666666667E-2</v>
      </c>
      <c r="BT154" s="218">
        <f t="shared" si="110"/>
        <v>2530328</v>
      </c>
      <c r="BU154" s="155">
        <v>2530328</v>
      </c>
      <c r="BV154" s="155"/>
      <c r="BW154" s="155"/>
      <c r="BX154" s="155"/>
      <c r="BY154" s="155"/>
      <c r="BZ154" s="155"/>
      <c r="CA154" s="155"/>
      <c r="CB154" s="155"/>
      <c r="CC154" s="155"/>
      <c r="CD154" s="155"/>
      <c r="CE154" s="155"/>
      <c r="CF154" s="155"/>
      <c r="CG154" s="238">
        <f t="shared" si="111"/>
        <v>0.91565573333333328</v>
      </c>
      <c r="CH154" s="218">
        <f t="shared" si="112"/>
        <v>0</v>
      </c>
      <c r="CI154" s="205"/>
      <c r="CJ154" s="205">
        <f t="shared" si="106"/>
        <v>0</v>
      </c>
      <c r="CK154" s="205">
        <f t="shared" si="106"/>
        <v>0</v>
      </c>
      <c r="CL154" s="205">
        <f t="shared" si="106"/>
        <v>0</v>
      </c>
      <c r="CM154" s="205">
        <f t="shared" si="106"/>
        <v>0</v>
      </c>
      <c r="CN154" s="205">
        <f t="shared" si="106"/>
        <v>0</v>
      </c>
      <c r="CO154" s="205">
        <f t="shared" si="106"/>
        <v>0</v>
      </c>
      <c r="CP154" s="205">
        <f t="shared" si="106"/>
        <v>0</v>
      </c>
      <c r="CQ154" s="205">
        <f t="shared" si="106"/>
        <v>0</v>
      </c>
      <c r="CR154" s="205">
        <f t="shared" si="106"/>
        <v>0</v>
      </c>
      <c r="CS154" s="205">
        <f t="shared" si="106"/>
        <v>0</v>
      </c>
      <c r="CT154" s="205">
        <f t="shared" si="106"/>
        <v>0</v>
      </c>
    </row>
    <row r="155" spans="1:98" ht="85.15" customHeight="1" x14ac:dyDescent="0.25">
      <c r="A155" s="2"/>
      <c r="B155" s="100"/>
      <c r="C155" s="2"/>
      <c r="D155" s="100"/>
      <c r="E155" s="2"/>
      <c r="F155" s="100"/>
      <c r="G155" s="107"/>
      <c r="H155" s="107"/>
      <c r="I155" s="107"/>
      <c r="J155" s="714"/>
      <c r="K155" s="721"/>
      <c r="L155" s="714"/>
      <c r="M155" s="101"/>
      <c r="N155" s="2" t="s">
        <v>4004</v>
      </c>
      <c r="O155" s="154" t="s">
        <v>4005</v>
      </c>
      <c r="P155" s="155"/>
      <c r="Q155" s="155"/>
      <c r="R155" s="151">
        <v>310</v>
      </c>
      <c r="S155" s="157"/>
      <c r="T155" s="1430"/>
      <c r="U155" s="149">
        <f t="shared" si="102"/>
        <v>30000000</v>
      </c>
      <c r="V155" s="155">
        <v>30000000</v>
      </c>
      <c r="W155" s="155"/>
      <c r="X155" s="155"/>
      <c r="Y155" s="155"/>
      <c r="Z155" s="155"/>
      <c r="AA155" s="155"/>
      <c r="AB155" s="155"/>
      <c r="AC155" s="155"/>
      <c r="AD155" s="155"/>
      <c r="AE155" s="155"/>
      <c r="AF155" s="155"/>
      <c r="AG155" s="155"/>
      <c r="AI155" s="739"/>
      <c r="AJ155" s="245"/>
      <c r="AK155" s="107"/>
      <c r="AL155" s="107"/>
      <c r="AM155" s="107"/>
      <c r="AN155" s="107"/>
      <c r="AO155" s="107"/>
      <c r="AP155" s="130"/>
      <c r="AQ155" s="238">
        <f t="shared" si="104"/>
        <v>0.22837199999999999</v>
      </c>
      <c r="AR155" s="218">
        <f t="shared" si="80"/>
        <v>6851160</v>
      </c>
      <c r="AS155" s="155">
        <v>6851160</v>
      </c>
      <c r="AT155" s="155"/>
      <c r="AU155" s="155"/>
      <c r="AV155" s="155"/>
      <c r="AW155" s="155"/>
      <c r="AX155" s="155"/>
      <c r="AY155" s="155"/>
      <c r="AZ155" s="155"/>
      <c r="BA155" s="155"/>
      <c r="BB155" s="155"/>
      <c r="BC155" s="155"/>
      <c r="BD155" s="155"/>
      <c r="BE155" s="238">
        <f t="shared" si="107"/>
        <v>0.77162799999999998</v>
      </c>
      <c r="BF155" s="218">
        <f t="shared" si="108"/>
        <v>23148840</v>
      </c>
      <c r="BG155" s="205">
        <f t="shared" si="105"/>
        <v>23148840</v>
      </c>
      <c r="BH155" s="205">
        <f t="shared" si="105"/>
        <v>0</v>
      </c>
      <c r="BI155" s="205">
        <f t="shared" si="105"/>
        <v>0</v>
      </c>
      <c r="BJ155" s="205">
        <f t="shared" si="105"/>
        <v>0</v>
      </c>
      <c r="BK155" s="205">
        <f t="shared" si="105"/>
        <v>0</v>
      </c>
      <c r="BL155" s="205">
        <f t="shared" si="105"/>
        <v>0</v>
      </c>
      <c r="BM155" s="205">
        <f t="shared" si="105"/>
        <v>0</v>
      </c>
      <c r="BN155" s="205">
        <f t="shared" si="105"/>
        <v>0</v>
      </c>
      <c r="BO155" s="205">
        <f t="shared" si="105"/>
        <v>0</v>
      </c>
      <c r="BP155" s="205">
        <f t="shared" si="105"/>
        <v>0</v>
      </c>
      <c r="BQ155" s="205">
        <f t="shared" si="105"/>
        <v>0</v>
      </c>
      <c r="BR155" s="205">
        <f t="shared" si="105"/>
        <v>0</v>
      </c>
      <c r="BS155" s="238">
        <f t="shared" si="109"/>
        <v>0.22837199999999999</v>
      </c>
      <c r="BT155" s="218">
        <f t="shared" si="110"/>
        <v>6851160</v>
      </c>
      <c r="BU155" s="155">
        <v>6851160</v>
      </c>
      <c r="BV155" s="155"/>
      <c r="BW155" s="155"/>
      <c r="BX155" s="155"/>
      <c r="BY155" s="155"/>
      <c r="BZ155" s="155"/>
      <c r="CA155" s="155"/>
      <c r="CB155" s="155"/>
      <c r="CC155" s="155"/>
      <c r="CD155" s="155"/>
      <c r="CE155" s="155"/>
      <c r="CF155" s="155"/>
      <c r="CG155" s="238">
        <f t="shared" si="111"/>
        <v>0.77162799999999998</v>
      </c>
      <c r="CH155" s="218">
        <f t="shared" si="112"/>
        <v>0</v>
      </c>
      <c r="CI155" s="205"/>
      <c r="CJ155" s="205">
        <f t="shared" si="106"/>
        <v>0</v>
      </c>
      <c r="CK155" s="205">
        <f t="shared" si="106"/>
        <v>0</v>
      </c>
      <c r="CL155" s="205">
        <f t="shared" si="106"/>
        <v>0</v>
      </c>
      <c r="CM155" s="205">
        <f t="shared" si="106"/>
        <v>0</v>
      </c>
      <c r="CN155" s="205">
        <f t="shared" si="106"/>
        <v>0</v>
      </c>
      <c r="CO155" s="205">
        <f t="shared" si="106"/>
        <v>0</v>
      </c>
      <c r="CP155" s="205">
        <f t="shared" si="106"/>
        <v>0</v>
      </c>
      <c r="CQ155" s="205">
        <f t="shared" si="106"/>
        <v>0</v>
      </c>
      <c r="CR155" s="205">
        <f t="shared" si="106"/>
        <v>0</v>
      </c>
      <c r="CS155" s="205">
        <f t="shared" si="106"/>
        <v>0</v>
      </c>
      <c r="CT155" s="205">
        <f t="shared" si="106"/>
        <v>0</v>
      </c>
    </row>
    <row r="156" spans="1:98" ht="62.45" customHeight="1" x14ac:dyDescent="0.25">
      <c r="A156" s="2"/>
      <c r="B156" s="100"/>
      <c r="C156" s="2"/>
      <c r="D156" s="100"/>
      <c r="E156" s="2"/>
      <c r="F156" s="100"/>
      <c r="G156" s="107"/>
      <c r="H156" s="107"/>
      <c r="I156" s="107"/>
      <c r="J156" s="714"/>
      <c r="K156" s="721"/>
      <c r="L156" s="714"/>
      <c r="M156" s="101"/>
      <c r="N156" s="2" t="s">
        <v>4061</v>
      </c>
      <c r="O156" s="154" t="s">
        <v>4092</v>
      </c>
      <c r="P156" s="155"/>
      <c r="Q156" s="155"/>
      <c r="R156" s="151">
        <v>510</v>
      </c>
      <c r="S156" s="157"/>
      <c r="T156" s="742" t="s">
        <v>3353</v>
      </c>
      <c r="U156" s="149">
        <f t="shared" si="102"/>
        <v>15000000</v>
      </c>
      <c r="V156" s="155"/>
      <c r="W156" s="155"/>
      <c r="X156" s="155"/>
      <c r="Y156" s="155"/>
      <c r="Z156" s="155"/>
      <c r="AA156" s="155"/>
      <c r="AB156" s="155"/>
      <c r="AC156" s="155"/>
      <c r="AD156" s="155">
        <f>+'PLANINDICATIVO PD'!BH54</f>
        <v>15000000</v>
      </c>
      <c r="AE156" s="155"/>
      <c r="AF156" s="155"/>
      <c r="AG156" s="155"/>
      <c r="AI156" s="739"/>
      <c r="AJ156" s="245"/>
      <c r="AK156" s="107"/>
      <c r="AL156" s="107"/>
      <c r="AM156" s="107"/>
      <c r="AN156" s="107"/>
      <c r="AO156" s="107"/>
      <c r="AP156" s="130"/>
      <c r="AQ156" s="238">
        <f t="shared" si="104"/>
        <v>0</v>
      </c>
      <c r="AR156" s="218">
        <f t="shared" si="80"/>
        <v>0</v>
      </c>
      <c r="AS156" s="155"/>
      <c r="AT156" s="155"/>
      <c r="AU156" s="155"/>
      <c r="AV156" s="155"/>
      <c r="AW156" s="155"/>
      <c r="AX156" s="155"/>
      <c r="AY156" s="155"/>
      <c r="AZ156" s="155"/>
      <c r="BA156" s="155"/>
      <c r="BB156" s="155"/>
      <c r="BC156" s="155"/>
      <c r="BD156" s="155"/>
      <c r="BE156" s="238">
        <f t="shared" si="107"/>
        <v>1</v>
      </c>
      <c r="BF156" s="218">
        <f t="shared" si="108"/>
        <v>15000000</v>
      </c>
      <c r="BG156" s="205">
        <f t="shared" si="105"/>
        <v>0</v>
      </c>
      <c r="BH156" s="205">
        <f t="shared" si="105"/>
        <v>0</v>
      </c>
      <c r="BI156" s="205">
        <f t="shared" si="105"/>
        <v>0</v>
      </c>
      <c r="BJ156" s="205">
        <f t="shared" si="105"/>
        <v>0</v>
      </c>
      <c r="BK156" s="205">
        <f t="shared" si="105"/>
        <v>0</v>
      </c>
      <c r="BL156" s="205">
        <f t="shared" si="105"/>
        <v>0</v>
      </c>
      <c r="BM156" s="205">
        <f t="shared" si="105"/>
        <v>0</v>
      </c>
      <c r="BN156" s="205">
        <f t="shared" si="105"/>
        <v>0</v>
      </c>
      <c r="BO156" s="205">
        <f t="shared" si="105"/>
        <v>15000000</v>
      </c>
      <c r="BP156" s="205">
        <f t="shared" si="105"/>
        <v>0</v>
      </c>
      <c r="BQ156" s="205">
        <f t="shared" si="105"/>
        <v>0</v>
      </c>
      <c r="BR156" s="205">
        <f t="shared" si="105"/>
        <v>0</v>
      </c>
      <c r="BS156" s="238">
        <f t="shared" si="109"/>
        <v>0</v>
      </c>
      <c r="BT156" s="218">
        <f t="shared" si="110"/>
        <v>0</v>
      </c>
      <c r="BU156" s="155"/>
      <c r="BV156" s="155"/>
      <c r="BW156" s="155"/>
      <c r="BX156" s="155"/>
      <c r="BY156" s="155"/>
      <c r="BZ156" s="155"/>
      <c r="CA156" s="155"/>
      <c r="CB156" s="155"/>
      <c r="CC156" s="155"/>
      <c r="CD156" s="155"/>
      <c r="CE156" s="155"/>
      <c r="CF156" s="155"/>
      <c r="CG156" s="238">
        <f t="shared" si="111"/>
        <v>1</v>
      </c>
      <c r="CH156" s="218">
        <f t="shared" si="112"/>
        <v>15000000</v>
      </c>
      <c r="CI156" s="205"/>
      <c r="CJ156" s="205">
        <f t="shared" si="106"/>
        <v>0</v>
      </c>
      <c r="CK156" s="205">
        <f t="shared" si="106"/>
        <v>0</v>
      </c>
      <c r="CL156" s="205">
        <f t="shared" si="106"/>
        <v>0</v>
      </c>
      <c r="CM156" s="205">
        <f t="shared" si="106"/>
        <v>0</v>
      </c>
      <c r="CN156" s="205">
        <f t="shared" si="106"/>
        <v>0</v>
      </c>
      <c r="CO156" s="205">
        <f t="shared" si="106"/>
        <v>0</v>
      </c>
      <c r="CP156" s="205">
        <f t="shared" si="106"/>
        <v>0</v>
      </c>
      <c r="CQ156" s="205">
        <f t="shared" si="106"/>
        <v>15000000</v>
      </c>
      <c r="CR156" s="205">
        <f t="shared" si="106"/>
        <v>0</v>
      </c>
      <c r="CS156" s="205">
        <f t="shared" si="106"/>
        <v>0</v>
      </c>
      <c r="CT156" s="205">
        <f t="shared" si="106"/>
        <v>0</v>
      </c>
    </row>
    <row r="157" spans="1:98" ht="57.6" customHeight="1" x14ac:dyDescent="0.25">
      <c r="A157" s="2" t="s">
        <v>2826</v>
      </c>
      <c r="B157" s="100" t="s">
        <v>2827</v>
      </c>
      <c r="C157" s="2" t="s">
        <v>2840</v>
      </c>
      <c r="D157" s="100" t="s">
        <v>434</v>
      </c>
      <c r="E157" s="2" t="s">
        <v>2841</v>
      </c>
      <c r="F157" s="100" t="s">
        <v>3387</v>
      </c>
      <c r="G157" s="107">
        <v>50000000</v>
      </c>
      <c r="H157" s="107">
        <v>60000000</v>
      </c>
      <c r="I157" s="107">
        <v>60000000</v>
      </c>
      <c r="J157" s="714" t="s">
        <v>2843</v>
      </c>
      <c r="K157" s="721" t="s">
        <v>2844</v>
      </c>
      <c r="L157" s="714">
        <v>1</v>
      </c>
      <c r="M157" s="101">
        <v>0</v>
      </c>
      <c r="N157" s="2" t="s">
        <v>4006</v>
      </c>
      <c r="O157" s="154" t="s">
        <v>4007</v>
      </c>
      <c r="P157" s="155">
        <v>60000000</v>
      </c>
      <c r="Q157" s="155">
        <v>159999852</v>
      </c>
      <c r="R157" s="151">
        <v>301</v>
      </c>
      <c r="S157" s="157">
        <f t="shared" si="101"/>
        <v>99999852</v>
      </c>
      <c r="T157" s="1257" t="s">
        <v>3373</v>
      </c>
      <c r="U157" s="149">
        <f t="shared" si="102"/>
        <v>60000000</v>
      </c>
      <c r="V157" s="155"/>
      <c r="W157" s="155"/>
      <c r="X157" s="155"/>
      <c r="Y157" s="155"/>
      <c r="Z157" s="155"/>
      <c r="AA157" s="155"/>
      <c r="AB157" s="155"/>
      <c r="AC157" s="155"/>
      <c r="AD157" s="155"/>
      <c r="AE157" s="155"/>
      <c r="AF157" s="155">
        <v>60000000</v>
      </c>
      <c r="AG157" s="155"/>
      <c r="AI157" s="739">
        <f t="shared" si="103"/>
        <v>4000000</v>
      </c>
      <c r="AJ157" s="107"/>
      <c r="AK157" s="107"/>
      <c r="AL157" s="107">
        <v>4000000</v>
      </c>
      <c r="AM157" s="107"/>
      <c r="AN157" s="107"/>
      <c r="AO157" s="107"/>
      <c r="AP157" s="130"/>
      <c r="AQ157" s="238">
        <f t="shared" si="104"/>
        <v>0.98947156666666669</v>
      </c>
      <c r="AR157" s="218">
        <f t="shared" si="80"/>
        <v>59368294</v>
      </c>
      <c r="AS157" s="155"/>
      <c r="AT157" s="155"/>
      <c r="AU157" s="155"/>
      <c r="AV157" s="155"/>
      <c r="AW157" s="155"/>
      <c r="AX157" s="155"/>
      <c r="AY157" s="155"/>
      <c r="AZ157" s="155"/>
      <c r="BA157" s="155"/>
      <c r="BB157" s="155"/>
      <c r="BC157" s="155">
        <v>59368294</v>
      </c>
      <c r="BD157" s="155"/>
      <c r="BE157" s="238">
        <f t="shared" si="107"/>
        <v>1.0528433333333309E-2</v>
      </c>
      <c r="BF157" s="218">
        <f t="shared" si="108"/>
        <v>631706</v>
      </c>
      <c r="BG157" s="205">
        <f t="shared" si="105"/>
        <v>0</v>
      </c>
      <c r="BH157" s="205">
        <f t="shared" si="105"/>
        <v>0</v>
      </c>
      <c r="BI157" s="205">
        <f t="shared" si="105"/>
        <v>0</v>
      </c>
      <c r="BJ157" s="205">
        <f t="shared" si="105"/>
        <v>0</v>
      </c>
      <c r="BK157" s="205">
        <f t="shared" si="105"/>
        <v>0</v>
      </c>
      <c r="BL157" s="205">
        <f t="shared" si="105"/>
        <v>0</v>
      </c>
      <c r="BM157" s="205">
        <f t="shared" si="105"/>
        <v>0</v>
      </c>
      <c r="BN157" s="205">
        <f t="shared" si="105"/>
        <v>0</v>
      </c>
      <c r="BO157" s="205">
        <f t="shared" si="105"/>
        <v>0</v>
      </c>
      <c r="BP157" s="205">
        <f t="shared" si="105"/>
        <v>0</v>
      </c>
      <c r="BQ157" s="205">
        <f t="shared" si="105"/>
        <v>631706</v>
      </c>
      <c r="BR157" s="205">
        <f t="shared" si="105"/>
        <v>0</v>
      </c>
      <c r="BS157" s="238">
        <f t="shared" si="109"/>
        <v>0.98947156666666669</v>
      </c>
      <c r="BT157" s="218">
        <f t="shared" si="110"/>
        <v>59368294</v>
      </c>
      <c r="BU157" s="155"/>
      <c r="BV157" s="155"/>
      <c r="BW157" s="155"/>
      <c r="BX157" s="155"/>
      <c r="BY157" s="155"/>
      <c r="BZ157" s="155"/>
      <c r="CA157" s="155"/>
      <c r="CB157" s="155"/>
      <c r="CC157" s="155"/>
      <c r="CD157" s="155"/>
      <c r="CE157" s="155">
        <v>59368294</v>
      </c>
      <c r="CF157" s="155"/>
      <c r="CG157" s="238">
        <f t="shared" si="111"/>
        <v>1.0528433333333309E-2</v>
      </c>
      <c r="CH157" s="218">
        <f t="shared" si="112"/>
        <v>631706</v>
      </c>
      <c r="CI157" s="205">
        <f t="shared" ref="CI157:CI166" si="113">+V157-BU157</f>
        <v>0</v>
      </c>
      <c r="CJ157" s="205">
        <f t="shared" si="106"/>
        <v>0</v>
      </c>
      <c r="CK157" s="205">
        <f t="shared" si="106"/>
        <v>0</v>
      </c>
      <c r="CL157" s="205">
        <f t="shared" si="106"/>
        <v>0</v>
      </c>
      <c r="CM157" s="205">
        <f t="shared" si="106"/>
        <v>0</v>
      </c>
      <c r="CN157" s="205">
        <f t="shared" si="106"/>
        <v>0</v>
      </c>
      <c r="CO157" s="205">
        <f t="shared" si="106"/>
        <v>0</v>
      </c>
      <c r="CP157" s="205">
        <f t="shared" si="106"/>
        <v>0</v>
      </c>
      <c r="CQ157" s="205">
        <f t="shared" si="106"/>
        <v>0</v>
      </c>
      <c r="CR157" s="205">
        <f t="shared" si="106"/>
        <v>0</v>
      </c>
      <c r="CS157" s="751">
        <f t="shared" si="106"/>
        <v>631706</v>
      </c>
      <c r="CT157" s="205">
        <f t="shared" si="106"/>
        <v>0</v>
      </c>
    </row>
    <row r="158" spans="1:98" ht="31.15" customHeight="1" x14ac:dyDescent="0.25">
      <c r="A158" s="2" t="s">
        <v>2826</v>
      </c>
      <c r="B158" s="100" t="s">
        <v>2827</v>
      </c>
      <c r="C158" s="2" t="s">
        <v>2840</v>
      </c>
      <c r="D158" s="100" t="s">
        <v>434</v>
      </c>
      <c r="E158" s="2" t="s">
        <v>2841</v>
      </c>
      <c r="F158" s="100" t="s">
        <v>2846</v>
      </c>
      <c r="G158" s="107">
        <v>30000000</v>
      </c>
      <c r="H158" s="107">
        <v>50000000</v>
      </c>
      <c r="I158" s="107">
        <v>50000000</v>
      </c>
      <c r="J158" s="714" t="s">
        <v>2847</v>
      </c>
      <c r="K158" s="721" t="s">
        <v>2848</v>
      </c>
      <c r="L158" s="714">
        <v>1</v>
      </c>
      <c r="M158" s="101">
        <v>0</v>
      </c>
      <c r="N158" s="2" t="s">
        <v>4008</v>
      </c>
      <c r="O158" s="154" t="s">
        <v>3326</v>
      </c>
      <c r="P158" s="155">
        <v>50000000</v>
      </c>
      <c r="Q158" s="155">
        <v>1275000000</v>
      </c>
      <c r="R158" s="151">
        <v>301</v>
      </c>
      <c r="S158" s="157">
        <f t="shared" si="101"/>
        <v>1195000000</v>
      </c>
      <c r="T158" s="1258"/>
      <c r="U158" s="149">
        <f t="shared" si="102"/>
        <v>80000000</v>
      </c>
      <c r="V158" s="155"/>
      <c r="W158" s="155"/>
      <c r="X158" s="155"/>
      <c r="Y158" s="155"/>
      <c r="Z158" s="155"/>
      <c r="AA158" s="155"/>
      <c r="AB158" s="155"/>
      <c r="AC158" s="155"/>
      <c r="AD158" s="155"/>
      <c r="AE158" s="155"/>
      <c r="AF158" s="155">
        <v>80000000</v>
      </c>
      <c r="AG158" s="155"/>
      <c r="AI158" s="739">
        <f t="shared" si="103"/>
        <v>0</v>
      </c>
      <c r="AJ158" s="107"/>
      <c r="AK158" s="107"/>
      <c r="AL158" s="107"/>
      <c r="AM158" s="107"/>
      <c r="AN158" s="107"/>
      <c r="AO158" s="107"/>
      <c r="AP158" s="130"/>
      <c r="AQ158" s="238">
        <f t="shared" si="104"/>
        <v>0.56792517499999995</v>
      </c>
      <c r="AR158" s="218">
        <f t="shared" si="80"/>
        <v>45434014</v>
      </c>
      <c r="AS158" s="155"/>
      <c r="AT158" s="155"/>
      <c r="AU158" s="155"/>
      <c r="AV158" s="155"/>
      <c r="AW158" s="155"/>
      <c r="AX158" s="155"/>
      <c r="AY158" s="155"/>
      <c r="AZ158" s="155"/>
      <c r="BA158" s="155"/>
      <c r="BB158" s="155"/>
      <c r="BC158" s="155">
        <v>45434014</v>
      </c>
      <c r="BD158" s="155"/>
      <c r="BE158" s="238">
        <f t="shared" si="107"/>
        <v>0.43207482500000005</v>
      </c>
      <c r="BF158" s="218">
        <f t="shared" si="108"/>
        <v>34565986</v>
      </c>
      <c r="BG158" s="205">
        <f t="shared" si="105"/>
        <v>0</v>
      </c>
      <c r="BH158" s="205">
        <f t="shared" si="105"/>
        <v>0</v>
      </c>
      <c r="BI158" s="205">
        <f t="shared" si="105"/>
        <v>0</v>
      </c>
      <c r="BJ158" s="205">
        <f t="shared" si="105"/>
        <v>0</v>
      </c>
      <c r="BK158" s="205">
        <f t="shared" si="105"/>
        <v>0</v>
      </c>
      <c r="BL158" s="205">
        <f t="shared" si="105"/>
        <v>0</v>
      </c>
      <c r="BM158" s="205">
        <f t="shared" si="105"/>
        <v>0</v>
      </c>
      <c r="BN158" s="205">
        <f t="shared" si="105"/>
        <v>0</v>
      </c>
      <c r="BO158" s="205">
        <f t="shared" si="105"/>
        <v>0</v>
      </c>
      <c r="BP158" s="205">
        <f t="shared" si="105"/>
        <v>0</v>
      </c>
      <c r="BQ158" s="205">
        <f t="shared" si="105"/>
        <v>34565986</v>
      </c>
      <c r="BR158" s="205">
        <f t="shared" si="105"/>
        <v>0</v>
      </c>
      <c r="BS158" s="238">
        <f t="shared" si="109"/>
        <v>0.4375</v>
      </c>
      <c r="BT158" s="218">
        <f t="shared" si="110"/>
        <v>35000000</v>
      </c>
      <c r="BU158" s="155"/>
      <c r="BV158" s="155"/>
      <c r="BW158" s="155"/>
      <c r="BX158" s="155"/>
      <c r="BY158" s="155"/>
      <c r="BZ158" s="155"/>
      <c r="CA158" s="155"/>
      <c r="CB158" s="155"/>
      <c r="CC158" s="155"/>
      <c r="CD158" s="155"/>
      <c r="CE158" s="155">
        <v>35000000</v>
      </c>
      <c r="CF158" s="155"/>
      <c r="CG158" s="238">
        <f t="shared" si="111"/>
        <v>0.5625</v>
      </c>
      <c r="CH158" s="218">
        <f t="shared" si="112"/>
        <v>45000000</v>
      </c>
      <c r="CI158" s="205">
        <f t="shared" si="113"/>
        <v>0</v>
      </c>
      <c r="CJ158" s="205">
        <f t="shared" si="106"/>
        <v>0</v>
      </c>
      <c r="CK158" s="205">
        <f t="shared" si="106"/>
        <v>0</v>
      </c>
      <c r="CL158" s="205">
        <f t="shared" si="106"/>
        <v>0</v>
      </c>
      <c r="CM158" s="205">
        <f t="shared" si="106"/>
        <v>0</v>
      </c>
      <c r="CN158" s="205">
        <f t="shared" si="106"/>
        <v>0</v>
      </c>
      <c r="CO158" s="205">
        <f t="shared" si="106"/>
        <v>0</v>
      </c>
      <c r="CP158" s="205">
        <f t="shared" si="106"/>
        <v>0</v>
      </c>
      <c r="CQ158" s="205">
        <f t="shared" si="106"/>
        <v>0</v>
      </c>
      <c r="CR158" s="205">
        <f t="shared" si="106"/>
        <v>0</v>
      </c>
      <c r="CS158" s="205">
        <f t="shared" si="106"/>
        <v>45000000</v>
      </c>
      <c r="CT158" s="205">
        <f t="shared" si="106"/>
        <v>0</v>
      </c>
    </row>
    <row r="159" spans="1:98" ht="43.15" customHeight="1" x14ac:dyDescent="0.25">
      <c r="A159" s="2" t="s">
        <v>2826</v>
      </c>
      <c r="B159" s="100" t="s">
        <v>2827</v>
      </c>
      <c r="C159" s="2" t="s">
        <v>2840</v>
      </c>
      <c r="D159" s="100" t="s">
        <v>434</v>
      </c>
      <c r="E159" s="2" t="s">
        <v>2841</v>
      </c>
      <c r="F159" s="100" t="s">
        <v>2850</v>
      </c>
      <c r="G159" s="107">
        <v>25000000</v>
      </c>
      <c r="H159" s="107">
        <v>35000000</v>
      </c>
      <c r="I159" s="107">
        <v>35000000</v>
      </c>
      <c r="J159" s="714" t="s">
        <v>2851</v>
      </c>
      <c r="K159" s="721" t="s">
        <v>2852</v>
      </c>
      <c r="L159" s="714">
        <v>7</v>
      </c>
      <c r="M159" s="101">
        <v>0</v>
      </c>
      <c r="N159" s="2" t="s">
        <v>4009</v>
      </c>
      <c r="O159" s="154" t="s">
        <v>3328</v>
      </c>
      <c r="P159" s="155">
        <v>35000000</v>
      </c>
      <c r="Q159" s="155">
        <v>31563700</v>
      </c>
      <c r="R159" s="151">
        <v>301</v>
      </c>
      <c r="S159" s="157">
        <f t="shared" si="101"/>
        <v>-6436300</v>
      </c>
      <c r="T159" s="1198" t="s">
        <v>3373</v>
      </c>
      <c r="U159" s="149">
        <f t="shared" si="102"/>
        <v>38000000</v>
      </c>
      <c r="V159" s="155"/>
      <c r="W159" s="155"/>
      <c r="X159" s="155"/>
      <c r="Y159" s="155"/>
      <c r="Z159" s="155"/>
      <c r="AA159" s="155"/>
      <c r="AB159" s="155"/>
      <c r="AC159" s="155"/>
      <c r="AD159" s="155"/>
      <c r="AE159" s="155"/>
      <c r="AF159" s="155">
        <v>38000000</v>
      </c>
      <c r="AG159" s="155"/>
      <c r="AI159" s="739">
        <f t="shared" si="103"/>
        <v>15500000</v>
      </c>
      <c r="AJ159" s="245">
        <f>500000+13500000+1500000</f>
        <v>15500000</v>
      </c>
      <c r="AK159" s="107"/>
      <c r="AL159" s="107"/>
      <c r="AM159" s="107"/>
      <c r="AN159" s="107"/>
      <c r="AO159" s="107"/>
      <c r="AP159" s="130"/>
      <c r="AQ159" s="238">
        <f t="shared" si="104"/>
        <v>0.4026315789473684</v>
      </c>
      <c r="AR159" s="218">
        <f t="shared" si="80"/>
        <v>15300000</v>
      </c>
      <c r="AS159" s="155"/>
      <c r="AT159" s="155"/>
      <c r="AU159" s="155"/>
      <c r="AV159" s="155"/>
      <c r="AW159" s="155"/>
      <c r="AX159" s="155"/>
      <c r="AY159" s="155"/>
      <c r="AZ159" s="155"/>
      <c r="BA159" s="155"/>
      <c r="BB159" s="155"/>
      <c r="BC159" s="155">
        <v>15300000</v>
      </c>
      <c r="BD159" s="155"/>
      <c r="BE159" s="238">
        <f t="shared" si="107"/>
        <v>0.59736842105263155</v>
      </c>
      <c r="BF159" s="218">
        <f t="shared" si="108"/>
        <v>22700000</v>
      </c>
      <c r="BG159" s="205">
        <f t="shared" si="105"/>
        <v>0</v>
      </c>
      <c r="BH159" s="205">
        <f t="shared" si="105"/>
        <v>0</v>
      </c>
      <c r="BI159" s="205">
        <f t="shared" si="105"/>
        <v>0</v>
      </c>
      <c r="BJ159" s="205">
        <f t="shared" si="105"/>
        <v>0</v>
      </c>
      <c r="BK159" s="205">
        <f t="shared" si="105"/>
        <v>0</v>
      </c>
      <c r="BL159" s="205">
        <f t="shared" si="105"/>
        <v>0</v>
      </c>
      <c r="BM159" s="205">
        <f t="shared" si="105"/>
        <v>0</v>
      </c>
      <c r="BN159" s="205">
        <f t="shared" si="105"/>
        <v>0</v>
      </c>
      <c r="BO159" s="205">
        <f t="shared" si="105"/>
        <v>0</v>
      </c>
      <c r="BP159" s="205">
        <f t="shared" si="105"/>
        <v>0</v>
      </c>
      <c r="BQ159" s="205">
        <f t="shared" si="105"/>
        <v>22700000</v>
      </c>
      <c r="BR159" s="205">
        <f t="shared" si="105"/>
        <v>0</v>
      </c>
      <c r="BS159" s="238">
        <f t="shared" si="109"/>
        <v>0.35</v>
      </c>
      <c r="BT159" s="218">
        <f t="shared" si="110"/>
        <v>13300000</v>
      </c>
      <c r="BU159" s="155"/>
      <c r="BV159" s="155"/>
      <c r="BW159" s="155"/>
      <c r="BX159" s="155"/>
      <c r="BY159" s="155"/>
      <c r="BZ159" s="155"/>
      <c r="CA159" s="155"/>
      <c r="CB159" s="155"/>
      <c r="CC159" s="155"/>
      <c r="CD159" s="155"/>
      <c r="CE159" s="155">
        <v>13300000</v>
      </c>
      <c r="CF159" s="155"/>
      <c r="CG159" s="238">
        <f t="shared" si="111"/>
        <v>0.65</v>
      </c>
      <c r="CH159" s="218">
        <f t="shared" si="112"/>
        <v>24700000</v>
      </c>
      <c r="CI159" s="205">
        <f t="shared" si="113"/>
        <v>0</v>
      </c>
      <c r="CJ159" s="205">
        <f t="shared" si="106"/>
        <v>0</v>
      </c>
      <c r="CK159" s="205">
        <f t="shared" si="106"/>
        <v>0</v>
      </c>
      <c r="CL159" s="205">
        <f t="shared" si="106"/>
        <v>0</v>
      </c>
      <c r="CM159" s="205">
        <f t="shared" si="106"/>
        <v>0</v>
      </c>
      <c r="CN159" s="205">
        <f t="shared" si="106"/>
        <v>0</v>
      </c>
      <c r="CO159" s="205">
        <f t="shared" si="106"/>
        <v>0</v>
      </c>
      <c r="CP159" s="205">
        <f t="shared" si="106"/>
        <v>0</v>
      </c>
      <c r="CQ159" s="205">
        <f t="shared" si="106"/>
        <v>0</v>
      </c>
      <c r="CR159" s="205">
        <f t="shared" si="106"/>
        <v>0</v>
      </c>
      <c r="CS159" s="205">
        <f t="shared" si="106"/>
        <v>24700000</v>
      </c>
      <c r="CT159" s="205">
        <f t="shared" si="106"/>
        <v>0</v>
      </c>
    </row>
    <row r="160" spans="1:98" ht="57.6" customHeight="1" x14ac:dyDescent="0.25">
      <c r="A160" s="2" t="s">
        <v>2826</v>
      </c>
      <c r="B160" s="100" t="s">
        <v>2827</v>
      </c>
      <c r="C160" s="2" t="s">
        <v>2840</v>
      </c>
      <c r="D160" s="100" t="s">
        <v>434</v>
      </c>
      <c r="E160" s="2" t="s">
        <v>2841</v>
      </c>
      <c r="F160" s="100" t="s">
        <v>2854</v>
      </c>
      <c r="G160" s="107">
        <v>20000000</v>
      </c>
      <c r="H160" s="107">
        <v>30000000</v>
      </c>
      <c r="I160" s="107">
        <v>30000000</v>
      </c>
      <c r="J160" s="714" t="s">
        <v>2855</v>
      </c>
      <c r="K160" s="721" t="s">
        <v>2856</v>
      </c>
      <c r="L160" s="714">
        <v>5</v>
      </c>
      <c r="M160" s="101">
        <v>0</v>
      </c>
      <c r="N160" s="2" t="s">
        <v>4010</v>
      </c>
      <c r="O160" s="154" t="s">
        <v>3329</v>
      </c>
      <c r="P160" s="155">
        <v>30000000</v>
      </c>
      <c r="Q160" s="155">
        <v>6000000</v>
      </c>
      <c r="R160" s="151">
        <v>301</v>
      </c>
      <c r="S160" s="157">
        <f t="shared" si="101"/>
        <v>-5000000</v>
      </c>
      <c r="T160" s="1198"/>
      <c r="U160" s="149">
        <f t="shared" si="102"/>
        <v>11000000</v>
      </c>
      <c r="V160" s="155"/>
      <c r="W160" s="155"/>
      <c r="X160" s="155"/>
      <c r="Y160" s="155"/>
      <c r="Z160" s="155"/>
      <c r="AA160" s="155"/>
      <c r="AB160" s="155"/>
      <c r="AC160" s="155"/>
      <c r="AD160" s="155"/>
      <c r="AE160" s="155"/>
      <c r="AF160" s="155">
        <v>11000000</v>
      </c>
      <c r="AG160" s="155"/>
      <c r="AI160" s="739">
        <f t="shared" si="103"/>
        <v>0</v>
      </c>
      <c r="AJ160" s="107"/>
      <c r="AK160" s="107"/>
      <c r="AL160" s="107"/>
      <c r="AM160" s="107"/>
      <c r="AN160" s="107"/>
      <c r="AO160" s="107"/>
      <c r="AP160" s="130"/>
      <c r="AQ160" s="238">
        <f t="shared" si="104"/>
        <v>0.18770909090909091</v>
      </c>
      <c r="AR160" s="218">
        <f t="shared" si="80"/>
        <v>2064800</v>
      </c>
      <c r="AS160" s="155"/>
      <c r="AT160" s="155"/>
      <c r="AU160" s="155"/>
      <c r="AV160" s="155"/>
      <c r="AW160" s="155"/>
      <c r="AX160" s="155"/>
      <c r="AY160" s="155"/>
      <c r="AZ160" s="155"/>
      <c r="BA160" s="155"/>
      <c r="BB160" s="155"/>
      <c r="BC160" s="155">
        <v>2064800</v>
      </c>
      <c r="BD160" s="155"/>
      <c r="BE160" s="238">
        <f t="shared" si="107"/>
        <v>0.81229090909090906</v>
      </c>
      <c r="BF160" s="218">
        <f t="shared" si="108"/>
        <v>8935200</v>
      </c>
      <c r="BG160" s="205">
        <f t="shared" si="105"/>
        <v>0</v>
      </c>
      <c r="BH160" s="205">
        <f t="shared" si="105"/>
        <v>0</v>
      </c>
      <c r="BI160" s="205">
        <f t="shared" si="105"/>
        <v>0</v>
      </c>
      <c r="BJ160" s="205">
        <f t="shared" si="105"/>
        <v>0</v>
      </c>
      <c r="BK160" s="205">
        <f t="shared" si="105"/>
        <v>0</v>
      </c>
      <c r="BL160" s="205">
        <f t="shared" si="105"/>
        <v>0</v>
      </c>
      <c r="BM160" s="205">
        <f t="shared" si="105"/>
        <v>0</v>
      </c>
      <c r="BN160" s="205">
        <f t="shared" si="105"/>
        <v>0</v>
      </c>
      <c r="BO160" s="205">
        <f t="shared" si="105"/>
        <v>0</v>
      </c>
      <c r="BP160" s="205">
        <f t="shared" si="105"/>
        <v>0</v>
      </c>
      <c r="BQ160" s="205">
        <f t="shared" si="105"/>
        <v>8935200</v>
      </c>
      <c r="BR160" s="205">
        <f t="shared" si="105"/>
        <v>0</v>
      </c>
      <c r="BS160" s="238">
        <f t="shared" si="109"/>
        <v>0.18770909090909091</v>
      </c>
      <c r="BT160" s="218">
        <f t="shared" si="110"/>
        <v>2064800</v>
      </c>
      <c r="BU160" s="155"/>
      <c r="BV160" s="155"/>
      <c r="BW160" s="155"/>
      <c r="BX160" s="155"/>
      <c r="BY160" s="155"/>
      <c r="BZ160" s="155"/>
      <c r="CA160" s="155"/>
      <c r="CB160" s="155"/>
      <c r="CC160" s="155"/>
      <c r="CD160" s="155"/>
      <c r="CE160" s="155">
        <v>2064800</v>
      </c>
      <c r="CF160" s="155"/>
      <c r="CG160" s="238">
        <f t="shared" si="111"/>
        <v>0.81229090909090906</v>
      </c>
      <c r="CH160" s="218">
        <f t="shared" si="112"/>
        <v>8935200</v>
      </c>
      <c r="CI160" s="205">
        <f t="shared" si="113"/>
        <v>0</v>
      </c>
      <c r="CJ160" s="205">
        <f t="shared" si="106"/>
        <v>0</v>
      </c>
      <c r="CK160" s="205">
        <f t="shared" si="106"/>
        <v>0</v>
      </c>
      <c r="CL160" s="205">
        <f t="shared" si="106"/>
        <v>0</v>
      </c>
      <c r="CM160" s="205">
        <f t="shared" si="106"/>
        <v>0</v>
      </c>
      <c r="CN160" s="205">
        <f t="shared" si="106"/>
        <v>0</v>
      </c>
      <c r="CO160" s="205">
        <f t="shared" si="106"/>
        <v>0</v>
      </c>
      <c r="CP160" s="205">
        <f t="shared" si="106"/>
        <v>0</v>
      </c>
      <c r="CQ160" s="205">
        <f t="shared" si="106"/>
        <v>0</v>
      </c>
      <c r="CR160" s="205">
        <f t="shared" si="106"/>
        <v>0</v>
      </c>
      <c r="CS160" s="205">
        <f t="shared" si="106"/>
        <v>8935200</v>
      </c>
      <c r="CT160" s="205">
        <f t="shared" si="106"/>
        <v>0</v>
      </c>
    </row>
    <row r="161" spans="1:98" ht="49.5" customHeight="1" x14ac:dyDescent="0.25">
      <c r="A161" s="2" t="s">
        <v>2826</v>
      </c>
      <c r="B161" s="100" t="s">
        <v>2827</v>
      </c>
      <c r="C161" s="2" t="s">
        <v>2840</v>
      </c>
      <c r="D161" s="100" t="s">
        <v>434</v>
      </c>
      <c r="E161" s="2" t="s">
        <v>2841</v>
      </c>
      <c r="F161" s="100" t="s">
        <v>2857</v>
      </c>
      <c r="G161" s="107">
        <v>10000000</v>
      </c>
      <c r="H161" s="107">
        <v>15000000</v>
      </c>
      <c r="I161" s="107">
        <v>15000000</v>
      </c>
      <c r="J161" s="714" t="s">
        <v>2858</v>
      </c>
      <c r="K161" s="721" t="s">
        <v>2859</v>
      </c>
      <c r="L161" s="714">
        <v>5</v>
      </c>
      <c r="M161" s="101">
        <v>0</v>
      </c>
      <c r="N161" s="2" t="s">
        <v>4011</v>
      </c>
      <c r="O161" s="154" t="s">
        <v>3330</v>
      </c>
      <c r="P161" s="155">
        <v>50</v>
      </c>
      <c r="Q161" s="155">
        <v>0</v>
      </c>
      <c r="R161" s="151">
        <v>301</v>
      </c>
      <c r="S161" s="157">
        <f t="shared" si="101"/>
        <v>-15000000</v>
      </c>
      <c r="T161" s="1199" t="s">
        <v>3373</v>
      </c>
      <c r="U161" s="149">
        <f t="shared" si="102"/>
        <v>15000000</v>
      </c>
      <c r="V161" s="155"/>
      <c r="W161" s="155"/>
      <c r="X161" s="155"/>
      <c r="Y161" s="155"/>
      <c r="Z161" s="155"/>
      <c r="AA161" s="155"/>
      <c r="AB161" s="155"/>
      <c r="AC161" s="155"/>
      <c r="AD161" s="155"/>
      <c r="AE161" s="155"/>
      <c r="AF161" s="155">
        <v>15000000</v>
      </c>
      <c r="AG161" s="155"/>
      <c r="AI161" s="739">
        <f t="shared" si="103"/>
        <v>0</v>
      </c>
      <c r="AJ161" s="107"/>
      <c r="AK161" s="107"/>
      <c r="AL161" s="107"/>
      <c r="AM161" s="107"/>
      <c r="AN161" s="107"/>
      <c r="AO161" s="107"/>
      <c r="AP161" s="130"/>
      <c r="AQ161" s="238">
        <f t="shared" si="104"/>
        <v>0</v>
      </c>
      <c r="AR161" s="218">
        <f t="shared" si="80"/>
        <v>0</v>
      </c>
      <c r="AS161" s="155"/>
      <c r="AT161" s="155"/>
      <c r="AU161" s="155"/>
      <c r="AV161" s="155"/>
      <c r="AW161" s="155"/>
      <c r="AX161" s="155"/>
      <c r="AY161" s="155"/>
      <c r="AZ161" s="155"/>
      <c r="BA161" s="155"/>
      <c r="BB161" s="155"/>
      <c r="BC161" s="155"/>
      <c r="BD161" s="155"/>
      <c r="BE161" s="238">
        <f t="shared" si="107"/>
        <v>1</v>
      </c>
      <c r="BF161" s="218">
        <f t="shared" si="108"/>
        <v>15000000</v>
      </c>
      <c r="BG161" s="205">
        <f t="shared" si="105"/>
        <v>0</v>
      </c>
      <c r="BH161" s="205">
        <f t="shared" si="105"/>
        <v>0</v>
      </c>
      <c r="BI161" s="205">
        <f t="shared" si="105"/>
        <v>0</v>
      </c>
      <c r="BJ161" s="205">
        <f t="shared" si="105"/>
        <v>0</v>
      </c>
      <c r="BK161" s="205">
        <f t="shared" si="105"/>
        <v>0</v>
      </c>
      <c r="BL161" s="205">
        <f t="shared" si="105"/>
        <v>0</v>
      </c>
      <c r="BM161" s="205">
        <f t="shared" si="105"/>
        <v>0</v>
      </c>
      <c r="BN161" s="205">
        <f t="shared" si="105"/>
        <v>0</v>
      </c>
      <c r="BO161" s="205">
        <f t="shared" si="105"/>
        <v>0</v>
      </c>
      <c r="BP161" s="205">
        <f t="shared" si="105"/>
        <v>0</v>
      </c>
      <c r="BQ161" s="205">
        <f t="shared" si="105"/>
        <v>15000000</v>
      </c>
      <c r="BR161" s="205">
        <f t="shared" si="105"/>
        <v>0</v>
      </c>
      <c r="BS161" s="238">
        <f t="shared" si="109"/>
        <v>0</v>
      </c>
      <c r="BT161" s="218">
        <f t="shared" si="110"/>
        <v>0</v>
      </c>
      <c r="BU161" s="155"/>
      <c r="BV161" s="155"/>
      <c r="BW161" s="155"/>
      <c r="BX161" s="155"/>
      <c r="BY161" s="155"/>
      <c r="BZ161" s="155"/>
      <c r="CA161" s="155"/>
      <c r="CB161" s="155"/>
      <c r="CC161" s="155"/>
      <c r="CD161" s="155"/>
      <c r="CE161" s="155"/>
      <c r="CF161" s="155"/>
      <c r="CG161" s="238">
        <f t="shared" si="111"/>
        <v>1</v>
      </c>
      <c r="CH161" s="218">
        <f t="shared" si="112"/>
        <v>15000000</v>
      </c>
      <c r="CI161" s="205">
        <f t="shared" si="113"/>
        <v>0</v>
      </c>
      <c r="CJ161" s="205">
        <f t="shared" si="106"/>
        <v>0</v>
      </c>
      <c r="CK161" s="205">
        <f t="shared" si="106"/>
        <v>0</v>
      </c>
      <c r="CL161" s="205">
        <f t="shared" si="106"/>
        <v>0</v>
      </c>
      <c r="CM161" s="205">
        <f t="shared" si="106"/>
        <v>0</v>
      </c>
      <c r="CN161" s="205">
        <f t="shared" si="106"/>
        <v>0</v>
      </c>
      <c r="CO161" s="205">
        <f t="shared" si="106"/>
        <v>0</v>
      </c>
      <c r="CP161" s="205">
        <f t="shared" si="106"/>
        <v>0</v>
      </c>
      <c r="CQ161" s="205">
        <f t="shared" si="106"/>
        <v>0</v>
      </c>
      <c r="CR161" s="205">
        <f t="shared" si="106"/>
        <v>0</v>
      </c>
      <c r="CS161" s="205">
        <f t="shared" si="106"/>
        <v>15000000</v>
      </c>
      <c r="CT161" s="205">
        <f t="shared" si="106"/>
        <v>0</v>
      </c>
    </row>
    <row r="162" spans="1:98" ht="65.25" customHeight="1" x14ac:dyDescent="0.25">
      <c r="A162" s="2" t="s">
        <v>2826</v>
      </c>
      <c r="B162" s="100" t="s">
        <v>2827</v>
      </c>
      <c r="C162" s="2" t="s">
        <v>2840</v>
      </c>
      <c r="D162" s="100" t="s">
        <v>434</v>
      </c>
      <c r="E162" s="2" t="s">
        <v>2841</v>
      </c>
      <c r="F162" s="100" t="s">
        <v>2860</v>
      </c>
      <c r="G162" s="107">
        <v>500000000</v>
      </c>
      <c r="H162" s="107">
        <v>550000000</v>
      </c>
      <c r="I162" s="107">
        <v>550000000</v>
      </c>
      <c r="J162" s="714" t="s">
        <v>2862</v>
      </c>
      <c r="K162" s="721" t="s">
        <v>2863</v>
      </c>
      <c r="L162" s="714">
        <v>70</v>
      </c>
      <c r="M162" s="101">
        <v>0</v>
      </c>
      <c r="N162" s="2" t="s">
        <v>4012</v>
      </c>
      <c r="O162" s="154" t="s">
        <v>3331</v>
      </c>
      <c r="P162" s="155">
        <v>550000000</v>
      </c>
      <c r="Q162" s="155">
        <v>670160000</v>
      </c>
      <c r="R162" s="151">
        <v>301</v>
      </c>
      <c r="S162" s="157">
        <f t="shared" si="101"/>
        <v>55160000</v>
      </c>
      <c r="T162" s="1199"/>
      <c r="U162" s="149">
        <f t="shared" si="102"/>
        <v>615000000</v>
      </c>
      <c r="V162" s="155"/>
      <c r="W162" s="155"/>
      <c r="X162" s="155"/>
      <c r="Y162" s="155"/>
      <c r="Z162" s="155"/>
      <c r="AA162" s="155"/>
      <c r="AB162" s="155"/>
      <c r="AC162" s="155"/>
      <c r="AD162" s="155"/>
      <c r="AE162" s="155"/>
      <c r="AF162" s="155">
        <f>600000000+15000000</f>
        <v>615000000</v>
      </c>
      <c r="AG162" s="155"/>
      <c r="AI162" s="739">
        <f t="shared" si="103"/>
        <v>0</v>
      </c>
      <c r="AJ162" s="107"/>
      <c r="AK162" s="107"/>
      <c r="AL162" s="107"/>
      <c r="AM162" s="107"/>
      <c r="AN162" s="107"/>
      <c r="AO162" s="107"/>
      <c r="AP162" s="130"/>
      <c r="AQ162" s="238">
        <f t="shared" si="104"/>
        <v>0.92988560975609758</v>
      </c>
      <c r="AR162" s="218">
        <f t="shared" si="80"/>
        <v>571879650</v>
      </c>
      <c r="AS162" s="155"/>
      <c r="AT162" s="155"/>
      <c r="AU162" s="155"/>
      <c r="AV162" s="155"/>
      <c r="AW162" s="155"/>
      <c r="AX162" s="155"/>
      <c r="AY162" s="155"/>
      <c r="AZ162" s="155"/>
      <c r="BA162" s="155"/>
      <c r="BB162" s="155"/>
      <c r="BC162" s="155">
        <v>571879650</v>
      </c>
      <c r="BD162" s="155"/>
      <c r="BE162" s="238">
        <f t="shared" si="107"/>
        <v>7.0114390243902425E-2</v>
      </c>
      <c r="BF162" s="218">
        <f t="shared" si="108"/>
        <v>43120350</v>
      </c>
      <c r="BG162" s="205">
        <f t="shared" si="105"/>
        <v>0</v>
      </c>
      <c r="BH162" s="205">
        <f t="shared" si="105"/>
        <v>0</v>
      </c>
      <c r="BI162" s="205">
        <f t="shared" si="105"/>
        <v>0</v>
      </c>
      <c r="BJ162" s="205">
        <f t="shared" si="105"/>
        <v>0</v>
      </c>
      <c r="BK162" s="205">
        <f t="shared" si="105"/>
        <v>0</v>
      </c>
      <c r="BL162" s="205">
        <f t="shared" si="105"/>
        <v>0</v>
      </c>
      <c r="BM162" s="205">
        <f t="shared" si="105"/>
        <v>0</v>
      </c>
      <c r="BN162" s="205">
        <f t="shared" si="105"/>
        <v>0</v>
      </c>
      <c r="BO162" s="205">
        <f t="shared" si="105"/>
        <v>0</v>
      </c>
      <c r="BP162" s="205">
        <f t="shared" si="105"/>
        <v>0</v>
      </c>
      <c r="BQ162" s="205">
        <f t="shared" si="105"/>
        <v>43120350</v>
      </c>
      <c r="BR162" s="205">
        <f t="shared" si="105"/>
        <v>0</v>
      </c>
      <c r="BS162" s="238">
        <f t="shared" si="109"/>
        <v>0.81769609756097561</v>
      </c>
      <c r="BT162" s="218">
        <f t="shared" si="110"/>
        <v>502883100</v>
      </c>
      <c r="BU162" s="155"/>
      <c r="BV162" s="155"/>
      <c r="BW162" s="155"/>
      <c r="BX162" s="155"/>
      <c r="BY162" s="155"/>
      <c r="BZ162" s="155"/>
      <c r="CA162" s="155"/>
      <c r="CB162" s="155"/>
      <c r="CC162" s="155"/>
      <c r="CD162" s="155"/>
      <c r="CE162" s="155">
        <v>502883100</v>
      </c>
      <c r="CF162" s="155"/>
      <c r="CG162" s="238">
        <f t="shared" si="111"/>
        <v>0.18230390243902439</v>
      </c>
      <c r="CH162" s="218">
        <f t="shared" si="112"/>
        <v>112116900</v>
      </c>
      <c r="CI162" s="205">
        <f t="shared" si="113"/>
        <v>0</v>
      </c>
      <c r="CJ162" s="205">
        <f t="shared" si="106"/>
        <v>0</v>
      </c>
      <c r="CK162" s="205">
        <f t="shared" si="106"/>
        <v>0</v>
      </c>
      <c r="CL162" s="205">
        <f t="shared" si="106"/>
        <v>0</v>
      </c>
      <c r="CM162" s="205">
        <f t="shared" si="106"/>
        <v>0</v>
      </c>
      <c r="CN162" s="205">
        <f t="shared" si="106"/>
        <v>0</v>
      </c>
      <c r="CO162" s="205">
        <f t="shared" si="106"/>
        <v>0</v>
      </c>
      <c r="CP162" s="205">
        <f t="shared" si="106"/>
        <v>0</v>
      </c>
      <c r="CQ162" s="205">
        <f t="shared" si="106"/>
        <v>0</v>
      </c>
      <c r="CR162" s="205">
        <f t="shared" si="106"/>
        <v>0</v>
      </c>
      <c r="CS162" s="205">
        <f t="shared" si="106"/>
        <v>112116900</v>
      </c>
      <c r="CT162" s="205">
        <f t="shared" si="106"/>
        <v>0</v>
      </c>
    </row>
    <row r="163" spans="1:98" ht="45" customHeight="1" x14ac:dyDescent="0.25">
      <c r="A163" s="2" t="s">
        <v>2826</v>
      </c>
      <c r="B163" s="100" t="s">
        <v>2827</v>
      </c>
      <c r="C163" s="2" t="s">
        <v>2840</v>
      </c>
      <c r="D163" s="100" t="s">
        <v>434</v>
      </c>
      <c r="E163" s="2" t="s">
        <v>2865</v>
      </c>
      <c r="F163" s="100" t="s">
        <v>2866</v>
      </c>
      <c r="G163" s="107">
        <v>35000000</v>
      </c>
      <c r="H163" s="107">
        <v>35000000</v>
      </c>
      <c r="I163" s="107">
        <v>35000000</v>
      </c>
      <c r="J163" s="714" t="s">
        <v>2867</v>
      </c>
      <c r="K163" s="721" t="s">
        <v>2868</v>
      </c>
      <c r="L163" s="714">
        <v>30</v>
      </c>
      <c r="M163" s="101">
        <v>0</v>
      </c>
      <c r="N163" s="2" t="s">
        <v>4013</v>
      </c>
      <c r="O163" s="154" t="s">
        <v>3332</v>
      </c>
      <c r="P163" s="155">
        <v>35000000</v>
      </c>
      <c r="Q163" s="155">
        <v>185000000</v>
      </c>
      <c r="R163" s="151">
        <v>301</v>
      </c>
      <c r="S163" s="157">
        <f t="shared" si="101"/>
        <v>115000000</v>
      </c>
      <c r="T163" s="1199"/>
      <c r="U163" s="149">
        <f t="shared" si="102"/>
        <v>70000000</v>
      </c>
      <c r="V163" s="155"/>
      <c r="W163" s="155"/>
      <c r="X163" s="155"/>
      <c r="Y163" s="155"/>
      <c r="Z163" s="155"/>
      <c r="AA163" s="155"/>
      <c r="AB163" s="155"/>
      <c r="AC163" s="155"/>
      <c r="AD163" s="155"/>
      <c r="AE163" s="155"/>
      <c r="AF163" s="155">
        <v>70000000</v>
      </c>
      <c r="AG163" s="155"/>
      <c r="AI163" s="739">
        <f t="shared" si="103"/>
        <v>5000000</v>
      </c>
      <c r="AJ163" s="245">
        <v>5000000</v>
      </c>
      <c r="AK163" s="107"/>
      <c r="AL163" s="107"/>
      <c r="AM163" s="107"/>
      <c r="AN163" s="107"/>
      <c r="AO163" s="107"/>
      <c r="AP163" s="130"/>
      <c r="AQ163" s="238">
        <f t="shared" si="104"/>
        <v>5.7142857142857141E-2</v>
      </c>
      <c r="AR163" s="218">
        <f t="shared" si="80"/>
        <v>4000000</v>
      </c>
      <c r="AS163" s="155"/>
      <c r="AT163" s="155"/>
      <c r="AU163" s="155"/>
      <c r="AV163" s="155"/>
      <c r="AW163" s="155"/>
      <c r="AX163" s="155"/>
      <c r="AY163" s="155"/>
      <c r="AZ163" s="155"/>
      <c r="BA163" s="155"/>
      <c r="BB163" s="155"/>
      <c r="BC163" s="155">
        <v>4000000</v>
      </c>
      <c r="BD163" s="155"/>
      <c r="BE163" s="238">
        <f t="shared" si="107"/>
        <v>0.94285714285714284</v>
      </c>
      <c r="BF163" s="218">
        <f t="shared" si="108"/>
        <v>66000000</v>
      </c>
      <c r="BG163" s="205">
        <f t="shared" si="105"/>
        <v>0</v>
      </c>
      <c r="BH163" s="205">
        <f t="shared" si="105"/>
        <v>0</v>
      </c>
      <c r="BI163" s="205">
        <f t="shared" si="105"/>
        <v>0</v>
      </c>
      <c r="BJ163" s="205">
        <f t="shared" si="105"/>
        <v>0</v>
      </c>
      <c r="BK163" s="205">
        <f t="shared" si="105"/>
        <v>0</v>
      </c>
      <c r="BL163" s="205">
        <f t="shared" si="105"/>
        <v>0</v>
      </c>
      <c r="BM163" s="205">
        <f t="shared" si="105"/>
        <v>0</v>
      </c>
      <c r="BN163" s="205">
        <f t="shared" si="105"/>
        <v>0</v>
      </c>
      <c r="BO163" s="205">
        <f t="shared" si="105"/>
        <v>0</v>
      </c>
      <c r="BP163" s="205">
        <f t="shared" si="105"/>
        <v>0</v>
      </c>
      <c r="BQ163" s="205">
        <f t="shared" si="105"/>
        <v>66000000</v>
      </c>
      <c r="BR163" s="205">
        <f t="shared" si="105"/>
        <v>0</v>
      </c>
      <c r="BS163" s="238">
        <f t="shared" si="109"/>
        <v>2.8571428571428571E-2</v>
      </c>
      <c r="BT163" s="218">
        <f t="shared" si="110"/>
        <v>2000000</v>
      </c>
      <c r="BU163" s="155"/>
      <c r="BV163" s="155"/>
      <c r="BW163" s="155"/>
      <c r="BX163" s="155"/>
      <c r="BY163" s="155"/>
      <c r="BZ163" s="155"/>
      <c r="CA163" s="155"/>
      <c r="CB163" s="155"/>
      <c r="CC163" s="155"/>
      <c r="CD163" s="155"/>
      <c r="CE163" s="155">
        <v>2000000</v>
      </c>
      <c r="CF163" s="155"/>
      <c r="CG163" s="238">
        <f t="shared" si="111"/>
        <v>0.97142857142857142</v>
      </c>
      <c r="CH163" s="218">
        <f t="shared" si="112"/>
        <v>68000000</v>
      </c>
      <c r="CI163" s="205">
        <f t="shared" si="113"/>
        <v>0</v>
      </c>
      <c r="CJ163" s="205">
        <f t="shared" si="106"/>
        <v>0</v>
      </c>
      <c r="CK163" s="205">
        <f t="shared" si="106"/>
        <v>0</v>
      </c>
      <c r="CL163" s="205">
        <f t="shared" si="106"/>
        <v>0</v>
      </c>
      <c r="CM163" s="205">
        <f t="shared" si="106"/>
        <v>0</v>
      </c>
      <c r="CN163" s="205">
        <f t="shared" si="106"/>
        <v>0</v>
      </c>
      <c r="CO163" s="205">
        <f t="shared" si="106"/>
        <v>0</v>
      </c>
      <c r="CP163" s="205">
        <f t="shared" si="106"/>
        <v>0</v>
      </c>
      <c r="CQ163" s="205">
        <f t="shared" si="106"/>
        <v>0</v>
      </c>
      <c r="CR163" s="205">
        <f t="shared" si="106"/>
        <v>0</v>
      </c>
      <c r="CS163" s="205">
        <f t="shared" si="106"/>
        <v>68000000</v>
      </c>
      <c r="CT163" s="205">
        <f t="shared" si="106"/>
        <v>0</v>
      </c>
    </row>
    <row r="164" spans="1:98" ht="31.9" customHeight="1" x14ac:dyDescent="0.25">
      <c r="A164" s="2" t="s">
        <v>2826</v>
      </c>
      <c r="B164" s="100" t="s">
        <v>2827</v>
      </c>
      <c r="C164" s="2" t="s">
        <v>2840</v>
      </c>
      <c r="D164" s="100" t="s">
        <v>434</v>
      </c>
      <c r="E164" s="2" t="s">
        <v>2870</v>
      </c>
      <c r="F164" s="100" t="s">
        <v>3203</v>
      </c>
      <c r="G164" s="107">
        <v>40000000</v>
      </c>
      <c r="H164" s="107">
        <v>60000000</v>
      </c>
      <c r="I164" s="107">
        <v>60000000</v>
      </c>
      <c r="J164" s="714" t="s">
        <v>2872</v>
      </c>
      <c r="K164" s="721" t="s">
        <v>3269</v>
      </c>
      <c r="L164" s="714">
        <v>10</v>
      </c>
      <c r="M164" s="101">
        <v>0</v>
      </c>
      <c r="N164" s="2" t="s">
        <v>4014</v>
      </c>
      <c r="O164" s="154" t="s">
        <v>4015</v>
      </c>
      <c r="P164" s="155">
        <v>60000000</v>
      </c>
      <c r="Q164" s="155">
        <v>913000000</v>
      </c>
      <c r="R164" s="151">
        <v>301</v>
      </c>
      <c r="S164" s="157">
        <f t="shared" si="101"/>
        <v>778000000</v>
      </c>
      <c r="T164" s="1199"/>
      <c r="U164" s="149">
        <f t="shared" si="102"/>
        <v>135000000</v>
      </c>
      <c r="V164" s="155"/>
      <c r="W164" s="155"/>
      <c r="X164" s="155"/>
      <c r="Y164" s="155"/>
      <c r="Z164" s="155"/>
      <c r="AA164" s="155"/>
      <c r="AB164" s="155"/>
      <c r="AC164" s="155"/>
      <c r="AD164" s="155"/>
      <c r="AE164" s="155"/>
      <c r="AF164" s="155">
        <f>150000000-15000000</f>
        <v>135000000</v>
      </c>
      <c r="AG164" s="155"/>
      <c r="AI164" s="739">
        <f t="shared" si="103"/>
        <v>6500000</v>
      </c>
      <c r="AJ164" s="245">
        <f>5000000+1500000</f>
        <v>6500000</v>
      </c>
      <c r="AK164" s="107"/>
      <c r="AL164" s="107"/>
      <c r="AM164" s="107"/>
      <c r="AN164" s="107"/>
      <c r="AO164" s="107"/>
      <c r="AP164" s="130"/>
      <c r="AQ164" s="238">
        <f t="shared" si="104"/>
        <v>0.1111111111111111</v>
      </c>
      <c r="AR164" s="218">
        <f t="shared" si="80"/>
        <v>15000000</v>
      </c>
      <c r="AS164" s="155"/>
      <c r="AT164" s="155"/>
      <c r="AU164" s="155"/>
      <c r="AV164" s="155"/>
      <c r="AW164" s="155"/>
      <c r="AX164" s="155"/>
      <c r="AY164" s="155"/>
      <c r="AZ164" s="155"/>
      <c r="BA164" s="155"/>
      <c r="BB164" s="155"/>
      <c r="BC164" s="155">
        <v>15000000</v>
      </c>
      <c r="BD164" s="155"/>
      <c r="BE164" s="238">
        <f t="shared" si="107"/>
        <v>0.88888888888888884</v>
      </c>
      <c r="BF164" s="218">
        <f t="shared" si="108"/>
        <v>120000000</v>
      </c>
      <c r="BG164" s="205">
        <f t="shared" si="105"/>
        <v>0</v>
      </c>
      <c r="BH164" s="205">
        <f t="shared" si="105"/>
        <v>0</v>
      </c>
      <c r="BI164" s="205">
        <f t="shared" si="105"/>
        <v>0</v>
      </c>
      <c r="BJ164" s="205">
        <f t="shared" si="105"/>
        <v>0</v>
      </c>
      <c r="BK164" s="205">
        <f t="shared" si="105"/>
        <v>0</v>
      </c>
      <c r="BL164" s="205">
        <f t="shared" si="105"/>
        <v>0</v>
      </c>
      <c r="BM164" s="205">
        <f t="shared" si="105"/>
        <v>0</v>
      </c>
      <c r="BN164" s="205">
        <f t="shared" si="105"/>
        <v>0</v>
      </c>
      <c r="BO164" s="205">
        <f t="shared" si="105"/>
        <v>0</v>
      </c>
      <c r="BP164" s="205">
        <f t="shared" si="105"/>
        <v>0</v>
      </c>
      <c r="BQ164" s="205">
        <f t="shared" si="105"/>
        <v>120000000</v>
      </c>
      <c r="BR164" s="205">
        <f t="shared" si="105"/>
        <v>0</v>
      </c>
      <c r="BS164" s="238">
        <f t="shared" si="109"/>
        <v>0</v>
      </c>
      <c r="BT164" s="218">
        <f t="shared" si="110"/>
        <v>0</v>
      </c>
      <c r="BU164" s="155"/>
      <c r="BV164" s="155"/>
      <c r="BW164" s="155"/>
      <c r="BX164" s="155"/>
      <c r="BY164" s="155"/>
      <c r="BZ164" s="155"/>
      <c r="CA164" s="155"/>
      <c r="CB164" s="155"/>
      <c r="CC164" s="155"/>
      <c r="CD164" s="155"/>
      <c r="CE164" s="155"/>
      <c r="CF164" s="155"/>
      <c r="CG164" s="238">
        <f t="shared" si="111"/>
        <v>1</v>
      </c>
      <c r="CH164" s="218">
        <f t="shared" si="112"/>
        <v>135000000</v>
      </c>
      <c r="CI164" s="205">
        <f t="shared" si="113"/>
        <v>0</v>
      </c>
      <c r="CJ164" s="205">
        <f t="shared" si="106"/>
        <v>0</v>
      </c>
      <c r="CK164" s="205">
        <f t="shared" si="106"/>
        <v>0</v>
      </c>
      <c r="CL164" s="205">
        <f t="shared" si="106"/>
        <v>0</v>
      </c>
      <c r="CM164" s="205">
        <f t="shared" si="106"/>
        <v>0</v>
      </c>
      <c r="CN164" s="205">
        <f t="shared" si="106"/>
        <v>0</v>
      </c>
      <c r="CO164" s="205">
        <f t="shared" si="106"/>
        <v>0</v>
      </c>
      <c r="CP164" s="205">
        <f t="shared" si="106"/>
        <v>0</v>
      </c>
      <c r="CQ164" s="205">
        <f t="shared" si="106"/>
        <v>0</v>
      </c>
      <c r="CR164" s="205">
        <f t="shared" si="106"/>
        <v>0</v>
      </c>
      <c r="CS164" s="205">
        <f t="shared" si="106"/>
        <v>135000000</v>
      </c>
      <c r="CT164" s="205">
        <f t="shared" si="106"/>
        <v>0</v>
      </c>
    </row>
    <row r="165" spans="1:98" ht="28.5" customHeight="1" x14ac:dyDescent="0.25">
      <c r="A165" s="1243" t="s">
        <v>2826</v>
      </c>
      <c r="B165" s="1245" t="s">
        <v>2827</v>
      </c>
      <c r="C165" s="1243" t="s">
        <v>2840</v>
      </c>
      <c r="D165" s="1245" t="s">
        <v>434</v>
      </c>
      <c r="E165" s="1243" t="s">
        <v>2870</v>
      </c>
      <c r="F165" s="1245" t="s">
        <v>3149</v>
      </c>
      <c r="G165" s="1262">
        <v>200000000</v>
      </c>
      <c r="H165" s="1262">
        <v>200000000</v>
      </c>
      <c r="I165" s="1279">
        <v>200000000</v>
      </c>
      <c r="J165" s="1203" t="s">
        <v>2876</v>
      </c>
      <c r="K165" s="1203" t="s">
        <v>3216</v>
      </c>
      <c r="L165" s="1203">
        <v>2</v>
      </c>
      <c r="M165" s="106">
        <v>0</v>
      </c>
      <c r="N165" s="2" t="s">
        <v>4016</v>
      </c>
      <c r="O165" s="154" t="s">
        <v>672</v>
      </c>
      <c r="P165" s="155">
        <v>120000000</v>
      </c>
      <c r="Q165" s="155">
        <v>365975023</v>
      </c>
      <c r="R165" s="151">
        <v>301</v>
      </c>
      <c r="S165" s="157">
        <f t="shared" si="101"/>
        <v>150975023</v>
      </c>
      <c r="T165" s="1199"/>
      <c r="U165" s="149">
        <f t="shared" si="102"/>
        <v>215000000</v>
      </c>
      <c r="V165" s="155"/>
      <c r="W165" s="155"/>
      <c r="X165" s="155"/>
      <c r="Y165" s="155"/>
      <c r="Z165" s="155"/>
      <c r="AA165" s="155"/>
      <c r="AB165" s="155"/>
      <c r="AC165" s="155"/>
      <c r="AD165" s="155"/>
      <c r="AE165" s="155"/>
      <c r="AF165" s="155">
        <v>215000000</v>
      </c>
      <c r="AG165" s="155"/>
      <c r="AI165" s="739">
        <f t="shared" si="103"/>
        <v>2000000</v>
      </c>
      <c r="AJ165" s="245">
        <v>2000000</v>
      </c>
      <c r="AK165" s="107"/>
      <c r="AL165" s="107"/>
      <c r="AM165" s="107"/>
      <c r="AN165" s="107"/>
      <c r="AO165" s="107"/>
      <c r="AP165" s="130"/>
      <c r="AQ165" s="238">
        <f t="shared" si="104"/>
        <v>5.6346511627906978E-2</v>
      </c>
      <c r="AR165" s="218">
        <f t="shared" si="80"/>
        <v>12114500</v>
      </c>
      <c r="AS165" s="155"/>
      <c r="AT165" s="155"/>
      <c r="AU165" s="155"/>
      <c r="AV165" s="155"/>
      <c r="AW165" s="155"/>
      <c r="AX165" s="155"/>
      <c r="AY165" s="155"/>
      <c r="AZ165" s="155"/>
      <c r="BA165" s="155"/>
      <c r="BB165" s="155"/>
      <c r="BC165" s="155">
        <v>12114500</v>
      </c>
      <c r="BD165" s="155"/>
      <c r="BE165" s="238">
        <f t="shared" si="107"/>
        <v>0.94365348837209306</v>
      </c>
      <c r="BF165" s="218">
        <f t="shared" si="108"/>
        <v>202885500</v>
      </c>
      <c r="BG165" s="205">
        <f t="shared" si="105"/>
        <v>0</v>
      </c>
      <c r="BH165" s="205">
        <f t="shared" si="105"/>
        <v>0</v>
      </c>
      <c r="BI165" s="205">
        <f t="shared" si="105"/>
        <v>0</v>
      </c>
      <c r="BJ165" s="205">
        <f t="shared" si="105"/>
        <v>0</v>
      </c>
      <c r="BK165" s="205">
        <f t="shared" si="105"/>
        <v>0</v>
      </c>
      <c r="BL165" s="205">
        <f t="shared" si="105"/>
        <v>0</v>
      </c>
      <c r="BM165" s="205">
        <f t="shared" si="105"/>
        <v>0</v>
      </c>
      <c r="BN165" s="205">
        <f t="shared" si="105"/>
        <v>0</v>
      </c>
      <c r="BO165" s="205">
        <f t="shared" si="105"/>
        <v>0</v>
      </c>
      <c r="BP165" s="205">
        <f t="shared" si="105"/>
        <v>0</v>
      </c>
      <c r="BQ165" s="205">
        <f t="shared" si="105"/>
        <v>202885500</v>
      </c>
      <c r="BR165" s="205">
        <f t="shared" si="105"/>
        <v>0</v>
      </c>
      <c r="BS165" s="238">
        <f t="shared" si="109"/>
        <v>5.6346511627906978E-2</v>
      </c>
      <c r="BT165" s="218">
        <f t="shared" si="110"/>
        <v>12114500</v>
      </c>
      <c r="BU165" s="155"/>
      <c r="BV165" s="155"/>
      <c r="BW165" s="155"/>
      <c r="BX165" s="155"/>
      <c r="BY165" s="155"/>
      <c r="BZ165" s="155"/>
      <c r="CA165" s="155"/>
      <c r="CB165" s="155"/>
      <c r="CC165" s="155"/>
      <c r="CD165" s="155"/>
      <c r="CE165" s="155">
        <v>12114500</v>
      </c>
      <c r="CF165" s="155"/>
      <c r="CG165" s="238">
        <f t="shared" si="111"/>
        <v>0.94365348837209306</v>
      </c>
      <c r="CH165" s="218">
        <f t="shared" si="112"/>
        <v>202885500</v>
      </c>
      <c r="CI165" s="205">
        <f t="shared" si="113"/>
        <v>0</v>
      </c>
      <c r="CJ165" s="205">
        <f t="shared" si="106"/>
        <v>0</v>
      </c>
      <c r="CK165" s="205">
        <f t="shared" si="106"/>
        <v>0</v>
      </c>
      <c r="CL165" s="205">
        <f t="shared" si="106"/>
        <v>0</v>
      </c>
      <c r="CM165" s="205">
        <f t="shared" si="106"/>
        <v>0</v>
      </c>
      <c r="CN165" s="205">
        <f t="shared" si="106"/>
        <v>0</v>
      </c>
      <c r="CO165" s="205">
        <f t="shared" si="106"/>
        <v>0</v>
      </c>
      <c r="CP165" s="205">
        <f t="shared" si="106"/>
        <v>0</v>
      </c>
      <c r="CQ165" s="205">
        <f t="shared" si="106"/>
        <v>0</v>
      </c>
      <c r="CR165" s="205">
        <f t="shared" si="106"/>
        <v>0</v>
      </c>
      <c r="CS165" s="205">
        <f t="shared" si="106"/>
        <v>202885500</v>
      </c>
      <c r="CT165" s="205">
        <f t="shared" si="106"/>
        <v>0</v>
      </c>
    </row>
    <row r="166" spans="1:98" ht="29.25" customHeight="1" x14ac:dyDescent="0.25">
      <c r="A166" s="1244"/>
      <c r="B166" s="1246"/>
      <c r="C166" s="1244"/>
      <c r="D166" s="1246"/>
      <c r="E166" s="1244"/>
      <c r="F166" s="1246"/>
      <c r="G166" s="1277"/>
      <c r="H166" s="1277"/>
      <c r="I166" s="1280"/>
      <c r="J166" s="1204"/>
      <c r="K166" s="1204"/>
      <c r="L166" s="1204"/>
      <c r="M166" s="102"/>
      <c r="N166" s="2" t="s">
        <v>4017</v>
      </c>
      <c r="O166" s="171" t="s">
        <v>128</v>
      </c>
      <c r="P166" s="172">
        <v>80000000</v>
      </c>
      <c r="Q166" s="172">
        <v>117299875</v>
      </c>
      <c r="R166" s="561">
        <v>301</v>
      </c>
      <c r="S166" s="232">
        <f t="shared" si="101"/>
        <v>1299875</v>
      </c>
      <c r="T166" s="1199"/>
      <c r="U166" s="241">
        <f t="shared" si="102"/>
        <v>116000000</v>
      </c>
      <c r="V166" s="172"/>
      <c r="W166" s="172"/>
      <c r="X166" s="172"/>
      <c r="Y166" s="172"/>
      <c r="Z166" s="172"/>
      <c r="AA166" s="172"/>
      <c r="AB166" s="172"/>
      <c r="AC166" s="172"/>
      <c r="AD166" s="172"/>
      <c r="AE166" s="172"/>
      <c r="AF166" s="172">
        <v>116000000</v>
      </c>
      <c r="AG166" s="155"/>
      <c r="AI166" s="739">
        <f t="shared" si="103"/>
        <v>1000000</v>
      </c>
      <c r="AJ166" s="246">
        <v>1000000</v>
      </c>
      <c r="AK166" s="715"/>
      <c r="AL166" s="715"/>
      <c r="AM166" s="715"/>
      <c r="AN166" s="715"/>
      <c r="AO166" s="715"/>
      <c r="AP166" s="725"/>
      <c r="AQ166" s="238">
        <f t="shared" si="104"/>
        <v>7.2919456896551729E-2</v>
      </c>
      <c r="AR166" s="218">
        <f t="shared" si="80"/>
        <v>8458657</v>
      </c>
      <c r="AS166" s="155"/>
      <c r="AT166" s="155"/>
      <c r="AU166" s="155"/>
      <c r="AV166" s="155"/>
      <c r="AW166" s="155"/>
      <c r="AX166" s="155"/>
      <c r="AY166" s="155"/>
      <c r="AZ166" s="155"/>
      <c r="BA166" s="155"/>
      <c r="BB166" s="155"/>
      <c r="BC166" s="155">
        <v>8458657</v>
      </c>
      <c r="BD166" s="155"/>
      <c r="BE166" s="238">
        <f t="shared" si="107"/>
        <v>0.92708054310344823</v>
      </c>
      <c r="BF166" s="218">
        <f t="shared" si="108"/>
        <v>107541343</v>
      </c>
      <c r="BG166" s="205">
        <f t="shared" si="105"/>
        <v>0</v>
      </c>
      <c r="BH166" s="205">
        <f t="shared" si="105"/>
        <v>0</v>
      </c>
      <c r="BI166" s="205">
        <f t="shared" si="105"/>
        <v>0</v>
      </c>
      <c r="BJ166" s="205">
        <f t="shared" si="105"/>
        <v>0</v>
      </c>
      <c r="BK166" s="205">
        <f t="shared" si="105"/>
        <v>0</v>
      </c>
      <c r="BL166" s="205">
        <f t="shared" si="105"/>
        <v>0</v>
      </c>
      <c r="BM166" s="205">
        <f t="shared" si="105"/>
        <v>0</v>
      </c>
      <c r="BN166" s="205">
        <f t="shared" si="105"/>
        <v>0</v>
      </c>
      <c r="BO166" s="205">
        <f t="shared" si="105"/>
        <v>0</v>
      </c>
      <c r="BP166" s="205">
        <f t="shared" si="105"/>
        <v>0</v>
      </c>
      <c r="BQ166" s="205">
        <f t="shared" si="105"/>
        <v>107541343</v>
      </c>
      <c r="BR166" s="205">
        <f t="shared" si="105"/>
        <v>0</v>
      </c>
      <c r="BS166" s="238">
        <f t="shared" si="109"/>
        <v>7.2919456896551729E-2</v>
      </c>
      <c r="BT166" s="218">
        <f t="shared" si="110"/>
        <v>8458657</v>
      </c>
      <c r="BU166" s="155"/>
      <c r="BV166" s="155"/>
      <c r="BW166" s="155"/>
      <c r="BX166" s="155"/>
      <c r="BY166" s="155"/>
      <c r="BZ166" s="155"/>
      <c r="CA166" s="155"/>
      <c r="CB166" s="155"/>
      <c r="CC166" s="155"/>
      <c r="CD166" s="155"/>
      <c r="CE166" s="155">
        <v>8458657</v>
      </c>
      <c r="CF166" s="155"/>
      <c r="CG166" s="238">
        <f t="shared" si="111"/>
        <v>0.92708054310344823</v>
      </c>
      <c r="CH166" s="218">
        <f t="shared" si="112"/>
        <v>107541343</v>
      </c>
      <c r="CI166" s="205">
        <f t="shared" si="113"/>
        <v>0</v>
      </c>
      <c r="CJ166" s="205">
        <f t="shared" si="106"/>
        <v>0</v>
      </c>
      <c r="CK166" s="205">
        <f t="shared" si="106"/>
        <v>0</v>
      </c>
      <c r="CL166" s="205">
        <f t="shared" si="106"/>
        <v>0</v>
      </c>
      <c r="CM166" s="205">
        <f t="shared" si="106"/>
        <v>0</v>
      </c>
      <c r="CN166" s="205">
        <f t="shared" si="106"/>
        <v>0</v>
      </c>
      <c r="CO166" s="205">
        <f t="shared" si="106"/>
        <v>0</v>
      </c>
      <c r="CP166" s="205">
        <f t="shared" si="106"/>
        <v>0</v>
      </c>
      <c r="CQ166" s="205">
        <f t="shared" si="106"/>
        <v>0</v>
      </c>
      <c r="CR166" s="205">
        <f t="shared" si="106"/>
        <v>0</v>
      </c>
      <c r="CS166" s="205">
        <f t="shared" si="106"/>
        <v>107541343</v>
      </c>
      <c r="CT166" s="205">
        <f t="shared" si="106"/>
        <v>0</v>
      </c>
    </row>
    <row r="167" spans="1:98" ht="32.25" customHeight="1" x14ac:dyDescent="0.25">
      <c r="A167" s="1209" t="s">
        <v>3410</v>
      </c>
      <c r="B167" s="1209"/>
      <c r="C167" s="1209"/>
      <c r="D167" s="1209"/>
      <c r="E167" s="1209"/>
      <c r="F167" s="1209"/>
      <c r="G167" s="728">
        <f>SUM(G152:G166)</f>
        <v>1060000000</v>
      </c>
      <c r="H167" s="728">
        <f>SUM(H152:H166)</f>
        <v>1185000000</v>
      </c>
      <c r="I167" s="728"/>
      <c r="J167" s="1209"/>
      <c r="K167" s="1209"/>
      <c r="L167" s="1209"/>
      <c r="M167" s="1209"/>
      <c r="N167" s="1209" t="s">
        <v>3410</v>
      </c>
      <c r="O167" s="1209"/>
      <c r="P167" s="1209"/>
      <c r="Q167" s="1209"/>
      <c r="R167" s="1209"/>
      <c r="S167" s="1209"/>
      <c r="T167" s="1209"/>
      <c r="U167" s="149">
        <f>SUM(U152:U166)</f>
        <v>1520000000</v>
      </c>
      <c r="V167" s="149">
        <f t="shared" ref="V167:AG167" si="114">SUM(V152:V166)</f>
        <v>150000000</v>
      </c>
      <c r="W167" s="149">
        <f t="shared" si="114"/>
        <v>0</v>
      </c>
      <c r="X167" s="149">
        <f t="shared" si="114"/>
        <v>0</v>
      </c>
      <c r="Y167" s="149">
        <f t="shared" si="114"/>
        <v>0</v>
      </c>
      <c r="Z167" s="149">
        <f t="shared" si="114"/>
        <v>0</v>
      </c>
      <c r="AA167" s="149">
        <f t="shared" si="114"/>
        <v>0</v>
      </c>
      <c r="AB167" s="149">
        <f t="shared" si="114"/>
        <v>0</v>
      </c>
      <c r="AC167" s="149">
        <f t="shared" si="114"/>
        <v>0</v>
      </c>
      <c r="AD167" s="149">
        <f t="shared" si="114"/>
        <v>15000000</v>
      </c>
      <c r="AE167" s="149">
        <f t="shared" si="114"/>
        <v>0</v>
      </c>
      <c r="AF167" s="149">
        <f t="shared" si="114"/>
        <v>1355000000</v>
      </c>
      <c r="AG167" s="149">
        <f t="shared" si="114"/>
        <v>0</v>
      </c>
      <c r="AI167" s="149">
        <f t="shared" ref="AI167:AP167" si="115">SUM(AI152:AI166)</f>
        <v>40000000</v>
      </c>
      <c r="AJ167" s="149">
        <f t="shared" si="115"/>
        <v>36000000</v>
      </c>
      <c r="AK167" s="149">
        <f t="shared" si="115"/>
        <v>0</v>
      </c>
      <c r="AL167" s="149">
        <f t="shared" si="115"/>
        <v>4000000</v>
      </c>
      <c r="AM167" s="149">
        <f t="shared" si="115"/>
        <v>0</v>
      </c>
      <c r="AN167" s="149">
        <f t="shared" si="115"/>
        <v>0</v>
      </c>
      <c r="AO167" s="149">
        <f t="shared" si="115"/>
        <v>0</v>
      </c>
      <c r="AP167" s="149">
        <f t="shared" si="115"/>
        <v>0</v>
      </c>
      <c r="AQ167" s="238">
        <f t="shared" si="104"/>
        <v>0.49476403421052634</v>
      </c>
      <c r="AR167" s="149">
        <f t="shared" ref="AR167:BD167" si="116">SUM(AR152:AR166)</f>
        <v>752041332</v>
      </c>
      <c r="AS167" s="149">
        <f t="shared" si="116"/>
        <v>18421417</v>
      </c>
      <c r="AT167" s="149">
        <f t="shared" si="116"/>
        <v>0</v>
      </c>
      <c r="AU167" s="149">
        <f t="shared" si="116"/>
        <v>0</v>
      </c>
      <c r="AV167" s="149">
        <f t="shared" si="116"/>
        <v>0</v>
      </c>
      <c r="AW167" s="149">
        <f t="shared" si="116"/>
        <v>0</v>
      </c>
      <c r="AX167" s="149">
        <f t="shared" si="116"/>
        <v>0</v>
      </c>
      <c r="AY167" s="149">
        <f t="shared" si="116"/>
        <v>0</v>
      </c>
      <c r="AZ167" s="149">
        <f t="shared" si="116"/>
        <v>0</v>
      </c>
      <c r="BA167" s="149">
        <f t="shared" si="116"/>
        <v>0</v>
      </c>
      <c r="BB167" s="149">
        <f t="shared" si="116"/>
        <v>0</v>
      </c>
      <c r="BC167" s="149">
        <f t="shared" si="116"/>
        <v>733619915</v>
      </c>
      <c r="BD167" s="149">
        <f t="shared" si="116"/>
        <v>0</v>
      </c>
      <c r="BE167" s="238">
        <f>1-AQ167</f>
        <v>0.50523596578947361</v>
      </c>
      <c r="BF167" s="149">
        <f t="shared" ref="BF167:BR167" si="117">SUM(BF152:BF166)</f>
        <v>767958668</v>
      </c>
      <c r="BG167" s="149">
        <f t="shared" si="117"/>
        <v>131578583</v>
      </c>
      <c r="BH167" s="149">
        <f t="shared" si="117"/>
        <v>0</v>
      </c>
      <c r="BI167" s="149">
        <f t="shared" si="117"/>
        <v>0</v>
      </c>
      <c r="BJ167" s="149">
        <f t="shared" si="117"/>
        <v>0</v>
      </c>
      <c r="BK167" s="149">
        <f t="shared" si="117"/>
        <v>0</v>
      </c>
      <c r="BL167" s="149">
        <f t="shared" si="117"/>
        <v>0</v>
      </c>
      <c r="BM167" s="149">
        <f t="shared" si="117"/>
        <v>0</v>
      </c>
      <c r="BN167" s="149">
        <f t="shared" si="117"/>
        <v>0</v>
      </c>
      <c r="BO167" s="149">
        <f t="shared" si="117"/>
        <v>15000000</v>
      </c>
      <c r="BP167" s="149">
        <f t="shared" si="117"/>
        <v>0</v>
      </c>
      <c r="BQ167" s="149">
        <f t="shared" si="117"/>
        <v>621380085</v>
      </c>
      <c r="BR167" s="149">
        <f t="shared" si="117"/>
        <v>0</v>
      </c>
      <c r="BS167" s="238">
        <f>+BT167/U167</f>
        <v>0.4300070842105263</v>
      </c>
      <c r="BT167" s="149">
        <f t="shared" ref="BT167:CF167" si="118">SUM(BT152:BT166)</f>
        <v>653610768</v>
      </c>
      <c r="BU167" s="149">
        <f t="shared" si="118"/>
        <v>18421417</v>
      </c>
      <c r="BV167" s="149">
        <f t="shared" si="118"/>
        <v>0</v>
      </c>
      <c r="BW167" s="149">
        <f t="shared" si="118"/>
        <v>0</v>
      </c>
      <c r="BX167" s="149">
        <f t="shared" si="118"/>
        <v>0</v>
      </c>
      <c r="BY167" s="149">
        <f t="shared" si="118"/>
        <v>0</v>
      </c>
      <c r="BZ167" s="149">
        <f t="shared" si="118"/>
        <v>0</v>
      </c>
      <c r="CA167" s="149">
        <f t="shared" si="118"/>
        <v>0</v>
      </c>
      <c r="CB167" s="149">
        <f t="shared" si="118"/>
        <v>0</v>
      </c>
      <c r="CC167" s="149">
        <f t="shared" si="118"/>
        <v>0</v>
      </c>
      <c r="CD167" s="149">
        <f t="shared" si="118"/>
        <v>0</v>
      </c>
      <c r="CE167" s="149">
        <f t="shared" si="118"/>
        <v>635189351</v>
      </c>
      <c r="CF167" s="149">
        <f t="shared" si="118"/>
        <v>0</v>
      </c>
      <c r="CG167" s="238">
        <f>1-BS167</f>
        <v>0.56999291578947364</v>
      </c>
      <c r="CH167" s="149">
        <f t="shared" ref="CH167:CT167" si="119">SUM(CH152:CH166)</f>
        <v>757310649</v>
      </c>
      <c r="CI167" s="149">
        <f t="shared" si="119"/>
        <v>22500000</v>
      </c>
      <c r="CJ167" s="149">
        <f t="shared" si="119"/>
        <v>0</v>
      </c>
      <c r="CK167" s="149">
        <f t="shared" si="119"/>
        <v>0</v>
      </c>
      <c r="CL167" s="149">
        <f t="shared" si="119"/>
        <v>0</v>
      </c>
      <c r="CM167" s="149">
        <f t="shared" si="119"/>
        <v>0</v>
      </c>
      <c r="CN167" s="149">
        <f t="shared" si="119"/>
        <v>0</v>
      </c>
      <c r="CO167" s="149">
        <f t="shared" si="119"/>
        <v>0</v>
      </c>
      <c r="CP167" s="149">
        <f t="shared" si="119"/>
        <v>0</v>
      </c>
      <c r="CQ167" s="149">
        <f t="shared" si="119"/>
        <v>15000000</v>
      </c>
      <c r="CR167" s="149">
        <f t="shared" si="119"/>
        <v>0</v>
      </c>
      <c r="CS167" s="149">
        <f t="shared" si="119"/>
        <v>719810649</v>
      </c>
      <c r="CT167" s="149">
        <f t="shared" si="119"/>
        <v>0</v>
      </c>
    </row>
    <row r="168" spans="1:98" ht="18.75" customHeight="1" x14ac:dyDescent="0.25">
      <c r="A168" s="747"/>
      <c r="B168" s="118"/>
      <c r="C168" s="747"/>
      <c r="D168" s="118"/>
      <c r="E168" s="747"/>
      <c r="F168" s="118"/>
      <c r="G168" s="119"/>
      <c r="H168" s="119"/>
      <c r="I168" s="119"/>
      <c r="J168" s="747"/>
      <c r="K168" s="747"/>
      <c r="L168" s="747"/>
      <c r="M168" s="121"/>
      <c r="N168" s="747"/>
      <c r="O168" s="703"/>
      <c r="P168" s="694"/>
      <c r="Q168" s="694"/>
      <c r="R168" s="704"/>
      <c r="S168" s="704"/>
      <c r="T168" s="689"/>
      <c r="U168" s="693">
        <f>+U167-AG167</f>
        <v>1520000000</v>
      </c>
      <c r="V168" s="694"/>
      <c r="W168" s="694"/>
      <c r="X168" s="694"/>
      <c r="Y168" s="694"/>
      <c r="Z168" s="694"/>
      <c r="AA168" s="694"/>
      <c r="AB168" s="694"/>
      <c r="AC168" s="694"/>
      <c r="AD168" s="694"/>
      <c r="AE168" s="694"/>
      <c r="AF168" s="694"/>
      <c r="AG168" s="694"/>
      <c r="AI168" s="122"/>
      <c r="AJ168" s="122"/>
      <c r="AK168" s="122"/>
      <c r="AL168" s="122"/>
      <c r="AM168" s="122"/>
      <c r="AN168" s="122"/>
      <c r="AO168" s="122"/>
      <c r="AP168" s="122"/>
      <c r="AQ168" s="239"/>
      <c r="AR168" s="153"/>
      <c r="AS168" s="153"/>
      <c r="AT168" s="153"/>
      <c r="AU168" s="153"/>
      <c r="AV168" s="153"/>
      <c r="AW168" s="153"/>
      <c r="AX168" s="153"/>
      <c r="AY168" s="153"/>
      <c r="AZ168" s="153"/>
      <c r="BA168" s="153"/>
      <c r="BB168" s="153"/>
      <c r="BC168" s="153"/>
      <c r="BD168" s="153"/>
      <c r="BE168" s="239"/>
      <c r="BF168" s="153"/>
      <c r="BG168" s="206"/>
      <c r="BH168" s="206"/>
      <c r="BI168" s="206"/>
      <c r="BJ168" s="206"/>
      <c r="BK168" s="206"/>
      <c r="BL168" s="206"/>
      <c r="BM168" s="206"/>
      <c r="BN168" s="206"/>
      <c r="BO168" s="206"/>
      <c r="BP168" s="206"/>
      <c r="BQ168" s="206"/>
      <c r="BR168" s="206"/>
      <c r="BS168" s="239"/>
      <c r="BT168" s="153"/>
      <c r="BU168" s="153"/>
      <c r="BV168" s="153"/>
      <c r="BW168" s="153"/>
      <c r="BX168" s="153"/>
      <c r="BY168" s="153"/>
      <c r="BZ168" s="153"/>
      <c r="CA168" s="153"/>
      <c r="CB168" s="153"/>
      <c r="CC168" s="153"/>
      <c r="CD168" s="153"/>
      <c r="CE168" s="153"/>
      <c r="CF168" s="153"/>
      <c r="CG168" s="239"/>
      <c r="CH168" s="153"/>
      <c r="CI168" s="206"/>
      <c r="CJ168" s="206"/>
      <c r="CK168" s="206"/>
      <c r="CL168" s="206"/>
      <c r="CM168" s="206"/>
      <c r="CN168" s="206"/>
      <c r="CO168" s="206"/>
      <c r="CP168" s="206"/>
      <c r="CQ168" s="206"/>
      <c r="CR168" s="206"/>
      <c r="CS168" s="206"/>
      <c r="CT168" s="206"/>
    </row>
    <row r="169" spans="1:98" ht="56.45" customHeight="1" x14ac:dyDescent="0.25">
      <c r="A169" s="736"/>
      <c r="B169" s="680"/>
      <c r="C169" s="736"/>
      <c r="D169" s="680"/>
      <c r="E169" s="736"/>
      <c r="F169" s="680"/>
      <c r="G169" s="281"/>
      <c r="H169" s="281"/>
      <c r="I169" s="281"/>
      <c r="J169" s="747"/>
      <c r="K169" s="747"/>
      <c r="L169" s="747"/>
      <c r="M169" s="121"/>
      <c r="N169" s="331" t="s">
        <v>4051</v>
      </c>
      <c r="O169" s="705" t="s">
        <v>4052</v>
      </c>
      <c r="P169" s="700"/>
      <c r="Q169" s="701"/>
      <c r="R169" s="701">
        <v>510</v>
      </c>
      <c r="S169" s="741"/>
      <c r="T169" s="702" t="s">
        <v>3352</v>
      </c>
      <c r="U169" s="149">
        <f t="shared" ref="U169:U178" si="120">SUM(V169:AG169)</f>
        <v>45777272</v>
      </c>
      <c r="V169" s="166"/>
      <c r="W169" s="166"/>
      <c r="X169" s="166"/>
      <c r="Y169" s="166"/>
      <c r="Z169" s="166"/>
      <c r="AA169" s="166"/>
      <c r="AB169" s="166"/>
      <c r="AC169" s="166"/>
      <c r="AD169" s="166">
        <v>45777272</v>
      </c>
      <c r="AE169" s="166"/>
      <c r="AF169" s="166"/>
      <c r="AH169" s="739"/>
      <c r="AI169" s="107"/>
      <c r="AJ169" s="107"/>
      <c r="AK169" s="107"/>
      <c r="AL169" s="107"/>
      <c r="AM169" s="107"/>
      <c r="AN169" s="107"/>
      <c r="AO169" s="130"/>
      <c r="AP169" s="238"/>
      <c r="AQ169" s="238">
        <f t="shared" si="104"/>
        <v>0</v>
      </c>
      <c r="AR169" s="218">
        <f t="shared" si="80"/>
        <v>0</v>
      </c>
      <c r="AS169" s="166"/>
      <c r="AT169" s="166"/>
      <c r="AU169" s="166"/>
      <c r="AV169" s="166"/>
      <c r="AW169" s="166"/>
      <c r="AX169" s="166"/>
      <c r="AY169" s="166"/>
      <c r="AZ169" s="166"/>
      <c r="BA169" s="166"/>
      <c r="BB169" s="166"/>
      <c r="BC169" s="166"/>
      <c r="BD169" s="238"/>
      <c r="BE169" s="238">
        <f>1-AQ169</f>
        <v>1</v>
      </c>
      <c r="BF169" s="218">
        <f>SUM(BG169:BR169)</f>
        <v>45777272</v>
      </c>
      <c r="BG169" s="205">
        <f t="shared" ref="BG169:BR180" si="121">+V169-AS169</f>
        <v>0</v>
      </c>
      <c r="BH169" s="205">
        <f t="shared" si="121"/>
        <v>0</v>
      </c>
      <c r="BI169" s="205">
        <f t="shared" si="121"/>
        <v>0</v>
      </c>
      <c r="BJ169" s="205">
        <f t="shared" si="121"/>
        <v>0</v>
      </c>
      <c r="BK169" s="205">
        <f t="shared" si="121"/>
        <v>0</v>
      </c>
      <c r="BL169" s="205">
        <f t="shared" si="121"/>
        <v>0</v>
      </c>
      <c r="BM169" s="205">
        <f t="shared" si="121"/>
        <v>0</v>
      </c>
      <c r="BN169" s="205">
        <f t="shared" si="121"/>
        <v>0</v>
      </c>
      <c r="BO169" s="205">
        <f t="shared" si="121"/>
        <v>45777272</v>
      </c>
      <c r="BP169" s="205">
        <f t="shared" si="121"/>
        <v>0</v>
      </c>
      <c r="BQ169" s="205">
        <f t="shared" si="121"/>
        <v>0</v>
      </c>
      <c r="BR169" s="205">
        <f t="shared" si="121"/>
        <v>0</v>
      </c>
      <c r="BS169" s="238">
        <f>+BT169/U169</f>
        <v>0</v>
      </c>
      <c r="BT169" s="218">
        <f>SUM(BU169:CF169)</f>
        <v>0</v>
      </c>
      <c r="BU169" s="166"/>
      <c r="BV169" s="166"/>
      <c r="BW169" s="166"/>
      <c r="BX169" s="166"/>
      <c r="BY169" s="166"/>
      <c r="BZ169" s="166"/>
      <c r="CA169" s="166"/>
      <c r="CB169" s="166"/>
      <c r="CC169" s="166"/>
      <c r="CD169" s="166"/>
      <c r="CE169" s="166"/>
      <c r="CF169" s="238"/>
      <c r="CG169" s="238">
        <f>1-BS169</f>
        <v>1</v>
      </c>
      <c r="CH169" s="218">
        <f>SUM(CI169:CT169)</f>
        <v>45777272</v>
      </c>
      <c r="CI169" s="205">
        <f t="shared" ref="CI169:CT180" si="122">+V169-BU169</f>
        <v>0</v>
      </c>
      <c r="CJ169" s="205">
        <f t="shared" si="122"/>
        <v>0</v>
      </c>
      <c r="CK169" s="205">
        <f t="shared" si="122"/>
        <v>0</v>
      </c>
      <c r="CL169" s="205">
        <f t="shared" si="122"/>
        <v>0</v>
      </c>
      <c r="CM169" s="205">
        <f t="shared" si="122"/>
        <v>0</v>
      </c>
      <c r="CN169" s="205">
        <f t="shared" si="122"/>
        <v>0</v>
      </c>
      <c r="CO169" s="205">
        <f t="shared" si="122"/>
        <v>0</v>
      </c>
      <c r="CP169" s="205">
        <f t="shared" si="122"/>
        <v>0</v>
      </c>
      <c r="CQ169" s="205">
        <f t="shared" si="122"/>
        <v>45777272</v>
      </c>
      <c r="CR169" s="205">
        <f t="shared" si="122"/>
        <v>0</v>
      </c>
      <c r="CS169" s="205">
        <f t="shared" si="122"/>
        <v>0</v>
      </c>
      <c r="CT169" s="205">
        <f t="shared" si="122"/>
        <v>0</v>
      </c>
    </row>
    <row r="170" spans="1:98" ht="84.6" customHeight="1" x14ac:dyDescent="0.25">
      <c r="A170" s="2" t="s">
        <v>2880</v>
      </c>
      <c r="B170" s="100" t="s">
        <v>3215</v>
      </c>
      <c r="C170" s="2" t="s">
        <v>2892</v>
      </c>
      <c r="D170" s="100" t="s">
        <v>3209</v>
      </c>
      <c r="E170" s="2" t="s">
        <v>2901</v>
      </c>
      <c r="F170" s="100" t="s">
        <v>3153</v>
      </c>
      <c r="G170" s="107">
        <v>100000000</v>
      </c>
      <c r="H170" s="107">
        <v>100000000</v>
      </c>
      <c r="I170" s="130">
        <v>100000000</v>
      </c>
      <c r="J170" s="711" t="s">
        <v>2903</v>
      </c>
      <c r="K170" s="131" t="s">
        <v>3210</v>
      </c>
      <c r="L170" s="709">
        <v>10</v>
      </c>
      <c r="M170" s="729">
        <v>0</v>
      </c>
      <c r="N170" s="709" t="s">
        <v>4018</v>
      </c>
      <c r="O170" s="174" t="s">
        <v>4067</v>
      </c>
      <c r="P170" s="155">
        <v>100000000</v>
      </c>
      <c r="Q170" s="170">
        <v>0</v>
      </c>
      <c r="R170" s="151">
        <v>211</v>
      </c>
      <c r="S170" s="157">
        <f t="shared" ref="S170:S180" si="123">+Q170-U170</f>
        <v>-15821516</v>
      </c>
      <c r="T170" s="730" t="s">
        <v>3353</v>
      </c>
      <c r="U170" s="149">
        <f t="shared" si="120"/>
        <v>15821516</v>
      </c>
      <c r="V170" s="166"/>
      <c r="W170" s="166"/>
      <c r="X170" s="166">
        <f>+'PLANINDICATIVO PD'!AC68+'PLANINDICATIVO PD'!BB68-X171-X172-X173</f>
        <v>15821516</v>
      </c>
      <c r="Y170" s="166"/>
      <c r="Z170" s="166"/>
      <c r="AA170" s="166"/>
      <c r="AB170" s="166"/>
      <c r="AC170" s="166"/>
      <c r="AD170" s="166"/>
      <c r="AE170" s="166"/>
      <c r="AF170" s="166"/>
      <c r="AG170" s="166"/>
      <c r="AI170" s="739">
        <f>SUM(AJ170:AP170)</f>
        <v>0</v>
      </c>
      <c r="AJ170" s="107"/>
      <c r="AK170" s="107"/>
      <c r="AL170" s="107"/>
      <c r="AM170" s="107"/>
      <c r="AN170" s="107"/>
      <c r="AO170" s="107"/>
      <c r="AP170" s="130"/>
      <c r="AQ170" s="238">
        <f t="shared" si="104"/>
        <v>0</v>
      </c>
      <c r="AR170" s="218">
        <f t="shared" si="80"/>
        <v>0</v>
      </c>
      <c r="AS170" s="166"/>
      <c r="AT170" s="166"/>
      <c r="AU170" s="166"/>
      <c r="AV170" s="166"/>
      <c r="AW170" s="166"/>
      <c r="AX170" s="166"/>
      <c r="AY170" s="166"/>
      <c r="AZ170" s="166"/>
      <c r="BA170" s="166"/>
      <c r="BB170" s="166"/>
      <c r="BC170" s="166"/>
      <c r="BD170" s="166"/>
      <c r="BE170" s="238">
        <f t="shared" ref="BE170:BE180" si="124">1-AQ170</f>
        <v>1</v>
      </c>
      <c r="BF170" s="218">
        <f t="shared" ref="BF170:BF180" si="125">SUM(BG170:BR170)</f>
        <v>15821516</v>
      </c>
      <c r="BG170" s="205">
        <f t="shared" si="121"/>
        <v>0</v>
      </c>
      <c r="BH170" s="205">
        <f t="shared" si="121"/>
        <v>0</v>
      </c>
      <c r="BI170" s="205">
        <f t="shared" si="121"/>
        <v>15821516</v>
      </c>
      <c r="BJ170" s="205">
        <f t="shared" si="121"/>
        <v>0</v>
      </c>
      <c r="BK170" s="205">
        <f t="shared" si="121"/>
        <v>0</v>
      </c>
      <c r="BL170" s="205">
        <f t="shared" si="121"/>
        <v>0</v>
      </c>
      <c r="BM170" s="205">
        <f t="shared" si="121"/>
        <v>0</v>
      </c>
      <c r="BN170" s="205">
        <f t="shared" si="121"/>
        <v>0</v>
      </c>
      <c r="BO170" s="205">
        <f t="shared" si="121"/>
        <v>0</v>
      </c>
      <c r="BP170" s="205">
        <f t="shared" si="121"/>
        <v>0</v>
      </c>
      <c r="BQ170" s="205">
        <f t="shared" si="121"/>
        <v>0</v>
      </c>
      <c r="BR170" s="205">
        <f t="shared" si="121"/>
        <v>0</v>
      </c>
      <c r="BS170" s="238">
        <f t="shared" ref="BS170:BS180" si="126">+BT170/U170</f>
        <v>0</v>
      </c>
      <c r="BT170" s="218">
        <f t="shared" ref="BT170:BT180" si="127">SUM(BU170:CF170)</f>
        <v>0</v>
      </c>
      <c r="BU170" s="166"/>
      <c r="BV170" s="166"/>
      <c r="BW170" s="166"/>
      <c r="BX170" s="166"/>
      <c r="BY170" s="166"/>
      <c r="BZ170" s="166"/>
      <c r="CA170" s="166"/>
      <c r="CB170" s="166"/>
      <c r="CC170" s="166"/>
      <c r="CD170" s="166"/>
      <c r="CE170" s="166"/>
      <c r="CF170" s="166"/>
      <c r="CG170" s="238">
        <f t="shared" ref="CG170:CG180" si="128">1-BS170</f>
        <v>1</v>
      </c>
      <c r="CH170" s="218">
        <f t="shared" ref="CH170:CH180" si="129">SUM(CI170:CT170)</f>
        <v>15821516</v>
      </c>
      <c r="CI170" s="205">
        <f t="shared" si="122"/>
        <v>0</v>
      </c>
      <c r="CJ170" s="205">
        <f t="shared" si="122"/>
        <v>0</v>
      </c>
      <c r="CK170" s="205">
        <f t="shared" si="122"/>
        <v>15821516</v>
      </c>
      <c r="CL170" s="205">
        <f t="shared" si="122"/>
        <v>0</v>
      </c>
      <c r="CM170" s="205">
        <f t="shared" si="122"/>
        <v>0</v>
      </c>
      <c r="CN170" s="205">
        <f t="shared" si="122"/>
        <v>0</v>
      </c>
      <c r="CO170" s="205">
        <f t="shared" si="122"/>
        <v>0</v>
      </c>
      <c r="CP170" s="205">
        <f t="shared" si="122"/>
        <v>0</v>
      </c>
      <c r="CQ170" s="205">
        <f t="shared" si="122"/>
        <v>0</v>
      </c>
      <c r="CR170" s="205">
        <f t="shared" si="122"/>
        <v>0</v>
      </c>
      <c r="CS170" s="205">
        <f t="shared" si="122"/>
        <v>0</v>
      </c>
      <c r="CT170" s="205">
        <f t="shared" si="122"/>
        <v>0</v>
      </c>
    </row>
    <row r="171" spans="1:98" ht="85.15" customHeight="1" x14ac:dyDescent="0.25">
      <c r="A171" s="714"/>
      <c r="B171" s="721"/>
      <c r="C171" s="714"/>
      <c r="D171" s="721"/>
      <c r="E171" s="714"/>
      <c r="F171" s="721"/>
      <c r="G171" s="715"/>
      <c r="H171" s="715"/>
      <c r="I171" s="725"/>
      <c r="J171" s="711"/>
      <c r="K171" s="131"/>
      <c r="L171" s="709"/>
      <c r="M171" s="237"/>
      <c r="N171" s="709" t="s">
        <v>4068</v>
      </c>
      <c r="O171" s="174" t="s">
        <v>4071</v>
      </c>
      <c r="P171" s="155"/>
      <c r="Q171" s="170"/>
      <c r="R171" s="151">
        <v>211</v>
      </c>
      <c r="S171" s="157">
        <f t="shared" si="123"/>
        <v>-12000000</v>
      </c>
      <c r="T171" s="730" t="s">
        <v>3353</v>
      </c>
      <c r="U171" s="149">
        <f t="shared" si="120"/>
        <v>12000000</v>
      </c>
      <c r="V171" s="166"/>
      <c r="W171" s="166"/>
      <c r="X171" s="166">
        <v>12000000</v>
      </c>
      <c r="Y171" s="166"/>
      <c r="Z171" s="166"/>
      <c r="AA171" s="166"/>
      <c r="AB171" s="166"/>
      <c r="AC171" s="166"/>
      <c r="AD171" s="166"/>
      <c r="AE171" s="166"/>
      <c r="AF171" s="166"/>
      <c r="AG171" s="166"/>
      <c r="AI171" s="739"/>
      <c r="AJ171" s="107"/>
      <c r="AK171" s="107"/>
      <c r="AL171" s="107"/>
      <c r="AM171" s="107"/>
      <c r="AN171" s="107"/>
      <c r="AO171" s="107"/>
      <c r="AP171" s="130"/>
      <c r="AQ171" s="238">
        <f t="shared" si="104"/>
        <v>0</v>
      </c>
      <c r="AR171" s="218">
        <f t="shared" si="80"/>
        <v>0</v>
      </c>
      <c r="AS171" s="166"/>
      <c r="AT171" s="166"/>
      <c r="AU171" s="166"/>
      <c r="AV171" s="166"/>
      <c r="AW171" s="166"/>
      <c r="AX171" s="166"/>
      <c r="AY171" s="166"/>
      <c r="AZ171" s="166"/>
      <c r="BA171" s="166"/>
      <c r="BB171" s="166"/>
      <c r="BC171" s="166"/>
      <c r="BD171" s="166"/>
      <c r="BE171" s="238">
        <f t="shared" si="124"/>
        <v>1</v>
      </c>
      <c r="BF171" s="218">
        <f t="shared" si="125"/>
        <v>12000000</v>
      </c>
      <c r="BG171" s="205">
        <f t="shared" si="121"/>
        <v>0</v>
      </c>
      <c r="BH171" s="205">
        <f t="shared" si="121"/>
        <v>0</v>
      </c>
      <c r="BI171" s="205">
        <f t="shared" si="121"/>
        <v>12000000</v>
      </c>
      <c r="BJ171" s="205">
        <f t="shared" si="121"/>
        <v>0</v>
      </c>
      <c r="BK171" s="205">
        <f t="shared" si="121"/>
        <v>0</v>
      </c>
      <c r="BL171" s="205">
        <f t="shared" si="121"/>
        <v>0</v>
      </c>
      <c r="BM171" s="205">
        <f t="shared" si="121"/>
        <v>0</v>
      </c>
      <c r="BN171" s="205">
        <f t="shared" si="121"/>
        <v>0</v>
      </c>
      <c r="BO171" s="205">
        <f t="shared" si="121"/>
        <v>0</v>
      </c>
      <c r="BP171" s="205">
        <f t="shared" si="121"/>
        <v>0</v>
      </c>
      <c r="BQ171" s="205">
        <f t="shared" si="121"/>
        <v>0</v>
      </c>
      <c r="BR171" s="205">
        <f t="shared" si="121"/>
        <v>0</v>
      </c>
      <c r="BS171" s="238">
        <f t="shared" si="126"/>
        <v>0</v>
      </c>
      <c r="BT171" s="218">
        <f t="shared" si="127"/>
        <v>0</v>
      </c>
      <c r="BU171" s="166"/>
      <c r="BV171" s="166"/>
      <c r="BW171" s="166"/>
      <c r="BX171" s="166"/>
      <c r="BY171" s="166"/>
      <c r="BZ171" s="166"/>
      <c r="CA171" s="166"/>
      <c r="CB171" s="166"/>
      <c r="CC171" s="166"/>
      <c r="CD171" s="166"/>
      <c r="CE171" s="166"/>
      <c r="CF171" s="166"/>
      <c r="CG171" s="238">
        <f t="shared" si="128"/>
        <v>1</v>
      </c>
      <c r="CH171" s="218">
        <f t="shared" si="129"/>
        <v>12000000</v>
      </c>
      <c r="CI171" s="205">
        <f t="shared" si="122"/>
        <v>0</v>
      </c>
      <c r="CJ171" s="205">
        <f t="shared" si="122"/>
        <v>0</v>
      </c>
      <c r="CK171" s="205">
        <f t="shared" si="122"/>
        <v>12000000</v>
      </c>
      <c r="CL171" s="205">
        <f t="shared" si="122"/>
        <v>0</v>
      </c>
      <c r="CM171" s="205">
        <f t="shared" si="122"/>
        <v>0</v>
      </c>
      <c r="CN171" s="205">
        <f t="shared" si="122"/>
        <v>0</v>
      </c>
      <c r="CO171" s="205">
        <f t="shared" si="122"/>
        <v>0</v>
      </c>
      <c r="CP171" s="205">
        <f t="shared" si="122"/>
        <v>0</v>
      </c>
      <c r="CQ171" s="205">
        <f t="shared" si="122"/>
        <v>0</v>
      </c>
      <c r="CR171" s="205">
        <f t="shared" si="122"/>
        <v>0</v>
      </c>
      <c r="CS171" s="205">
        <f t="shared" si="122"/>
        <v>0</v>
      </c>
      <c r="CT171" s="205">
        <f t="shared" si="122"/>
        <v>0</v>
      </c>
    </row>
    <row r="172" spans="1:98" ht="72" customHeight="1" x14ac:dyDescent="0.25">
      <c r="A172" s="714"/>
      <c r="B172" s="721"/>
      <c r="C172" s="714"/>
      <c r="D172" s="721"/>
      <c r="E172" s="714"/>
      <c r="F172" s="721"/>
      <c r="G172" s="715"/>
      <c r="H172" s="715"/>
      <c r="I172" s="725"/>
      <c r="J172" s="711"/>
      <c r="K172" s="131"/>
      <c r="L172" s="709"/>
      <c r="M172" s="237"/>
      <c r="N172" s="709" t="s">
        <v>4069</v>
      </c>
      <c r="O172" s="174" t="s">
        <v>4072</v>
      </c>
      <c r="P172" s="155"/>
      <c r="Q172" s="170"/>
      <c r="R172" s="151">
        <v>211</v>
      </c>
      <c r="S172" s="157">
        <f t="shared" si="123"/>
        <v>-15000000</v>
      </c>
      <c r="T172" s="730" t="s">
        <v>3353</v>
      </c>
      <c r="U172" s="149">
        <f t="shared" si="120"/>
        <v>15000000</v>
      </c>
      <c r="V172" s="166"/>
      <c r="W172" s="166"/>
      <c r="X172" s="166">
        <v>15000000</v>
      </c>
      <c r="Y172" s="166"/>
      <c r="Z172" s="166"/>
      <c r="AA172" s="166"/>
      <c r="AB172" s="166"/>
      <c r="AC172" s="166"/>
      <c r="AD172" s="166"/>
      <c r="AE172" s="166"/>
      <c r="AF172" s="166"/>
      <c r="AG172" s="166"/>
      <c r="AI172" s="739"/>
      <c r="AJ172" s="107"/>
      <c r="AK172" s="107"/>
      <c r="AL172" s="107"/>
      <c r="AM172" s="107"/>
      <c r="AN172" s="107"/>
      <c r="AO172" s="107"/>
      <c r="AP172" s="130"/>
      <c r="AQ172" s="238">
        <f t="shared" si="104"/>
        <v>0</v>
      </c>
      <c r="AR172" s="218">
        <f t="shared" si="80"/>
        <v>0</v>
      </c>
      <c r="AS172" s="166"/>
      <c r="AT172" s="166"/>
      <c r="AU172" s="166"/>
      <c r="AV172" s="166"/>
      <c r="AW172" s="166"/>
      <c r="AX172" s="166"/>
      <c r="AY172" s="166"/>
      <c r="AZ172" s="166"/>
      <c r="BA172" s="166"/>
      <c r="BB172" s="166"/>
      <c r="BC172" s="166"/>
      <c r="BD172" s="166"/>
      <c r="BE172" s="238">
        <f t="shared" si="124"/>
        <v>1</v>
      </c>
      <c r="BF172" s="218">
        <f t="shared" si="125"/>
        <v>15000000</v>
      </c>
      <c r="BG172" s="205">
        <f t="shared" si="121"/>
        <v>0</v>
      </c>
      <c r="BH172" s="205">
        <f t="shared" si="121"/>
        <v>0</v>
      </c>
      <c r="BI172" s="205">
        <f t="shared" si="121"/>
        <v>15000000</v>
      </c>
      <c r="BJ172" s="205">
        <f t="shared" si="121"/>
        <v>0</v>
      </c>
      <c r="BK172" s="205">
        <f t="shared" si="121"/>
        <v>0</v>
      </c>
      <c r="BL172" s="205">
        <f t="shared" si="121"/>
        <v>0</v>
      </c>
      <c r="BM172" s="205">
        <f t="shared" si="121"/>
        <v>0</v>
      </c>
      <c r="BN172" s="205">
        <f t="shared" si="121"/>
        <v>0</v>
      </c>
      <c r="BO172" s="205">
        <f t="shared" si="121"/>
        <v>0</v>
      </c>
      <c r="BP172" s="205">
        <f t="shared" si="121"/>
        <v>0</v>
      </c>
      <c r="BQ172" s="205">
        <f t="shared" si="121"/>
        <v>0</v>
      </c>
      <c r="BR172" s="205">
        <f t="shared" si="121"/>
        <v>0</v>
      </c>
      <c r="BS172" s="238">
        <f t="shared" si="126"/>
        <v>0</v>
      </c>
      <c r="BT172" s="218">
        <f t="shared" si="127"/>
        <v>0</v>
      </c>
      <c r="BU172" s="166"/>
      <c r="BV172" s="166"/>
      <c r="BW172" s="166"/>
      <c r="BX172" s="166"/>
      <c r="BY172" s="166"/>
      <c r="BZ172" s="166"/>
      <c r="CA172" s="166"/>
      <c r="CB172" s="166"/>
      <c r="CC172" s="166"/>
      <c r="CD172" s="166"/>
      <c r="CE172" s="166"/>
      <c r="CF172" s="166"/>
      <c r="CG172" s="238">
        <f t="shared" si="128"/>
        <v>1</v>
      </c>
      <c r="CH172" s="218">
        <f t="shared" si="129"/>
        <v>15000000</v>
      </c>
      <c r="CI172" s="205">
        <f t="shared" si="122"/>
        <v>0</v>
      </c>
      <c r="CJ172" s="205">
        <f t="shared" si="122"/>
        <v>0</v>
      </c>
      <c r="CK172" s="205">
        <f t="shared" si="122"/>
        <v>15000000</v>
      </c>
      <c r="CL172" s="205">
        <f t="shared" si="122"/>
        <v>0</v>
      </c>
      <c r="CM172" s="205">
        <f t="shared" si="122"/>
        <v>0</v>
      </c>
      <c r="CN172" s="205">
        <f t="shared" si="122"/>
        <v>0</v>
      </c>
      <c r="CO172" s="205">
        <f t="shared" si="122"/>
        <v>0</v>
      </c>
      <c r="CP172" s="205">
        <f t="shared" si="122"/>
        <v>0</v>
      </c>
      <c r="CQ172" s="205">
        <f t="shared" si="122"/>
        <v>0</v>
      </c>
      <c r="CR172" s="205">
        <f t="shared" si="122"/>
        <v>0</v>
      </c>
      <c r="CS172" s="205">
        <f t="shared" si="122"/>
        <v>0</v>
      </c>
      <c r="CT172" s="205">
        <f t="shared" si="122"/>
        <v>0</v>
      </c>
    </row>
    <row r="173" spans="1:98" ht="95.45" customHeight="1" x14ac:dyDescent="0.25">
      <c r="A173" s="714"/>
      <c r="B173" s="721"/>
      <c r="C173" s="714"/>
      <c r="D173" s="721"/>
      <c r="E173" s="714"/>
      <c r="F173" s="721"/>
      <c r="G173" s="715"/>
      <c r="H173" s="715"/>
      <c r="I173" s="725"/>
      <c r="J173" s="711"/>
      <c r="K173" s="131"/>
      <c r="L173" s="709"/>
      <c r="M173" s="237"/>
      <c r="N173" s="709" t="s">
        <v>4070</v>
      </c>
      <c r="O173" s="174" t="s">
        <v>4073</v>
      </c>
      <c r="P173" s="155"/>
      <c r="Q173" s="170"/>
      <c r="R173" s="151">
        <v>211</v>
      </c>
      <c r="S173" s="157">
        <f t="shared" si="123"/>
        <v>-15000000</v>
      </c>
      <c r="T173" s="730" t="s">
        <v>3353</v>
      </c>
      <c r="U173" s="149">
        <f t="shared" si="120"/>
        <v>15000000</v>
      </c>
      <c r="V173" s="166"/>
      <c r="W173" s="166"/>
      <c r="X173" s="166">
        <v>15000000</v>
      </c>
      <c r="Y173" s="166"/>
      <c r="Z173" s="166"/>
      <c r="AA173" s="166"/>
      <c r="AB173" s="166"/>
      <c r="AC173" s="166"/>
      <c r="AD173" s="166"/>
      <c r="AE173" s="166"/>
      <c r="AF173" s="166"/>
      <c r="AG173" s="166"/>
      <c r="AI173" s="739"/>
      <c r="AJ173" s="107"/>
      <c r="AK173" s="107"/>
      <c r="AL173" s="107"/>
      <c r="AM173" s="107"/>
      <c r="AN173" s="107"/>
      <c r="AO173" s="107"/>
      <c r="AP173" s="130"/>
      <c r="AQ173" s="238">
        <f t="shared" si="104"/>
        <v>0</v>
      </c>
      <c r="AR173" s="218">
        <f t="shared" si="80"/>
        <v>0</v>
      </c>
      <c r="AS173" s="166"/>
      <c r="AT173" s="166"/>
      <c r="AU173" s="166"/>
      <c r="AV173" s="166"/>
      <c r="AW173" s="166"/>
      <c r="AX173" s="166"/>
      <c r="AY173" s="166"/>
      <c r="AZ173" s="166"/>
      <c r="BA173" s="166"/>
      <c r="BB173" s="166"/>
      <c r="BC173" s="166"/>
      <c r="BD173" s="166"/>
      <c r="BE173" s="238">
        <f t="shared" si="124"/>
        <v>1</v>
      </c>
      <c r="BF173" s="218">
        <f t="shared" si="125"/>
        <v>15000000</v>
      </c>
      <c r="BG173" s="205">
        <f t="shared" si="121"/>
        <v>0</v>
      </c>
      <c r="BH173" s="205">
        <f t="shared" si="121"/>
        <v>0</v>
      </c>
      <c r="BI173" s="205">
        <f t="shared" si="121"/>
        <v>15000000</v>
      </c>
      <c r="BJ173" s="205">
        <f t="shared" si="121"/>
        <v>0</v>
      </c>
      <c r="BK173" s="205">
        <f t="shared" si="121"/>
        <v>0</v>
      </c>
      <c r="BL173" s="205">
        <f t="shared" si="121"/>
        <v>0</v>
      </c>
      <c r="BM173" s="205">
        <f t="shared" si="121"/>
        <v>0</v>
      </c>
      <c r="BN173" s="205">
        <f t="shared" si="121"/>
        <v>0</v>
      </c>
      <c r="BO173" s="205">
        <f t="shared" si="121"/>
        <v>0</v>
      </c>
      <c r="BP173" s="205">
        <f t="shared" si="121"/>
        <v>0</v>
      </c>
      <c r="BQ173" s="205">
        <f t="shared" si="121"/>
        <v>0</v>
      </c>
      <c r="BR173" s="205">
        <f t="shared" si="121"/>
        <v>0</v>
      </c>
      <c r="BS173" s="238">
        <f t="shared" si="126"/>
        <v>0</v>
      </c>
      <c r="BT173" s="218">
        <f t="shared" si="127"/>
        <v>0</v>
      </c>
      <c r="BU173" s="166"/>
      <c r="BV173" s="166"/>
      <c r="BW173" s="166"/>
      <c r="BX173" s="166"/>
      <c r="BY173" s="166"/>
      <c r="BZ173" s="166"/>
      <c r="CA173" s="166"/>
      <c r="CB173" s="166"/>
      <c r="CC173" s="166"/>
      <c r="CD173" s="166"/>
      <c r="CE173" s="166"/>
      <c r="CF173" s="166"/>
      <c r="CG173" s="238">
        <f t="shared" si="128"/>
        <v>1</v>
      </c>
      <c r="CH173" s="218">
        <f t="shared" si="129"/>
        <v>15000000</v>
      </c>
      <c r="CI173" s="205">
        <f t="shared" si="122"/>
        <v>0</v>
      </c>
      <c r="CJ173" s="205">
        <f t="shared" si="122"/>
        <v>0</v>
      </c>
      <c r="CK173" s="205">
        <f t="shared" si="122"/>
        <v>15000000</v>
      </c>
      <c r="CL173" s="205">
        <f t="shared" si="122"/>
        <v>0</v>
      </c>
      <c r="CM173" s="205">
        <f t="shared" si="122"/>
        <v>0</v>
      </c>
      <c r="CN173" s="205">
        <f t="shared" si="122"/>
        <v>0</v>
      </c>
      <c r="CO173" s="205">
        <f t="shared" si="122"/>
        <v>0</v>
      </c>
      <c r="CP173" s="205">
        <f t="shared" si="122"/>
        <v>0</v>
      </c>
      <c r="CQ173" s="205">
        <f t="shared" si="122"/>
        <v>0</v>
      </c>
      <c r="CR173" s="205">
        <f t="shared" si="122"/>
        <v>0</v>
      </c>
      <c r="CS173" s="205">
        <f t="shared" si="122"/>
        <v>0</v>
      </c>
      <c r="CT173" s="205">
        <f t="shared" si="122"/>
        <v>0</v>
      </c>
    </row>
    <row r="174" spans="1:98" ht="122.45" customHeight="1" x14ac:dyDescent="0.25">
      <c r="A174" s="714"/>
      <c r="B174" s="721"/>
      <c r="C174" s="714"/>
      <c r="D174" s="721"/>
      <c r="E174" s="714"/>
      <c r="F174" s="721"/>
      <c r="G174" s="715"/>
      <c r="H174" s="715"/>
      <c r="I174" s="725"/>
      <c r="J174" s="711"/>
      <c r="K174" s="131"/>
      <c r="L174" s="709"/>
      <c r="M174" s="237"/>
      <c r="N174" s="709" t="s">
        <v>4053</v>
      </c>
      <c r="O174" s="174" t="s">
        <v>4057</v>
      </c>
      <c r="P174" s="155"/>
      <c r="Q174" s="170"/>
      <c r="R174" s="151">
        <v>510</v>
      </c>
      <c r="S174" s="157"/>
      <c r="T174" s="740" t="s">
        <v>3353</v>
      </c>
      <c r="U174" s="149">
        <f t="shared" si="120"/>
        <v>1550000</v>
      </c>
      <c r="V174" s="157">
        <v>1550000</v>
      </c>
      <c r="W174" s="740"/>
      <c r="X174" s="149">
        <f>SUM(Y174:AJ174)</f>
        <v>0</v>
      </c>
      <c r="Y174" s="166"/>
      <c r="Z174" s="166"/>
      <c r="AA174" s="166"/>
      <c r="AB174" s="166"/>
      <c r="AC174" s="166"/>
      <c r="AD174" s="166"/>
      <c r="AE174" s="166"/>
      <c r="AF174" s="166"/>
      <c r="AG174" s="166"/>
      <c r="AI174" s="739"/>
      <c r="AJ174" s="107"/>
      <c r="AK174" s="107"/>
      <c r="AL174" s="107"/>
      <c r="AM174" s="107"/>
      <c r="AN174" s="107"/>
      <c r="AO174" s="107"/>
      <c r="AP174" s="130"/>
      <c r="AQ174" s="238">
        <f t="shared" si="104"/>
        <v>0</v>
      </c>
      <c r="AR174" s="218">
        <f t="shared" si="80"/>
        <v>0</v>
      </c>
      <c r="AS174" s="166"/>
      <c r="AT174" s="166"/>
      <c r="AU174" s="166"/>
      <c r="AV174" s="166"/>
      <c r="AW174" s="166"/>
      <c r="AX174" s="166"/>
      <c r="AY174" s="166"/>
      <c r="AZ174" s="166"/>
      <c r="BA174" s="166"/>
      <c r="BB174" s="166"/>
      <c r="BC174" s="166"/>
      <c r="BD174" s="166"/>
      <c r="BE174" s="238">
        <f t="shared" si="124"/>
        <v>1</v>
      </c>
      <c r="BF174" s="218">
        <f t="shared" si="125"/>
        <v>1550000</v>
      </c>
      <c r="BG174" s="205">
        <f t="shared" si="121"/>
        <v>1550000</v>
      </c>
      <c r="BH174" s="205">
        <f t="shared" si="121"/>
        <v>0</v>
      </c>
      <c r="BI174" s="205">
        <f t="shared" si="121"/>
        <v>0</v>
      </c>
      <c r="BJ174" s="205">
        <f t="shared" si="121"/>
        <v>0</v>
      </c>
      <c r="BK174" s="205">
        <f t="shared" si="121"/>
        <v>0</v>
      </c>
      <c r="BL174" s="205">
        <f t="shared" si="121"/>
        <v>0</v>
      </c>
      <c r="BM174" s="205">
        <f t="shared" si="121"/>
        <v>0</v>
      </c>
      <c r="BN174" s="205">
        <f t="shared" si="121"/>
        <v>0</v>
      </c>
      <c r="BO174" s="205">
        <f t="shared" si="121"/>
        <v>0</v>
      </c>
      <c r="BP174" s="205">
        <f t="shared" si="121"/>
        <v>0</v>
      </c>
      <c r="BQ174" s="205">
        <f t="shared" si="121"/>
        <v>0</v>
      </c>
      <c r="BR174" s="205">
        <f t="shared" si="121"/>
        <v>0</v>
      </c>
      <c r="BS174" s="238">
        <f t="shared" si="126"/>
        <v>0</v>
      </c>
      <c r="BT174" s="218">
        <f t="shared" si="127"/>
        <v>0</v>
      </c>
      <c r="BU174" s="166"/>
      <c r="BV174" s="166"/>
      <c r="BW174" s="166"/>
      <c r="BX174" s="166"/>
      <c r="BY174" s="166"/>
      <c r="BZ174" s="166"/>
      <c r="CA174" s="166"/>
      <c r="CB174" s="166"/>
      <c r="CC174" s="166"/>
      <c r="CD174" s="166"/>
      <c r="CE174" s="166"/>
      <c r="CF174" s="166"/>
      <c r="CG174" s="238">
        <f t="shared" si="128"/>
        <v>1</v>
      </c>
      <c r="CH174" s="218">
        <f t="shared" si="129"/>
        <v>1550000</v>
      </c>
      <c r="CI174" s="205">
        <f t="shared" si="122"/>
        <v>1550000</v>
      </c>
      <c r="CJ174" s="205">
        <f t="shared" si="122"/>
        <v>0</v>
      </c>
      <c r="CK174" s="205">
        <f t="shared" si="122"/>
        <v>0</v>
      </c>
      <c r="CL174" s="205">
        <f t="shared" si="122"/>
        <v>0</v>
      </c>
      <c r="CM174" s="205">
        <f t="shared" si="122"/>
        <v>0</v>
      </c>
      <c r="CN174" s="205">
        <f t="shared" si="122"/>
        <v>0</v>
      </c>
      <c r="CO174" s="205">
        <f t="shared" si="122"/>
        <v>0</v>
      </c>
      <c r="CP174" s="205">
        <f t="shared" si="122"/>
        <v>0</v>
      </c>
      <c r="CQ174" s="205">
        <f t="shared" si="122"/>
        <v>0</v>
      </c>
      <c r="CR174" s="205">
        <f t="shared" si="122"/>
        <v>0</v>
      </c>
      <c r="CS174" s="205">
        <f t="shared" si="122"/>
        <v>0</v>
      </c>
      <c r="CT174" s="205">
        <f t="shared" si="122"/>
        <v>0</v>
      </c>
    </row>
    <row r="175" spans="1:98" ht="104.45" customHeight="1" x14ac:dyDescent="0.25">
      <c r="A175" s="714"/>
      <c r="B175" s="721"/>
      <c r="C175" s="714"/>
      <c r="D175" s="721"/>
      <c r="E175" s="714"/>
      <c r="F175" s="721"/>
      <c r="G175" s="715"/>
      <c r="H175" s="715"/>
      <c r="I175" s="725"/>
      <c r="J175" s="711"/>
      <c r="K175" s="131"/>
      <c r="L175" s="709"/>
      <c r="M175" s="237"/>
      <c r="N175" s="709" t="s">
        <v>4054</v>
      </c>
      <c r="O175" s="174" t="s">
        <v>4058</v>
      </c>
      <c r="P175" s="155"/>
      <c r="Q175" s="170"/>
      <c r="R175" s="151">
        <v>510</v>
      </c>
      <c r="S175" s="157"/>
      <c r="T175" s="740" t="s">
        <v>3353</v>
      </c>
      <c r="U175" s="149">
        <f t="shared" si="120"/>
        <v>8700000</v>
      </c>
      <c r="V175" s="166">
        <v>8700000</v>
      </c>
      <c r="W175" s="166"/>
      <c r="X175" s="166"/>
      <c r="Y175" s="166"/>
      <c r="Z175" s="166"/>
      <c r="AA175" s="166"/>
      <c r="AB175" s="166"/>
      <c r="AC175" s="166"/>
      <c r="AD175" s="166"/>
      <c r="AE175" s="166"/>
      <c r="AF175" s="166"/>
      <c r="AG175" s="166"/>
      <c r="AI175" s="739"/>
      <c r="AJ175" s="107"/>
      <c r="AK175" s="107"/>
      <c r="AL175" s="107"/>
      <c r="AM175" s="107"/>
      <c r="AN175" s="107"/>
      <c r="AO175" s="107"/>
      <c r="AP175" s="130"/>
      <c r="AQ175" s="238">
        <f t="shared" si="104"/>
        <v>0</v>
      </c>
      <c r="AR175" s="218">
        <f t="shared" si="80"/>
        <v>0</v>
      </c>
      <c r="AS175" s="166"/>
      <c r="AT175" s="166"/>
      <c r="AU175" s="166"/>
      <c r="AV175" s="166"/>
      <c r="AW175" s="166"/>
      <c r="AX175" s="166"/>
      <c r="AY175" s="166"/>
      <c r="AZ175" s="166"/>
      <c r="BA175" s="166"/>
      <c r="BB175" s="166"/>
      <c r="BC175" s="166"/>
      <c r="BD175" s="166"/>
      <c r="BE175" s="238">
        <f t="shared" si="124"/>
        <v>1</v>
      </c>
      <c r="BF175" s="218">
        <f t="shared" si="125"/>
        <v>8700000</v>
      </c>
      <c r="BG175" s="205">
        <f t="shared" si="121"/>
        <v>8700000</v>
      </c>
      <c r="BH175" s="205">
        <f t="shared" si="121"/>
        <v>0</v>
      </c>
      <c r="BI175" s="205">
        <f t="shared" si="121"/>
        <v>0</v>
      </c>
      <c r="BJ175" s="205">
        <f t="shared" si="121"/>
        <v>0</v>
      </c>
      <c r="BK175" s="205">
        <f t="shared" si="121"/>
        <v>0</v>
      </c>
      <c r="BL175" s="205">
        <f t="shared" si="121"/>
        <v>0</v>
      </c>
      <c r="BM175" s="205">
        <f t="shared" si="121"/>
        <v>0</v>
      </c>
      <c r="BN175" s="205">
        <f t="shared" si="121"/>
        <v>0</v>
      </c>
      <c r="BO175" s="205">
        <f t="shared" si="121"/>
        <v>0</v>
      </c>
      <c r="BP175" s="205">
        <f t="shared" si="121"/>
        <v>0</v>
      </c>
      <c r="BQ175" s="205">
        <f t="shared" si="121"/>
        <v>0</v>
      </c>
      <c r="BR175" s="205">
        <f t="shared" si="121"/>
        <v>0</v>
      </c>
      <c r="BS175" s="238">
        <f t="shared" si="126"/>
        <v>0</v>
      </c>
      <c r="BT175" s="218">
        <f t="shared" si="127"/>
        <v>0</v>
      </c>
      <c r="BU175" s="166"/>
      <c r="BV175" s="166"/>
      <c r="BW175" s="166"/>
      <c r="BX175" s="166"/>
      <c r="BY175" s="166"/>
      <c r="BZ175" s="166"/>
      <c r="CA175" s="166"/>
      <c r="CB175" s="166"/>
      <c r="CC175" s="166"/>
      <c r="CD175" s="166"/>
      <c r="CE175" s="166"/>
      <c r="CF175" s="166"/>
      <c r="CG175" s="238">
        <f t="shared" si="128"/>
        <v>1</v>
      </c>
      <c r="CH175" s="218">
        <f t="shared" si="129"/>
        <v>8700000</v>
      </c>
      <c r="CI175" s="205">
        <f t="shared" si="122"/>
        <v>8700000</v>
      </c>
      <c r="CJ175" s="205">
        <f t="shared" si="122"/>
        <v>0</v>
      </c>
      <c r="CK175" s="205">
        <f t="shared" si="122"/>
        <v>0</v>
      </c>
      <c r="CL175" s="205">
        <f t="shared" si="122"/>
        <v>0</v>
      </c>
      <c r="CM175" s="205">
        <f t="shared" si="122"/>
        <v>0</v>
      </c>
      <c r="CN175" s="205">
        <f t="shared" si="122"/>
        <v>0</v>
      </c>
      <c r="CO175" s="205">
        <f t="shared" si="122"/>
        <v>0</v>
      </c>
      <c r="CP175" s="205">
        <f t="shared" si="122"/>
        <v>0</v>
      </c>
      <c r="CQ175" s="205">
        <f t="shared" si="122"/>
        <v>0</v>
      </c>
      <c r="CR175" s="205">
        <f t="shared" si="122"/>
        <v>0</v>
      </c>
      <c r="CS175" s="205">
        <f t="shared" si="122"/>
        <v>0</v>
      </c>
      <c r="CT175" s="205">
        <f t="shared" si="122"/>
        <v>0</v>
      </c>
    </row>
    <row r="176" spans="1:98" ht="115.15" customHeight="1" x14ac:dyDescent="0.25">
      <c r="A176" s="714"/>
      <c r="B176" s="721"/>
      <c r="C176" s="714"/>
      <c r="D176" s="721"/>
      <c r="E176" s="714"/>
      <c r="F176" s="721"/>
      <c r="G176" s="715"/>
      <c r="H176" s="715"/>
      <c r="I176" s="725"/>
      <c r="J176" s="711"/>
      <c r="K176" s="131"/>
      <c r="L176" s="709"/>
      <c r="M176" s="237"/>
      <c r="N176" s="709" t="s">
        <v>4055</v>
      </c>
      <c r="O176" s="174" t="s">
        <v>4059</v>
      </c>
      <c r="P176" s="155"/>
      <c r="Q176" s="170"/>
      <c r="R176" s="151">
        <v>510</v>
      </c>
      <c r="S176" s="157"/>
      <c r="T176" s="740" t="s">
        <v>3353</v>
      </c>
      <c r="U176" s="149">
        <f t="shared" si="120"/>
        <v>58848000</v>
      </c>
      <c r="V176" s="166">
        <f>20000000-V175-V174</f>
        <v>9750000</v>
      </c>
      <c r="W176" s="166"/>
      <c r="X176" s="166"/>
      <c r="Y176" s="166"/>
      <c r="Z176" s="166"/>
      <c r="AA176" s="166"/>
      <c r="AB176" s="166"/>
      <c r="AC176" s="166">
        <v>49000000</v>
      </c>
      <c r="AD176" s="166">
        <v>98000</v>
      </c>
      <c r="AE176" s="166"/>
      <c r="AF176" s="166"/>
      <c r="AG176" s="166"/>
      <c r="AI176" s="739"/>
      <c r="AJ176" s="107"/>
      <c r="AK176" s="107"/>
      <c r="AL176" s="107"/>
      <c r="AM176" s="107"/>
      <c r="AN176" s="107"/>
      <c r="AO176" s="107"/>
      <c r="AP176" s="130"/>
      <c r="AQ176" s="238">
        <f t="shared" si="104"/>
        <v>0</v>
      </c>
      <c r="AR176" s="218">
        <f t="shared" si="80"/>
        <v>0</v>
      </c>
      <c r="AS176" s="166"/>
      <c r="AT176" s="166"/>
      <c r="AU176" s="166"/>
      <c r="AV176" s="166"/>
      <c r="AW176" s="166"/>
      <c r="AX176" s="166"/>
      <c r="AY176" s="166"/>
      <c r="AZ176" s="166"/>
      <c r="BA176" s="166"/>
      <c r="BB176" s="166"/>
      <c r="BC176" s="166"/>
      <c r="BD176" s="166"/>
      <c r="BE176" s="238">
        <f t="shared" si="124"/>
        <v>1</v>
      </c>
      <c r="BF176" s="218">
        <f t="shared" si="125"/>
        <v>58848000</v>
      </c>
      <c r="BG176" s="205">
        <f t="shared" si="121"/>
        <v>9750000</v>
      </c>
      <c r="BH176" s="205">
        <f t="shared" si="121"/>
        <v>0</v>
      </c>
      <c r="BI176" s="205">
        <f t="shared" si="121"/>
        <v>0</v>
      </c>
      <c r="BJ176" s="205">
        <f t="shared" si="121"/>
        <v>0</v>
      </c>
      <c r="BK176" s="205">
        <f t="shared" si="121"/>
        <v>0</v>
      </c>
      <c r="BL176" s="205">
        <f t="shared" si="121"/>
        <v>0</v>
      </c>
      <c r="BM176" s="205">
        <f t="shared" si="121"/>
        <v>0</v>
      </c>
      <c r="BN176" s="205">
        <f t="shared" si="121"/>
        <v>49000000</v>
      </c>
      <c r="BO176" s="205">
        <f t="shared" si="121"/>
        <v>98000</v>
      </c>
      <c r="BP176" s="205">
        <f t="shared" si="121"/>
        <v>0</v>
      </c>
      <c r="BQ176" s="205">
        <f t="shared" si="121"/>
        <v>0</v>
      </c>
      <c r="BR176" s="205">
        <f t="shared" si="121"/>
        <v>0</v>
      </c>
      <c r="BS176" s="238">
        <f t="shared" si="126"/>
        <v>0</v>
      </c>
      <c r="BT176" s="218">
        <f t="shared" si="127"/>
        <v>0</v>
      </c>
      <c r="BU176" s="166"/>
      <c r="BV176" s="166"/>
      <c r="BW176" s="166"/>
      <c r="BX176" s="166"/>
      <c r="BY176" s="166"/>
      <c r="BZ176" s="166"/>
      <c r="CA176" s="166"/>
      <c r="CB176" s="166"/>
      <c r="CC176" s="166"/>
      <c r="CD176" s="166"/>
      <c r="CE176" s="166"/>
      <c r="CF176" s="166"/>
      <c r="CG176" s="238">
        <f t="shared" si="128"/>
        <v>1</v>
      </c>
      <c r="CH176" s="218">
        <f t="shared" si="129"/>
        <v>58848000</v>
      </c>
      <c r="CI176" s="205">
        <f t="shared" si="122"/>
        <v>9750000</v>
      </c>
      <c r="CJ176" s="205">
        <f t="shared" si="122"/>
        <v>0</v>
      </c>
      <c r="CK176" s="205">
        <f t="shared" si="122"/>
        <v>0</v>
      </c>
      <c r="CL176" s="205">
        <f t="shared" si="122"/>
        <v>0</v>
      </c>
      <c r="CM176" s="205">
        <f t="shared" si="122"/>
        <v>0</v>
      </c>
      <c r="CN176" s="205">
        <f t="shared" si="122"/>
        <v>0</v>
      </c>
      <c r="CO176" s="205">
        <f t="shared" si="122"/>
        <v>0</v>
      </c>
      <c r="CP176" s="205">
        <f t="shared" si="122"/>
        <v>49000000</v>
      </c>
      <c r="CQ176" s="205">
        <f t="shared" si="122"/>
        <v>98000</v>
      </c>
      <c r="CR176" s="205">
        <f t="shared" si="122"/>
        <v>0</v>
      </c>
      <c r="CS176" s="205">
        <f t="shared" si="122"/>
        <v>0</v>
      </c>
      <c r="CT176" s="205">
        <f t="shared" si="122"/>
        <v>0</v>
      </c>
    </row>
    <row r="177" spans="1:98" ht="78" customHeight="1" x14ac:dyDescent="0.25">
      <c r="A177" s="714"/>
      <c r="B177" s="721"/>
      <c r="C177" s="714"/>
      <c r="D177" s="721"/>
      <c r="E177" s="714"/>
      <c r="F177" s="721"/>
      <c r="G177" s="715"/>
      <c r="H177" s="715"/>
      <c r="I177" s="725"/>
      <c r="J177" s="711"/>
      <c r="K177" s="131"/>
      <c r="L177" s="709"/>
      <c r="M177" s="237"/>
      <c r="N177" s="709" t="s">
        <v>4056</v>
      </c>
      <c r="O177" s="174" t="s">
        <v>4060</v>
      </c>
      <c r="P177" s="155"/>
      <c r="Q177" s="170"/>
      <c r="R177" s="151">
        <v>510</v>
      </c>
      <c r="S177" s="157"/>
      <c r="T177" s="740" t="s">
        <v>3353</v>
      </c>
      <c r="U177" s="149">
        <f t="shared" si="120"/>
        <v>1902000</v>
      </c>
      <c r="V177" s="166"/>
      <c r="W177" s="166"/>
      <c r="X177" s="166"/>
      <c r="Y177" s="166"/>
      <c r="Z177" s="166"/>
      <c r="AA177" s="166"/>
      <c r="AB177" s="166"/>
      <c r="AC177" s="166"/>
      <c r="AD177" s="166">
        <v>1902000</v>
      </c>
      <c r="AE177" s="166"/>
      <c r="AF177" s="166"/>
      <c r="AG177" s="166"/>
      <c r="AI177" s="739"/>
      <c r="AJ177" s="107"/>
      <c r="AK177" s="107"/>
      <c r="AL177" s="107"/>
      <c r="AM177" s="107"/>
      <c r="AN177" s="107"/>
      <c r="AO177" s="107"/>
      <c r="AP177" s="130"/>
      <c r="AQ177" s="238">
        <f t="shared" si="104"/>
        <v>0</v>
      </c>
      <c r="AR177" s="218">
        <f t="shared" ref="AR177:AR193" si="130">SUM(AS177:BD177)</f>
        <v>0</v>
      </c>
      <c r="AS177" s="166"/>
      <c r="AT177" s="166"/>
      <c r="AU177" s="166"/>
      <c r="AV177" s="166"/>
      <c r="AW177" s="166"/>
      <c r="AX177" s="166"/>
      <c r="AY177" s="166"/>
      <c r="AZ177" s="166"/>
      <c r="BA177" s="166"/>
      <c r="BB177" s="166"/>
      <c r="BC177" s="166"/>
      <c r="BD177" s="166"/>
      <c r="BE177" s="238">
        <f t="shared" si="124"/>
        <v>1</v>
      </c>
      <c r="BF177" s="218">
        <f t="shared" si="125"/>
        <v>1902000</v>
      </c>
      <c r="BG177" s="205">
        <f t="shared" si="121"/>
        <v>0</v>
      </c>
      <c r="BH177" s="205">
        <f t="shared" si="121"/>
        <v>0</v>
      </c>
      <c r="BI177" s="205">
        <f t="shared" si="121"/>
        <v>0</v>
      </c>
      <c r="BJ177" s="205">
        <f t="shared" si="121"/>
        <v>0</v>
      </c>
      <c r="BK177" s="205">
        <f t="shared" si="121"/>
        <v>0</v>
      </c>
      <c r="BL177" s="205">
        <f t="shared" si="121"/>
        <v>0</v>
      </c>
      <c r="BM177" s="205">
        <f t="shared" si="121"/>
        <v>0</v>
      </c>
      <c r="BN177" s="205">
        <f t="shared" si="121"/>
        <v>0</v>
      </c>
      <c r="BO177" s="205">
        <f t="shared" si="121"/>
        <v>1902000</v>
      </c>
      <c r="BP177" s="205">
        <f t="shared" si="121"/>
        <v>0</v>
      </c>
      <c r="BQ177" s="205">
        <f t="shared" si="121"/>
        <v>0</v>
      </c>
      <c r="BR177" s="205">
        <f t="shared" si="121"/>
        <v>0</v>
      </c>
      <c r="BS177" s="238">
        <f t="shared" si="126"/>
        <v>0</v>
      </c>
      <c r="BT177" s="218">
        <f t="shared" si="127"/>
        <v>0</v>
      </c>
      <c r="BU177" s="166"/>
      <c r="BV177" s="166"/>
      <c r="BW177" s="166"/>
      <c r="BX177" s="166"/>
      <c r="BY177" s="166"/>
      <c r="BZ177" s="166"/>
      <c r="CA177" s="166"/>
      <c r="CB177" s="166"/>
      <c r="CC177" s="166"/>
      <c r="CD177" s="166"/>
      <c r="CE177" s="166"/>
      <c r="CF177" s="166"/>
      <c r="CG177" s="238">
        <f t="shared" si="128"/>
        <v>1</v>
      </c>
      <c r="CH177" s="218">
        <f t="shared" si="129"/>
        <v>1902000</v>
      </c>
      <c r="CI177" s="205">
        <f t="shared" si="122"/>
        <v>0</v>
      </c>
      <c r="CJ177" s="205">
        <f t="shared" si="122"/>
        <v>0</v>
      </c>
      <c r="CK177" s="205">
        <f t="shared" si="122"/>
        <v>0</v>
      </c>
      <c r="CL177" s="205">
        <f t="shared" si="122"/>
        <v>0</v>
      </c>
      <c r="CM177" s="205">
        <f t="shared" si="122"/>
        <v>0</v>
      </c>
      <c r="CN177" s="205">
        <f t="shared" si="122"/>
        <v>0</v>
      </c>
      <c r="CO177" s="205">
        <f t="shared" si="122"/>
        <v>0</v>
      </c>
      <c r="CP177" s="205">
        <f t="shared" si="122"/>
        <v>0</v>
      </c>
      <c r="CQ177" s="205">
        <f t="shared" si="122"/>
        <v>1902000</v>
      </c>
      <c r="CR177" s="205">
        <f t="shared" si="122"/>
        <v>0</v>
      </c>
      <c r="CS177" s="205">
        <f t="shared" si="122"/>
        <v>0</v>
      </c>
      <c r="CT177" s="205">
        <f t="shared" si="122"/>
        <v>0</v>
      </c>
    </row>
    <row r="178" spans="1:98" ht="41.45" customHeight="1" x14ac:dyDescent="0.25">
      <c r="A178" s="714" t="s">
        <v>2880</v>
      </c>
      <c r="B178" s="721" t="s">
        <v>3215</v>
      </c>
      <c r="C178" s="714" t="s">
        <v>2892</v>
      </c>
      <c r="D178" s="721" t="s">
        <v>3209</v>
      </c>
      <c r="E178" s="714" t="s">
        <v>2894</v>
      </c>
      <c r="F178" s="721" t="s">
        <v>3263</v>
      </c>
      <c r="G178" s="715">
        <v>600000000</v>
      </c>
      <c r="H178" s="715">
        <v>1000000000</v>
      </c>
      <c r="I178" s="725">
        <v>1000000000</v>
      </c>
      <c r="J178" s="711" t="s">
        <v>2896</v>
      </c>
      <c r="K178" s="709" t="s">
        <v>3343</v>
      </c>
      <c r="L178" s="709">
        <v>50</v>
      </c>
      <c r="M178" s="106">
        <v>0</v>
      </c>
      <c r="N178" s="2" t="s">
        <v>4019</v>
      </c>
      <c r="O178" s="154" t="s">
        <v>40</v>
      </c>
      <c r="P178" s="155">
        <v>200000000</v>
      </c>
      <c r="Q178" s="155">
        <v>379200000</v>
      </c>
      <c r="R178" s="151">
        <v>211</v>
      </c>
      <c r="S178" s="157">
        <f t="shared" si="123"/>
        <v>219700000</v>
      </c>
      <c r="T178" s="734" t="s">
        <v>3375</v>
      </c>
      <c r="U178" s="149">
        <f t="shared" si="120"/>
        <v>159500000</v>
      </c>
      <c r="V178" s="166"/>
      <c r="W178" s="166">
        <f>25000000+114500000</f>
        <v>139500000</v>
      </c>
      <c r="X178" s="166"/>
      <c r="Y178" s="166"/>
      <c r="Z178" s="166"/>
      <c r="AA178" s="166"/>
      <c r="AB178" s="166"/>
      <c r="AC178" s="166">
        <v>20000000</v>
      </c>
      <c r="AD178" s="166"/>
      <c r="AE178" s="166"/>
      <c r="AF178" s="166"/>
      <c r="AG178" s="166"/>
      <c r="AI178" s="739">
        <f>SUM(AJ178:AP178)</f>
        <v>0</v>
      </c>
      <c r="AJ178" s="211"/>
      <c r="AK178" s="107"/>
      <c r="AL178" s="107"/>
      <c r="AM178" s="107"/>
      <c r="AN178" s="107"/>
      <c r="AO178" s="107"/>
      <c r="AP178" s="130"/>
      <c r="AQ178" s="238" t="e">
        <f t="shared" si="104"/>
        <v>#REF!</v>
      </c>
      <c r="AR178" s="218" t="e">
        <f t="shared" si="130"/>
        <v>#REF!</v>
      </c>
      <c r="AS178" s="750"/>
      <c r="AT178" s="750" t="e">
        <v>#REF!</v>
      </c>
      <c r="AU178" s="750"/>
      <c r="AV178" s="750"/>
      <c r="AW178" s="750"/>
      <c r="AX178" s="750"/>
      <c r="AY178" s="750"/>
      <c r="AZ178" s="750" t="e">
        <v>#REF!</v>
      </c>
      <c r="BA178" s="750"/>
      <c r="BB178" s="750"/>
      <c r="BC178" s="750"/>
      <c r="BD178" s="750"/>
      <c r="BE178" s="238" t="e">
        <f t="shared" si="124"/>
        <v>#REF!</v>
      </c>
      <c r="BF178" s="218" t="e">
        <f t="shared" si="125"/>
        <v>#REF!</v>
      </c>
      <c r="BG178" s="205">
        <f t="shared" si="121"/>
        <v>0</v>
      </c>
      <c r="BH178" s="205" t="e">
        <f t="shared" si="121"/>
        <v>#REF!</v>
      </c>
      <c r="BI178" s="205">
        <f t="shared" si="121"/>
        <v>0</v>
      </c>
      <c r="BJ178" s="205">
        <f t="shared" si="121"/>
        <v>0</v>
      </c>
      <c r="BK178" s="205">
        <f t="shared" si="121"/>
        <v>0</v>
      </c>
      <c r="BL178" s="205">
        <f t="shared" si="121"/>
        <v>0</v>
      </c>
      <c r="BM178" s="205">
        <f t="shared" si="121"/>
        <v>0</v>
      </c>
      <c r="BN178" s="205" t="e">
        <f t="shared" si="121"/>
        <v>#REF!</v>
      </c>
      <c r="BO178" s="205">
        <f t="shared" si="121"/>
        <v>0</v>
      </c>
      <c r="BP178" s="205">
        <f t="shared" si="121"/>
        <v>0</v>
      </c>
      <c r="BQ178" s="205">
        <f t="shared" si="121"/>
        <v>0</v>
      </c>
      <c r="BR178" s="205">
        <f t="shared" si="121"/>
        <v>0</v>
      </c>
      <c r="BS178" s="238" t="e">
        <f t="shared" si="126"/>
        <v>#REF!</v>
      </c>
      <c r="BT178" s="218" t="e">
        <f t="shared" si="127"/>
        <v>#REF!</v>
      </c>
      <c r="BU178" s="750"/>
      <c r="BV178" s="750" t="e">
        <v>#REF!</v>
      </c>
      <c r="BW178" s="750"/>
      <c r="BX178" s="750"/>
      <c r="BY178" s="750"/>
      <c r="BZ178" s="750"/>
      <c r="CA178" s="750"/>
      <c r="CB178" s="750" t="e">
        <v>#REF!</v>
      </c>
      <c r="CC178" s="750"/>
      <c r="CD178" s="750"/>
      <c r="CE178" s="750"/>
      <c r="CF178" s="750"/>
      <c r="CG178" s="238" t="e">
        <f t="shared" si="128"/>
        <v>#REF!</v>
      </c>
      <c r="CH178" s="218" t="e">
        <f t="shared" si="129"/>
        <v>#REF!</v>
      </c>
      <c r="CI178" s="205">
        <f t="shared" si="122"/>
        <v>0</v>
      </c>
      <c r="CJ178" s="205" t="e">
        <f t="shared" si="122"/>
        <v>#REF!</v>
      </c>
      <c r="CK178" s="205">
        <f t="shared" si="122"/>
        <v>0</v>
      </c>
      <c r="CL178" s="205">
        <f t="shared" si="122"/>
        <v>0</v>
      </c>
      <c r="CM178" s="205">
        <f t="shared" si="122"/>
        <v>0</v>
      </c>
      <c r="CN178" s="205">
        <f t="shared" si="122"/>
        <v>0</v>
      </c>
      <c r="CO178" s="205">
        <f t="shared" si="122"/>
        <v>0</v>
      </c>
      <c r="CP178" s="205" t="e">
        <f t="shared" si="122"/>
        <v>#REF!</v>
      </c>
      <c r="CQ178" s="205">
        <f t="shared" si="122"/>
        <v>0</v>
      </c>
      <c r="CR178" s="205">
        <f t="shared" si="122"/>
        <v>0</v>
      </c>
      <c r="CS178" s="205">
        <f t="shared" si="122"/>
        <v>0</v>
      </c>
      <c r="CT178" s="205">
        <f t="shared" si="122"/>
        <v>0</v>
      </c>
    </row>
    <row r="179" spans="1:98" ht="38.25" customHeight="1" x14ac:dyDescent="0.25">
      <c r="A179" s="718"/>
      <c r="B179" s="235"/>
      <c r="C179" s="718"/>
      <c r="D179" s="235"/>
      <c r="E179" s="718"/>
      <c r="F179" s="235"/>
      <c r="G179" s="236"/>
      <c r="H179" s="236"/>
      <c r="I179" s="236"/>
      <c r="J179" s="711"/>
      <c r="K179" s="709"/>
      <c r="L179" s="709"/>
      <c r="M179" s="237"/>
      <c r="N179" s="2" t="s">
        <v>4064</v>
      </c>
      <c r="O179" s="154" t="s">
        <v>3152</v>
      </c>
      <c r="P179" s="155">
        <v>200000000</v>
      </c>
      <c r="Q179" s="155">
        <v>379200000</v>
      </c>
      <c r="R179" s="151">
        <v>211</v>
      </c>
      <c r="S179" s="157">
        <f t="shared" si="123"/>
        <v>334200000</v>
      </c>
      <c r="T179" s="734" t="s">
        <v>3375</v>
      </c>
      <c r="U179" s="149">
        <f>SUM(V179:AG179)</f>
        <v>45000000</v>
      </c>
      <c r="V179" s="166"/>
      <c r="W179" s="166">
        <v>45000000</v>
      </c>
      <c r="X179" s="166"/>
      <c r="Y179" s="166"/>
      <c r="Z179" s="166"/>
      <c r="AA179" s="166"/>
      <c r="AB179" s="166"/>
      <c r="AC179" s="166"/>
      <c r="AD179" s="166"/>
      <c r="AE179" s="166"/>
      <c r="AF179" s="166"/>
      <c r="AG179" s="166"/>
      <c r="AI179" s="739"/>
      <c r="AJ179" s="682"/>
      <c r="AK179" s="236"/>
      <c r="AL179" s="236"/>
      <c r="AM179" s="236"/>
      <c r="AN179" s="236"/>
      <c r="AO179" s="236"/>
      <c r="AP179" s="236"/>
      <c r="AQ179" s="238">
        <f t="shared" si="104"/>
        <v>0</v>
      </c>
      <c r="AR179" s="218">
        <f t="shared" si="130"/>
        <v>0</v>
      </c>
      <c r="AS179" s="149"/>
      <c r="AT179" s="149"/>
      <c r="AU179" s="149"/>
      <c r="AV179" s="149"/>
      <c r="AW179" s="149"/>
      <c r="AX179" s="149"/>
      <c r="AY179" s="149"/>
      <c r="AZ179" s="149"/>
      <c r="BA179" s="149"/>
      <c r="BB179" s="149"/>
      <c r="BC179" s="149"/>
      <c r="BD179" s="149"/>
      <c r="BE179" s="238">
        <f t="shared" si="124"/>
        <v>1</v>
      </c>
      <c r="BF179" s="218">
        <f t="shared" si="125"/>
        <v>45000000</v>
      </c>
      <c r="BG179" s="205">
        <f t="shared" si="121"/>
        <v>0</v>
      </c>
      <c r="BH179" s="205">
        <f t="shared" si="121"/>
        <v>45000000</v>
      </c>
      <c r="BI179" s="205">
        <f t="shared" si="121"/>
        <v>0</v>
      </c>
      <c r="BJ179" s="205">
        <f t="shared" si="121"/>
        <v>0</v>
      </c>
      <c r="BK179" s="205">
        <f t="shared" si="121"/>
        <v>0</v>
      </c>
      <c r="BL179" s="205">
        <f t="shared" si="121"/>
        <v>0</v>
      </c>
      <c r="BM179" s="205">
        <f t="shared" si="121"/>
        <v>0</v>
      </c>
      <c r="BN179" s="205">
        <f t="shared" si="121"/>
        <v>0</v>
      </c>
      <c r="BO179" s="205">
        <f t="shared" si="121"/>
        <v>0</v>
      </c>
      <c r="BP179" s="205">
        <f t="shared" si="121"/>
        <v>0</v>
      </c>
      <c r="BQ179" s="205">
        <f t="shared" si="121"/>
        <v>0</v>
      </c>
      <c r="BR179" s="205">
        <f t="shared" si="121"/>
        <v>0</v>
      </c>
      <c r="BS179" s="238">
        <f t="shared" si="126"/>
        <v>0</v>
      </c>
      <c r="BT179" s="218">
        <f t="shared" si="127"/>
        <v>0</v>
      </c>
      <c r="BU179" s="149"/>
      <c r="BV179" s="149"/>
      <c r="BW179" s="149"/>
      <c r="BX179" s="149"/>
      <c r="BY179" s="149"/>
      <c r="BZ179" s="149"/>
      <c r="CA179" s="149"/>
      <c r="CB179" s="149"/>
      <c r="CC179" s="149"/>
      <c r="CD179" s="149"/>
      <c r="CE179" s="149"/>
      <c r="CF179" s="149"/>
      <c r="CG179" s="238">
        <f t="shared" si="128"/>
        <v>1</v>
      </c>
      <c r="CH179" s="218">
        <f t="shared" si="129"/>
        <v>45000000</v>
      </c>
      <c r="CI179" s="205">
        <f t="shared" si="122"/>
        <v>0</v>
      </c>
      <c r="CJ179" s="205">
        <f t="shared" si="122"/>
        <v>45000000</v>
      </c>
      <c r="CK179" s="205">
        <f t="shared" si="122"/>
        <v>0</v>
      </c>
      <c r="CL179" s="205">
        <f t="shared" si="122"/>
        <v>0</v>
      </c>
      <c r="CM179" s="205">
        <f t="shared" si="122"/>
        <v>0</v>
      </c>
      <c r="CN179" s="205">
        <f t="shared" si="122"/>
        <v>0</v>
      </c>
      <c r="CO179" s="205">
        <f t="shared" si="122"/>
        <v>0</v>
      </c>
      <c r="CP179" s="205">
        <f t="shared" si="122"/>
        <v>0</v>
      </c>
      <c r="CQ179" s="205">
        <f t="shared" si="122"/>
        <v>0</v>
      </c>
      <c r="CR179" s="205">
        <f t="shared" si="122"/>
        <v>0</v>
      </c>
      <c r="CS179" s="205">
        <f t="shared" si="122"/>
        <v>0</v>
      </c>
      <c r="CT179" s="205">
        <f t="shared" si="122"/>
        <v>0</v>
      </c>
    </row>
    <row r="180" spans="1:98" ht="38.25" customHeight="1" x14ac:dyDescent="0.25">
      <c r="A180" s="718"/>
      <c r="B180" s="235"/>
      <c r="C180" s="718"/>
      <c r="D180" s="235"/>
      <c r="E180" s="718"/>
      <c r="F180" s="235"/>
      <c r="G180" s="236"/>
      <c r="H180" s="236"/>
      <c r="I180" s="236"/>
      <c r="J180" s="711"/>
      <c r="K180" s="709"/>
      <c r="L180" s="709"/>
      <c r="M180" s="237"/>
      <c r="N180" s="2" t="s">
        <v>4065</v>
      </c>
      <c r="O180" s="154" t="s">
        <v>4066</v>
      </c>
      <c r="P180" s="155">
        <v>200000000</v>
      </c>
      <c r="Q180" s="155">
        <v>379200000</v>
      </c>
      <c r="R180" s="151">
        <v>211</v>
      </c>
      <c r="S180" s="157">
        <f t="shared" si="123"/>
        <v>272823759</v>
      </c>
      <c r="T180" s="734" t="s">
        <v>3375</v>
      </c>
      <c r="U180" s="149">
        <f>SUM(V180:AG180)</f>
        <v>106376241</v>
      </c>
      <c r="V180" s="166"/>
      <c r="W180" s="166">
        <v>41701060</v>
      </c>
      <c r="X180" s="166">
        <f>+'PLANINDICATIVO PD'!BB71</f>
        <v>43000000</v>
      </c>
      <c r="Y180" s="166"/>
      <c r="Z180" s="166"/>
      <c r="AA180" s="166"/>
      <c r="AB180" s="166"/>
      <c r="AC180" s="166"/>
      <c r="AD180" s="166">
        <f>+'PLANINDICATIVO PD'!BH71</f>
        <v>21675181</v>
      </c>
      <c r="AE180" s="166"/>
      <c r="AF180" s="166"/>
      <c r="AG180" s="166"/>
      <c r="AI180" s="739"/>
      <c r="AJ180" s="682"/>
      <c r="AK180" s="236"/>
      <c r="AL180" s="236"/>
      <c r="AM180" s="236"/>
      <c r="AN180" s="236"/>
      <c r="AO180" s="236"/>
      <c r="AP180" s="236"/>
      <c r="AQ180" s="238">
        <f t="shared" si="104"/>
        <v>0</v>
      </c>
      <c r="AR180" s="218">
        <f t="shared" si="130"/>
        <v>0</v>
      </c>
      <c r="AS180" s="149"/>
      <c r="AT180" s="149"/>
      <c r="AU180" s="149"/>
      <c r="AV180" s="149"/>
      <c r="AW180" s="149"/>
      <c r="AX180" s="149"/>
      <c r="AY180" s="149"/>
      <c r="AZ180" s="149"/>
      <c r="BA180" s="149"/>
      <c r="BB180" s="149"/>
      <c r="BC180" s="149"/>
      <c r="BD180" s="149"/>
      <c r="BE180" s="238">
        <f t="shared" si="124"/>
        <v>1</v>
      </c>
      <c r="BF180" s="218">
        <f t="shared" si="125"/>
        <v>106376241</v>
      </c>
      <c r="BG180" s="205">
        <f t="shared" si="121"/>
        <v>0</v>
      </c>
      <c r="BH180" s="205">
        <f t="shared" si="121"/>
        <v>41701060</v>
      </c>
      <c r="BI180" s="205">
        <f t="shared" si="121"/>
        <v>43000000</v>
      </c>
      <c r="BJ180" s="205">
        <f t="shared" si="121"/>
        <v>0</v>
      </c>
      <c r="BK180" s="205">
        <f t="shared" si="121"/>
        <v>0</v>
      </c>
      <c r="BL180" s="205">
        <f t="shared" si="121"/>
        <v>0</v>
      </c>
      <c r="BM180" s="205">
        <f t="shared" si="121"/>
        <v>0</v>
      </c>
      <c r="BN180" s="205">
        <f t="shared" si="121"/>
        <v>0</v>
      </c>
      <c r="BO180" s="205">
        <f t="shared" si="121"/>
        <v>21675181</v>
      </c>
      <c r="BP180" s="205">
        <f t="shared" si="121"/>
        <v>0</v>
      </c>
      <c r="BQ180" s="205">
        <f t="shared" si="121"/>
        <v>0</v>
      </c>
      <c r="BR180" s="205">
        <f t="shared" si="121"/>
        <v>0</v>
      </c>
      <c r="BS180" s="238">
        <f t="shared" si="126"/>
        <v>0</v>
      </c>
      <c r="BT180" s="218">
        <f t="shared" si="127"/>
        <v>0</v>
      </c>
      <c r="BU180" s="149"/>
      <c r="BV180" s="149"/>
      <c r="BW180" s="149"/>
      <c r="BX180" s="149"/>
      <c r="BY180" s="149"/>
      <c r="BZ180" s="149"/>
      <c r="CA180" s="149"/>
      <c r="CB180" s="149"/>
      <c r="CC180" s="149"/>
      <c r="CD180" s="149"/>
      <c r="CE180" s="149"/>
      <c r="CF180" s="149"/>
      <c r="CG180" s="238">
        <f t="shared" si="128"/>
        <v>1</v>
      </c>
      <c r="CH180" s="218">
        <f t="shared" si="129"/>
        <v>106376241</v>
      </c>
      <c r="CI180" s="205">
        <f t="shared" si="122"/>
        <v>0</v>
      </c>
      <c r="CJ180" s="205">
        <f t="shared" si="122"/>
        <v>41701060</v>
      </c>
      <c r="CK180" s="205">
        <f t="shared" si="122"/>
        <v>43000000</v>
      </c>
      <c r="CL180" s="205">
        <f t="shared" si="122"/>
        <v>0</v>
      </c>
      <c r="CM180" s="205">
        <f t="shared" si="122"/>
        <v>0</v>
      </c>
      <c r="CN180" s="205">
        <f t="shared" si="122"/>
        <v>0</v>
      </c>
      <c r="CO180" s="205">
        <f t="shared" si="122"/>
        <v>0</v>
      </c>
      <c r="CP180" s="205">
        <f t="shared" si="122"/>
        <v>0</v>
      </c>
      <c r="CQ180" s="205">
        <f t="shared" si="122"/>
        <v>21675181</v>
      </c>
      <c r="CR180" s="205">
        <f t="shared" si="122"/>
        <v>0</v>
      </c>
      <c r="CS180" s="205">
        <f t="shared" si="122"/>
        <v>0</v>
      </c>
      <c r="CT180" s="205">
        <f t="shared" si="122"/>
        <v>0</v>
      </c>
    </row>
    <row r="181" spans="1:98" ht="32.25" customHeight="1" x14ac:dyDescent="0.25">
      <c r="A181" s="1209" t="s">
        <v>3411</v>
      </c>
      <c r="B181" s="1209"/>
      <c r="C181" s="1209"/>
      <c r="D181" s="1209"/>
      <c r="E181" s="1209"/>
      <c r="F181" s="1209"/>
      <c r="G181" s="728">
        <f>SUM(G170:G178)</f>
        <v>700000000</v>
      </c>
      <c r="H181" s="728">
        <f>SUM(H170:H178)</f>
        <v>1100000000</v>
      </c>
      <c r="I181" s="728"/>
      <c r="J181" s="1209"/>
      <c r="K181" s="1209"/>
      <c r="L181" s="1209"/>
      <c r="M181" s="1209"/>
      <c r="N181" s="1203" t="s">
        <v>3411</v>
      </c>
      <c r="O181" s="1203"/>
      <c r="P181" s="1203"/>
      <c r="Q181" s="1203"/>
      <c r="R181" s="1203"/>
      <c r="S181" s="1203"/>
      <c r="T181" s="1203"/>
      <c r="U181" s="241">
        <f>SUM(U169:U180)</f>
        <v>485475029</v>
      </c>
      <c r="V181" s="241">
        <f t="shared" ref="V181:AG181" si="131">SUM(V169:V180)</f>
        <v>20000000</v>
      </c>
      <c r="W181" s="241">
        <f t="shared" si="131"/>
        <v>226201060</v>
      </c>
      <c r="X181" s="241">
        <f t="shared" si="131"/>
        <v>100821516</v>
      </c>
      <c r="Y181" s="241">
        <f t="shared" si="131"/>
        <v>0</v>
      </c>
      <c r="Z181" s="241">
        <f t="shared" si="131"/>
        <v>0</v>
      </c>
      <c r="AA181" s="241">
        <f t="shared" si="131"/>
        <v>0</v>
      </c>
      <c r="AB181" s="241">
        <f t="shared" si="131"/>
        <v>0</v>
      </c>
      <c r="AC181" s="241">
        <f t="shared" si="131"/>
        <v>69000000</v>
      </c>
      <c r="AD181" s="241">
        <f t="shared" si="131"/>
        <v>69452453</v>
      </c>
      <c r="AE181" s="241">
        <f t="shared" si="131"/>
        <v>0</v>
      </c>
      <c r="AF181" s="241">
        <f t="shared" si="131"/>
        <v>0</v>
      </c>
      <c r="AG181" s="241">
        <f t="shared" si="131"/>
        <v>0</v>
      </c>
      <c r="AI181" s="149">
        <f>SUM(AI170:AI180)</f>
        <v>0</v>
      </c>
      <c r="AJ181" s="149">
        <f t="shared" ref="AJ181:AP181" si="132">SUM(AJ170:AJ180)</f>
        <v>0</v>
      </c>
      <c r="AK181" s="149">
        <f t="shared" si="132"/>
        <v>0</v>
      </c>
      <c r="AL181" s="149">
        <f t="shared" si="132"/>
        <v>0</v>
      </c>
      <c r="AM181" s="149">
        <f t="shared" si="132"/>
        <v>0</v>
      </c>
      <c r="AN181" s="149">
        <f t="shared" si="132"/>
        <v>0</v>
      </c>
      <c r="AO181" s="149">
        <f t="shared" si="132"/>
        <v>0</v>
      </c>
      <c r="AP181" s="149">
        <f t="shared" si="132"/>
        <v>0</v>
      </c>
      <c r="AQ181" s="238" t="e">
        <f t="shared" si="104"/>
        <v>#REF!</v>
      </c>
      <c r="AR181" s="149" t="e">
        <f>SUM(AR170:AR180)</f>
        <v>#REF!</v>
      </c>
      <c r="AS181" s="149">
        <f t="shared" ref="AS181:BD181" si="133">SUM(AS170:AS180)</f>
        <v>0</v>
      </c>
      <c r="AT181" s="149" t="e">
        <f t="shared" si="133"/>
        <v>#REF!</v>
      </c>
      <c r="AU181" s="149">
        <f t="shared" si="133"/>
        <v>0</v>
      </c>
      <c r="AV181" s="149">
        <f t="shared" si="133"/>
        <v>0</v>
      </c>
      <c r="AW181" s="149">
        <f t="shared" si="133"/>
        <v>0</v>
      </c>
      <c r="AX181" s="149">
        <f t="shared" si="133"/>
        <v>0</v>
      </c>
      <c r="AY181" s="149">
        <f t="shared" si="133"/>
        <v>0</v>
      </c>
      <c r="AZ181" s="149" t="e">
        <f t="shared" si="133"/>
        <v>#REF!</v>
      </c>
      <c r="BA181" s="149">
        <f t="shared" si="133"/>
        <v>0</v>
      </c>
      <c r="BB181" s="149">
        <f t="shared" si="133"/>
        <v>0</v>
      </c>
      <c r="BC181" s="149">
        <f t="shared" si="133"/>
        <v>0</v>
      </c>
      <c r="BD181" s="149">
        <f t="shared" si="133"/>
        <v>0</v>
      </c>
      <c r="BE181" s="238" t="e">
        <f>1-AQ181</f>
        <v>#REF!</v>
      </c>
      <c r="BF181" s="149" t="e">
        <f>SUM(BF170:BF180)</f>
        <v>#REF!</v>
      </c>
      <c r="BG181" s="149">
        <f t="shared" ref="BG181:BR181" si="134">SUM(BG170:BG180)</f>
        <v>20000000</v>
      </c>
      <c r="BH181" s="149" t="e">
        <f t="shared" si="134"/>
        <v>#REF!</v>
      </c>
      <c r="BI181" s="149">
        <f t="shared" si="134"/>
        <v>100821516</v>
      </c>
      <c r="BJ181" s="149">
        <f t="shared" si="134"/>
        <v>0</v>
      </c>
      <c r="BK181" s="149">
        <f t="shared" si="134"/>
        <v>0</v>
      </c>
      <c r="BL181" s="149">
        <f t="shared" si="134"/>
        <v>0</v>
      </c>
      <c r="BM181" s="149">
        <f t="shared" si="134"/>
        <v>0</v>
      </c>
      <c r="BN181" s="149" t="e">
        <f t="shared" si="134"/>
        <v>#REF!</v>
      </c>
      <c r="BO181" s="149">
        <f t="shared" si="134"/>
        <v>23675181</v>
      </c>
      <c r="BP181" s="149">
        <f t="shared" si="134"/>
        <v>0</v>
      </c>
      <c r="BQ181" s="149">
        <f t="shared" si="134"/>
        <v>0</v>
      </c>
      <c r="BR181" s="149">
        <f t="shared" si="134"/>
        <v>0</v>
      </c>
      <c r="BS181" s="238" t="e">
        <f>+BT181/U181</f>
        <v>#REF!</v>
      </c>
      <c r="BT181" s="149" t="e">
        <f>SUM(BT170:BT180)</f>
        <v>#REF!</v>
      </c>
      <c r="BU181" s="149">
        <f t="shared" ref="BU181:CF181" si="135">SUM(BU170:BU180)</f>
        <v>0</v>
      </c>
      <c r="BV181" s="149" t="e">
        <f t="shared" si="135"/>
        <v>#REF!</v>
      </c>
      <c r="BW181" s="149">
        <f t="shared" si="135"/>
        <v>0</v>
      </c>
      <c r="BX181" s="149">
        <f t="shared" si="135"/>
        <v>0</v>
      </c>
      <c r="BY181" s="149">
        <f t="shared" si="135"/>
        <v>0</v>
      </c>
      <c r="BZ181" s="149">
        <f t="shared" si="135"/>
        <v>0</v>
      </c>
      <c r="CA181" s="149">
        <f t="shared" si="135"/>
        <v>0</v>
      </c>
      <c r="CB181" s="149" t="e">
        <f t="shared" si="135"/>
        <v>#REF!</v>
      </c>
      <c r="CC181" s="149">
        <f t="shared" si="135"/>
        <v>0</v>
      </c>
      <c r="CD181" s="149">
        <f t="shared" si="135"/>
        <v>0</v>
      </c>
      <c r="CE181" s="149">
        <f t="shared" si="135"/>
        <v>0</v>
      </c>
      <c r="CF181" s="149">
        <f t="shared" si="135"/>
        <v>0</v>
      </c>
      <c r="CG181" s="238" t="e">
        <f>1-BS181</f>
        <v>#REF!</v>
      </c>
      <c r="CH181" s="149" t="e">
        <f>SUM(CH170:CH180)</f>
        <v>#REF!</v>
      </c>
      <c r="CI181" s="149">
        <f t="shared" ref="CI181:CT181" si="136">SUM(CI170:CI180)</f>
        <v>20000000</v>
      </c>
      <c r="CJ181" s="149" t="e">
        <f t="shared" si="136"/>
        <v>#REF!</v>
      </c>
      <c r="CK181" s="149">
        <f t="shared" si="136"/>
        <v>100821516</v>
      </c>
      <c r="CL181" s="149">
        <f t="shared" si="136"/>
        <v>0</v>
      </c>
      <c r="CM181" s="149">
        <f t="shared" si="136"/>
        <v>0</v>
      </c>
      <c r="CN181" s="149">
        <f t="shared" si="136"/>
        <v>0</v>
      </c>
      <c r="CO181" s="149">
        <f t="shared" si="136"/>
        <v>0</v>
      </c>
      <c r="CP181" s="149" t="e">
        <f t="shared" si="136"/>
        <v>#REF!</v>
      </c>
      <c r="CQ181" s="149">
        <f t="shared" si="136"/>
        <v>23675181</v>
      </c>
      <c r="CR181" s="149">
        <f t="shared" si="136"/>
        <v>0</v>
      </c>
      <c r="CS181" s="149">
        <f t="shared" si="136"/>
        <v>0</v>
      </c>
      <c r="CT181" s="149">
        <f t="shared" si="136"/>
        <v>0</v>
      </c>
    </row>
    <row r="182" spans="1:98" ht="18" customHeight="1" x14ac:dyDescent="0.25">
      <c r="A182" s="1442"/>
      <c r="B182" s="1442"/>
      <c r="C182" s="1442"/>
      <c r="D182" s="1442"/>
      <c r="E182" s="1442"/>
      <c r="F182" s="1443"/>
      <c r="G182" s="723"/>
      <c r="H182" s="723"/>
      <c r="I182" s="726"/>
      <c r="J182" s="1444"/>
      <c r="K182" s="1444"/>
      <c r="L182" s="1444"/>
      <c r="M182" s="240"/>
      <c r="N182" s="1445"/>
      <c r="O182" s="1445"/>
      <c r="P182" s="1445"/>
      <c r="Q182" s="1445"/>
      <c r="R182" s="1445"/>
      <c r="S182" s="747"/>
      <c r="T182" s="747"/>
      <c r="U182" s="693">
        <f>+U181-AG181+BD181</f>
        <v>485475029</v>
      </c>
      <c r="V182" s="694"/>
      <c r="W182" s="694"/>
      <c r="X182" s="694"/>
      <c r="Y182" s="694"/>
      <c r="Z182" s="694"/>
      <c r="AA182" s="694"/>
      <c r="AB182" s="694"/>
      <c r="AC182" s="694"/>
      <c r="AD182" s="694"/>
      <c r="AE182" s="694"/>
      <c r="AF182" s="694"/>
      <c r="AG182" s="694"/>
      <c r="AI182" s="149"/>
      <c r="AJ182" s="149"/>
      <c r="AK182" s="149"/>
      <c r="AL182" s="149"/>
      <c r="AM182" s="149"/>
      <c r="AN182" s="149"/>
      <c r="AO182" s="149"/>
      <c r="AP182" s="149"/>
      <c r="AQ182" s="238"/>
      <c r="AR182" s="149"/>
      <c r="AS182" s="149"/>
      <c r="AT182" s="149"/>
      <c r="AU182" s="149"/>
      <c r="AV182" s="149"/>
      <c r="AW182" s="149"/>
      <c r="AX182" s="149"/>
      <c r="AY182" s="149"/>
      <c r="AZ182" s="149"/>
      <c r="BA182" s="149"/>
      <c r="BB182" s="149"/>
      <c r="BC182" s="149"/>
      <c r="BD182" s="149"/>
      <c r="BE182" s="238"/>
      <c r="BF182" s="149"/>
      <c r="BG182" s="149"/>
      <c r="BH182" s="149"/>
      <c r="BI182" s="149"/>
      <c r="BJ182" s="149"/>
      <c r="BK182" s="149"/>
      <c r="BL182" s="149"/>
      <c r="BM182" s="149"/>
      <c r="BN182" s="149"/>
      <c r="BO182" s="149"/>
      <c r="BP182" s="149"/>
      <c r="BQ182" s="149"/>
      <c r="BR182" s="149"/>
      <c r="BS182" s="238"/>
      <c r="BT182" s="149"/>
      <c r="BU182" s="149"/>
      <c r="BV182" s="149"/>
      <c r="BW182" s="149"/>
      <c r="BX182" s="149"/>
      <c r="BY182" s="149"/>
      <c r="BZ182" s="149"/>
      <c r="CA182" s="149"/>
      <c r="CB182" s="149"/>
      <c r="CC182" s="149"/>
      <c r="CD182" s="149"/>
      <c r="CE182" s="149"/>
      <c r="CF182" s="149"/>
      <c r="CG182" s="238"/>
      <c r="CH182" s="149"/>
      <c r="CI182" s="149"/>
      <c r="CJ182" s="149"/>
      <c r="CK182" s="149"/>
      <c r="CL182" s="149"/>
      <c r="CM182" s="149"/>
      <c r="CN182" s="149"/>
      <c r="CO182" s="149"/>
      <c r="CP182" s="149"/>
      <c r="CQ182" s="149"/>
      <c r="CR182" s="149"/>
      <c r="CS182" s="149"/>
      <c r="CT182" s="149"/>
    </row>
    <row r="183" spans="1:98" ht="21" customHeight="1" x14ac:dyDescent="0.25">
      <c r="A183" s="1435" t="s">
        <v>622</v>
      </c>
      <c r="B183" s="1435"/>
      <c r="C183" s="1435"/>
      <c r="D183" s="1435"/>
      <c r="E183" s="1435"/>
      <c r="F183" s="1436"/>
      <c r="G183" s="147">
        <f>+G181+G167+G150+G146+G86+G21+G10</f>
        <v>12593000000</v>
      </c>
      <c r="H183" s="147">
        <f>+H181+H167+H150+H146+H86+H21+H10</f>
        <v>13128000000</v>
      </c>
      <c r="I183" s="715">
        <f>SUM(I4:I178)</f>
        <v>22108000000</v>
      </c>
      <c r="J183" s="1437"/>
      <c r="K183" s="1438"/>
      <c r="L183" s="1438"/>
      <c r="M183" s="1439"/>
      <c r="N183" s="1304" t="s">
        <v>622</v>
      </c>
      <c r="O183" s="1440"/>
      <c r="P183" s="716">
        <f>SUM(P4:P178)</f>
        <v>11808000050</v>
      </c>
      <c r="Q183" s="716">
        <f>SUM(Q4:Q178)</f>
        <v>24543491373</v>
      </c>
      <c r="S183" s="242" t="e">
        <f>+Q183-U183</f>
        <v>#REF!</v>
      </c>
      <c r="T183" s="242"/>
      <c r="U183" s="204" t="e">
        <f t="shared" ref="U183:AG183" si="137">+U181+U167+U150+U146+U86+U21+U10</f>
        <v>#REF!</v>
      </c>
      <c r="V183" s="204">
        <f t="shared" si="137"/>
        <v>2475902120</v>
      </c>
      <c r="W183" s="204" t="e">
        <f t="shared" si="137"/>
        <v>#REF!</v>
      </c>
      <c r="X183" s="204" t="e">
        <f t="shared" si="137"/>
        <v>#REF!</v>
      </c>
      <c r="Y183" s="204">
        <f t="shared" si="137"/>
        <v>73270400</v>
      </c>
      <c r="Z183" s="204">
        <f t="shared" si="137"/>
        <v>20000000</v>
      </c>
      <c r="AA183" s="204">
        <f t="shared" si="137"/>
        <v>47000740</v>
      </c>
      <c r="AB183" s="204" t="e">
        <f t="shared" si="137"/>
        <v>#REF!</v>
      </c>
      <c r="AC183" s="204">
        <f t="shared" si="137"/>
        <v>871000000</v>
      </c>
      <c r="AD183" s="204" t="e">
        <f t="shared" si="137"/>
        <v>#REF!</v>
      </c>
      <c r="AE183" s="204">
        <f t="shared" si="137"/>
        <v>0</v>
      </c>
      <c r="AF183" s="204">
        <f t="shared" si="137"/>
        <v>1355000000</v>
      </c>
      <c r="AG183" s="204">
        <f t="shared" si="137"/>
        <v>0</v>
      </c>
      <c r="AI183" s="147" t="e">
        <f t="shared" ref="AI183:AP183" si="138">+AI181+AI167+AI150+AI146+AI86+AI21+AI10</f>
        <v>#REF!</v>
      </c>
      <c r="AJ183" s="147" t="e">
        <f t="shared" si="138"/>
        <v>#REF!</v>
      </c>
      <c r="AK183" s="147" t="e">
        <f t="shared" si="138"/>
        <v>#REF!</v>
      </c>
      <c r="AL183" s="147" t="e">
        <f t="shared" si="138"/>
        <v>#REF!</v>
      </c>
      <c r="AM183" s="147" t="e">
        <f t="shared" si="138"/>
        <v>#REF!</v>
      </c>
      <c r="AN183" s="147" t="e">
        <f t="shared" si="138"/>
        <v>#REF!</v>
      </c>
      <c r="AO183" s="147" t="e">
        <f t="shared" si="138"/>
        <v>#REF!</v>
      </c>
      <c r="AP183" s="147" t="e">
        <f t="shared" si="138"/>
        <v>#REF!</v>
      </c>
      <c r="AQ183" s="238" t="e">
        <f>+AR183/U183</f>
        <v>#REF!</v>
      </c>
      <c r="AR183" s="147" t="e">
        <f t="shared" ref="AR183:BD183" si="139">+AR181+AR167+AR150+AR146+AR86+AR21+AR10</f>
        <v>#REF!</v>
      </c>
      <c r="AS183" s="147" t="e">
        <f t="shared" si="139"/>
        <v>#REF!</v>
      </c>
      <c r="AT183" s="147" t="e">
        <f t="shared" si="139"/>
        <v>#REF!</v>
      </c>
      <c r="AU183" s="147">
        <f t="shared" si="139"/>
        <v>642607943</v>
      </c>
      <c r="AV183" s="147">
        <f t="shared" si="139"/>
        <v>0</v>
      </c>
      <c r="AW183" s="147">
        <f t="shared" si="139"/>
        <v>0</v>
      </c>
      <c r="AX183" s="147">
        <f t="shared" si="139"/>
        <v>0</v>
      </c>
      <c r="AY183" s="147">
        <f t="shared" si="139"/>
        <v>2749150101</v>
      </c>
      <c r="AZ183" s="147" t="e">
        <f t="shared" si="139"/>
        <v>#REF!</v>
      </c>
      <c r="BA183" s="147" t="e">
        <f t="shared" si="139"/>
        <v>#REF!</v>
      </c>
      <c r="BB183" s="147">
        <f t="shared" si="139"/>
        <v>0</v>
      </c>
      <c r="BC183" s="147">
        <f t="shared" si="139"/>
        <v>733619915</v>
      </c>
      <c r="BD183" s="147">
        <f t="shared" si="139"/>
        <v>0</v>
      </c>
      <c r="BE183" s="238" t="e">
        <f>1-AQ183</f>
        <v>#REF!</v>
      </c>
      <c r="BF183" s="147" t="e">
        <f t="shared" ref="BF183:BR183" si="140">+BF181+BF167+BF150+BF146+BF86+BF21+BF10</f>
        <v>#REF!</v>
      </c>
      <c r="BG183" s="147" t="e">
        <f t="shared" si="140"/>
        <v>#REF!</v>
      </c>
      <c r="BH183" s="147" t="e">
        <f t="shared" si="140"/>
        <v>#REF!</v>
      </c>
      <c r="BI183" s="147" t="e">
        <f t="shared" si="140"/>
        <v>#REF!</v>
      </c>
      <c r="BJ183" s="147">
        <f t="shared" si="140"/>
        <v>73270400</v>
      </c>
      <c r="BK183" s="147">
        <f t="shared" si="140"/>
        <v>20000000</v>
      </c>
      <c r="BL183" s="147">
        <f t="shared" si="140"/>
        <v>47000740</v>
      </c>
      <c r="BM183" s="147" t="e">
        <f t="shared" si="140"/>
        <v>#REF!</v>
      </c>
      <c r="BN183" s="147" t="e">
        <f t="shared" si="140"/>
        <v>#REF!</v>
      </c>
      <c r="BO183" s="147" t="e">
        <f t="shared" si="140"/>
        <v>#REF!</v>
      </c>
      <c r="BP183" s="147">
        <f t="shared" si="140"/>
        <v>0</v>
      </c>
      <c r="BQ183" s="147">
        <f t="shared" si="140"/>
        <v>621380085</v>
      </c>
      <c r="BR183" s="147">
        <f t="shared" si="140"/>
        <v>0</v>
      </c>
      <c r="BS183" s="238" t="e">
        <f>+BT183/U183</f>
        <v>#REF!</v>
      </c>
      <c r="BT183" s="147" t="e">
        <f t="shared" ref="BT183:CF183" si="141">+BT181+BT167+BT150+BT146+BT86+BT21+BT10</f>
        <v>#REF!</v>
      </c>
      <c r="BU183" s="147" t="e">
        <f t="shared" si="141"/>
        <v>#REF!</v>
      </c>
      <c r="BV183" s="147" t="e">
        <f t="shared" si="141"/>
        <v>#REF!</v>
      </c>
      <c r="BW183" s="147">
        <f t="shared" si="141"/>
        <v>0</v>
      </c>
      <c r="BX183" s="147">
        <f t="shared" si="141"/>
        <v>0</v>
      </c>
      <c r="BY183" s="147">
        <f t="shared" si="141"/>
        <v>0</v>
      </c>
      <c r="BZ183" s="147">
        <f t="shared" si="141"/>
        <v>0</v>
      </c>
      <c r="CA183" s="147" t="e">
        <f t="shared" si="141"/>
        <v>#REF!</v>
      </c>
      <c r="CB183" s="147" t="e">
        <f t="shared" si="141"/>
        <v>#REF!</v>
      </c>
      <c r="CC183" s="147">
        <f t="shared" si="141"/>
        <v>0</v>
      </c>
      <c r="CD183" s="147">
        <f t="shared" si="141"/>
        <v>0</v>
      </c>
      <c r="CE183" s="147">
        <f t="shared" si="141"/>
        <v>635189351</v>
      </c>
      <c r="CF183" s="147">
        <f t="shared" si="141"/>
        <v>0</v>
      </c>
      <c r="CG183" s="238" t="e">
        <f>1-BS183</f>
        <v>#REF!</v>
      </c>
      <c r="CH183" s="147" t="e">
        <f t="shared" ref="CH183:CT183" si="142">+CH181+CH167+CH150+CH146+CH86+CH21+CH10</f>
        <v>#REF!</v>
      </c>
      <c r="CI183" s="147" t="e">
        <f t="shared" si="142"/>
        <v>#REF!</v>
      </c>
      <c r="CJ183" s="147" t="e">
        <f t="shared" si="142"/>
        <v>#REF!</v>
      </c>
      <c r="CK183" s="147" t="e">
        <f t="shared" si="142"/>
        <v>#REF!</v>
      </c>
      <c r="CL183" s="147">
        <f t="shared" si="142"/>
        <v>73270400</v>
      </c>
      <c r="CM183" s="147">
        <f t="shared" si="142"/>
        <v>20000000</v>
      </c>
      <c r="CN183" s="147">
        <f t="shared" si="142"/>
        <v>47000740</v>
      </c>
      <c r="CO183" s="147" t="e">
        <f t="shared" si="142"/>
        <v>#REF!</v>
      </c>
      <c r="CP183" s="147" t="e">
        <f t="shared" si="142"/>
        <v>#REF!</v>
      </c>
      <c r="CQ183" s="147" t="e">
        <f t="shared" si="142"/>
        <v>#REF!</v>
      </c>
      <c r="CR183" s="147">
        <f t="shared" si="142"/>
        <v>0</v>
      </c>
      <c r="CS183" s="147">
        <f t="shared" si="142"/>
        <v>719810649</v>
      </c>
      <c r="CT183" s="147">
        <f t="shared" si="142"/>
        <v>0</v>
      </c>
    </row>
    <row r="184" spans="1:98" ht="15" customHeight="1" x14ac:dyDescent="0.25">
      <c r="A184" s="181"/>
      <c r="B184" s="181"/>
      <c r="C184" s="181"/>
      <c r="D184" s="181"/>
      <c r="E184" s="181"/>
      <c r="F184" s="181"/>
      <c r="G184" s="122"/>
      <c r="H184" s="122"/>
      <c r="I184" s="122"/>
      <c r="J184" s="119"/>
      <c r="K184" s="119"/>
      <c r="L184" s="119"/>
      <c r="M184" s="119"/>
      <c r="N184" s="118"/>
      <c r="O184" s="118"/>
      <c r="P184" s="122"/>
      <c r="Q184" s="122"/>
      <c r="R184" s="123"/>
      <c r="S184" s="123"/>
      <c r="T184" s="123"/>
      <c r="U184" s="270" t="e">
        <f>+U182+U168+U151+U147+U87+U22+U11</f>
        <v>#REF!</v>
      </c>
      <c r="V184" s="122"/>
      <c r="W184" s="122"/>
      <c r="X184" s="122"/>
      <c r="Y184" s="122"/>
      <c r="Z184" s="122"/>
      <c r="AA184" s="122"/>
      <c r="AB184" s="122"/>
      <c r="AC184" s="122"/>
      <c r="AD184" s="122"/>
      <c r="AE184" s="122"/>
      <c r="AF184" s="122"/>
      <c r="AG184" s="122"/>
      <c r="AI184" s="122"/>
      <c r="AJ184" s="122" t="e">
        <f>+#REF!+'[5]VENTA  SERVICIOS yPOSTG I -VII'!$T$140</f>
        <v>#REF!</v>
      </c>
      <c r="AK184" s="122" t="e">
        <f>+#REF!+'[5]VENTA  SERVICIOS yPOSTG I -VII'!$S$140+'[5]VENTA  SERVICIOS yPOSTG I -VII'!$G$103</f>
        <v>#REF!</v>
      </c>
      <c r="AL184" s="122" t="e">
        <f>+#REF!+'[5]VENTA  SERVICIOS yPOSTG I -VII'!$U$140</f>
        <v>#REF!</v>
      </c>
      <c r="AM184" s="122" t="e">
        <f>+#REF!+'[5]VENTA  SERVICIOS yPOSTG I -VII'!$R$140</f>
        <v>#REF!</v>
      </c>
      <c r="AN184" s="122" t="e">
        <f>+#REF!+'[5]VENTA  SERVICIOS yPOSTG I -VII'!$W$140</f>
        <v>#REF!</v>
      </c>
      <c r="AO184" s="122" t="e">
        <f>+#REF!+'[5]VENTA  SERVICIOS yPOSTG I -VII'!$V$140</f>
        <v>#REF!</v>
      </c>
      <c r="AP184" s="122">
        <v>0</v>
      </c>
      <c r="AQ184" s="239"/>
      <c r="AR184" s="148"/>
      <c r="AS184" s="122"/>
      <c r="AT184" s="122"/>
      <c r="AU184" s="122"/>
      <c r="AV184" s="122"/>
      <c r="AW184" s="122"/>
      <c r="AX184" s="122"/>
      <c r="AY184" s="122"/>
      <c r="AZ184" s="122"/>
      <c r="BA184" s="122"/>
      <c r="BB184" s="122"/>
      <c r="BC184" s="122"/>
      <c r="BD184" s="122"/>
      <c r="BE184" s="239"/>
      <c r="BF184" s="148"/>
      <c r="BG184" s="207"/>
      <c r="BH184" s="207"/>
      <c r="BI184" s="207"/>
      <c r="BJ184" s="207"/>
      <c r="BK184" s="207"/>
      <c r="BL184" s="207"/>
      <c r="BM184" s="207"/>
      <c r="BN184" s="207"/>
      <c r="BO184" s="207"/>
      <c r="BP184" s="207"/>
      <c r="BQ184" s="207"/>
      <c r="BR184" s="207"/>
      <c r="BS184" s="239"/>
      <c r="BT184" s="148"/>
      <c r="BU184" s="122"/>
      <c r="BV184" s="122"/>
      <c r="BW184" s="122"/>
      <c r="BX184" s="122"/>
      <c r="BY184" s="122"/>
      <c r="BZ184" s="122"/>
      <c r="CA184" s="122"/>
      <c r="CB184" s="122"/>
      <c r="CC184" s="122"/>
      <c r="CD184" s="122"/>
      <c r="CE184" s="122"/>
      <c r="CF184" s="122"/>
      <c r="CG184" s="239"/>
      <c r="CH184" s="148"/>
      <c r="CI184" s="207"/>
      <c r="CJ184" s="207"/>
      <c r="CK184" s="207"/>
      <c r="CL184" s="207"/>
      <c r="CM184" s="207"/>
      <c r="CN184" s="207"/>
      <c r="CO184" s="207"/>
      <c r="CP184" s="207"/>
      <c r="CQ184" s="207"/>
      <c r="CR184" s="207"/>
      <c r="CS184" s="207"/>
      <c r="CT184" s="207"/>
    </row>
    <row r="185" spans="1:98" ht="27" customHeight="1" x14ac:dyDescent="0.25">
      <c r="A185" s="744"/>
      <c r="B185" s="743"/>
      <c r="C185" s="743"/>
      <c r="D185" s="743"/>
      <c r="E185" s="743"/>
      <c r="F185" s="743"/>
      <c r="G185" s="133">
        <f>SUMIF($R$4:$R$178,"111",$G$4:$G$178)</f>
        <v>4910000000</v>
      </c>
      <c r="H185" s="178">
        <f>SUMIF($R$4:$R$178,"111",$H$4:$H$178)</f>
        <v>4270000000</v>
      </c>
      <c r="I185" s="133">
        <f>SUMIF($R$4:$R$178,"111",$I$4:$I$178)</f>
        <v>4270000000</v>
      </c>
      <c r="J185" s="1274" t="s">
        <v>3302</v>
      </c>
      <c r="K185" s="1275"/>
      <c r="L185" s="1275"/>
      <c r="M185" s="1275"/>
      <c r="N185" s="1275"/>
      <c r="O185" s="1276"/>
      <c r="P185" s="133">
        <f>SUMIF($R$4:$R$178,"111",$P$4:$P$178)</f>
        <v>3640000000</v>
      </c>
      <c r="Q185" s="133">
        <f>SUMIF($R$4:$R$178,"111",$Q$4:$Q$178)</f>
        <v>6220353559</v>
      </c>
      <c r="R185" s="296">
        <v>111</v>
      </c>
      <c r="S185" s="133">
        <f>SUMIF($R$4:$R$178,"111",$S$4:$S$178)</f>
        <v>5750220399</v>
      </c>
      <c r="T185" s="133"/>
      <c r="U185" s="133" t="e">
        <f>SUMIF($R$4:$R$180,"111",$U$4:$U$181)</f>
        <v>#REF!</v>
      </c>
      <c r="V185" s="133">
        <f>SUMIF($R$4:$R$180,"111",$V$4:$V$180)</f>
        <v>0</v>
      </c>
      <c r="W185" s="133" t="e">
        <f>SUMIF($R$4:$R$180,"111",$W$4:$W$180)</f>
        <v>#REF!</v>
      </c>
      <c r="X185" s="133" t="e">
        <f>SUMIF($R$4:$R$180,"111",$X$4:$X$180)</f>
        <v>#REF!</v>
      </c>
      <c r="Y185" s="133">
        <f>SUMIF($R$4:$R$180,"111",$Y$4:$Y$180)</f>
        <v>36500000</v>
      </c>
      <c r="Z185" s="133">
        <f>SUMIF($R$4:$R$180,"111",$Z$4:$Z$180)</f>
        <v>10000000</v>
      </c>
      <c r="AA185" s="133">
        <f>SUMIF($R$4:$R$180,"111",$AA$4:$AA$180)</f>
        <v>23500000</v>
      </c>
      <c r="AB185" s="133" t="e">
        <f>SUMIF($R$4:$R$180,"111",$AB$4:$AB$180)</f>
        <v>#REF!</v>
      </c>
      <c r="AC185" s="133">
        <f>SUMIF($R$4:$R$180,"111",$AC$4:$AC$180)</f>
        <v>0</v>
      </c>
      <c r="AD185" s="133" t="e">
        <f>SUMIF($R$4:$R$180,"111",$AD$4:$AD$180)</f>
        <v>#REF!</v>
      </c>
      <c r="AE185" s="133">
        <f>SUMIF($R$4:$R$180,"111",$AE$4:$AE$180)</f>
        <v>0</v>
      </c>
      <c r="AF185" s="133">
        <f>SUMIF($R$4:$R$180,"111",$AF$4:$AF$180)</f>
        <v>0</v>
      </c>
      <c r="AG185" s="133">
        <f>SUMIF($R$4:$R$180,"111",$AG$4:$AG$180)</f>
        <v>0</v>
      </c>
      <c r="AI185" s="133">
        <f>SUMIF($R$4:$R$180,"111",$AI$4:$AI$180)</f>
        <v>5800000</v>
      </c>
      <c r="AJ185" s="133">
        <f>SUMIF($R$4:$R$180,"111",$AJ$4:$AJ$180)</f>
        <v>5800000</v>
      </c>
      <c r="AK185" s="133">
        <f>SUMIF($R$4:$R$180,"111",$AK$4:$AK$180)</f>
        <v>0</v>
      </c>
      <c r="AL185" s="133">
        <f>SUMIF($R$4:$R$180,"111",$AL$4:$AL$180)</f>
        <v>0</v>
      </c>
      <c r="AM185" s="133">
        <f>SUMIF($R$4:$R$180,"111",$AM$4:$AM$180)</f>
        <v>0</v>
      </c>
      <c r="AN185" s="133">
        <f>SUMIF($R$4:$R$180,"111",$AN$4:$AN$180)</f>
        <v>0</v>
      </c>
      <c r="AO185" s="133">
        <f>SUMIF($R$4:$R$180,"111",$AO$4:$AO$180)</f>
        <v>0</v>
      </c>
      <c r="AP185" s="216">
        <f>SUMIF($R$4:$R$180,"111",$AP$4:$AP$180)</f>
        <v>0</v>
      </c>
      <c r="AQ185" s="292" t="e">
        <f t="shared" ref="AQ185:AQ193" si="143">+AR185/U185</f>
        <v>#REF!</v>
      </c>
      <c r="AR185" s="218" t="e">
        <f t="shared" si="130"/>
        <v>#REF!</v>
      </c>
      <c r="AS185" s="133">
        <f>SUMIF($R$4:$R$180,"111",$AS$4:$AS$180)</f>
        <v>0</v>
      </c>
      <c r="AT185" s="133" t="e">
        <f>SUMIF($R$4:$R$180,"111",$AT$4:$AT$180)</f>
        <v>#REF!</v>
      </c>
      <c r="AU185" s="133">
        <f>SUMIF($R$4:$R$180,"111",$AU$4:$AU$180)</f>
        <v>642607943</v>
      </c>
      <c r="AV185" s="133">
        <f>SUMIF($R$4:$R$180,"111",$AV$4:$AV$180)</f>
        <v>0</v>
      </c>
      <c r="AW185" s="133">
        <f>SUMIF($R$4:$R$180,"111",$AW$4:$AW$180)</f>
        <v>0</v>
      </c>
      <c r="AX185" s="133">
        <f>SUMIF($R$4:$R$180,"111",$AX$4:$AX$180)</f>
        <v>0</v>
      </c>
      <c r="AY185" s="133">
        <f>SUMIF($R$4:$R$180,"111",$AY$4:$AY$180)</f>
        <v>1000000000</v>
      </c>
      <c r="AZ185" s="133">
        <f>SUMIF($R$4:$R$180,"111",$AZ$4:$AZ$180)</f>
        <v>0</v>
      </c>
      <c r="BA185" s="133" t="e">
        <f>SUMIF($R$4:$R$180,"111",$BA$4:$BA$180)</f>
        <v>#REF!</v>
      </c>
      <c r="BB185" s="133">
        <f>SUMIF($R$4:$R$180,"111",$BB$4:$BB$180)</f>
        <v>0</v>
      </c>
      <c r="BC185" s="133">
        <f>SUMIF($R$4:$R$180,"111",$BC$4:$BC$180)</f>
        <v>0</v>
      </c>
      <c r="BD185" s="216">
        <f>SUMIF($R$4:$R$180,"111",$BD$4:$BD$180)</f>
        <v>0</v>
      </c>
      <c r="BE185" s="238" t="e">
        <f>1-AQ185</f>
        <v>#REF!</v>
      </c>
      <c r="BF185" s="218" t="e">
        <f t="shared" ref="BF185:BF193" si="144">SUM(BG185:BR185)</f>
        <v>#REF!</v>
      </c>
      <c r="BG185" s="208">
        <f>SUMIF($R$4:$R$180,"111",$BG$4:$BG$180)</f>
        <v>0</v>
      </c>
      <c r="BH185" s="208" t="e">
        <f>SUMIF($R$4:$R$180,"111",$BH$4:$BH$180)</f>
        <v>#REF!</v>
      </c>
      <c r="BI185" s="208" t="e">
        <f>SUMIF($R$4:$R$180,"111",$BI$4:$BI$180)</f>
        <v>#REF!</v>
      </c>
      <c r="BJ185" s="208">
        <f>SUMIF($R$4:$R$180,"111",$BJ$4:$BJ$180)</f>
        <v>36500000</v>
      </c>
      <c r="BK185" s="208">
        <f>SUMIF($R$4:$R$180,"111",$BK$4:$BK$180)</f>
        <v>10000000</v>
      </c>
      <c r="BL185" s="208">
        <f>SUMIF($R$4:$R$180,"111",$BL$4:$BL$180)</f>
        <v>23500000</v>
      </c>
      <c r="BM185" s="208" t="e">
        <f>SUMIF($R$4:$R$180,"111",$BM$4:$BM$180)</f>
        <v>#REF!</v>
      </c>
      <c r="BN185" s="208">
        <f>SUMIF($R$4:$R$180,"111",$BN$4:$BN$180)</f>
        <v>0</v>
      </c>
      <c r="BO185" s="208" t="e">
        <f>SUMIF($R$4:$R$180,"111",$BO$4:$BO$180)</f>
        <v>#REF!</v>
      </c>
      <c r="BP185" s="208">
        <f>SUMIF($R$4:$R$180,"111",$BP$4:$BP$180)</f>
        <v>0</v>
      </c>
      <c r="BQ185" s="208">
        <f>SUMIF($R$4:$R$180,"111",$BQ$4:$BQ$180)</f>
        <v>0</v>
      </c>
      <c r="BR185" s="220">
        <f>SUMIF($R$4:$R$180,"111",$BR$4:$BR$180)</f>
        <v>0</v>
      </c>
      <c r="BS185" s="292" t="e">
        <f t="shared" ref="BS185:BS193" si="145">+BT185/U185</f>
        <v>#REF!</v>
      </c>
      <c r="BT185" s="218">
        <f t="shared" ref="BT185:BT193" si="146">SUM(BU185:CF185)</f>
        <v>0</v>
      </c>
      <c r="BU185" s="133">
        <f>SUMIF($R$4:$R$180,"111",$BU$4:$BU$180)</f>
        <v>0</v>
      </c>
      <c r="BV185" s="133">
        <f>SUMIF($R$4:$R$180,"111",$BV$4:$BV$180)</f>
        <v>0</v>
      </c>
      <c r="BW185" s="133">
        <f>SUMIF($R$4:$R$180,"111",$BW$4:$BW$180)</f>
        <v>0</v>
      </c>
      <c r="BX185" s="133">
        <f>SUMIF($R$4:$R$180,"111",$BX$4:$BX$180)</f>
        <v>0</v>
      </c>
      <c r="BY185" s="133">
        <f>SUMIF($R$4:$R$180,"111",$BY$4:$BY$180)</f>
        <v>0</v>
      </c>
      <c r="BZ185" s="133">
        <f>SUMIF($R$4:$R$180,"111",$BZ$4:$BZ$180)</f>
        <v>0</v>
      </c>
      <c r="CA185" s="133">
        <f>SUMIF($R$4:$R$180,"111",$CA$4:$CA$180)</f>
        <v>0</v>
      </c>
      <c r="CB185" s="133">
        <f>SUMIF($R$4:$R$180,"111",$CB$4:$CB$180)</f>
        <v>0</v>
      </c>
      <c r="CC185" s="133">
        <f>SUMIF($R$4:$R$180,"111",$CC$4:$CC$180)</f>
        <v>0</v>
      </c>
      <c r="CD185" s="133">
        <f>SUMIF($R$4:$R$180,"111",$CD$4:$CD$180)</f>
        <v>0</v>
      </c>
      <c r="CE185" s="133">
        <f>SUMIF($R$4:$R$180,"111",$CE$4:$CE$180)</f>
        <v>0</v>
      </c>
      <c r="CF185" s="216">
        <f>SUMIF($R$4:$R$180,"111",$CF$4:$CF$180)</f>
        <v>0</v>
      </c>
      <c r="CG185" s="238" t="e">
        <f t="shared" ref="CG185:CG193" si="147">1-BS185</f>
        <v>#REF!</v>
      </c>
      <c r="CH185" s="218" t="e">
        <f t="shared" ref="CH185:CH193" si="148">SUM(CI185:CT185)</f>
        <v>#REF!</v>
      </c>
      <c r="CI185" s="208">
        <f>SUMIF($R$4:$R$180,"111",$CI$4:$CI$180)</f>
        <v>0</v>
      </c>
      <c r="CJ185" s="208" t="e">
        <f>SUMIF($R$4:$R$180,"111",$CJ$4:$CJ$180)</f>
        <v>#REF!</v>
      </c>
      <c r="CK185" s="208" t="e">
        <f>SUMIF($R$4:$R$180,"111",$CK$4:$CK$180)</f>
        <v>#REF!</v>
      </c>
      <c r="CL185" s="208">
        <f>SUMIF($R$4:$R$180,"111",$CL$4:$CL$180)</f>
        <v>36500000</v>
      </c>
      <c r="CM185" s="208">
        <f>SUMIF($R$4:$R$180,"111",$CM$4:$CM$180)</f>
        <v>10000000</v>
      </c>
      <c r="CN185" s="208">
        <f>SUMIF($R$4:$R$180,"111",$CN$4:$CN$180)</f>
        <v>23500000</v>
      </c>
      <c r="CO185" s="208" t="e">
        <f>SUMIF($R$4:$R$180,"111",$CO$4:$CO$180)</f>
        <v>#REF!</v>
      </c>
      <c r="CP185" s="208">
        <f>SUMIF($R$4:$R$180,"111",$CP$4:$CP$180)</f>
        <v>0</v>
      </c>
      <c r="CQ185" s="208" t="e">
        <f>SUMIF($R$4:$R$180,"111",$CQ$4:$CQ$180)</f>
        <v>#REF!</v>
      </c>
      <c r="CR185" s="208">
        <f>SUMIF($R$4:$R$180,"111",$CR$4:$CR$180)</f>
        <v>0</v>
      </c>
      <c r="CS185" s="208">
        <f>SUMIF($R$4:$R$180,"111",$CS$4:$CS$180)</f>
        <v>0</v>
      </c>
      <c r="CT185" s="208">
        <f>SUMIF($R$4:$R$180,"111",$CT$4:$CT$180)</f>
        <v>0</v>
      </c>
    </row>
    <row r="186" spans="1:98" ht="29.25" customHeight="1" x14ac:dyDescent="0.25">
      <c r="A186" s="744"/>
      <c r="B186" s="1441"/>
      <c r="C186" s="1441"/>
      <c r="D186" s="1441"/>
      <c r="E186" s="1441"/>
      <c r="F186" s="1441"/>
      <c r="G186" s="133">
        <f>SUMIF($R$4:$R$178,"211",$G$4:$G$178)</f>
        <v>3000000000</v>
      </c>
      <c r="H186" s="178">
        <f>SUMIF($R$4:$R$178,"211",$H$4:$H$178)</f>
        <v>3750000000</v>
      </c>
      <c r="I186" s="133">
        <f>SUMIF($R$4:$R$178,"211",$I$4:$I$178)</f>
        <v>3850000000</v>
      </c>
      <c r="J186" s="1274" t="s">
        <v>3303</v>
      </c>
      <c r="K186" s="1275"/>
      <c r="L186" s="1275"/>
      <c r="M186" s="1275"/>
      <c r="N186" s="1275"/>
      <c r="O186" s="1276"/>
      <c r="P186" s="133">
        <f>SUMIF($R$4:$R$178,"211",$P$4:$P$178)</f>
        <v>3350000000</v>
      </c>
      <c r="Q186" s="133">
        <f>SUMIF($R$4:$R$178,"211",$Q$4:$Q$178)</f>
        <v>9380407601</v>
      </c>
      <c r="R186" s="296">
        <v>211</v>
      </c>
      <c r="S186" s="133">
        <f>SUMIF($R$4:$R$178,"211",$S$4:$S$178)</f>
        <v>7732414164</v>
      </c>
      <c r="T186" s="133"/>
      <c r="U186" s="133">
        <f>SUMIF($R$4:$R$180,"211",$U$4:$U$181)</f>
        <v>2386103678</v>
      </c>
      <c r="V186" s="133">
        <f>SUMIF($R$4:$R$180,"211",$V$4:$V$180)</f>
        <v>0</v>
      </c>
      <c r="W186" s="133">
        <f>SUMIF($R$4:$R$180,"211",$W$4:$W$180)</f>
        <v>736335841</v>
      </c>
      <c r="X186" s="133">
        <f>SUMIF($R$4:$R$180,"211",$X$4:$X$180)</f>
        <v>177821516</v>
      </c>
      <c r="Y186" s="133">
        <f>SUMIF($R$4:$R$180,"211",$Y$4:$Y$180)</f>
        <v>36770400</v>
      </c>
      <c r="Z186" s="133">
        <f>SUMIF($R$4:$R$180,"211",$Z$4:$Z$180)</f>
        <v>10000000</v>
      </c>
      <c r="AA186" s="133">
        <f>SUMIF($R$4:$R$180,"211",$AA$4:$AA$180)</f>
        <v>23500740</v>
      </c>
      <c r="AB186" s="133">
        <f>SUMIF($R$4:$R$180,"211",$AB$4:$AB$180)</f>
        <v>1300000000</v>
      </c>
      <c r="AC186" s="133">
        <f>SUMIF($R$4:$R$180,"211",$AC$4:$AC$180)</f>
        <v>20000000</v>
      </c>
      <c r="AD186" s="133">
        <f>SUMIF($R$4:$R$180,"211",$AD$4:$AD$180)</f>
        <v>81675181</v>
      </c>
      <c r="AE186" s="133">
        <f>SUMIF($R$4:$R$180,"211",$AE$4:$AE$180)</f>
        <v>0</v>
      </c>
      <c r="AF186" s="133">
        <f>SUMIF($R$4:$R$180,"211",$AF$4:$AF$180)</f>
        <v>0</v>
      </c>
      <c r="AG186" s="133">
        <f>SUMIF($R$4:$R$180,"211",$AG$4:$AG$180)</f>
        <v>0</v>
      </c>
      <c r="AI186" s="133">
        <f>SUMIF($R$4:$R$180,"211",$AI$4:$AI$180)</f>
        <v>147396662</v>
      </c>
      <c r="AJ186" s="133">
        <f>SUMIF($R$4:$R$180,"211",$AJ$4:$AJ$180)</f>
        <v>15514467</v>
      </c>
      <c r="AK186" s="133">
        <f>SUMIF($R$4:$R$180,"211",$AK$4:$AK$180)</f>
        <v>0</v>
      </c>
      <c r="AL186" s="133">
        <f>SUMIF($R$4:$R$180,"211",$AL$4:$AL$180)</f>
        <v>0</v>
      </c>
      <c r="AM186" s="133">
        <f>SUMIF($R$4:$R$180,"211",$AM$4:$AM$180)</f>
        <v>131882195</v>
      </c>
      <c r="AN186" s="133">
        <f>SUMIF($R$4:$R$180,"211",$AN$4:$AN$180)</f>
        <v>0</v>
      </c>
      <c r="AO186" s="133">
        <f>SUMIF($R$4:$R$180,"211",$AO$4:$AO$180)</f>
        <v>0</v>
      </c>
      <c r="AP186" s="216">
        <f>SUMIF($R$4:$R$180,"211",$AP$4:$AP$180)</f>
        <v>0</v>
      </c>
      <c r="AQ186" s="287" t="e">
        <f t="shared" si="143"/>
        <v>#REF!</v>
      </c>
      <c r="AR186" s="218" t="e">
        <f t="shared" si="130"/>
        <v>#REF!</v>
      </c>
      <c r="AS186" s="133">
        <f>SUMIF($R$4:$R$180,"211",$AS$4:$AS$180)</f>
        <v>0</v>
      </c>
      <c r="AT186" s="133" t="e">
        <f>SUMIF($R$4:$R$180,"211",$AT$4:$AT$180)</f>
        <v>#REF!</v>
      </c>
      <c r="AU186" s="133">
        <f>SUMIF($R$4:$R$180,"211",$AU$4:$AU$180)</f>
        <v>0</v>
      </c>
      <c r="AV186" s="133">
        <f>SUMIF($R$4:$R$180,"211",$AV$4:$AV$180)</f>
        <v>0</v>
      </c>
      <c r="AW186" s="133">
        <f>SUMIF($R$4:$R$180,"211",$AW$4:$AW$180)</f>
        <v>0</v>
      </c>
      <c r="AX186" s="133">
        <f>SUMIF($R$4:$R$180,"211",$AX$4:$AX$180)</f>
        <v>0</v>
      </c>
      <c r="AY186" s="133">
        <f>SUMIF($R$4:$R$180,"211",$AY$4:$AY$180)</f>
        <v>0</v>
      </c>
      <c r="AZ186" s="133" t="e">
        <f>SUMIF($R$4:$R$180,"211",$AZ$4:$AZ$180)</f>
        <v>#REF!</v>
      </c>
      <c r="BA186" s="133">
        <f>SUMIF($R$4:$R$180,"211",$BA$4:$BA$180)</f>
        <v>0</v>
      </c>
      <c r="BB186" s="133">
        <f>SUMIF($R$4:$R$180,"211",$BB$4:$BB$180)</f>
        <v>0</v>
      </c>
      <c r="BC186" s="133">
        <f>SUMIF($R$4:$R$180,"211",$BC$4:$BC$180)</f>
        <v>0</v>
      </c>
      <c r="BD186" s="216">
        <f>SUMIF($R$4:$R$180,"211",$BD$4:$BD$180)</f>
        <v>0</v>
      </c>
      <c r="BE186" s="238" t="e">
        <f t="shared" ref="BE186:BE193" si="149">1-AQ186</f>
        <v>#REF!</v>
      </c>
      <c r="BF186" s="218" t="e">
        <f t="shared" si="144"/>
        <v>#REF!</v>
      </c>
      <c r="BG186" s="208">
        <f>SUMIF($R$4:$R$180,"211",$BG$4:$BG$180)</f>
        <v>0</v>
      </c>
      <c r="BH186" s="208" t="e">
        <f>SUMIF($R$4:$R$180,"211",$BH$4:$BH$180)</f>
        <v>#REF!</v>
      </c>
      <c r="BI186" s="208">
        <f>SUMIF($R$4:$R$180,"211",$BI$4:$BI$180)</f>
        <v>177821516</v>
      </c>
      <c r="BJ186" s="208">
        <f>SUMIF($R$4:$R$180,"211",$BJ$4:$BJ$180)</f>
        <v>36770400</v>
      </c>
      <c r="BK186" s="208">
        <f>SUMIF($R$4:$R$180,"211",$BK$4:$BK$180)</f>
        <v>10000000</v>
      </c>
      <c r="BL186" s="208">
        <f>SUMIF($R$4:$R$180,"211",$BL$4:$BL$180)</f>
        <v>23500740</v>
      </c>
      <c r="BM186" s="208">
        <f>SUMIF($R$4:$R$180,"211",$BM$4:$BM$180)</f>
        <v>1300000000</v>
      </c>
      <c r="BN186" s="208" t="e">
        <f>SUMIF($R$4:$R$180,"211",$BN$4:$BN$180)</f>
        <v>#REF!</v>
      </c>
      <c r="BO186" s="208">
        <f>SUMIF($R$4:$R$180,"211",$BO$4:$BO$180)</f>
        <v>81675181</v>
      </c>
      <c r="BP186" s="208">
        <f>SUMIF($R$4:$R$180,"211",$BP$4:$BP$180)</f>
        <v>0</v>
      </c>
      <c r="BQ186" s="208">
        <f>SUMIF($R$4:$R$180,"211",$BQ$4:$BQ$180)</f>
        <v>0</v>
      </c>
      <c r="BR186" s="220">
        <f>SUMIF($R$4:$R$180,"211",$BR$4:$BR$180)</f>
        <v>0</v>
      </c>
      <c r="BS186" s="287" t="e">
        <f t="shared" si="145"/>
        <v>#REF!</v>
      </c>
      <c r="BT186" s="218" t="e">
        <f t="shared" si="146"/>
        <v>#REF!</v>
      </c>
      <c r="BU186" s="133">
        <f>SUMIF($R$4:$R$180,"211",$BU$4:$BU$180)</f>
        <v>0</v>
      </c>
      <c r="BV186" s="133" t="e">
        <f>SUMIF($R$4:$R$180,"211",$BV$4:$BV$180)</f>
        <v>#REF!</v>
      </c>
      <c r="BW186" s="133">
        <f>SUMIF($R$4:$R$180,"211",$BW$4:$BW$180)</f>
        <v>0</v>
      </c>
      <c r="BX186" s="133">
        <f>SUMIF($R$4:$R$180,"211",$BX$4:$BX$180)</f>
        <v>0</v>
      </c>
      <c r="BY186" s="133">
        <f>SUMIF($R$4:$R$180,"211",$BY$4:$BY$180)</f>
        <v>0</v>
      </c>
      <c r="BZ186" s="133">
        <f>SUMIF($R$4:$R$180,"211",$BZ$4:$BZ$180)</f>
        <v>0</v>
      </c>
      <c r="CA186" s="133">
        <f>SUMIF($R$4:$R$180,"211",$CA$4:$CA$180)</f>
        <v>0</v>
      </c>
      <c r="CB186" s="133" t="e">
        <f>SUMIF($R$4:$R$180,"211",$CB$4:$CB$180)</f>
        <v>#REF!</v>
      </c>
      <c r="CC186" s="133">
        <f>SUMIF($R$4:$R$180,"211",$CC$4:$CC$180)</f>
        <v>0</v>
      </c>
      <c r="CD186" s="133">
        <f>SUMIF($R$4:$R$180,"211",$CD$4:$CD$180)</f>
        <v>0</v>
      </c>
      <c r="CE186" s="133">
        <f>SUMIF($R$4:$R$180,"211",$CE$4:$CE$180)</f>
        <v>0</v>
      </c>
      <c r="CF186" s="216">
        <f>SUMIF($R$4:$R$180,"211",$CF$4:$CF$180)</f>
        <v>0</v>
      </c>
      <c r="CG186" s="238" t="e">
        <f t="shared" si="147"/>
        <v>#REF!</v>
      </c>
      <c r="CH186" s="218" t="e">
        <f t="shared" si="148"/>
        <v>#REF!</v>
      </c>
      <c r="CI186" s="208">
        <f>SUMIF($R$4:$R$180,"211",$CI$4:$CI$180)</f>
        <v>0</v>
      </c>
      <c r="CJ186" s="208" t="e">
        <f>SUMIF($R$4:$R$180,"211",$CJ$4:$CJ$180)</f>
        <v>#REF!</v>
      </c>
      <c r="CK186" s="208">
        <f>SUMIF($R$4:$R$180,"211",$CK$4:$CK$180)</f>
        <v>177821516</v>
      </c>
      <c r="CL186" s="208">
        <f>SUMIF($R$4:$R$180,"211",$CL$4:$CL$180)</f>
        <v>36770400</v>
      </c>
      <c r="CM186" s="208">
        <f>SUMIF($R$4:$R$180,"211",$CM$4:$CM$180)</f>
        <v>10000000</v>
      </c>
      <c r="CN186" s="208">
        <f>SUMIF($R$4:$R$180,"211",$CN$4:$CN$180)</f>
        <v>23500740</v>
      </c>
      <c r="CO186" s="208">
        <f>SUMIF($R$4:$R$180,"211",$CO$4:$CO$180)</f>
        <v>1300000000</v>
      </c>
      <c r="CP186" s="208" t="e">
        <f>SUMIF($R$4:$R$180,"211",$CP$4:$CP$180)</f>
        <v>#REF!</v>
      </c>
      <c r="CQ186" s="208">
        <f>SUMIF($R$4:$R$180,"211",$CQ$4:$CQ$180)</f>
        <v>81675181</v>
      </c>
      <c r="CR186" s="208">
        <f>SUMIF($R$4:$R$180,"211",$CR$4:$CR$180)</f>
        <v>0</v>
      </c>
      <c r="CS186" s="208">
        <f>SUMIF($R$4:$R$180,"211",$CS$4:$CS$180)</f>
        <v>0</v>
      </c>
      <c r="CT186" s="208">
        <f>SUMIF($R$4:$R$180,"211",$CT$4:$CT$180)</f>
        <v>0</v>
      </c>
    </row>
    <row r="187" spans="1:98" ht="30" customHeight="1" x14ac:dyDescent="0.25">
      <c r="A187" s="744"/>
      <c r="B187" s="1441"/>
      <c r="C187" s="1441"/>
      <c r="D187" s="1441"/>
      <c r="E187" s="1441"/>
      <c r="F187" s="1441"/>
      <c r="G187" s="133">
        <f>SUMIF($R$4:$R$178,"310",$G$4:$G$178)</f>
        <v>1200000000</v>
      </c>
      <c r="H187" s="178">
        <f>SUMIF($R$4:$R$178,"310",$H$4:$H$178)</f>
        <v>1300000000</v>
      </c>
      <c r="I187" s="133">
        <f>SUMIF($R$4:$R$178,"310",$I$4:$I$178)</f>
        <v>1300000000</v>
      </c>
      <c r="J187" s="1274" t="s">
        <v>3304</v>
      </c>
      <c r="K187" s="1275"/>
      <c r="L187" s="1275"/>
      <c r="M187" s="1275"/>
      <c r="N187" s="1275"/>
      <c r="O187" s="1276"/>
      <c r="P187" s="133">
        <f>SUMIF($R$4:$R$178,"310",$P$4:$P$178)</f>
        <v>875000000</v>
      </c>
      <c r="Q187" s="133">
        <f>SUMIF($R$4:$R$178,"310",$Q$4:$Q$178)</f>
        <v>1762100800</v>
      </c>
      <c r="R187" s="296">
        <v>310</v>
      </c>
      <c r="S187" s="133">
        <f>SUMIF($R$4:$R$178,"310",$S$4:$S$178)</f>
        <v>790630046</v>
      </c>
      <c r="T187" s="133"/>
      <c r="U187" s="133">
        <f>SUMIF($R$4:$R$180,"310",$U$4:$U$181)</f>
        <v>1566970754</v>
      </c>
      <c r="V187" s="133">
        <f>SUMIF($R$4:$R$180,"310",$V$4:$V$180)</f>
        <v>1566970754</v>
      </c>
      <c r="W187" s="133">
        <f>SUMIF($R$4:$R$180,"310",$W$4:$W$180)</f>
        <v>0</v>
      </c>
      <c r="X187" s="133">
        <f>SUMIF($R$4:$R$180,"310",$X$4:$X$180)</f>
        <v>0</v>
      </c>
      <c r="Y187" s="133">
        <f>SUMIF($R$4:$R$180,"310",$Y$4:$Y$180)</f>
        <v>0</v>
      </c>
      <c r="Z187" s="133">
        <f>SUMIF($R$4:$R$180,"310",$Z$4:$Z$180)</f>
        <v>0</v>
      </c>
      <c r="AA187" s="133">
        <f>SUMIF($R$4:$R$180,"310",$AA$4:$AA$180)</f>
        <v>0</v>
      </c>
      <c r="AB187" s="133">
        <f>SUMIF($R$4:$R$180,"310",$AB$4:$AB$180)</f>
        <v>0</v>
      </c>
      <c r="AC187" s="133">
        <f>SUMIF($R$4:$R$180,"310",$AC$4:$AC$180)</f>
        <v>0</v>
      </c>
      <c r="AD187" s="133">
        <f>SUMIF($R$4:$R$180,"310",$AD$4:$AD$180)</f>
        <v>0</v>
      </c>
      <c r="AE187" s="133">
        <f>SUMIF($R$4:$R$180,"310",$AE$4:$AE$180)</f>
        <v>0</v>
      </c>
      <c r="AF187" s="133">
        <f>SUMIF($R$4:$R$180,"310",$AF$4:$AF$180)</f>
        <v>0</v>
      </c>
      <c r="AG187" s="133">
        <f>SUMIF($R$4:$R$180,"310",$AG$4:$AG$180)</f>
        <v>0</v>
      </c>
      <c r="AI187" s="133">
        <f>SUMIF($R$4:$R$180,"310",$AI$4:$AI$180)</f>
        <v>36215492</v>
      </c>
      <c r="AJ187" s="133">
        <f>SUMIF($R$4:$R$180,"310",$AJ$4:$AJ$180)</f>
        <v>15573436</v>
      </c>
      <c r="AK187" s="133">
        <f>SUMIF($R$4:$R$180,"310",$AK$4:$AK$180)</f>
        <v>0</v>
      </c>
      <c r="AL187" s="133">
        <f>SUMIF($R$4:$R$180,"310",$AL$4:$AL$180)</f>
        <v>20642056</v>
      </c>
      <c r="AM187" s="133">
        <f>SUMIF($R$4:$R$180,"310",$AM$4:$AM$180)</f>
        <v>0</v>
      </c>
      <c r="AN187" s="133">
        <f>SUMIF($R$4:$R$180,"310",$AN$4:$AN$180)</f>
        <v>0</v>
      </c>
      <c r="AO187" s="133">
        <f>SUMIF($R$4:$R$180,"310",$AO$4:$AO$180)</f>
        <v>0</v>
      </c>
      <c r="AP187" s="216">
        <f>SUMIF($R$4:$R$180,"310",$AP$4:$AP$180)</f>
        <v>0</v>
      </c>
      <c r="AQ187" s="295">
        <f t="shared" si="143"/>
        <v>0.44533252022647513</v>
      </c>
      <c r="AR187" s="218">
        <f t="shared" si="130"/>
        <v>697823035</v>
      </c>
      <c r="AS187" s="133">
        <f>SUMIF($R$4:$R$180,"310",$AS$4:$AS$180)</f>
        <v>697823035</v>
      </c>
      <c r="AT187" s="133">
        <f>SUMIF($R$4:$R$180,"310",$AT$4:$AT$180)</f>
        <v>0</v>
      </c>
      <c r="AU187" s="133">
        <f>SUMIF($R$4:$R$180,"310",$AU$4:$AU$180)</f>
        <v>0</v>
      </c>
      <c r="AV187" s="133">
        <f>SUMIF($R$4:$R$180,"310",$AV$4:$AV$180)</f>
        <v>0</v>
      </c>
      <c r="AW187" s="133">
        <f>SUMIF($R$4:$R$180,"310",$AW$4:$AW$180)</f>
        <v>0</v>
      </c>
      <c r="AX187" s="133">
        <f>SUMIF($R$4:$R$180,"310",$AX$4:$AX$180)</f>
        <v>0</v>
      </c>
      <c r="AY187" s="133">
        <f>SUMIF($R$4:$R$180,"310",$AY$4:$AY$180)</f>
        <v>0</v>
      </c>
      <c r="AZ187" s="133">
        <f>SUMIF($R$4:$R$180,"310",$AZ$4:$AZ$180)</f>
        <v>0</v>
      </c>
      <c r="BA187" s="133">
        <f>SUMIF($R$4:$R$180,"310",$BA$4:$BA$180)</f>
        <v>0</v>
      </c>
      <c r="BB187" s="133">
        <f>SUMIF($R$4:$R$180,"310",$BB$4:$BB$180)</f>
        <v>0</v>
      </c>
      <c r="BC187" s="133">
        <f>SUMIF($R$4:$R$180,"310",$BC$4:$BC$180)</f>
        <v>0</v>
      </c>
      <c r="BD187" s="216">
        <f>SUMIF($R$4:$R$180,"310",$BD$4:$BD$180)</f>
        <v>0</v>
      </c>
      <c r="BE187" s="238">
        <f t="shared" si="149"/>
        <v>0.55466747977352493</v>
      </c>
      <c r="BF187" s="218">
        <f t="shared" si="144"/>
        <v>869147719</v>
      </c>
      <c r="BG187" s="208">
        <f>SUMIF($R$4:$R$180,"310",$BG$4:$BG$180)</f>
        <v>869147719</v>
      </c>
      <c r="BH187" s="208">
        <f>SUMIF($R$4:$R$180,"310",$BH$4:$BH$180)</f>
        <v>0</v>
      </c>
      <c r="BI187" s="208">
        <f>SUMIF($R$4:$R$180,"310",$BI$4:$BI$180)</f>
        <v>0</v>
      </c>
      <c r="BJ187" s="208">
        <f>SUMIF($R$4:$R$180,"310",$BJ$4:$BJ$180)</f>
        <v>0</v>
      </c>
      <c r="BK187" s="208">
        <f>SUMIF($R$4:$R$180,"310",$BK$4:$BK$180)</f>
        <v>0</v>
      </c>
      <c r="BL187" s="208">
        <f>SUMIF($R$4:$R$180,"310",$BL$4:$BL$180)</f>
        <v>0</v>
      </c>
      <c r="BM187" s="208">
        <f>SUMIF($R$4:$R$180,"310",$BM$4:$BM$180)</f>
        <v>0</v>
      </c>
      <c r="BN187" s="208">
        <f>SUMIF($R$4:$R$180,"310",$BN$4:$BN$180)</f>
        <v>0</v>
      </c>
      <c r="BO187" s="208">
        <f>SUMIF($R$4:$R$180,"310",$BO$4:$BO$180)</f>
        <v>0</v>
      </c>
      <c r="BP187" s="208">
        <f>SUMIF($R$4:$R$180,"310",$BP$4:$BP$180)</f>
        <v>0</v>
      </c>
      <c r="BQ187" s="208">
        <f>SUMIF($R$4:$R$180,"310",$BQ$4:$BQ$180)</f>
        <v>0</v>
      </c>
      <c r="BR187" s="220">
        <f>SUMIF($R$4:$R$180,"310",$BR$4:$BR$180)</f>
        <v>0</v>
      </c>
      <c r="BS187" s="295">
        <f t="shared" si="145"/>
        <v>0.21521210790893933</v>
      </c>
      <c r="BT187" s="218">
        <f t="shared" si="146"/>
        <v>337231079</v>
      </c>
      <c r="BU187" s="133">
        <f>SUMIF($R$4:$R$180,"310",$BU$4:$BU$180)</f>
        <v>337231079</v>
      </c>
      <c r="BV187" s="133">
        <f>SUMIF($R$4:$R$180,"310",$BV$4:$BV$180)</f>
        <v>0</v>
      </c>
      <c r="BW187" s="133">
        <f>SUMIF($R$4:$R$180,"310",$BW$4:$BW$180)</f>
        <v>0</v>
      </c>
      <c r="BX187" s="133">
        <f>SUMIF($R$4:$R$180,"310",$BX$4:$BX$180)</f>
        <v>0</v>
      </c>
      <c r="BY187" s="133">
        <f>SUMIF($R$4:$R$180,"310",$BY$4:$BY$180)</f>
        <v>0</v>
      </c>
      <c r="BZ187" s="133">
        <f>SUMIF($R$4:$R$180,"310",$BZ$4:$BZ$180)</f>
        <v>0</v>
      </c>
      <c r="CA187" s="133">
        <f>SUMIF($R$4:$R$180,"310",$CA$4:$CA$180)</f>
        <v>0</v>
      </c>
      <c r="CB187" s="133">
        <f>SUMIF($R$4:$R$180,"310",$CB$4:$CB$180)</f>
        <v>0</v>
      </c>
      <c r="CC187" s="133">
        <f>SUMIF($R$4:$R$180,"310",$CC$4:$CC$180)</f>
        <v>0</v>
      </c>
      <c r="CD187" s="133">
        <f>SUMIF($R$4:$R$180,"310",$CD$4:$CD$180)</f>
        <v>0</v>
      </c>
      <c r="CE187" s="133">
        <f>SUMIF($R$4:$R$180,"310",$CE$4:$CE$180)</f>
        <v>0</v>
      </c>
      <c r="CF187" s="216">
        <f>SUMIF($R$4:$R$180,"310",$CF$4:$CF$180)</f>
        <v>0</v>
      </c>
      <c r="CG187" s="238">
        <f t="shared" si="147"/>
        <v>0.7847878920910607</v>
      </c>
      <c r="CH187" s="218">
        <f t="shared" si="148"/>
        <v>1120661092</v>
      </c>
      <c r="CI187" s="208">
        <f>SUMIF($R$4:$R$180,"310",$CI$4:$CI$180)</f>
        <v>1120661092</v>
      </c>
      <c r="CJ187" s="208">
        <f>SUMIF($R$4:$R$180,"310",$CJ$4:$CJ$180)</f>
        <v>0</v>
      </c>
      <c r="CK187" s="208">
        <f>SUMIF($R$4:$R$180,"310",$CK$4:$CK$180)</f>
        <v>0</v>
      </c>
      <c r="CL187" s="208">
        <f>SUMIF($R$4:$R$180,"310",$CL$4:$CL$180)</f>
        <v>0</v>
      </c>
      <c r="CM187" s="208">
        <f>SUMIF($R$4:$R$180,"310",$CM$4:$CM$180)</f>
        <v>0</v>
      </c>
      <c r="CN187" s="208">
        <f>SUMIF($R$4:$R$180,"310",$CN$4:$CN$180)</f>
        <v>0</v>
      </c>
      <c r="CO187" s="208">
        <f>SUMIF($R$4:$R$180,"310",$CO$4:$CO$180)</f>
        <v>0</v>
      </c>
      <c r="CP187" s="208">
        <f>SUMIF($R$4:$R$180,"310",$CP$4:$CP$180)</f>
        <v>0</v>
      </c>
      <c r="CQ187" s="208">
        <f>SUMIF($R$4:$R$180,"310",$CQ$4:$CQ$180)</f>
        <v>0</v>
      </c>
      <c r="CR187" s="208">
        <f>SUMIF($R$4:$R$180,"310",$CR$4:$CR$180)</f>
        <v>0</v>
      </c>
      <c r="CS187" s="208">
        <f>SUMIF($R$4:$R$180,"310",$CS$4:$CS$180)</f>
        <v>0</v>
      </c>
      <c r="CT187" s="208">
        <f>SUMIF($R$4:$R$180,"310",$CT$4:$CT$180)</f>
        <v>0</v>
      </c>
    </row>
    <row r="188" spans="1:98" x14ac:dyDescent="0.25">
      <c r="A188" s="744"/>
      <c r="B188" s="1441"/>
      <c r="C188" s="1441"/>
      <c r="D188" s="1441"/>
      <c r="E188" s="1441"/>
      <c r="F188" s="1441"/>
      <c r="G188" s="133">
        <f>SUMIF($R$4:$R$178,"410",$G$4:$G$178)</f>
        <v>1658000000</v>
      </c>
      <c r="H188" s="178">
        <f>SUMIF($R$4:$R$178,"410",$H$4:$H$178)</f>
        <v>1823000000</v>
      </c>
      <c r="I188" s="133">
        <f>SUMIF($R$4:$R$178,"410",$I$4:$I$178)</f>
        <v>1823000000</v>
      </c>
      <c r="J188" s="1271" t="s">
        <v>443</v>
      </c>
      <c r="K188" s="1272"/>
      <c r="L188" s="1272"/>
      <c r="M188" s="1272"/>
      <c r="N188" s="1272"/>
      <c r="O188" s="1273"/>
      <c r="P188" s="133">
        <f>SUMIF($R$4:$R$178,"410",$P$4:$P$178)</f>
        <v>1823000000</v>
      </c>
      <c r="Q188" s="133">
        <f>SUMIF($R$4:$R$178,"410",$Q$4:$Q$178)</f>
        <v>1822999988</v>
      </c>
      <c r="R188" s="296">
        <v>410</v>
      </c>
      <c r="S188" s="133" t="e">
        <f>SUMIF($R$4:$R$178,"410",$S$4:$S$178)</f>
        <v>#REF!</v>
      </c>
      <c r="T188" s="133"/>
      <c r="U188" s="133" t="e">
        <f>SUMIF($R$4:$R$180,"410",$U$4:$U$181)</f>
        <v>#REF!</v>
      </c>
      <c r="V188" s="133">
        <f>SUMIF($R$4:$R$180,"410",$V$4:$V$180)</f>
        <v>168931366</v>
      </c>
      <c r="W188" s="133" t="e">
        <f>SUMIF($R$4:$R$180,"410",$W$4:$W$180)</f>
        <v>#REF!</v>
      </c>
      <c r="X188" s="133">
        <f>SUMIF($R$4:$R$180,"410",$X$4:$X$180)</f>
        <v>0</v>
      </c>
      <c r="Y188" s="133">
        <f>SUMIF($R$4:$R$180,"410",$Y$4:$Y$180)</f>
        <v>0</v>
      </c>
      <c r="Z188" s="133">
        <f>SUMIF($R$4:$R$180,"410",$Z$4:$Z$180)</f>
        <v>0</v>
      </c>
      <c r="AA188" s="133">
        <f>SUMIF($R$4:$R$180,"410",$AA$4:$AA$180)</f>
        <v>0</v>
      </c>
      <c r="AB188" s="133" t="e">
        <f>SUMIF($R$4:$R$180,"410",$AB$4:$AB$180)</f>
        <v>#REF!</v>
      </c>
      <c r="AC188" s="133">
        <f>SUMIF($R$4:$R$180,"410",$AC$4:$AC$180)</f>
        <v>376000000</v>
      </c>
      <c r="AD188" s="133">
        <f>SUMIF($R$4:$R$180,"410",$AD$4:$AD$180)</f>
        <v>0</v>
      </c>
      <c r="AE188" s="133">
        <f>SUMIF($R$4:$R$180,"410",$AE$4:$AE$180)</f>
        <v>0</v>
      </c>
      <c r="AF188" s="133">
        <f>SUMIF($R$4:$R$180,"410",$AF$4:$AF$180)</f>
        <v>0</v>
      </c>
      <c r="AG188" s="133">
        <f>SUMIF($R$4:$R$180,"410",$AG$4:$AG$180)</f>
        <v>0</v>
      </c>
      <c r="AI188" s="133">
        <f>SUMIF($R$4:$R$180,"410",$AI$4:$AI$180)</f>
        <v>12000000</v>
      </c>
      <c r="AJ188" s="133">
        <f>SUMIF($R$4:$R$180,"410",$AJ$4:$AJ$180)</f>
        <v>8000000</v>
      </c>
      <c r="AK188" s="133">
        <f>SUMIF($R$4:$R$180,"410",$AK$4:$AK$180)</f>
        <v>0</v>
      </c>
      <c r="AL188" s="133">
        <f>SUMIF($R$4:$R$180,"410",$AL$4:$AL$180)</f>
        <v>0</v>
      </c>
      <c r="AM188" s="133">
        <f>SUMIF($R$4:$R$180,"410",$AM$4:$AM$180)</f>
        <v>0</v>
      </c>
      <c r="AN188" s="133">
        <f>SUMIF($R$4:$R$180,"410",$AN$4:$AN$180)</f>
        <v>0</v>
      </c>
      <c r="AO188" s="133">
        <f>SUMIF($R$4:$R$180,"410",$AO$4:$AO$180)</f>
        <v>4000000</v>
      </c>
      <c r="AP188" s="216">
        <f>SUMIF($R$4:$R$180,"410",$AP$4:$AP$180)</f>
        <v>0</v>
      </c>
      <c r="AQ188" s="288" t="e">
        <f t="shared" si="143"/>
        <v>#REF!</v>
      </c>
      <c r="AR188" s="218">
        <f t="shared" si="130"/>
        <v>2295953594</v>
      </c>
      <c r="AS188" s="133">
        <f>SUMIF($R$4:$R$180,"410",$AS$4:$AS$180)</f>
        <v>28247040</v>
      </c>
      <c r="AT188" s="133">
        <f>SUMIF($R$4:$R$180,"410",$AT$4:$AT$180)</f>
        <v>439838453</v>
      </c>
      <c r="AU188" s="133">
        <f>SUMIF($R$4:$R$180,"410",$AU$4:$AU$180)</f>
        <v>0</v>
      </c>
      <c r="AV188" s="133">
        <f>SUMIF($R$4:$R$180,"410",$AV$4:$AV$180)</f>
        <v>0</v>
      </c>
      <c r="AW188" s="133">
        <f>SUMIF($R$4:$R$180,"410",$AW$4:$AW$180)</f>
        <v>0</v>
      </c>
      <c r="AX188" s="133">
        <f>SUMIF($R$4:$R$180,"410",$AX$4:$AX$180)</f>
        <v>0</v>
      </c>
      <c r="AY188" s="133">
        <f>SUMIF($R$4:$R$180,"410",$AY$4:$AY$180)</f>
        <v>1749150101</v>
      </c>
      <c r="AZ188" s="133">
        <f>SUMIF($R$4:$R$180,"410",$AZ$4:$AZ$180)</f>
        <v>78718000</v>
      </c>
      <c r="BA188" s="133">
        <f>SUMIF($R$4:$R$180,"410",$BA$4:$BA$180)</f>
        <v>0</v>
      </c>
      <c r="BB188" s="133">
        <f>SUMIF($R$4:$R$180,"410",$BB$4:$BB$180)</f>
        <v>0</v>
      </c>
      <c r="BC188" s="133">
        <f>SUMIF($R$4:$R$180,"410",$BC$4:$BC$180)</f>
        <v>0</v>
      </c>
      <c r="BD188" s="216">
        <f>SUMIF($R$4:$R$180,"410",$BD$4:$BD$180)</f>
        <v>0</v>
      </c>
      <c r="BE188" s="238" t="e">
        <f t="shared" si="149"/>
        <v>#REF!</v>
      </c>
      <c r="BF188" s="218" t="e">
        <f t="shared" si="144"/>
        <v>#REF!</v>
      </c>
      <c r="BG188" s="208">
        <f>SUMIF($R$4:$R$180,"410",$BG$4:$BG$180)</f>
        <v>140684326</v>
      </c>
      <c r="BH188" s="208" t="e">
        <f>SUMIF($R$4:$R$180,"410",$BH$4:$BH$180)</f>
        <v>#REF!</v>
      </c>
      <c r="BI188" s="208">
        <f>SUMIF($R$4:$R$180,"410",$BI$4:$BI$180)</f>
        <v>0</v>
      </c>
      <c r="BJ188" s="208">
        <f>SUMIF($R$4:$R$180,"410",$BJ$4:$BJ$180)</f>
        <v>0</v>
      </c>
      <c r="BK188" s="208">
        <f>SUMIF($R$4:$R$180,"410",$BK$4:$BK$180)</f>
        <v>0</v>
      </c>
      <c r="BL188" s="208">
        <f>SUMIF($R$4:$R$180,"410",$BL$4:$BL$180)</f>
        <v>0</v>
      </c>
      <c r="BM188" s="208" t="e">
        <f>SUMIF($R$4:$R$180,"410",$BM$4:$BM$180)</f>
        <v>#REF!</v>
      </c>
      <c r="BN188" s="208">
        <f>SUMIF($R$4:$R$180,"410",$BN$4:$BN$180)</f>
        <v>297282000</v>
      </c>
      <c r="BO188" s="208">
        <f>SUMIF($R$4:$R$180,"410",$BO$4:$BO$180)</f>
        <v>0</v>
      </c>
      <c r="BP188" s="208">
        <f>SUMIF($R$4:$R$180,"410",$BP$4:$BP$180)</f>
        <v>0</v>
      </c>
      <c r="BQ188" s="208">
        <f>SUMIF($R$4:$R$180,"410",$BQ$4:$BQ$180)</f>
        <v>0</v>
      </c>
      <c r="BR188" s="220">
        <f>SUMIF($R$4:$R$180,"410",$BR$4:$BR$180)</f>
        <v>0</v>
      </c>
      <c r="BS188" s="288" t="e">
        <f t="shared" si="145"/>
        <v>#REF!</v>
      </c>
      <c r="BT188" s="218" t="e">
        <f t="shared" si="146"/>
        <v>#REF!</v>
      </c>
      <c r="BU188" s="133">
        <f>SUMIF($R$4:$R$180,"410",$BU$4:$BU$180)</f>
        <v>20720210</v>
      </c>
      <c r="BV188" s="133" t="e">
        <f>SUMIF($R$4:$R$180,"410",$BV$4:$BV$180)</f>
        <v>#REF!</v>
      </c>
      <c r="BW188" s="133">
        <f>SUMIF($R$4:$R$180,"410",$BW$4:$BW$180)</f>
        <v>0</v>
      </c>
      <c r="BX188" s="133">
        <f>SUMIF($R$4:$R$180,"410",$BX$4:$BX$180)</f>
        <v>0</v>
      </c>
      <c r="BY188" s="133">
        <f>SUMIF($R$4:$R$180,"410",$BY$4:$BY$180)</f>
        <v>0</v>
      </c>
      <c r="BZ188" s="133">
        <f>SUMIF($R$4:$R$180,"410",$BZ$4:$BZ$180)</f>
        <v>0</v>
      </c>
      <c r="CA188" s="133" t="e">
        <f>SUMIF($R$4:$R$180,"410",$CA$4:$CA$180)</f>
        <v>#REF!</v>
      </c>
      <c r="CB188" s="133">
        <f>SUMIF($R$4:$R$180,"410",$CB$4:$CB$180)</f>
        <v>2931168</v>
      </c>
      <c r="CC188" s="133">
        <f>SUMIF($R$4:$R$180,"410",$CC$4:$CC$180)</f>
        <v>0</v>
      </c>
      <c r="CD188" s="133">
        <f>SUMIF($R$4:$R$180,"410",$CD$4:$CD$180)</f>
        <v>0</v>
      </c>
      <c r="CE188" s="133">
        <f>SUMIF($R$4:$R$180,"410",$CE$4:$CE$180)</f>
        <v>0</v>
      </c>
      <c r="CF188" s="216">
        <f>SUMIF($R$4:$R$180,"410",$CF$4:$CF$180)</f>
        <v>0</v>
      </c>
      <c r="CG188" s="238" t="e">
        <f t="shared" si="147"/>
        <v>#REF!</v>
      </c>
      <c r="CH188" s="218" t="e">
        <f t="shared" si="148"/>
        <v>#REF!</v>
      </c>
      <c r="CI188" s="208">
        <f>SUMIF($R$4:$R$180,"410",$CI$4:$CI$180)</f>
        <v>148211156</v>
      </c>
      <c r="CJ188" s="208" t="e">
        <f>SUMIF($R$4:$R$180,"410",$CJ$4:$CJ$180)</f>
        <v>#REF!</v>
      </c>
      <c r="CK188" s="208">
        <f>SUMIF($R$4:$R$180,"410",$CK$4:$CK$180)</f>
        <v>0</v>
      </c>
      <c r="CL188" s="208">
        <f>SUMIF($R$4:$R$180,"410",$CL$4:$CL$180)</f>
        <v>0</v>
      </c>
      <c r="CM188" s="208">
        <f>SUMIF($R$4:$R$180,"410",$CM$4:$CM$180)</f>
        <v>0</v>
      </c>
      <c r="CN188" s="208">
        <f>SUMIF($R$4:$R$180,"410",$CN$4:$CN$180)</f>
        <v>0</v>
      </c>
      <c r="CO188" s="208" t="e">
        <f>SUMIF($R$4:$R$180,"410",$CO$4:$CO$180)</f>
        <v>#REF!</v>
      </c>
      <c r="CP188" s="208">
        <f>SUMIF($R$4:$R$180,"410",$CP$4:$CP$180)</f>
        <v>373068832</v>
      </c>
      <c r="CQ188" s="208">
        <f>SUMIF($R$4:$R$180,"410",$CQ$4:$CQ$180)</f>
        <v>0</v>
      </c>
      <c r="CR188" s="208">
        <f>SUMIF($R$4:$R$180,"410",$CR$4:$CR$180)</f>
        <v>0</v>
      </c>
      <c r="CS188" s="208">
        <f>SUMIF($R$4:$R$180,"410",$CS$4:$CS$180)</f>
        <v>0</v>
      </c>
      <c r="CT188" s="208">
        <f>SUMIF($R$4:$R$180,"410",$CT$4:$CT$180)</f>
        <v>0</v>
      </c>
    </row>
    <row r="189" spans="1:98" x14ac:dyDescent="0.25">
      <c r="A189" s="744"/>
      <c r="B189" s="1441"/>
      <c r="C189" s="1441"/>
      <c r="D189" s="1441"/>
      <c r="E189" s="1441"/>
      <c r="F189" s="1441"/>
      <c r="G189" s="133">
        <f>SUMIF($R$4:$R$178,"510",$G$4:$G$178)</f>
        <v>640000000</v>
      </c>
      <c r="H189" s="178">
        <f>SUMIF($R$4:$R$178,"510",$H$4:$H$178)</f>
        <v>660000000</v>
      </c>
      <c r="I189" s="133">
        <f>SUMIF($R$4:$R$178,"510",$I$4:$I$178)</f>
        <v>810000000</v>
      </c>
      <c r="J189" s="1271" t="s">
        <v>3305</v>
      </c>
      <c r="K189" s="1272"/>
      <c r="L189" s="1272"/>
      <c r="M189" s="1272"/>
      <c r="N189" s="1272"/>
      <c r="O189" s="1273"/>
      <c r="P189" s="133">
        <f>SUMIF($R$4:$R$178,"510",$P$4:$P$178)</f>
        <v>810000000</v>
      </c>
      <c r="Q189" s="133">
        <f>SUMIF($R$4:$R$178,"510",$Q$4:$Q$178)</f>
        <v>1343630975</v>
      </c>
      <c r="R189" s="296">
        <v>510</v>
      </c>
      <c r="S189" s="133">
        <f>SUMIF($R$4:$R$178,"510",$S$4:$S$178)</f>
        <v>879630975</v>
      </c>
      <c r="T189" s="133"/>
      <c r="U189" s="133">
        <f>SUMIF($R$4:$R$180,"510",$U$4:$U$181)</f>
        <v>977777272</v>
      </c>
      <c r="V189" s="133">
        <f>SUMIF($R$4:$R$180,"510",$V$4:$V$180)</f>
        <v>525000000</v>
      </c>
      <c r="W189" s="133">
        <f>SUMIF($R$4:$R$180,"510",$W$4:$W$180)</f>
        <v>0</v>
      </c>
      <c r="X189" s="133">
        <f>SUMIF($R$4:$R$180,"510",$X$4:$X$180)</f>
        <v>0</v>
      </c>
      <c r="Y189" s="133">
        <f>SUMIF($R$4:$R$180,"510",$Y$4:$Y$180)</f>
        <v>0</v>
      </c>
      <c r="Z189" s="133">
        <f>SUMIF($R$4:$R$180,"510",$Z$4:$Z$180)</f>
        <v>0</v>
      </c>
      <c r="AA189" s="133">
        <f>SUMIF($R$4:$R$180,"510",$AA$4:$AA$180)</f>
        <v>0</v>
      </c>
      <c r="AB189" s="133">
        <f>SUMIF($R$4:$R$180,"510",$AB$4:$AB$180)</f>
        <v>0</v>
      </c>
      <c r="AC189" s="133">
        <f>SUMIF($R$4:$R$180,"510",$AC$4:$AC$180)</f>
        <v>370000000</v>
      </c>
      <c r="AD189" s="133">
        <f>SUMIF($R$4:$R$180,"510",$AD$4:$AD$180)</f>
        <v>82777272</v>
      </c>
      <c r="AE189" s="133">
        <f>SUMIF($R$4:$R$180,"510",$AE$4:$AE$180)</f>
        <v>0</v>
      </c>
      <c r="AF189" s="133">
        <f>SUMIF($R$4:$R$180,"510",$AF$4:$AF$180)</f>
        <v>0</v>
      </c>
      <c r="AG189" s="133">
        <f>SUMIF($R$4:$R$180,"510",$AG$4:$AG$180)</f>
        <v>0</v>
      </c>
      <c r="AI189" s="133" t="e">
        <f>SUMIF($R$4:$R$180,"510",$AI$4:$AI$180)</f>
        <v>#REF!</v>
      </c>
      <c r="AJ189" s="133" t="e">
        <f>SUMIF($R$4:$R$180,"510",$AJ$4:$AJ$180)</f>
        <v>#REF!</v>
      </c>
      <c r="AK189" s="133" t="e">
        <f>SUMIF($R$4:$R$180,"510",$AK$4:$AK$180)</f>
        <v>#REF!</v>
      </c>
      <c r="AL189" s="133" t="e">
        <f>SUMIF($R$4:$R$180,"510",$AL$4:$AL$180)</f>
        <v>#REF!</v>
      </c>
      <c r="AM189" s="133" t="e">
        <f>SUMIF($R$4:$R$180,"510",$AM$4:$AM$180)</f>
        <v>#REF!</v>
      </c>
      <c r="AN189" s="133" t="e">
        <f>SUMIF($R$4:$R$180,"510",$AN$4:$AN$180)</f>
        <v>#REF!</v>
      </c>
      <c r="AO189" s="133" t="e">
        <f>SUMIF($R$4:$R$180,"510",$AO$4:$AO$180)</f>
        <v>#REF!</v>
      </c>
      <c r="AP189" s="216" t="e">
        <f>SUMIF($R$4:$R$180,"510",$AP$4:$AP$180)</f>
        <v>#REF!</v>
      </c>
      <c r="AQ189" s="289" t="e">
        <f t="shared" si="143"/>
        <v>#REF!</v>
      </c>
      <c r="AR189" s="218" t="e">
        <f t="shared" si="130"/>
        <v>#REF!</v>
      </c>
      <c r="AS189" s="133" t="e">
        <f>SUMIF($R$4:$R$180,"510",$AS$4:$AS$180)</f>
        <v>#REF!</v>
      </c>
      <c r="AT189" s="133">
        <f>SUMIF($R$4:$R$180,"510",$AT$4:$AT$180)</f>
        <v>0</v>
      </c>
      <c r="AU189" s="133">
        <f>SUMIF($R$4:$R$180,"510",$AU$4:$AU$180)</f>
        <v>0</v>
      </c>
      <c r="AV189" s="133">
        <f>SUMIF($R$4:$R$180,"510",$AV$4:$AV$180)</f>
        <v>0</v>
      </c>
      <c r="AW189" s="133">
        <f>SUMIF($R$4:$R$180,"510",$AW$4:$AW$180)</f>
        <v>0</v>
      </c>
      <c r="AX189" s="133">
        <f>SUMIF($R$4:$R$180,"510",$AX$4:$AX$180)</f>
        <v>0</v>
      </c>
      <c r="AY189" s="133">
        <f>SUMIF($R$4:$R$180,"510",$AY$4:$AY$180)</f>
        <v>0</v>
      </c>
      <c r="AZ189" s="133">
        <f>SUMIF($R$4:$R$180,"510",$AZ$4:$AZ$180)</f>
        <v>148290153</v>
      </c>
      <c r="BA189" s="133">
        <f>SUMIF($R$4:$R$180,"510",$BA$4:$BA$180)</f>
        <v>0</v>
      </c>
      <c r="BB189" s="133">
        <f>SUMIF($R$4:$R$180,"510",$BB$4:$BB$180)</f>
        <v>0</v>
      </c>
      <c r="BC189" s="133">
        <f>SUMIF($R$4:$R$180,"510",$BC$4:$BC$180)</f>
        <v>0</v>
      </c>
      <c r="BD189" s="216">
        <f>SUMIF($R$4:$R$180,"510",$BD$4:$BD$180)</f>
        <v>0</v>
      </c>
      <c r="BE189" s="238" t="e">
        <f t="shared" si="149"/>
        <v>#REF!</v>
      </c>
      <c r="BF189" s="218" t="e">
        <f t="shared" si="144"/>
        <v>#REF!</v>
      </c>
      <c r="BG189" s="208" t="e">
        <f>SUMIF($R$4:$R$180,"510",$BG$4:$BG$180)</f>
        <v>#REF!</v>
      </c>
      <c r="BH189" s="208">
        <f>SUMIF($R$4:$R$180,"510",$BH$4:$BH$180)</f>
        <v>0</v>
      </c>
      <c r="BI189" s="208">
        <f>SUMIF($R$4:$R$180,"510",$BI$4:$BI$180)</f>
        <v>0</v>
      </c>
      <c r="BJ189" s="208">
        <f>SUMIF($R$4:$R$180,"510",$BJ$4:$BJ$180)</f>
        <v>0</v>
      </c>
      <c r="BK189" s="208">
        <f>SUMIF($R$4:$R$180,"510",$BK$4:$BK$180)</f>
        <v>0</v>
      </c>
      <c r="BL189" s="208">
        <f>SUMIF($R$4:$R$180,"510",$BL$4:$BL$180)</f>
        <v>0</v>
      </c>
      <c r="BM189" s="208">
        <f>SUMIF($R$4:$R$180,"510",$BM$4:$BM$180)</f>
        <v>0</v>
      </c>
      <c r="BN189" s="208">
        <f>SUMIF($R$4:$R$180,"510",$BN$4:$BN$180)</f>
        <v>221709847</v>
      </c>
      <c r="BO189" s="208">
        <f>SUMIF($R$4:$R$180,"510",$BO$4:$BO$180)</f>
        <v>82777272</v>
      </c>
      <c r="BP189" s="208">
        <f>SUMIF($R$4:$R$180,"510",$BP$4:$BP$180)</f>
        <v>0</v>
      </c>
      <c r="BQ189" s="208">
        <f>SUMIF($R$4:$R$180,"510",$BQ$4:$BQ$180)</f>
        <v>0</v>
      </c>
      <c r="BR189" s="220">
        <f>SUMIF($R$4:$R$180,"510",$BR$4:$BR$180)</f>
        <v>0</v>
      </c>
      <c r="BS189" s="289" t="e">
        <f t="shared" si="145"/>
        <v>#REF!</v>
      </c>
      <c r="BT189" s="218" t="e">
        <f t="shared" si="146"/>
        <v>#REF!</v>
      </c>
      <c r="BU189" s="133" t="e">
        <f>SUMIF($R$4:$R$180,"510",$BU$4:$BU$180)</f>
        <v>#REF!</v>
      </c>
      <c r="BV189" s="133">
        <f>SUMIF($R$4:$R$180,"510",$BV$4:$BV$180)</f>
        <v>0</v>
      </c>
      <c r="BW189" s="133">
        <f>SUMIF($R$4:$R$180,"510",$BW$4:$BW$180)</f>
        <v>0</v>
      </c>
      <c r="BX189" s="133">
        <f>SUMIF($R$4:$R$180,"510",$BX$4:$BX$180)</f>
        <v>0</v>
      </c>
      <c r="BY189" s="133">
        <f>SUMIF($R$4:$R$180,"510",$BY$4:$BY$180)</f>
        <v>0</v>
      </c>
      <c r="BZ189" s="133">
        <f>SUMIF($R$4:$R$180,"510",$BZ$4:$BZ$180)</f>
        <v>0</v>
      </c>
      <c r="CA189" s="133">
        <f>SUMIF($R$4:$R$180,"510",$CA$4:$CA$180)</f>
        <v>0</v>
      </c>
      <c r="CB189" s="133">
        <f>SUMIF($R$4:$R$180,"510",$CB$4:$CB$180)</f>
        <v>99361323</v>
      </c>
      <c r="CC189" s="133">
        <f>SUMIF($R$4:$R$180,"510",$CC$4:$CC$180)</f>
        <v>0</v>
      </c>
      <c r="CD189" s="133">
        <f>SUMIF($R$4:$R$180,"510",$CD$4:$CD$180)</f>
        <v>0</v>
      </c>
      <c r="CE189" s="133">
        <f>SUMIF($R$4:$R$180,"510",$CE$4:$CE$180)</f>
        <v>0</v>
      </c>
      <c r="CF189" s="216">
        <f>SUMIF($R$4:$R$180,"510",$CF$4:$CF$180)</f>
        <v>0</v>
      </c>
      <c r="CG189" s="238" t="e">
        <f t="shared" si="147"/>
        <v>#REF!</v>
      </c>
      <c r="CH189" s="218" t="e">
        <f t="shared" si="148"/>
        <v>#REF!</v>
      </c>
      <c r="CI189" s="208" t="e">
        <f>SUMIF($R$4:$R$180,"510",$CI$4:$CI$180)</f>
        <v>#REF!</v>
      </c>
      <c r="CJ189" s="208">
        <f>SUMIF($R$4:$R$180,"510",$CJ$4:$CJ$180)</f>
        <v>0</v>
      </c>
      <c r="CK189" s="208">
        <f>SUMIF($R$4:$R$180,"510",$CK$4:$CK$180)</f>
        <v>0</v>
      </c>
      <c r="CL189" s="208">
        <f>SUMIF($R$4:$R$180,"510",$CL$4:$CL$180)</f>
        <v>0</v>
      </c>
      <c r="CM189" s="208">
        <f>SUMIF($R$4:$R$180,"510",$CM$4:$CM$180)</f>
        <v>0</v>
      </c>
      <c r="CN189" s="208">
        <f>SUMIF($R$4:$R$180,"510",$CN$4:$CN$180)</f>
        <v>0</v>
      </c>
      <c r="CO189" s="208">
        <f>SUMIF($R$4:$R$180,"510",$CO$4:$CO$180)</f>
        <v>0</v>
      </c>
      <c r="CP189" s="208">
        <f>SUMIF($R$4:$R$180,"510",$CP$4:$CP$180)</f>
        <v>270638677</v>
      </c>
      <c r="CQ189" s="208">
        <f>SUMIF($R$4:$R$180,"510",$CQ$4:$CQ$180)</f>
        <v>82777272</v>
      </c>
      <c r="CR189" s="208">
        <f>SUMIF($R$4:$R$180,"510",$CR$4:$CR$180)</f>
        <v>0</v>
      </c>
      <c r="CS189" s="208">
        <f>SUMIF($R$4:$R$180,"510",$CS$4:$CS$180)</f>
        <v>0</v>
      </c>
      <c r="CT189" s="208">
        <f>SUMIF($R$4:$R$180,"510",$CT$4:$CT$180)</f>
        <v>0</v>
      </c>
    </row>
    <row r="190" spans="1:98" x14ac:dyDescent="0.25">
      <c r="A190" s="744"/>
      <c r="B190" s="1441"/>
      <c r="C190" s="1441"/>
      <c r="D190" s="1441"/>
      <c r="E190" s="1441"/>
      <c r="F190" s="1441"/>
      <c r="G190" s="133">
        <f>SUMIF($R$4:$R$178,"520",$G$4:$G$178)</f>
        <v>275000000</v>
      </c>
      <c r="H190" s="178">
        <f>SUMIF($R$4:$R$178,"520",$H$4:$H$178)</f>
        <v>290000000</v>
      </c>
      <c r="I190" s="133">
        <f>SUMIF($R$4:$R$178,"520",$I$4:$I$178)</f>
        <v>290000000</v>
      </c>
      <c r="J190" s="1271" t="s">
        <v>3306</v>
      </c>
      <c r="K190" s="1272"/>
      <c r="L190" s="1272"/>
      <c r="M190" s="1272"/>
      <c r="N190" s="1272"/>
      <c r="O190" s="1273"/>
      <c r="P190" s="133">
        <f>SUMIF($R$4:$R$178,"520",$P$4:$P$178)</f>
        <v>290000000</v>
      </c>
      <c r="Q190" s="133">
        <f>SUMIF($R$4:$R$178,"520",$Q$4:$Q$178)</f>
        <v>290000000</v>
      </c>
      <c r="R190" s="296">
        <v>520</v>
      </c>
      <c r="S190" s="133">
        <f>SUMIF($R$4:$R$178,"520",$S$4:$S$178)</f>
        <v>-80000000</v>
      </c>
      <c r="T190" s="133"/>
      <c r="U190" s="133">
        <f>SUMIF($R$4:$R$180,"520",$U$4:$U$181)</f>
        <v>435000000</v>
      </c>
      <c r="V190" s="133">
        <f>SUMIF($R$4:$R$180,"520",$V$4:$V$180)</f>
        <v>215000000</v>
      </c>
      <c r="W190" s="133">
        <f>SUMIF($R$4:$R$180,"520",$W$4:$W$180)</f>
        <v>0</v>
      </c>
      <c r="X190" s="133">
        <f>SUMIF($R$4:$R$180,"520",$X$4:$X$180)</f>
        <v>0</v>
      </c>
      <c r="Y190" s="133">
        <f ca="1">SUMIF($R$4:$R$180,"520",$Y$4:$Y$11)</f>
        <v>0</v>
      </c>
      <c r="Z190" s="133">
        <f>SUMIF($R$4:$R$180,"520",$Z$4:$Z$180)</f>
        <v>0</v>
      </c>
      <c r="AA190" s="133">
        <f>SUMIF($R$4:$R$180,"520",$AA$4:$AA$180)</f>
        <v>0</v>
      </c>
      <c r="AB190" s="133">
        <f>SUMIF($R$4:$R$180,"520",$AB$4:$AB$180)</f>
        <v>100000000</v>
      </c>
      <c r="AC190" s="133">
        <f>SUMIF($R$4:$R$180,"520",$AC$4:$AC$180)</f>
        <v>105000000</v>
      </c>
      <c r="AD190" s="133">
        <f>SUMIF($R$4:$R$180,"520",$AD$4:$AD$180)</f>
        <v>15000000</v>
      </c>
      <c r="AE190" s="133">
        <f>SUMIF($R$4:$R$180,"520",$AE$4:$AE$180)</f>
        <v>0</v>
      </c>
      <c r="AF190" s="133">
        <f>SUMIF($R$4:$R$180,"520",$AF$4:$AF$180)</f>
        <v>0</v>
      </c>
      <c r="AG190" s="133">
        <f>SUMIF($R$4:$R$180,"520",$AG$4:$AG$180)</f>
        <v>0</v>
      </c>
      <c r="AI190" s="133" t="e">
        <f>SUMIF($R$4:$R$180,"520",$AI$4:$AI$180)</f>
        <v>#REF!</v>
      </c>
      <c r="AJ190" s="133" t="e">
        <f>SUMIF($R$4:$R$180,"520",$AJ$4:$AJ$180)</f>
        <v>#REF!</v>
      </c>
      <c r="AK190" s="133" t="e">
        <f>SUMIF($R$4:$R$180,"520",$AK$4:$AK$180)</f>
        <v>#REF!</v>
      </c>
      <c r="AL190" s="133" t="e">
        <f>SUMIF($R$4:$R$180,"520",$AL$4:$AL$180)</f>
        <v>#REF!</v>
      </c>
      <c r="AM190" s="133" t="e">
        <f>SUMIF($R$4:$R$180,"520",$AM$4:$AM$180)</f>
        <v>#REF!</v>
      </c>
      <c r="AN190" s="133" t="e">
        <f>SUMIF($R$4:$R$180,"520",$AN$4:$AN$180)</f>
        <v>#REF!</v>
      </c>
      <c r="AO190" s="133" t="e">
        <f>SUMIF($R$4:$R$180,"520",$AO$4:$AO$180)</f>
        <v>#REF!</v>
      </c>
      <c r="AP190" s="216" t="e">
        <f>SUMIF($R$4:$R$180,"520",$AP$4:$AP$180)</f>
        <v>#REF!</v>
      </c>
      <c r="AQ190" s="290">
        <f t="shared" si="143"/>
        <v>6.0525167816091956E-2</v>
      </c>
      <c r="AR190" s="218">
        <f t="shared" si="130"/>
        <v>26328448</v>
      </c>
      <c r="AS190" s="133">
        <f>SUMIF($R$4:$R$180,"520",$AS$4:$AS$180)</f>
        <v>21228448</v>
      </c>
      <c r="AT190" s="133">
        <f>SUMIF($R$4:$R$180,"520",$AT$4:$AT$180)</f>
        <v>0</v>
      </c>
      <c r="AU190" s="133">
        <f>SUMIF($R$4:$R$180,"520",$AU$4:$AU$180)</f>
        <v>0</v>
      </c>
      <c r="AV190" s="133">
        <f>SUMIF($R$4:$R$180,"520",$AV$4:$AV$180)</f>
        <v>0</v>
      </c>
      <c r="AW190" s="133">
        <f>SUMIF($R$4:$R$180,"520",$AW$4:$AW$180)</f>
        <v>0</v>
      </c>
      <c r="AX190" s="133">
        <f>SUMIF($R$4:$R$180,"520",$AX$4:$AX$180)</f>
        <v>0</v>
      </c>
      <c r="AY190" s="133">
        <f>SUMIF($R$4:$R$180,"520",$AY$4:$AY$180)</f>
        <v>0</v>
      </c>
      <c r="AZ190" s="133">
        <f>SUMIF($R$4:$R$180,"520",$AZ$4:$AZ$180)</f>
        <v>5100000</v>
      </c>
      <c r="BA190" s="133">
        <f>SUMIF($R$4:$R$180,"520",$BA$4:$BA$180)</f>
        <v>0</v>
      </c>
      <c r="BB190" s="133">
        <f>SUMIF($R$4:$R$180,"520",$BB$4:$BB$180)</f>
        <v>0</v>
      </c>
      <c r="BC190" s="133">
        <f>SUMIF($R$4:$R$180,"520",$BC$4:$BC$180)</f>
        <v>0</v>
      </c>
      <c r="BD190" s="216">
        <f>SUMIF($R$4:$R$180,"520",$BD$4:$BD$180)</f>
        <v>0</v>
      </c>
      <c r="BE190" s="238">
        <f t="shared" si="149"/>
        <v>0.93947483218390804</v>
      </c>
      <c r="BF190" s="218">
        <f t="shared" si="144"/>
        <v>408671552</v>
      </c>
      <c r="BG190" s="208">
        <f>SUMIF($R$4:$R$180,"520",$BG$4:$BG$180)</f>
        <v>193771552</v>
      </c>
      <c r="BH190" s="208">
        <f>SUMIF($R$4:$R$180,"520",$BH$4:$BH$180)</f>
        <v>0</v>
      </c>
      <c r="BI190" s="208">
        <f>SUMIF($R$4:$R$180,"520",$BI$4:$BI$180)</f>
        <v>0</v>
      </c>
      <c r="BJ190" s="208">
        <f>SUMIF($R$4:$R$180,"520",$BJ$4:$BJ$180)</f>
        <v>0</v>
      </c>
      <c r="BK190" s="208">
        <f>SUMIF($R$4:$R$180,"520",$BK$4:$BK$180)</f>
        <v>0</v>
      </c>
      <c r="BL190" s="208">
        <f>SUMIF($R$4:$R$180,"520",$BL$4:$BL$180)</f>
        <v>0</v>
      </c>
      <c r="BM190" s="208">
        <f>SUMIF($R$4:$R$180,"520",$BM$4:$BM$180)</f>
        <v>100000000</v>
      </c>
      <c r="BN190" s="208">
        <f>SUMIF($R$4:$R$180,"520",$BN$4:$BN$180)</f>
        <v>99900000</v>
      </c>
      <c r="BO190" s="208">
        <f>SUMIF($R$4:$R$180,"520",$BO$4:$BO$180)</f>
        <v>15000000</v>
      </c>
      <c r="BP190" s="208">
        <f>SUMIF($R$4:$R$180,"520",$BP$4:$BP$180)</f>
        <v>0</v>
      </c>
      <c r="BQ190" s="208">
        <f>SUMIF($R$4:$R$180,"520",$BQ$4:$BQ$180)</f>
        <v>0</v>
      </c>
      <c r="BR190" s="220">
        <f>SUMIF($R$4:$R$180,"520",$BR$4:$BR$180)</f>
        <v>0</v>
      </c>
      <c r="BS190" s="290">
        <f t="shared" si="145"/>
        <v>2.6272294252873564E-2</v>
      </c>
      <c r="BT190" s="218">
        <f t="shared" si="146"/>
        <v>11428448</v>
      </c>
      <c r="BU190" s="133">
        <f>SUMIF($R$4:$R$180,"520",$BU$4:$BU$180)</f>
        <v>6328448</v>
      </c>
      <c r="BV190" s="133">
        <f>SUMIF($R$4:$R$180,"520",$BV$4:$BV$180)</f>
        <v>0</v>
      </c>
      <c r="BW190" s="133">
        <f>SUMIF($R$4:$R$180,"520",$BW$4:$BW$180)</f>
        <v>0</v>
      </c>
      <c r="BX190" s="133">
        <f>SUMIF($R$4:$R$180,"520",$BX$4:$BX$180)</f>
        <v>0</v>
      </c>
      <c r="BY190" s="133">
        <f>SUMIF($R$4:$R$180,"520",$BY$4:$BY$180)</f>
        <v>0</v>
      </c>
      <c r="BZ190" s="133">
        <f>SUMIF($R$4:$R$180,"520",$BZ$4:$BZ$180)</f>
        <v>0</v>
      </c>
      <c r="CA190" s="133">
        <f>SUMIF($R$4:$R$180,"520",$CA$4:$CA$180)</f>
        <v>0</v>
      </c>
      <c r="CB190" s="133">
        <f>SUMIF($R$4:$R$180,"520",$CB$4:$CB$180)</f>
        <v>5100000</v>
      </c>
      <c r="CC190" s="133">
        <f>SUMIF($R$4:$R$180,"520",$CC$4:$CC$180)</f>
        <v>0</v>
      </c>
      <c r="CD190" s="133">
        <f>SUMIF($R$4:$R$180,"520",$CD$4:$CD$180)</f>
        <v>0</v>
      </c>
      <c r="CE190" s="133">
        <f>SUMIF($R$4:$R$180,"520",$CE$4:$CE$180)</f>
        <v>0</v>
      </c>
      <c r="CF190" s="216">
        <f>SUMIF($R$4:$R$180,"520",$CF$4:$CF$180)</f>
        <v>0</v>
      </c>
      <c r="CG190" s="238">
        <f t="shared" si="147"/>
        <v>0.97372770574712642</v>
      </c>
      <c r="CH190" s="218">
        <f t="shared" si="148"/>
        <v>423571552</v>
      </c>
      <c r="CI190" s="208">
        <f>SUMIF($R$4:$R$180,"520",$CI$4:$CI$180)</f>
        <v>208671552</v>
      </c>
      <c r="CJ190" s="208">
        <f>SUMIF($R$4:$R$180,"520",$CJ$4:$CJ$180)</f>
        <v>0</v>
      </c>
      <c r="CK190" s="208">
        <f>SUMIF($R$4:$R$180,"520",$CK$4:$CK$180)</f>
        <v>0</v>
      </c>
      <c r="CL190" s="208">
        <f>SUMIF($R$4:$R$180,"520",$CL$4:$CL$180)</f>
        <v>0</v>
      </c>
      <c r="CM190" s="208">
        <f>SUMIF($R$4:$R$180,"520",$CM$4:$CM$180)</f>
        <v>0</v>
      </c>
      <c r="CN190" s="208">
        <f>SUMIF($R$4:$R$180,"520",$CN$4:$CN$180)</f>
        <v>0</v>
      </c>
      <c r="CO190" s="208">
        <f>SUMIF($R$4:$R$180,"520",$CO$4:$CO$180)</f>
        <v>100000000</v>
      </c>
      <c r="CP190" s="208">
        <f>SUMIF($R$4:$R$180,"520",$CP$4:$CP$180)</f>
        <v>99900000</v>
      </c>
      <c r="CQ190" s="208">
        <f>SUMIF($R$4:$R$180,"520",$CQ$4:$CQ$180)</f>
        <v>15000000</v>
      </c>
      <c r="CR190" s="208">
        <f>SUMIF($R$4:$R$180,"520",$CR$4:$CR$180)</f>
        <v>0</v>
      </c>
      <c r="CS190" s="208">
        <f>SUMIF($R$4:$R$180,"520",$CS$4:$CS$180)</f>
        <v>0</v>
      </c>
      <c r="CT190" s="208">
        <f>SUMIF($R$4:$R$180,"520",$CT$4:$CT$180)</f>
        <v>0</v>
      </c>
    </row>
    <row r="191" spans="1:98" x14ac:dyDescent="0.25">
      <c r="A191" s="1446"/>
      <c r="B191" s="1446"/>
      <c r="C191" s="1446"/>
      <c r="D191" s="1446"/>
      <c r="E191" s="1446"/>
      <c r="F191" s="1446"/>
      <c r="G191" s="3">
        <f>SUM(G185:G190)</f>
        <v>11683000000</v>
      </c>
      <c r="H191" s="179">
        <f>SUM(H185:H190)</f>
        <v>12093000000</v>
      </c>
      <c r="I191" s="3">
        <f>SUM(I185:I190)</f>
        <v>12343000000</v>
      </c>
      <c r="J191" s="1271" t="s">
        <v>3308</v>
      </c>
      <c r="K191" s="1272"/>
      <c r="L191" s="1272"/>
      <c r="M191" s="1272"/>
      <c r="N191" s="1272"/>
      <c r="O191" s="1273"/>
      <c r="P191" s="3">
        <f>SUM(P185:P190)</f>
        <v>10788000000</v>
      </c>
      <c r="Q191" s="3">
        <f>SUM(Q185:Q190)</f>
        <v>20819492923</v>
      </c>
      <c r="R191" s="746"/>
      <c r="S191" s="3" t="e">
        <f>SUM(S185:S190)</f>
        <v>#REF!</v>
      </c>
      <c r="T191" s="3"/>
      <c r="U191" s="146" t="e">
        <f t="shared" ref="U191:AG191" si="150">SUM(U185:U190)</f>
        <v>#REF!</v>
      </c>
      <c r="V191" s="146">
        <f t="shared" si="150"/>
        <v>2475902120</v>
      </c>
      <c r="W191" s="146" t="e">
        <f t="shared" si="150"/>
        <v>#REF!</v>
      </c>
      <c r="X191" s="146" t="e">
        <f t="shared" si="150"/>
        <v>#REF!</v>
      </c>
      <c r="Y191" s="146">
        <f t="shared" ca="1" si="150"/>
        <v>73270400</v>
      </c>
      <c r="Z191" s="146">
        <f t="shared" si="150"/>
        <v>20000000</v>
      </c>
      <c r="AA191" s="146">
        <f t="shared" si="150"/>
        <v>47000740</v>
      </c>
      <c r="AB191" s="146" t="e">
        <f t="shared" si="150"/>
        <v>#REF!</v>
      </c>
      <c r="AC191" s="146">
        <f t="shared" si="150"/>
        <v>871000000</v>
      </c>
      <c r="AD191" s="146" t="e">
        <f t="shared" si="150"/>
        <v>#REF!</v>
      </c>
      <c r="AE191" s="146">
        <f t="shared" si="150"/>
        <v>0</v>
      </c>
      <c r="AF191" s="146">
        <f t="shared" si="150"/>
        <v>0</v>
      </c>
      <c r="AG191" s="146">
        <f t="shared" si="150"/>
        <v>0</v>
      </c>
      <c r="AI191" s="146" t="e">
        <f t="shared" ref="AI191:AP191" si="151">SUM(AI185:AI190)</f>
        <v>#REF!</v>
      </c>
      <c r="AJ191" s="146" t="e">
        <f t="shared" si="151"/>
        <v>#REF!</v>
      </c>
      <c r="AK191" s="146" t="e">
        <f t="shared" si="151"/>
        <v>#REF!</v>
      </c>
      <c r="AL191" s="146" t="e">
        <f t="shared" si="151"/>
        <v>#REF!</v>
      </c>
      <c r="AM191" s="146" t="e">
        <f t="shared" si="151"/>
        <v>#REF!</v>
      </c>
      <c r="AN191" s="146" t="e">
        <f t="shared" si="151"/>
        <v>#REF!</v>
      </c>
      <c r="AO191" s="146" t="e">
        <f t="shared" si="151"/>
        <v>#REF!</v>
      </c>
      <c r="AP191" s="217" t="e">
        <f t="shared" si="151"/>
        <v>#REF!</v>
      </c>
      <c r="AQ191" s="293" t="e">
        <f t="shared" si="143"/>
        <v>#REF!</v>
      </c>
      <c r="AR191" s="218" t="e">
        <f t="shared" si="130"/>
        <v>#REF!</v>
      </c>
      <c r="AS191" s="146" t="e">
        <f t="shared" ref="AS191:BD191" si="152">SUM(AS185:AS190)</f>
        <v>#REF!</v>
      </c>
      <c r="AT191" s="146" t="e">
        <f t="shared" si="152"/>
        <v>#REF!</v>
      </c>
      <c r="AU191" s="146">
        <f t="shared" si="152"/>
        <v>642607943</v>
      </c>
      <c r="AV191" s="146">
        <f t="shared" si="152"/>
        <v>0</v>
      </c>
      <c r="AW191" s="146">
        <f t="shared" si="152"/>
        <v>0</v>
      </c>
      <c r="AX191" s="146">
        <f t="shared" si="152"/>
        <v>0</v>
      </c>
      <c r="AY191" s="146">
        <f t="shared" si="152"/>
        <v>2749150101</v>
      </c>
      <c r="AZ191" s="146" t="e">
        <f t="shared" si="152"/>
        <v>#REF!</v>
      </c>
      <c r="BA191" s="146" t="e">
        <f t="shared" si="152"/>
        <v>#REF!</v>
      </c>
      <c r="BB191" s="146">
        <f t="shared" si="152"/>
        <v>0</v>
      </c>
      <c r="BC191" s="146">
        <f t="shared" si="152"/>
        <v>0</v>
      </c>
      <c r="BD191" s="217">
        <f t="shared" si="152"/>
        <v>0</v>
      </c>
      <c r="BE191" s="238" t="e">
        <f t="shared" si="149"/>
        <v>#REF!</v>
      </c>
      <c r="BF191" s="218" t="e">
        <f t="shared" si="144"/>
        <v>#REF!</v>
      </c>
      <c r="BG191" s="149" t="e">
        <f t="shared" ref="BG191:BR191" si="153">SUM(BG185:BG190)</f>
        <v>#REF!</v>
      </c>
      <c r="BH191" s="149" t="e">
        <f t="shared" si="153"/>
        <v>#REF!</v>
      </c>
      <c r="BI191" s="149" t="e">
        <f t="shared" si="153"/>
        <v>#REF!</v>
      </c>
      <c r="BJ191" s="149">
        <f t="shared" si="153"/>
        <v>73270400</v>
      </c>
      <c r="BK191" s="149">
        <f t="shared" si="153"/>
        <v>20000000</v>
      </c>
      <c r="BL191" s="149">
        <f t="shared" si="153"/>
        <v>47000740</v>
      </c>
      <c r="BM191" s="149" t="e">
        <f t="shared" si="153"/>
        <v>#REF!</v>
      </c>
      <c r="BN191" s="149" t="e">
        <f t="shared" si="153"/>
        <v>#REF!</v>
      </c>
      <c r="BO191" s="149" t="e">
        <f t="shared" si="153"/>
        <v>#REF!</v>
      </c>
      <c r="BP191" s="149">
        <f t="shared" si="153"/>
        <v>0</v>
      </c>
      <c r="BQ191" s="149">
        <f t="shared" si="153"/>
        <v>0</v>
      </c>
      <c r="BR191" s="219">
        <f t="shared" si="153"/>
        <v>0</v>
      </c>
      <c r="BS191" s="293" t="e">
        <f t="shared" si="145"/>
        <v>#REF!</v>
      </c>
      <c r="BT191" s="218" t="e">
        <f t="shared" si="146"/>
        <v>#REF!</v>
      </c>
      <c r="BU191" s="146" t="e">
        <f t="shared" ref="BU191:CF191" si="154">SUM(BU185:BU190)</f>
        <v>#REF!</v>
      </c>
      <c r="BV191" s="146" t="e">
        <f t="shared" si="154"/>
        <v>#REF!</v>
      </c>
      <c r="BW191" s="146">
        <f t="shared" si="154"/>
        <v>0</v>
      </c>
      <c r="BX191" s="146">
        <f t="shared" si="154"/>
        <v>0</v>
      </c>
      <c r="BY191" s="146">
        <f t="shared" si="154"/>
        <v>0</v>
      </c>
      <c r="BZ191" s="146">
        <f t="shared" si="154"/>
        <v>0</v>
      </c>
      <c r="CA191" s="146" t="e">
        <f t="shared" si="154"/>
        <v>#REF!</v>
      </c>
      <c r="CB191" s="146" t="e">
        <f t="shared" si="154"/>
        <v>#REF!</v>
      </c>
      <c r="CC191" s="146">
        <f t="shared" si="154"/>
        <v>0</v>
      </c>
      <c r="CD191" s="146">
        <f t="shared" si="154"/>
        <v>0</v>
      </c>
      <c r="CE191" s="146">
        <f t="shared" si="154"/>
        <v>0</v>
      </c>
      <c r="CF191" s="217">
        <f t="shared" si="154"/>
        <v>0</v>
      </c>
      <c r="CG191" s="238" t="e">
        <f t="shared" si="147"/>
        <v>#REF!</v>
      </c>
      <c r="CH191" s="218" t="e">
        <f t="shared" si="148"/>
        <v>#REF!</v>
      </c>
      <c r="CI191" s="149" t="e">
        <f t="shared" ref="CI191:CT191" si="155">SUM(CI185:CI190)</f>
        <v>#REF!</v>
      </c>
      <c r="CJ191" s="149" t="e">
        <f t="shared" si="155"/>
        <v>#REF!</v>
      </c>
      <c r="CK191" s="149" t="e">
        <f t="shared" si="155"/>
        <v>#REF!</v>
      </c>
      <c r="CL191" s="149">
        <f t="shared" si="155"/>
        <v>73270400</v>
      </c>
      <c r="CM191" s="149">
        <f t="shared" si="155"/>
        <v>20000000</v>
      </c>
      <c r="CN191" s="149">
        <f t="shared" si="155"/>
        <v>47000740</v>
      </c>
      <c r="CO191" s="149" t="e">
        <f t="shared" si="155"/>
        <v>#REF!</v>
      </c>
      <c r="CP191" s="149" t="e">
        <f t="shared" si="155"/>
        <v>#REF!</v>
      </c>
      <c r="CQ191" s="149" t="e">
        <f t="shared" si="155"/>
        <v>#REF!</v>
      </c>
      <c r="CR191" s="149">
        <f t="shared" si="155"/>
        <v>0</v>
      </c>
      <c r="CS191" s="149">
        <f t="shared" si="155"/>
        <v>0</v>
      </c>
      <c r="CT191" s="149">
        <f t="shared" si="155"/>
        <v>0</v>
      </c>
    </row>
    <row r="192" spans="1:98" x14ac:dyDescent="0.25">
      <c r="A192" s="744"/>
      <c r="B192" s="1441"/>
      <c r="C192" s="1441"/>
      <c r="D192" s="1441"/>
      <c r="E192" s="1441"/>
      <c r="F192" s="1441"/>
      <c r="G192" s="133">
        <f>SUMIF($R$4:$R$178,"301",$G$4:$G$178)</f>
        <v>910000000</v>
      </c>
      <c r="H192" s="178">
        <f>SUMIF($R$4:$R$178,"301",$H$4:$H$178)</f>
        <v>1035000000</v>
      </c>
      <c r="I192" s="133">
        <f>SUMIF($R$4:$R$178,"301",$I$4:$I$178)</f>
        <v>1035000000</v>
      </c>
      <c r="J192" s="1271" t="s">
        <v>3307</v>
      </c>
      <c r="K192" s="1272"/>
      <c r="L192" s="1272"/>
      <c r="M192" s="1272"/>
      <c r="N192" s="1272"/>
      <c r="O192" s="1273"/>
      <c r="P192" s="133">
        <f>SUMIF($R$4:$R$178,"301",$P$4:$P$178)</f>
        <v>1020000050</v>
      </c>
      <c r="Q192" s="133">
        <f>SUMIF($R$4:$R$178,"301",$Q$4:$Q$178)</f>
        <v>3723998450</v>
      </c>
      <c r="R192" s="296">
        <v>301</v>
      </c>
      <c r="S192" s="133">
        <f>SUMIF($R$4:$R$178,"301",$S$4:$S$178)</f>
        <v>2368998450</v>
      </c>
      <c r="T192" s="133"/>
      <c r="U192" s="133">
        <f>SUMIF($R$4:$R$178,"301",$U$4:$U$181)</f>
        <v>1355000000</v>
      </c>
      <c r="V192" s="133">
        <f>SUMIF($R$4:$R$180,"301",$V$4:$V$180)</f>
        <v>0</v>
      </c>
      <c r="W192" s="133">
        <f>SUMIF($R$4:$R$180,"301",$W$4:$W$180)</f>
        <v>0</v>
      </c>
      <c r="X192" s="133">
        <f>SUMIF($R$4:$R$180,"301",$X$4:$X$180)</f>
        <v>0</v>
      </c>
      <c r="Y192" s="133">
        <f>SUMIF($R$4:$R$180,"301",$Y$4:$Y$180)</f>
        <v>0</v>
      </c>
      <c r="Z192" s="133">
        <f>SUMIF($R$4:$R$180,"301",$Z$4:$Z$180)</f>
        <v>0</v>
      </c>
      <c r="AA192" s="133">
        <f>SUMIF($R$4:$R$180,"301",$AA$4:$AA$180)</f>
        <v>0</v>
      </c>
      <c r="AB192" s="133">
        <f>SUMIF($R$4:$R$180,"301",$AB$4:$AB$180)</f>
        <v>0</v>
      </c>
      <c r="AC192" s="133">
        <f>SUMIF($R$4:$R$180,"301",$AC$4:$AC$180)</f>
        <v>0</v>
      </c>
      <c r="AD192" s="133">
        <f>SUMIF($R$4:$R$180,"301",$AD$4:$AD$180)</f>
        <v>0</v>
      </c>
      <c r="AE192" s="133">
        <f>SUMIF($R$4:$R$180,"301",$AE$4:$AE$180)</f>
        <v>0</v>
      </c>
      <c r="AF192" s="133">
        <f>SUMIF($R$4:$R$180,"301",$AF$4:$AF$180)</f>
        <v>1355000000</v>
      </c>
      <c r="AG192" s="133">
        <f>SUMIF($R$4:$R$180,"301",$AG$4:$AG$180)</f>
        <v>0</v>
      </c>
      <c r="AI192" s="133">
        <f>SUMIF($R$4:$R$180,"301",$AI$4:$AI$180)</f>
        <v>34000000</v>
      </c>
      <c r="AJ192" s="133">
        <f>SUMIF($R$4:$R$180,"301",$AJ$4:$AJ$180)</f>
        <v>30000000</v>
      </c>
      <c r="AK192" s="133">
        <f>SUMIF($R$4:$R$180,"301",$AK$4:$AK$180)</f>
        <v>0</v>
      </c>
      <c r="AL192" s="133">
        <f>SUMIF($R$4:$R$180,"301",$AL$4:$AL$180)</f>
        <v>4000000</v>
      </c>
      <c r="AM192" s="133">
        <f>SUMIF($R$4:$R$180,"301",$AM$4:$AM$180)</f>
        <v>0</v>
      </c>
      <c r="AN192" s="133">
        <f>SUMIF($R$4:$R$180,"301",$AN$4:$AN$180)</f>
        <v>0</v>
      </c>
      <c r="AO192" s="133">
        <f>SUMIF($R$4:$R$180,"301",$AO$4:$AO$180)</f>
        <v>0</v>
      </c>
      <c r="AP192" s="216">
        <f>SUMIF($R$4:$R$180,"301",$AP$4:$AP$180)</f>
        <v>0</v>
      </c>
      <c r="AQ192" s="291">
        <f t="shared" si="143"/>
        <v>0.54141691143911441</v>
      </c>
      <c r="AR192" s="218">
        <f t="shared" si="130"/>
        <v>733619915</v>
      </c>
      <c r="AS192" s="133">
        <f>SUMIF($R$4:$R$180,"301",$AS$4:$AS$180)</f>
        <v>0</v>
      </c>
      <c r="AT192" s="133">
        <f>SUMIF($R$4:$R$180,"301",$AT$4:$AT$180)</f>
        <v>0</v>
      </c>
      <c r="AU192" s="133">
        <f>SUMIF($R$4:$R$180,"301",$AU$4:$AU$180)</f>
        <v>0</v>
      </c>
      <c r="AV192" s="133">
        <f>SUMIF($R$4:$R$180,"301",$AV$4:$AV$180)</f>
        <v>0</v>
      </c>
      <c r="AW192" s="133">
        <f>SUMIF($R$4:$R$180,"301",$AW$4:$AW$180)</f>
        <v>0</v>
      </c>
      <c r="AX192" s="133">
        <f>SUMIF($R$4:$R$180,"301",$AX$4:$AX$180)</f>
        <v>0</v>
      </c>
      <c r="AY192" s="133">
        <f>SUMIF($R$4:$R$180,"301",$AY$4:$AY$180)</f>
        <v>0</v>
      </c>
      <c r="AZ192" s="133">
        <f>SUMIF($R$4:$R$180,"301",$AZ$4:$AZ$180)</f>
        <v>0</v>
      </c>
      <c r="BA192" s="133">
        <f>SUMIF($R$4:$R$180,"301",$BA$4:$BA$180)</f>
        <v>0</v>
      </c>
      <c r="BB192" s="133">
        <f>SUMIF($R$4:$R$180,"301",$BB$4:$BB$180)</f>
        <v>0</v>
      </c>
      <c r="BC192" s="133">
        <f>SUMIF($R$4:$R$180,"301",$BC$4:$BC$180)</f>
        <v>733619915</v>
      </c>
      <c r="BD192" s="216">
        <f>SUMIF($R$4:$R$180,"301",$BD$4:$BD$180)</f>
        <v>0</v>
      </c>
      <c r="BE192" s="238">
        <f t="shared" si="149"/>
        <v>0.45858308856088559</v>
      </c>
      <c r="BF192" s="218">
        <f t="shared" si="144"/>
        <v>621380085</v>
      </c>
      <c r="BG192" s="208">
        <f>SUMIF($R$4:$R$180,"301",$BG$4:$BG$180)</f>
        <v>0</v>
      </c>
      <c r="BH192" s="208">
        <f>SUMIF($R$4:$R$180,"301",$BH$4:$BH$180)</f>
        <v>0</v>
      </c>
      <c r="BI192" s="208">
        <f>SUMIF($R$4:$R$180,"301",$BI$4:$BI$180)</f>
        <v>0</v>
      </c>
      <c r="BJ192" s="208">
        <f>SUMIF($R$4:$R$180,"301",$BJ$4:$BJ$180)</f>
        <v>0</v>
      </c>
      <c r="BK192" s="208">
        <f>SUMIF($R$4:$R$180,"301",$BK$4:$BK$180)</f>
        <v>0</v>
      </c>
      <c r="BL192" s="208">
        <f>SUMIF($R$4:$R$180,"301",$BL$4:$BL$180)</f>
        <v>0</v>
      </c>
      <c r="BM192" s="208">
        <f>SUMIF($R$4:$R$180,"301",$BM$4:$BM$180)</f>
        <v>0</v>
      </c>
      <c r="BN192" s="208">
        <f>SUMIF($R$4:$R$180,"301",$BN$4:$BN$180)</f>
        <v>0</v>
      </c>
      <c r="BO192" s="208">
        <f>SUMIF($R$4:$R$180,"301",$BO$4:$BO$180)</f>
        <v>0</v>
      </c>
      <c r="BP192" s="208">
        <f>SUMIF($R$4:$R$180,"301",$BP$4:$BP$180)</f>
        <v>0</v>
      </c>
      <c r="BQ192" s="208">
        <f>SUMIF($R$4:$R$180,"301",$BQ$4:$BQ$180)</f>
        <v>621380085</v>
      </c>
      <c r="BR192" s="220">
        <f>SUMIF($R$4:$R$180,"301",$BR$4:$BR$180)</f>
        <v>0</v>
      </c>
      <c r="BS192" s="291">
        <f t="shared" si="145"/>
        <v>0.46877442878228781</v>
      </c>
      <c r="BT192" s="218">
        <f t="shared" si="146"/>
        <v>635189351</v>
      </c>
      <c r="BU192" s="133">
        <f>SUMIF($R$4:$R$180,"301",$BU$4:$BU$180)</f>
        <v>0</v>
      </c>
      <c r="BV192" s="133">
        <f>SUMIF($R$4:$R$180,"301",$BV$4:$BV$180)</f>
        <v>0</v>
      </c>
      <c r="BW192" s="133">
        <f>SUMIF($R$4:$R$180,"301",$BW$4:$BW$180)</f>
        <v>0</v>
      </c>
      <c r="BX192" s="133">
        <f>SUMIF($R$4:$R$180,"301",$BX$4:$BX$180)</f>
        <v>0</v>
      </c>
      <c r="BY192" s="133">
        <f>SUMIF($R$4:$R$180,"301",$BY$4:$BY$180)</f>
        <v>0</v>
      </c>
      <c r="BZ192" s="133">
        <f>SUMIF($R$4:$R$180,"301",$BZ$4:$BZ$180)</f>
        <v>0</v>
      </c>
      <c r="CA192" s="133">
        <f>SUMIF($R$4:$R$180,"301",$CA$4:$CA$180)</f>
        <v>0</v>
      </c>
      <c r="CB192" s="133">
        <f>SUMIF($R$4:$R$180,"301",$CB$4:$CB$180)</f>
        <v>0</v>
      </c>
      <c r="CC192" s="133">
        <f>SUMIF($R$4:$R$180,"301",$CC$4:$CC$180)</f>
        <v>0</v>
      </c>
      <c r="CD192" s="133">
        <f>SUMIF($R$4:$R$180,"301",$CD$4:$CD$180)</f>
        <v>0</v>
      </c>
      <c r="CE192" s="133">
        <f>SUMIF($R$4:$R$180,"301",$CE$4:$CE$180)</f>
        <v>635189351</v>
      </c>
      <c r="CF192" s="216">
        <f>SUMIF($R$4:$R$180,"301",$CF$4:$CF$180)</f>
        <v>0</v>
      </c>
      <c r="CG192" s="238">
        <f t="shared" si="147"/>
        <v>0.53122557121771219</v>
      </c>
      <c r="CH192" s="218">
        <f t="shared" si="148"/>
        <v>719810649</v>
      </c>
      <c r="CI192" s="208">
        <f>SUMIF($R$4:$R$180,"301",$CI$4:$CI$180)</f>
        <v>0</v>
      </c>
      <c r="CJ192" s="208">
        <f>SUMIF($R$4:$R$180,"301",$CJ$4:$CJ$180)</f>
        <v>0</v>
      </c>
      <c r="CK192" s="208">
        <f>SUMIF($R$4:$R$180,"301",$CK$4:$CK$180)</f>
        <v>0</v>
      </c>
      <c r="CL192" s="208">
        <f>SUMIF($R$4:$R$180,"301",$CL$4:$CL$180)</f>
        <v>0</v>
      </c>
      <c r="CM192" s="208">
        <f>SUMIF($R$4:$R$180,"301",$CM$4:$CM$180)</f>
        <v>0</v>
      </c>
      <c r="CN192" s="208">
        <f>SUMIF($R$4:$R$180,"301",$CN$4:$CN$180)</f>
        <v>0</v>
      </c>
      <c r="CO192" s="208">
        <f>SUMIF($R$4:$R$180,"301",$CO$4:$CO$180)</f>
        <v>0</v>
      </c>
      <c r="CP192" s="208">
        <f>SUMIF($R$4:$R$180,"301",$CP$4:$CP$180)</f>
        <v>0</v>
      </c>
      <c r="CQ192" s="208">
        <f>SUMIF($R$4:$R$180,"301",$CQ$4:$CQ$180)</f>
        <v>0</v>
      </c>
      <c r="CR192" s="208">
        <f>SUMIF($R$4:$R$180,"301",$CR$4:$CR$180)</f>
        <v>0</v>
      </c>
      <c r="CS192" s="208">
        <f>SUMIF($R$4:$R$180,"301",$CS$4:$CS$180)</f>
        <v>719810649</v>
      </c>
      <c r="CT192" s="208">
        <f>SUMIF($R$4:$R$180,"301",$CT$4:$CT$180)</f>
        <v>0</v>
      </c>
    </row>
    <row r="193" spans="1:98" ht="15.75" thickBot="1" x14ac:dyDescent="0.3">
      <c r="A193" s="1446"/>
      <c r="B193" s="1446"/>
      <c r="C193" s="1446"/>
      <c r="D193" s="1446"/>
      <c r="E193" s="1446"/>
      <c r="F193" s="1446"/>
      <c r="G193" s="134">
        <f>SUM(G191:G192)</f>
        <v>12593000000</v>
      </c>
      <c r="H193" s="180">
        <f>SUM(H191:H192)</f>
        <v>13128000000</v>
      </c>
      <c r="I193" s="134">
        <f>SUM(I191:I192)</f>
        <v>13378000000</v>
      </c>
      <c r="J193" s="195" t="s">
        <v>3309</v>
      </c>
      <c r="K193" s="196"/>
      <c r="L193" s="196"/>
      <c r="M193" s="196"/>
      <c r="N193" s="196"/>
      <c r="O193" s="197"/>
      <c r="P193" s="134">
        <f>SUM(P191:P192)</f>
        <v>11808000050</v>
      </c>
      <c r="Q193" s="134">
        <f>SUM(Q191:Q192)</f>
        <v>24543491373</v>
      </c>
      <c r="R193" s="132"/>
      <c r="S193" s="134" t="e">
        <f>SUM(S191:S192)</f>
        <v>#REF!</v>
      </c>
      <c r="T193" s="134"/>
      <c r="U193" s="145" t="e">
        <f t="shared" ref="U193:AG193" si="156">SUM(U191:U192)</f>
        <v>#REF!</v>
      </c>
      <c r="V193" s="145">
        <f t="shared" si="156"/>
        <v>2475902120</v>
      </c>
      <c r="W193" s="145" t="e">
        <f t="shared" si="156"/>
        <v>#REF!</v>
      </c>
      <c r="X193" s="145" t="e">
        <f t="shared" si="156"/>
        <v>#REF!</v>
      </c>
      <c r="Y193" s="145">
        <f t="shared" ca="1" si="156"/>
        <v>73270400</v>
      </c>
      <c r="Z193" s="145">
        <f t="shared" si="156"/>
        <v>20000000</v>
      </c>
      <c r="AA193" s="145">
        <f t="shared" si="156"/>
        <v>47000740</v>
      </c>
      <c r="AB193" s="145" t="e">
        <f t="shared" si="156"/>
        <v>#REF!</v>
      </c>
      <c r="AC193" s="145">
        <f t="shared" si="156"/>
        <v>871000000</v>
      </c>
      <c r="AD193" s="145" t="e">
        <f t="shared" si="156"/>
        <v>#REF!</v>
      </c>
      <c r="AE193" s="145">
        <f t="shared" si="156"/>
        <v>0</v>
      </c>
      <c r="AF193" s="145">
        <f t="shared" si="156"/>
        <v>1355000000</v>
      </c>
      <c r="AG193" s="145">
        <f t="shared" si="156"/>
        <v>0</v>
      </c>
      <c r="AI193" s="145" t="e">
        <f t="shared" ref="AI193:AP193" si="157">SUM(AI191:AI192)</f>
        <v>#REF!</v>
      </c>
      <c r="AJ193" s="145" t="e">
        <f t="shared" si="157"/>
        <v>#REF!</v>
      </c>
      <c r="AK193" s="145" t="e">
        <f t="shared" si="157"/>
        <v>#REF!</v>
      </c>
      <c r="AL193" s="145" t="e">
        <f t="shared" si="157"/>
        <v>#REF!</v>
      </c>
      <c r="AM193" s="145" t="e">
        <f t="shared" si="157"/>
        <v>#REF!</v>
      </c>
      <c r="AN193" s="145" t="e">
        <f t="shared" si="157"/>
        <v>#REF!</v>
      </c>
      <c r="AO193" s="145" t="e">
        <f t="shared" si="157"/>
        <v>#REF!</v>
      </c>
      <c r="AP193" s="228" t="e">
        <f t="shared" si="157"/>
        <v>#REF!</v>
      </c>
      <c r="AQ193" s="294" t="e">
        <f t="shared" si="143"/>
        <v>#REF!</v>
      </c>
      <c r="AR193" s="229" t="e">
        <f t="shared" si="130"/>
        <v>#REF!</v>
      </c>
      <c r="AS193" s="145" t="e">
        <f t="shared" ref="AS193:BD193" si="158">SUM(AS191:AS192)</f>
        <v>#REF!</v>
      </c>
      <c r="AT193" s="145" t="e">
        <f t="shared" si="158"/>
        <v>#REF!</v>
      </c>
      <c r="AU193" s="145">
        <f t="shared" si="158"/>
        <v>642607943</v>
      </c>
      <c r="AV193" s="145">
        <f t="shared" si="158"/>
        <v>0</v>
      </c>
      <c r="AW193" s="145">
        <f t="shared" si="158"/>
        <v>0</v>
      </c>
      <c r="AX193" s="145">
        <f t="shared" si="158"/>
        <v>0</v>
      </c>
      <c r="AY193" s="145">
        <f t="shared" si="158"/>
        <v>2749150101</v>
      </c>
      <c r="AZ193" s="145" t="e">
        <f t="shared" si="158"/>
        <v>#REF!</v>
      </c>
      <c r="BA193" s="145" t="e">
        <f t="shared" si="158"/>
        <v>#REF!</v>
      </c>
      <c r="BB193" s="145">
        <f t="shared" si="158"/>
        <v>0</v>
      </c>
      <c r="BC193" s="145">
        <f t="shared" si="158"/>
        <v>733619915</v>
      </c>
      <c r="BD193" s="228">
        <f t="shared" si="158"/>
        <v>0</v>
      </c>
      <c r="BE193" s="243" t="e">
        <f t="shared" si="149"/>
        <v>#REF!</v>
      </c>
      <c r="BF193" s="229" t="e">
        <f t="shared" si="144"/>
        <v>#REF!</v>
      </c>
      <c r="BG193" s="145" t="e">
        <f t="shared" ref="BG193:BR193" si="159">SUM(BG191:BG192)</f>
        <v>#REF!</v>
      </c>
      <c r="BH193" s="145" t="e">
        <f t="shared" si="159"/>
        <v>#REF!</v>
      </c>
      <c r="BI193" s="145" t="e">
        <f t="shared" si="159"/>
        <v>#REF!</v>
      </c>
      <c r="BJ193" s="145">
        <f t="shared" si="159"/>
        <v>73270400</v>
      </c>
      <c r="BK193" s="145">
        <f t="shared" si="159"/>
        <v>20000000</v>
      </c>
      <c r="BL193" s="145">
        <f t="shared" si="159"/>
        <v>47000740</v>
      </c>
      <c r="BM193" s="145" t="e">
        <f t="shared" si="159"/>
        <v>#REF!</v>
      </c>
      <c r="BN193" s="145" t="e">
        <f t="shared" si="159"/>
        <v>#REF!</v>
      </c>
      <c r="BO193" s="145" t="e">
        <f t="shared" si="159"/>
        <v>#REF!</v>
      </c>
      <c r="BP193" s="145">
        <f t="shared" si="159"/>
        <v>0</v>
      </c>
      <c r="BQ193" s="145">
        <f t="shared" si="159"/>
        <v>621380085</v>
      </c>
      <c r="BR193" s="228">
        <f t="shared" si="159"/>
        <v>0</v>
      </c>
      <c r="BS193" s="294" t="e">
        <f t="shared" si="145"/>
        <v>#REF!</v>
      </c>
      <c r="BT193" s="229" t="e">
        <f t="shared" si="146"/>
        <v>#REF!</v>
      </c>
      <c r="BU193" s="145" t="e">
        <f t="shared" ref="BU193:CF193" si="160">SUM(BU191:BU192)</f>
        <v>#REF!</v>
      </c>
      <c r="BV193" s="145" t="e">
        <f t="shared" si="160"/>
        <v>#REF!</v>
      </c>
      <c r="BW193" s="145">
        <f t="shared" si="160"/>
        <v>0</v>
      </c>
      <c r="BX193" s="145">
        <f t="shared" si="160"/>
        <v>0</v>
      </c>
      <c r="BY193" s="145">
        <f t="shared" si="160"/>
        <v>0</v>
      </c>
      <c r="BZ193" s="145">
        <f t="shared" si="160"/>
        <v>0</v>
      </c>
      <c r="CA193" s="145" t="e">
        <f t="shared" si="160"/>
        <v>#REF!</v>
      </c>
      <c r="CB193" s="145" t="e">
        <f t="shared" si="160"/>
        <v>#REF!</v>
      </c>
      <c r="CC193" s="145">
        <f t="shared" si="160"/>
        <v>0</v>
      </c>
      <c r="CD193" s="145">
        <f t="shared" si="160"/>
        <v>0</v>
      </c>
      <c r="CE193" s="145">
        <f t="shared" si="160"/>
        <v>635189351</v>
      </c>
      <c r="CF193" s="228">
        <f t="shared" si="160"/>
        <v>0</v>
      </c>
      <c r="CG193" s="243" t="e">
        <f t="shared" si="147"/>
        <v>#REF!</v>
      </c>
      <c r="CH193" s="229" t="e">
        <f t="shared" si="148"/>
        <v>#REF!</v>
      </c>
      <c r="CI193" s="145" t="e">
        <f t="shared" ref="CI193:CT193" si="161">SUM(CI191:CI192)</f>
        <v>#REF!</v>
      </c>
      <c r="CJ193" s="145" t="e">
        <f t="shared" si="161"/>
        <v>#REF!</v>
      </c>
      <c r="CK193" s="145" t="e">
        <f t="shared" si="161"/>
        <v>#REF!</v>
      </c>
      <c r="CL193" s="145">
        <f t="shared" si="161"/>
        <v>73270400</v>
      </c>
      <c r="CM193" s="145">
        <f t="shared" si="161"/>
        <v>20000000</v>
      </c>
      <c r="CN193" s="145">
        <f t="shared" si="161"/>
        <v>47000740</v>
      </c>
      <c r="CO193" s="145" t="e">
        <f t="shared" si="161"/>
        <v>#REF!</v>
      </c>
      <c r="CP193" s="145" t="e">
        <f t="shared" si="161"/>
        <v>#REF!</v>
      </c>
      <c r="CQ193" s="145" t="e">
        <f t="shared" si="161"/>
        <v>#REF!</v>
      </c>
      <c r="CR193" s="145">
        <f t="shared" si="161"/>
        <v>0</v>
      </c>
      <c r="CS193" s="145">
        <f t="shared" si="161"/>
        <v>719810649</v>
      </c>
      <c r="CT193" s="145">
        <f t="shared" si="161"/>
        <v>0</v>
      </c>
    </row>
    <row r="194" spans="1:98" ht="15.75" thickTop="1" x14ac:dyDescent="0.25">
      <c r="N194" s="144"/>
      <c r="O194" s="1"/>
      <c r="V194" s="1"/>
      <c r="W194" s="1"/>
      <c r="X194" s="1"/>
      <c r="Y194" s="1"/>
      <c r="Z194" s="1"/>
      <c r="AA194" s="1"/>
      <c r="AB194" s="1"/>
      <c r="AC194" s="1"/>
      <c r="AD194" s="1"/>
      <c r="AE194" s="1"/>
      <c r="AF194" s="1"/>
      <c r="AG194" s="1"/>
      <c r="AR194" s="1"/>
      <c r="AS194" s="1"/>
      <c r="AT194" s="749"/>
      <c r="AU194" s="1"/>
      <c r="AV194" s="1">
        <f>AU194-AT194</f>
        <v>0</v>
      </c>
      <c r="AW194" s="1"/>
      <c r="AX194" s="1"/>
      <c r="AY194" s="1"/>
      <c r="AZ194" s="1"/>
      <c r="BA194" s="1"/>
      <c r="BB194" s="1"/>
      <c r="BC194" s="1"/>
      <c r="BD194" s="1"/>
    </row>
    <row r="195" spans="1:98" x14ac:dyDescent="0.25">
      <c r="N195" s="144"/>
      <c r="O195" s="1"/>
      <c r="U195" s="1" t="e">
        <f>SUM(V195:AG195)</f>
        <v>#REF!</v>
      </c>
      <c r="V195" s="1" t="e">
        <f>+#REF!</f>
        <v>#REF!</v>
      </c>
      <c r="W195" s="1" t="e">
        <f>+#REF!</f>
        <v>#REF!</v>
      </c>
      <c r="X195" s="1" t="e">
        <f>+#REF!</f>
        <v>#REF!</v>
      </c>
      <c r="Y195" s="1" t="e">
        <f>+#REF!</f>
        <v>#REF!</v>
      </c>
      <c r="Z195" s="1" t="e">
        <f>+#REF!</f>
        <v>#REF!</v>
      </c>
      <c r="AA195" s="1" t="e">
        <f>+#REF!</f>
        <v>#REF!</v>
      </c>
      <c r="AB195" s="1" t="e">
        <f>+#REF!</f>
        <v>#REF!</v>
      </c>
      <c r="AC195" s="1" t="e">
        <f>+#REF!</f>
        <v>#REF!</v>
      </c>
      <c r="AD195" s="1" t="e">
        <f>+#REF!</f>
        <v>#REF!</v>
      </c>
      <c r="AE195" s="1" t="e">
        <f>+#REF!</f>
        <v>#REF!</v>
      </c>
      <c r="AF195" s="1" t="e">
        <f>+#REF!</f>
        <v>#REF!</v>
      </c>
      <c r="AG195" s="1" t="e">
        <f>+#REF!</f>
        <v>#REF!</v>
      </c>
      <c r="AR195" s="1" t="e">
        <f>+AR183-AR193</f>
        <v>#REF!</v>
      </c>
      <c r="AS195" s="1" t="e">
        <f t="shared" ref="AS195:BD195" si="162">+AS183-AS193</f>
        <v>#REF!</v>
      </c>
      <c r="AT195" s="1" t="e">
        <f t="shared" si="162"/>
        <v>#REF!</v>
      </c>
      <c r="AU195" s="1">
        <f t="shared" si="162"/>
        <v>0</v>
      </c>
      <c r="AV195" s="1">
        <f t="shared" si="162"/>
        <v>0</v>
      </c>
      <c r="AW195" s="1">
        <f t="shared" si="162"/>
        <v>0</v>
      </c>
      <c r="AX195" s="1">
        <f t="shared" si="162"/>
        <v>0</v>
      </c>
      <c r="AY195" s="1">
        <f t="shared" si="162"/>
        <v>0</v>
      </c>
      <c r="AZ195" s="1" t="e">
        <f t="shared" si="162"/>
        <v>#REF!</v>
      </c>
      <c r="BA195" s="1" t="e">
        <f t="shared" si="162"/>
        <v>#REF!</v>
      </c>
      <c r="BB195" s="1">
        <f t="shared" si="162"/>
        <v>0</v>
      </c>
      <c r="BC195" s="1">
        <f t="shared" si="162"/>
        <v>0</v>
      </c>
      <c r="BD195" s="1">
        <f t="shared" si="162"/>
        <v>0</v>
      </c>
      <c r="BF195" s="1" t="e">
        <f>+BF183-BF193</f>
        <v>#REF!</v>
      </c>
      <c r="BG195" s="1" t="e">
        <f t="shared" ref="BG195:BR195" si="163">+BG183-BG193</f>
        <v>#REF!</v>
      </c>
      <c r="BH195" s="1" t="e">
        <f t="shared" si="163"/>
        <v>#REF!</v>
      </c>
      <c r="BI195" s="1" t="e">
        <f t="shared" si="163"/>
        <v>#REF!</v>
      </c>
      <c r="BJ195" s="1">
        <f t="shared" si="163"/>
        <v>0</v>
      </c>
      <c r="BK195" s="1">
        <f t="shared" si="163"/>
        <v>0</v>
      </c>
      <c r="BL195" s="1">
        <f t="shared" si="163"/>
        <v>0</v>
      </c>
      <c r="BM195" s="1" t="e">
        <f t="shared" si="163"/>
        <v>#REF!</v>
      </c>
      <c r="BN195" s="1" t="e">
        <f t="shared" si="163"/>
        <v>#REF!</v>
      </c>
      <c r="BO195" s="1" t="e">
        <f t="shared" si="163"/>
        <v>#REF!</v>
      </c>
      <c r="BP195" s="1">
        <f t="shared" si="163"/>
        <v>0</v>
      </c>
      <c r="BQ195" s="1">
        <f t="shared" si="163"/>
        <v>0</v>
      </c>
      <c r="BR195" s="1">
        <f t="shared" si="163"/>
        <v>0</v>
      </c>
      <c r="BT195" s="1" t="e">
        <f>+BT183-BT193</f>
        <v>#REF!</v>
      </c>
      <c r="BU195" s="1" t="e">
        <f t="shared" ref="BU195:CT195" si="164">+BU183-BU193</f>
        <v>#REF!</v>
      </c>
      <c r="BV195" s="1" t="e">
        <f t="shared" si="164"/>
        <v>#REF!</v>
      </c>
      <c r="BW195" s="1">
        <f t="shared" si="164"/>
        <v>0</v>
      </c>
      <c r="BX195" s="1">
        <f t="shared" si="164"/>
        <v>0</v>
      </c>
      <c r="BY195" s="1">
        <f t="shared" si="164"/>
        <v>0</v>
      </c>
      <c r="BZ195" s="1">
        <f t="shared" si="164"/>
        <v>0</v>
      </c>
      <c r="CA195" s="1" t="e">
        <f t="shared" si="164"/>
        <v>#REF!</v>
      </c>
      <c r="CB195" s="1" t="e">
        <f t="shared" si="164"/>
        <v>#REF!</v>
      </c>
      <c r="CC195" s="1">
        <f t="shared" si="164"/>
        <v>0</v>
      </c>
      <c r="CD195" s="1">
        <f t="shared" si="164"/>
        <v>0</v>
      </c>
      <c r="CE195" s="1">
        <f t="shared" si="164"/>
        <v>0</v>
      </c>
      <c r="CF195" s="1">
        <f t="shared" si="164"/>
        <v>0</v>
      </c>
      <c r="CH195" s="1" t="e">
        <f t="shared" si="164"/>
        <v>#REF!</v>
      </c>
      <c r="CI195" s="1" t="e">
        <f t="shared" si="164"/>
        <v>#REF!</v>
      </c>
      <c r="CJ195" s="1" t="e">
        <f t="shared" si="164"/>
        <v>#REF!</v>
      </c>
      <c r="CK195" s="1" t="e">
        <f t="shared" si="164"/>
        <v>#REF!</v>
      </c>
      <c r="CL195" s="1">
        <f t="shared" si="164"/>
        <v>0</v>
      </c>
      <c r="CM195" s="1">
        <f t="shared" si="164"/>
        <v>0</v>
      </c>
      <c r="CN195" s="1">
        <f t="shared" si="164"/>
        <v>0</v>
      </c>
      <c r="CO195" s="1" t="e">
        <f t="shared" si="164"/>
        <v>#REF!</v>
      </c>
      <c r="CP195" s="1" t="e">
        <f t="shared" si="164"/>
        <v>#REF!</v>
      </c>
      <c r="CQ195" s="1" t="e">
        <f t="shared" si="164"/>
        <v>#REF!</v>
      </c>
      <c r="CR195" s="1">
        <f t="shared" si="164"/>
        <v>0</v>
      </c>
      <c r="CS195" s="1">
        <f t="shared" si="164"/>
        <v>0</v>
      </c>
      <c r="CT195" s="1">
        <f t="shared" si="164"/>
        <v>0</v>
      </c>
    </row>
    <row r="196" spans="1:98" x14ac:dyDescent="0.25">
      <c r="N196" s="1"/>
      <c r="O196" s="1" t="e">
        <f>+U196-U197</f>
        <v>#REF!</v>
      </c>
      <c r="U196" s="1" t="e">
        <f>+U193-U195</f>
        <v>#REF!</v>
      </c>
      <c r="V196" s="1"/>
      <c r="W196" s="1"/>
      <c r="X196" s="1"/>
      <c r="Y196" s="1"/>
      <c r="Z196" s="1"/>
      <c r="AA196" s="1"/>
      <c r="AB196" s="1"/>
      <c r="AC196" s="1"/>
      <c r="AD196" s="1"/>
      <c r="AE196" s="1"/>
      <c r="AF196" s="1"/>
      <c r="AG196" s="1"/>
      <c r="AQ196" s="296">
        <v>111</v>
      </c>
      <c r="AR196" s="1"/>
      <c r="AY196" s="1"/>
      <c r="BA196" s="1"/>
      <c r="BB196" s="1"/>
      <c r="BD196" s="1" t="e">
        <f>+#REF!</f>
        <v>#REF!</v>
      </c>
      <c r="BR196" s="1" t="e">
        <f>+#REF!</f>
        <v>#REF!</v>
      </c>
      <c r="BS196" s="296">
        <v>111</v>
      </c>
      <c r="BT196" s="1"/>
    </row>
    <row r="197" spans="1:98" ht="74.25" customHeight="1" x14ac:dyDescent="0.25">
      <c r="N197" s="1"/>
      <c r="O197" s="1"/>
      <c r="R197" s="564"/>
      <c r="U197" s="605" t="e">
        <f>SUM(V197:AG197)</f>
        <v>#REF!</v>
      </c>
      <c r="V197" s="563" t="e">
        <f>+$V$193-$V$195</f>
        <v>#REF!</v>
      </c>
      <c r="W197" s="563" t="e">
        <f t="shared" ref="W197:AG197" si="165">+W193-W195</f>
        <v>#REF!</v>
      </c>
      <c r="X197" s="563" t="e">
        <f t="shared" si="165"/>
        <v>#REF!</v>
      </c>
      <c r="Y197" s="563" t="e">
        <f t="shared" ca="1" si="165"/>
        <v>#REF!</v>
      </c>
      <c r="Z197" s="563" t="e">
        <f t="shared" si="165"/>
        <v>#REF!</v>
      </c>
      <c r="AA197" s="563" t="e">
        <f t="shared" si="165"/>
        <v>#REF!</v>
      </c>
      <c r="AB197" s="563" t="e">
        <f t="shared" si="165"/>
        <v>#REF!</v>
      </c>
      <c r="AC197" s="563" t="e">
        <f t="shared" si="165"/>
        <v>#REF!</v>
      </c>
      <c r="AD197" s="563" t="e">
        <f t="shared" si="165"/>
        <v>#REF!</v>
      </c>
      <c r="AE197" s="563" t="e">
        <f t="shared" si="165"/>
        <v>#REF!</v>
      </c>
      <c r="AF197" s="563" t="e">
        <f t="shared" si="165"/>
        <v>#REF!</v>
      </c>
      <c r="AG197" s="563" t="e">
        <f t="shared" si="165"/>
        <v>#REF!</v>
      </c>
      <c r="AQ197" s="296">
        <v>211</v>
      </c>
      <c r="AR197" s="1"/>
      <c r="AT197" s="1"/>
      <c r="BA197" s="1"/>
      <c r="BS197" s="296">
        <v>211</v>
      </c>
      <c r="BT197" s="1"/>
    </row>
    <row r="198" spans="1:98" ht="135" x14ac:dyDescent="0.25">
      <c r="N198" s="1"/>
      <c r="O198" s="1"/>
      <c r="R198" s="564">
        <v>310</v>
      </c>
      <c r="U198" s="562" t="s">
        <v>2751</v>
      </c>
      <c r="V198" s="1"/>
      <c r="AC198" s="563">
        <v>10000000</v>
      </c>
      <c r="AD198" s="563"/>
      <c r="AQ198" s="296">
        <v>310</v>
      </c>
      <c r="AR198" s="1"/>
      <c r="AS198" s="1">
        <f>+AR187-AR198</f>
        <v>697823035</v>
      </c>
      <c r="BA198" s="1"/>
      <c r="BS198" s="296">
        <v>310</v>
      </c>
      <c r="BT198" s="1"/>
      <c r="BU198" s="1"/>
    </row>
    <row r="199" spans="1:98" ht="75" x14ac:dyDescent="0.25">
      <c r="R199" s="564">
        <v>510</v>
      </c>
      <c r="U199" s="562" t="s">
        <v>2745</v>
      </c>
      <c r="V199" s="1"/>
      <c r="AC199" s="563">
        <f>115000000-70000000</f>
        <v>45000000</v>
      </c>
      <c r="AD199" s="563"/>
      <c r="AE199" s="1"/>
      <c r="AQ199" s="296">
        <v>410</v>
      </c>
      <c r="AR199" s="1"/>
      <c r="AS199" s="1"/>
      <c r="BA199" s="1"/>
      <c r="BB199" s="1"/>
      <c r="BR199" s="297" t="e">
        <f>+BR186-#REF!</f>
        <v>#REF!</v>
      </c>
      <c r="BS199" s="296">
        <v>410</v>
      </c>
      <c r="BT199" s="1"/>
    </row>
    <row r="200" spans="1:98" ht="60" x14ac:dyDescent="0.25">
      <c r="R200" s="564">
        <v>510</v>
      </c>
      <c r="U200" s="562" t="s">
        <v>2746</v>
      </c>
      <c r="V200" s="563" t="e">
        <f>+$V$193-$V$195</f>
        <v>#REF!</v>
      </c>
      <c r="AC200" s="563">
        <v>10000000</v>
      </c>
      <c r="AD200" s="563"/>
      <c r="AQ200" s="296">
        <v>510</v>
      </c>
      <c r="AR200" s="1"/>
      <c r="BR200" s="297"/>
      <c r="BS200" s="296">
        <v>510</v>
      </c>
      <c r="BT200" s="1"/>
    </row>
    <row r="201" spans="1:98" ht="105" x14ac:dyDescent="0.25">
      <c r="R201" s="564">
        <v>510</v>
      </c>
      <c r="U201" s="562" t="s">
        <v>2750</v>
      </c>
      <c r="AC201" s="563">
        <f>45000000-31000000</f>
        <v>14000000</v>
      </c>
      <c r="AD201" s="563"/>
      <c r="AE201" s="1"/>
      <c r="AQ201" s="296">
        <v>520</v>
      </c>
      <c r="AR201" s="1"/>
      <c r="BS201" s="296">
        <v>520</v>
      </c>
      <c r="BT201" s="1"/>
    </row>
    <row r="202" spans="1:98" x14ac:dyDescent="0.25">
      <c r="AE202" s="1"/>
      <c r="AQ202" s="746"/>
      <c r="AR202" s="1">
        <f>SUM(AR196:AR201)</f>
        <v>0</v>
      </c>
      <c r="BS202" s="746"/>
      <c r="BT202" s="1">
        <f>SUM(BT196:BT201)</f>
        <v>0</v>
      </c>
    </row>
    <row r="203" spans="1:98" x14ac:dyDescent="0.25">
      <c r="AQ203" s="296">
        <v>301</v>
      </c>
      <c r="AR203" s="1"/>
      <c r="BS203" s="296">
        <v>301</v>
      </c>
      <c r="BT203" s="1"/>
    </row>
    <row r="204" spans="1:98" x14ac:dyDescent="0.25">
      <c r="AR204" s="1">
        <f>SUM(AR202:AR203)</f>
        <v>0</v>
      </c>
      <c r="BT204" s="1">
        <f>SUM(BT202:BT203)</f>
        <v>0</v>
      </c>
    </row>
    <row r="205" spans="1:98" x14ac:dyDescent="0.25">
      <c r="AR205" s="1"/>
    </row>
    <row r="206" spans="1:98" x14ac:dyDescent="0.25">
      <c r="AR206" s="1"/>
    </row>
    <row r="207" spans="1:98" x14ac:dyDescent="0.25">
      <c r="AR207" s="1"/>
    </row>
  </sheetData>
  <mergeCells count="219">
    <mergeCell ref="A193:F193"/>
    <mergeCell ref="B190:F190"/>
    <mergeCell ref="J190:O190"/>
    <mergeCell ref="A191:F191"/>
    <mergeCell ref="J191:O191"/>
    <mergeCell ref="B192:F192"/>
    <mergeCell ref="J192:O192"/>
    <mergeCell ref="B187:F187"/>
    <mergeCell ref="J187:O187"/>
    <mergeCell ref="B188:F188"/>
    <mergeCell ref="J188:O188"/>
    <mergeCell ref="B189:F189"/>
    <mergeCell ref="J189:O189"/>
    <mergeCell ref="A183:F183"/>
    <mergeCell ref="J183:M183"/>
    <mergeCell ref="N183:O183"/>
    <mergeCell ref="J185:O185"/>
    <mergeCell ref="B186:F186"/>
    <mergeCell ref="J186:O186"/>
    <mergeCell ref="A181:F181"/>
    <mergeCell ref="J181:M181"/>
    <mergeCell ref="N181:T181"/>
    <mergeCell ref="A182:F182"/>
    <mergeCell ref="J182:L182"/>
    <mergeCell ref="N182:R182"/>
    <mergeCell ref="J165:J166"/>
    <mergeCell ref="K165:K166"/>
    <mergeCell ref="L165:L166"/>
    <mergeCell ref="A167:F167"/>
    <mergeCell ref="J167:M167"/>
    <mergeCell ref="N167:T167"/>
    <mergeCell ref="T161:T166"/>
    <mergeCell ref="A165:A166"/>
    <mergeCell ref="B165:B166"/>
    <mergeCell ref="C165:C166"/>
    <mergeCell ref="D165:D166"/>
    <mergeCell ref="E165:E166"/>
    <mergeCell ref="F165:F166"/>
    <mergeCell ref="G165:G166"/>
    <mergeCell ref="H165:H166"/>
    <mergeCell ref="I165:I166"/>
    <mergeCell ref="A150:F150"/>
    <mergeCell ref="J150:M150"/>
    <mergeCell ref="N150:T150"/>
    <mergeCell ref="T152:T155"/>
    <mergeCell ref="T157:T158"/>
    <mergeCell ref="T159:T160"/>
    <mergeCell ref="T101:T103"/>
    <mergeCell ref="A117:A145"/>
    <mergeCell ref="B117:B145"/>
    <mergeCell ref="C117:C145"/>
    <mergeCell ref="D117:D145"/>
    <mergeCell ref="A146:F146"/>
    <mergeCell ref="J146:M146"/>
    <mergeCell ref="N146:T146"/>
    <mergeCell ref="G99:G116"/>
    <mergeCell ref="H99:H116"/>
    <mergeCell ref="I99:I116"/>
    <mergeCell ref="J99:J116"/>
    <mergeCell ref="K99:K116"/>
    <mergeCell ref="L99:L116"/>
    <mergeCell ref="A99:A116"/>
    <mergeCell ref="B99:B116"/>
    <mergeCell ref="C99:C116"/>
    <mergeCell ref="D99:D116"/>
    <mergeCell ref="E99:E116"/>
    <mergeCell ref="F99:F116"/>
    <mergeCell ref="H94:H98"/>
    <mergeCell ref="I94:I98"/>
    <mergeCell ref="J94:J98"/>
    <mergeCell ref="K94:K98"/>
    <mergeCell ref="L94:L98"/>
    <mergeCell ref="T96:T100"/>
    <mergeCell ref="J91:J93"/>
    <mergeCell ref="K91:K93"/>
    <mergeCell ref="L91:L93"/>
    <mergeCell ref="A94:A98"/>
    <mergeCell ref="B94:B98"/>
    <mergeCell ref="C94:C98"/>
    <mergeCell ref="D94:D98"/>
    <mergeCell ref="E94:E98"/>
    <mergeCell ref="F94:F98"/>
    <mergeCell ref="G94:G98"/>
    <mergeCell ref="T88:T89"/>
    <mergeCell ref="A91:A93"/>
    <mergeCell ref="B91:B93"/>
    <mergeCell ref="C91:C93"/>
    <mergeCell ref="D91:D93"/>
    <mergeCell ref="E91:E93"/>
    <mergeCell ref="F91:F93"/>
    <mergeCell ref="G91:G93"/>
    <mergeCell ref="H91:H93"/>
    <mergeCell ref="I91:I93"/>
    <mergeCell ref="H88:H89"/>
    <mergeCell ref="I88:I89"/>
    <mergeCell ref="J88:J89"/>
    <mergeCell ref="K88:K89"/>
    <mergeCell ref="L88:L89"/>
    <mergeCell ref="M88:M89"/>
    <mergeCell ref="A86:F86"/>
    <mergeCell ref="J86:M86"/>
    <mergeCell ref="N86:T86"/>
    <mergeCell ref="A88:A89"/>
    <mergeCell ref="B88:B89"/>
    <mergeCell ref="C88:C89"/>
    <mergeCell ref="D88:D89"/>
    <mergeCell ref="E88:E89"/>
    <mergeCell ref="F88:F89"/>
    <mergeCell ref="G88:G89"/>
    <mergeCell ref="T75:T77"/>
    <mergeCell ref="A79:A80"/>
    <mergeCell ref="B79:B80"/>
    <mergeCell ref="C79:C80"/>
    <mergeCell ref="D79:D80"/>
    <mergeCell ref="T81:T83"/>
    <mergeCell ref="G75:G77"/>
    <mergeCell ref="H75:H77"/>
    <mergeCell ref="I75:I77"/>
    <mergeCell ref="J75:J77"/>
    <mergeCell ref="K75:K77"/>
    <mergeCell ref="L75:L77"/>
    <mergeCell ref="A75:A77"/>
    <mergeCell ref="B75:B77"/>
    <mergeCell ref="C75:C77"/>
    <mergeCell ref="D75:D77"/>
    <mergeCell ref="E75:E77"/>
    <mergeCell ref="F75:F77"/>
    <mergeCell ref="T67:T68"/>
    <mergeCell ref="A69:A71"/>
    <mergeCell ref="B69:B71"/>
    <mergeCell ref="C69:C71"/>
    <mergeCell ref="D69:D71"/>
    <mergeCell ref="E69:E71"/>
    <mergeCell ref="L69:L71"/>
    <mergeCell ref="T69:T71"/>
    <mergeCell ref="A72:A74"/>
    <mergeCell ref="B72:B74"/>
    <mergeCell ref="C72:C74"/>
    <mergeCell ref="D72:D74"/>
    <mergeCell ref="T72:T74"/>
    <mergeCell ref="F69:F71"/>
    <mergeCell ref="G69:G71"/>
    <mergeCell ref="H69:H71"/>
    <mergeCell ref="I69:I71"/>
    <mergeCell ref="J69:J71"/>
    <mergeCell ref="K69:K71"/>
    <mergeCell ref="A47:A60"/>
    <mergeCell ref="B47:B60"/>
    <mergeCell ref="C47:C60"/>
    <mergeCell ref="D47:D60"/>
    <mergeCell ref="T47:T48"/>
    <mergeCell ref="E49:E59"/>
    <mergeCell ref="F49:F59"/>
    <mergeCell ref="T49:T53"/>
    <mergeCell ref="T54:T59"/>
    <mergeCell ref="H6:H8"/>
    <mergeCell ref="A21:F21"/>
    <mergeCell ref="J21:M21"/>
    <mergeCell ref="N21:T21"/>
    <mergeCell ref="A23:A44"/>
    <mergeCell ref="B23:B44"/>
    <mergeCell ref="C23:C44"/>
    <mergeCell ref="D23:D44"/>
    <mergeCell ref="E23:E24"/>
    <mergeCell ref="F23:F24"/>
    <mergeCell ref="T23:T29"/>
    <mergeCell ref="T30:T32"/>
    <mergeCell ref="T33:T35"/>
    <mergeCell ref="T36:T37"/>
    <mergeCell ref="T38:T43"/>
    <mergeCell ref="T44:T46"/>
    <mergeCell ref="AX2:BD2"/>
    <mergeCell ref="BL2:BR2"/>
    <mergeCell ref="BT2:BY2"/>
    <mergeCell ref="BZ2:CF2"/>
    <mergeCell ref="N10:T10"/>
    <mergeCell ref="A12:A20"/>
    <mergeCell ref="B12:B20"/>
    <mergeCell ref="C12:C20"/>
    <mergeCell ref="D12:D20"/>
    <mergeCell ref="T12:T17"/>
    <mergeCell ref="T18:T20"/>
    <mergeCell ref="I6:I8"/>
    <mergeCell ref="J6:J8"/>
    <mergeCell ref="K6:K8"/>
    <mergeCell ref="L6:L8"/>
    <mergeCell ref="A10:F10"/>
    <mergeCell ref="J10:M10"/>
    <mergeCell ref="A4:A8"/>
    <mergeCell ref="B4:B8"/>
    <mergeCell ref="C4:C8"/>
    <mergeCell ref="D4:D8"/>
    <mergeCell ref="E6:E8"/>
    <mergeCell ref="F6:F8"/>
    <mergeCell ref="G6:G8"/>
    <mergeCell ref="BF2:BK2"/>
    <mergeCell ref="AR2:AW2"/>
    <mergeCell ref="BT1:CF1"/>
    <mergeCell ref="CH1:CT1"/>
    <mergeCell ref="A2:B3"/>
    <mergeCell ref="C2:D3"/>
    <mergeCell ref="E2:F3"/>
    <mergeCell ref="G2:G3"/>
    <mergeCell ref="H2:H3"/>
    <mergeCell ref="I2:I3"/>
    <mergeCell ref="J2:M2"/>
    <mergeCell ref="N2:Q2"/>
    <mergeCell ref="A1:L1"/>
    <mergeCell ref="N1:R1"/>
    <mergeCell ref="T1:T3"/>
    <mergeCell ref="U1:AG1"/>
    <mergeCell ref="AR1:BD1"/>
    <mergeCell ref="BF1:BR1"/>
    <mergeCell ref="R2:R3"/>
    <mergeCell ref="S2:S3"/>
    <mergeCell ref="U2:AG2"/>
    <mergeCell ref="AI2:AP2"/>
    <mergeCell ref="CH2:CM2"/>
    <mergeCell ref="CN2:CT2"/>
  </mergeCells>
  <printOptions horizontalCentered="1" verticalCentered="1"/>
  <pageMargins left="0.35433070866141736" right="0.27559055118110237" top="0.9055118110236221" bottom="0.47244094488188981" header="0.59055118110236227" footer="0.27559055118110237"/>
  <pageSetup scale="60" orientation="landscape" r:id="rId1"/>
  <headerFooter>
    <oddHeader>&amp;C&amp;"-,Negrita"&amp;14UNIVERSIDAD SURCOLOMBIANAPLAN DE ACCIÓN 2010 - RESOLUCIONES, 0201 DE 2010 Y 050 DE 2011</oddHeader>
    <oddFooter>&amp;LUNIDAD DE PLANEAMIENTO ECONÓMICO Y ADMINISTRATIVO&amp;COFICINA DE PLANEACIÓN&amp;RPágina &amp;P de &amp;N</oddFooter>
  </headerFooter>
  <rowBreaks count="3" manualBreakCount="3">
    <brk id="46" max="16383" man="1"/>
    <brk id="71" max="16383" man="1"/>
    <brk id="98"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12</vt:i4>
      </vt:variant>
    </vt:vector>
  </HeadingPairs>
  <TitlesOfParts>
    <vt:vector size="37" baseType="lpstr">
      <vt:lpstr>POAI2010</vt:lpstr>
      <vt:lpstr>NECES.PD</vt:lpstr>
      <vt:lpstr>ACT.FUN</vt:lpstr>
      <vt:lpstr>PROYECTOS ESTRATÉGICOS</vt:lpstr>
      <vt:lpstr>PLAN INDICATIVO</vt:lpstr>
      <vt:lpstr>POAI 2011 INIC</vt:lpstr>
      <vt:lpstr>POAI 2011 AC.073 DE 2010</vt:lpstr>
      <vt:lpstr>PLANINDICATIVO PD</vt:lpstr>
      <vt:lpstr>PLAN DE ACCIÓN 2011 MARZO</vt:lpstr>
      <vt:lpstr>PLANINDICATIVO PD MAYO</vt:lpstr>
      <vt:lpstr>POAI 2011 AC.017 MAYO</vt:lpstr>
      <vt:lpstr>MATRIZ DE SEGUIMIENTO PD</vt:lpstr>
      <vt:lpstr>RES.096 DE 2011</vt:lpstr>
      <vt:lpstr>PLANINDICATIVO PD JUNIO</vt:lpstr>
      <vt:lpstr>CONTRUCC.</vt:lpstr>
      <vt:lpstr>EQUIPOS</vt:lpstr>
      <vt:lpstr>BIENESTAR</vt:lpstr>
      <vt:lpstr>CAPACITAC</vt:lpstr>
      <vt:lpstr>INVESTIG</vt:lpstr>
      <vt:lpstr>PLANEACION</vt:lpstr>
      <vt:lpstr>Hoja1</vt:lpstr>
      <vt:lpstr>EXCEDUC</vt:lpstr>
      <vt:lpstr>P.ACION A SEPTIEMBRE 2015</vt:lpstr>
      <vt:lpstr>P.ACION A SEPTIEMBRE 2015 (2)</vt:lpstr>
      <vt:lpstr>P.ACION POR SUBSISTEMA</vt:lpstr>
      <vt:lpstr>POAI2010!Área_de_impresión</vt:lpstr>
      <vt:lpstr>'MATRIZ DE SEGUIMIENTO PD'!Títulos_a_imprimir</vt:lpstr>
      <vt:lpstr>'P.ACION A SEPTIEMBRE 2015'!Títulos_a_imprimir</vt:lpstr>
      <vt:lpstr>'P.ACION A SEPTIEMBRE 2015 (2)'!Títulos_a_imprimir</vt:lpstr>
      <vt:lpstr>'P.ACION POR SUBSISTEMA'!Títulos_a_imprimir</vt:lpstr>
      <vt:lpstr>'PLAN DE ACCIÓN 2011 MARZO'!Títulos_a_imprimir</vt:lpstr>
      <vt:lpstr>'PLAN INDICATIVO'!Títulos_a_imprimir</vt:lpstr>
      <vt:lpstr>'POAI 2011 AC.017 MAYO'!Títulos_a_imprimir</vt:lpstr>
      <vt:lpstr>'POAI 2011 AC.073 DE 2010'!Títulos_a_imprimir</vt:lpstr>
      <vt:lpstr>'POAI 2011 INIC'!Títulos_a_imprimir</vt:lpstr>
      <vt:lpstr>POAI2010!Títulos_a_imprimir</vt:lpstr>
      <vt:lpstr>'RES.096 DE 2011'!Títulos_a_imprimir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dc:creator>
  <cp:lastModifiedBy>Planeación</cp:lastModifiedBy>
  <cp:lastPrinted>2014-12-22T23:00:11Z</cp:lastPrinted>
  <dcterms:created xsi:type="dcterms:W3CDTF">2009-10-20T22:02:49Z</dcterms:created>
  <dcterms:modified xsi:type="dcterms:W3CDTF">2015-10-07T14:39:26Z</dcterms:modified>
</cp:coreProperties>
</file>